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harts/chart63.xml" ContentType="application/vnd.openxmlformats-officedocument.drawingml.chart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49530" windowHeight="18285" activeTab="2"/>
  </bookViews>
  <sheets>
    <sheet name="1" sheetId="1" r:id="rId1"/>
    <sheet name="2" sheetId="5" r:id="rId2"/>
    <sheet name="3" sheetId="6" r:id="rId3"/>
    <sheet name="4" sheetId="8" r:id="rId4"/>
    <sheet name="5" sheetId="9" r:id="rId5"/>
    <sheet name="6" sheetId="11" r:id="rId6"/>
    <sheet name="7" sheetId="12" r:id="rId7"/>
    <sheet name="8" sheetId="13" r:id="rId8"/>
    <sheet name="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1" r:id="rId25"/>
    <sheet name="26" sheetId="33" r:id="rId26"/>
    <sheet name="27" sheetId="35" r:id="rId27"/>
    <sheet name="28" sheetId="36" r:id="rId28"/>
    <sheet name="29" sheetId="37" r:id="rId29"/>
    <sheet name="30" sheetId="38" r:id="rId30"/>
    <sheet name="31" sheetId="40" r:id="rId31"/>
    <sheet name="Chart1" sheetId="32" r:id="rId32"/>
    <sheet name="Sheet2" sheetId="2" r:id="rId33"/>
    <sheet name="Sheet3" sheetId="3" r:id="rId34"/>
    <sheet name="Sample" sheetId="4" r:id="rId35"/>
    <sheet name="Sheet37" sheetId="39" r:id="rId36"/>
  </sheets>
  <externalReferences>
    <externalReference r:id="rId37"/>
    <externalReference r:id="rId38"/>
    <externalReference r:id="rId39"/>
  </externalReferences>
  <definedNames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4">#REF!</definedName>
    <definedName name="IPP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4">#REF!</definedName>
    <definedName name="ippp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0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4">#REF!</definedName>
    <definedName name="sdasdf">#REF!</definedName>
  </definedNames>
  <calcPr calcId="145621"/>
</workbook>
</file>

<file path=xl/calcChain.xml><?xml version="1.0" encoding="utf-8"?>
<calcChain xmlns="http://schemas.openxmlformats.org/spreadsheetml/2006/main">
  <c r="AF95" i="40" l="1"/>
  <c r="AF37" i="40"/>
  <c r="AE95" i="40" l="1"/>
  <c r="AE37" i="40"/>
  <c r="AD95" i="40"/>
  <c r="AD37" i="40"/>
  <c r="Y37" i="40" l="1"/>
  <c r="X37" i="40"/>
  <c r="W37" i="40"/>
  <c r="V37" i="40"/>
  <c r="U37" i="40" l="1"/>
  <c r="T37" i="40"/>
  <c r="S95" i="40"/>
  <c r="S37" i="40"/>
  <c r="R37" i="40"/>
  <c r="Q95" i="40"/>
  <c r="Q37" i="40"/>
  <c r="P95" i="40"/>
  <c r="O95" i="40"/>
  <c r="O37" i="40"/>
  <c r="P37" i="40"/>
  <c r="AF80" i="40"/>
  <c r="AE80" i="40"/>
  <c r="AD80" i="40"/>
  <c r="AC80" i="40"/>
  <c r="AB80" i="40"/>
  <c r="AA80" i="40"/>
  <c r="Z80" i="40"/>
  <c r="Y80" i="40"/>
  <c r="X80" i="40"/>
  <c r="W80" i="40"/>
  <c r="V80" i="40"/>
  <c r="U80" i="40"/>
  <c r="T80" i="40"/>
  <c r="S80" i="40"/>
  <c r="R80" i="40"/>
  <c r="Q80" i="40"/>
  <c r="P80" i="40"/>
  <c r="O80" i="40"/>
  <c r="N80" i="40"/>
  <c r="M80" i="40"/>
  <c r="L80" i="40"/>
  <c r="K80" i="40"/>
  <c r="J80" i="40"/>
  <c r="I80" i="40"/>
  <c r="H80" i="40"/>
  <c r="G80" i="40"/>
  <c r="F80" i="40"/>
  <c r="E80" i="40"/>
  <c r="D80" i="40"/>
  <c r="C80" i="40"/>
  <c r="B80" i="40"/>
  <c r="AF79" i="40"/>
  <c r="AE79" i="40"/>
  <c r="AD79" i="40"/>
  <c r="AC79" i="40"/>
  <c r="AB79" i="40"/>
  <c r="AA79" i="40"/>
  <c r="Z79" i="40"/>
  <c r="Y79" i="40"/>
  <c r="X79" i="40"/>
  <c r="W79" i="40"/>
  <c r="V79" i="40"/>
  <c r="U79" i="40"/>
  <c r="T79" i="40"/>
  <c r="S79" i="40"/>
  <c r="R79" i="40"/>
  <c r="Q79" i="40"/>
  <c r="P79" i="40"/>
  <c r="O79" i="40"/>
  <c r="N79" i="40"/>
  <c r="M79" i="40"/>
  <c r="L79" i="40"/>
  <c r="K79" i="40"/>
  <c r="J79" i="40"/>
  <c r="I79" i="40"/>
  <c r="H79" i="40"/>
  <c r="G79" i="40"/>
  <c r="F79" i="40"/>
  <c r="E79" i="40"/>
  <c r="D79" i="40"/>
  <c r="C79" i="40"/>
  <c r="B79" i="40"/>
  <c r="AF78" i="40"/>
  <c r="AE78" i="40"/>
  <c r="AD78" i="40"/>
  <c r="AC78" i="40"/>
  <c r="AB78" i="40"/>
  <c r="AA78" i="40"/>
  <c r="Z78" i="40"/>
  <c r="Y78" i="40"/>
  <c r="X78" i="40"/>
  <c r="W78" i="40"/>
  <c r="V78" i="40"/>
  <c r="U78" i="40"/>
  <c r="T78" i="40"/>
  <c r="S78" i="40"/>
  <c r="R78" i="40"/>
  <c r="Q78" i="40"/>
  <c r="P78" i="40"/>
  <c r="O78" i="40"/>
  <c r="N78" i="40"/>
  <c r="M78" i="40"/>
  <c r="L78" i="40"/>
  <c r="K78" i="40"/>
  <c r="J78" i="40"/>
  <c r="I78" i="40"/>
  <c r="H78" i="40"/>
  <c r="G78" i="40"/>
  <c r="F78" i="40"/>
  <c r="E78" i="40"/>
  <c r="D78" i="40"/>
  <c r="C78" i="40"/>
  <c r="B78" i="40"/>
  <c r="AF77" i="40"/>
  <c r="AE77" i="40"/>
  <c r="AD77" i="40"/>
  <c r="AC77" i="40"/>
  <c r="AB77" i="40"/>
  <c r="AA77" i="40"/>
  <c r="Z77" i="40"/>
  <c r="Y77" i="40"/>
  <c r="X77" i="40"/>
  <c r="W77" i="40"/>
  <c r="V77" i="40"/>
  <c r="U77" i="40"/>
  <c r="T77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G77" i="40"/>
  <c r="F77" i="40"/>
  <c r="E77" i="40"/>
  <c r="D77" i="40"/>
  <c r="C77" i="40"/>
  <c r="B77" i="40"/>
  <c r="AF76" i="40"/>
  <c r="AE76" i="40"/>
  <c r="AD76" i="40"/>
  <c r="AC76" i="40"/>
  <c r="AB76" i="40"/>
  <c r="AA76" i="40"/>
  <c r="Z76" i="40"/>
  <c r="Y76" i="40"/>
  <c r="X76" i="40"/>
  <c r="W76" i="40"/>
  <c r="V76" i="40"/>
  <c r="U76" i="40"/>
  <c r="T76" i="40"/>
  <c r="S76" i="40"/>
  <c r="R76" i="40"/>
  <c r="Q76" i="40"/>
  <c r="P76" i="40"/>
  <c r="O76" i="40"/>
  <c r="N76" i="40"/>
  <c r="M76" i="40"/>
  <c r="L76" i="40"/>
  <c r="K76" i="40"/>
  <c r="J76" i="40"/>
  <c r="I76" i="40"/>
  <c r="H76" i="40"/>
  <c r="G76" i="40"/>
  <c r="F76" i="40"/>
  <c r="E76" i="40"/>
  <c r="D76" i="40"/>
  <c r="C76" i="40"/>
  <c r="B76" i="40"/>
  <c r="C68" i="40"/>
  <c r="D68" i="40"/>
  <c r="E68" i="40"/>
  <c r="F68" i="40"/>
  <c r="G68" i="40"/>
  <c r="H68" i="40"/>
  <c r="I68" i="40"/>
  <c r="J68" i="40"/>
  <c r="K68" i="40"/>
  <c r="L68" i="40"/>
  <c r="M68" i="40"/>
  <c r="N68" i="40"/>
  <c r="O68" i="40"/>
  <c r="P68" i="40"/>
  <c r="Q68" i="40"/>
  <c r="R68" i="40"/>
  <c r="S68" i="40"/>
  <c r="T68" i="40"/>
  <c r="U68" i="40"/>
  <c r="V68" i="40"/>
  <c r="W68" i="40"/>
  <c r="X68" i="40"/>
  <c r="Y68" i="40"/>
  <c r="Z68" i="40"/>
  <c r="AA68" i="40"/>
  <c r="AB68" i="40"/>
  <c r="AC68" i="40"/>
  <c r="AD68" i="40"/>
  <c r="AE68" i="40"/>
  <c r="AF68" i="40"/>
  <c r="B68" i="40"/>
  <c r="N95" i="40" l="1"/>
  <c r="N37" i="40"/>
  <c r="L37" i="40"/>
  <c r="K37" i="40"/>
  <c r="J37" i="40"/>
  <c r="I37" i="40"/>
  <c r="H37" i="40"/>
  <c r="E37" i="40"/>
  <c r="D37" i="40"/>
  <c r="C37" i="40"/>
  <c r="AF240" i="40"/>
  <c r="AE240" i="40"/>
  <c r="AD240" i="40"/>
  <c r="AC240" i="40"/>
  <c r="AB240" i="40"/>
  <c r="AA240" i="40"/>
  <c r="Z240" i="40"/>
  <c r="Y240" i="40"/>
  <c r="X240" i="40"/>
  <c r="W240" i="40"/>
  <c r="V240" i="40"/>
  <c r="U240" i="40"/>
  <c r="T240" i="40"/>
  <c r="S240" i="40"/>
  <c r="R240" i="40"/>
  <c r="Q240" i="40"/>
  <c r="P240" i="40"/>
  <c r="O240" i="40"/>
  <c r="N240" i="40"/>
  <c r="M240" i="40"/>
  <c r="L240" i="40"/>
  <c r="K240" i="40"/>
  <c r="J240" i="40"/>
  <c r="I240" i="40"/>
  <c r="H240" i="40"/>
  <c r="G240" i="40"/>
  <c r="F240" i="40"/>
  <c r="E240" i="40"/>
  <c r="D240" i="40"/>
  <c r="C240" i="40"/>
  <c r="B240" i="40"/>
  <c r="A240" i="40"/>
  <c r="AF239" i="40"/>
  <c r="AE239" i="40"/>
  <c r="AD239" i="40"/>
  <c r="AC239" i="40"/>
  <c r="AB239" i="40"/>
  <c r="AA239" i="40"/>
  <c r="Z239" i="40"/>
  <c r="Y239" i="40"/>
  <c r="X239" i="40"/>
  <c r="W239" i="40"/>
  <c r="V239" i="40"/>
  <c r="U239" i="40"/>
  <c r="T239" i="40"/>
  <c r="S239" i="40"/>
  <c r="R239" i="40"/>
  <c r="Q239" i="40"/>
  <c r="P239" i="40"/>
  <c r="O239" i="40"/>
  <c r="N239" i="40"/>
  <c r="M239" i="40"/>
  <c r="L239" i="40"/>
  <c r="K239" i="40"/>
  <c r="J239" i="40"/>
  <c r="I239" i="40"/>
  <c r="H239" i="40"/>
  <c r="G239" i="40"/>
  <c r="F239" i="40"/>
  <c r="E239" i="40"/>
  <c r="D239" i="40"/>
  <c r="C239" i="40"/>
  <c r="B239" i="40"/>
  <c r="A239" i="40"/>
  <c r="AF238" i="40"/>
  <c r="AE238" i="40"/>
  <c r="AD238" i="40"/>
  <c r="AC238" i="40"/>
  <c r="AB238" i="40"/>
  <c r="AA238" i="40"/>
  <c r="Z238" i="40"/>
  <c r="Y238" i="40"/>
  <c r="X238" i="40"/>
  <c r="W238" i="40"/>
  <c r="V238" i="40"/>
  <c r="U238" i="40"/>
  <c r="T238" i="40"/>
  <c r="S238" i="40"/>
  <c r="R238" i="40"/>
  <c r="Q238" i="40"/>
  <c r="P238" i="40"/>
  <c r="O238" i="40"/>
  <c r="N238" i="40"/>
  <c r="M238" i="40"/>
  <c r="L238" i="40"/>
  <c r="K238" i="40"/>
  <c r="J238" i="40"/>
  <c r="I238" i="40"/>
  <c r="H238" i="40"/>
  <c r="G238" i="40"/>
  <c r="F238" i="40"/>
  <c r="E238" i="40"/>
  <c r="D238" i="40"/>
  <c r="C238" i="40"/>
  <c r="B238" i="40"/>
  <c r="A238" i="40"/>
  <c r="AF237" i="40"/>
  <c r="AE237" i="40"/>
  <c r="AD237" i="40"/>
  <c r="AC237" i="40"/>
  <c r="AB237" i="40"/>
  <c r="AA237" i="40"/>
  <c r="Z237" i="40"/>
  <c r="Y237" i="40"/>
  <c r="X237" i="40"/>
  <c r="W237" i="40"/>
  <c r="V237" i="40"/>
  <c r="U237" i="40"/>
  <c r="T237" i="40"/>
  <c r="S237" i="40"/>
  <c r="R237" i="40"/>
  <c r="Q237" i="40"/>
  <c r="P237" i="40"/>
  <c r="O237" i="40"/>
  <c r="N237" i="40"/>
  <c r="M237" i="40"/>
  <c r="L237" i="40"/>
  <c r="K237" i="40"/>
  <c r="J237" i="40"/>
  <c r="I237" i="40"/>
  <c r="H237" i="40"/>
  <c r="G237" i="40"/>
  <c r="F237" i="40"/>
  <c r="E237" i="40"/>
  <c r="D237" i="40"/>
  <c r="C237" i="40"/>
  <c r="B237" i="40"/>
  <c r="A237" i="40"/>
  <c r="E236" i="40"/>
  <c r="C236" i="40"/>
  <c r="B236" i="40"/>
  <c r="S211" i="40"/>
  <c r="AG201" i="40"/>
  <c r="C201" i="40"/>
  <c r="F200" i="40"/>
  <c r="G200" i="40" s="1"/>
  <c r="F236" i="40" s="1"/>
  <c r="D200" i="40"/>
  <c r="E200" i="40" s="1"/>
  <c r="D236" i="40" s="1"/>
  <c r="F199" i="40"/>
  <c r="G199" i="40" s="1"/>
  <c r="H199" i="40" s="1"/>
  <c r="I199" i="40" s="1"/>
  <c r="J199" i="40" s="1"/>
  <c r="K199" i="40" s="1"/>
  <c r="L199" i="40" s="1"/>
  <c r="M199" i="40" s="1"/>
  <c r="N199" i="40" s="1"/>
  <c r="O199" i="40" s="1"/>
  <c r="P199" i="40" s="1"/>
  <c r="Q199" i="40" s="1"/>
  <c r="R199" i="40" s="1"/>
  <c r="S199" i="40" s="1"/>
  <c r="T199" i="40" s="1"/>
  <c r="U199" i="40" s="1"/>
  <c r="V199" i="40" s="1"/>
  <c r="W199" i="40" s="1"/>
  <c r="X199" i="40" s="1"/>
  <c r="Y199" i="40" s="1"/>
  <c r="Z199" i="40" s="1"/>
  <c r="AA199" i="40" s="1"/>
  <c r="AB199" i="40" s="1"/>
  <c r="AC199" i="40" s="1"/>
  <c r="AD199" i="40" s="1"/>
  <c r="AE199" i="40" s="1"/>
  <c r="AF199" i="40" s="1"/>
  <c r="B199" i="40" s="1"/>
  <c r="D199" i="40"/>
  <c r="E199" i="40" s="1"/>
  <c r="AD198" i="40"/>
  <c r="AE198" i="40" s="1"/>
  <c r="AF198" i="40" s="1"/>
  <c r="B198" i="40" s="1"/>
  <c r="D198" i="40"/>
  <c r="E198" i="40" s="1"/>
  <c r="F198" i="40" s="1"/>
  <c r="G198" i="40" s="1"/>
  <c r="H198" i="40" s="1"/>
  <c r="I198" i="40" s="1"/>
  <c r="J198" i="40" s="1"/>
  <c r="K198" i="40" s="1"/>
  <c r="L198" i="40" s="1"/>
  <c r="M198" i="40" s="1"/>
  <c r="N198" i="40" s="1"/>
  <c r="O198" i="40" s="1"/>
  <c r="P198" i="40" s="1"/>
  <c r="Q198" i="40" s="1"/>
  <c r="R198" i="40" s="1"/>
  <c r="S198" i="40" s="1"/>
  <c r="T198" i="40" s="1"/>
  <c r="U198" i="40" s="1"/>
  <c r="V198" i="40" s="1"/>
  <c r="W198" i="40" s="1"/>
  <c r="X198" i="40" s="1"/>
  <c r="Y198" i="40" s="1"/>
  <c r="Z198" i="40" s="1"/>
  <c r="AA198" i="40" s="1"/>
  <c r="AB198" i="40" s="1"/>
  <c r="AC198" i="40" s="1"/>
  <c r="D197" i="40"/>
  <c r="E197" i="40" s="1"/>
  <c r="F197" i="40" s="1"/>
  <c r="G197" i="40" s="1"/>
  <c r="H197" i="40" s="1"/>
  <c r="I197" i="40" s="1"/>
  <c r="J197" i="40" s="1"/>
  <c r="K197" i="40" s="1"/>
  <c r="L197" i="40" s="1"/>
  <c r="M197" i="40" s="1"/>
  <c r="N197" i="40" s="1"/>
  <c r="O197" i="40" s="1"/>
  <c r="P197" i="40" s="1"/>
  <c r="Q197" i="40" s="1"/>
  <c r="R197" i="40" s="1"/>
  <c r="S197" i="40" s="1"/>
  <c r="T197" i="40" s="1"/>
  <c r="U197" i="40" s="1"/>
  <c r="V197" i="40" s="1"/>
  <c r="W197" i="40" s="1"/>
  <c r="X197" i="40" s="1"/>
  <c r="Y197" i="40" s="1"/>
  <c r="Z197" i="40" s="1"/>
  <c r="AA197" i="40" s="1"/>
  <c r="AB197" i="40" s="1"/>
  <c r="AC197" i="40" s="1"/>
  <c r="AD197" i="40" s="1"/>
  <c r="AE197" i="40" s="1"/>
  <c r="AF197" i="40" s="1"/>
  <c r="B197" i="40" s="1"/>
  <c r="D196" i="40"/>
  <c r="E196" i="40" s="1"/>
  <c r="F196" i="40" s="1"/>
  <c r="G196" i="40" s="1"/>
  <c r="H196" i="40" s="1"/>
  <c r="I196" i="40" s="1"/>
  <c r="J196" i="40" s="1"/>
  <c r="K196" i="40" s="1"/>
  <c r="L196" i="40" s="1"/>
  <c r="M196" i="40" s="1"/>
  <c r="N196" i="40" s="1"/>
  <c r="O196" i="40" s="1"/>
  <c r="P196" i="40" s="1"/>
  <c r="Q196" i="40" s="1"/>
  <c r="R196" i="40" s="1"/>
  <c r="S196" i="40" s="1"/>
  <c r="T196" i="40" s="1"/>
  <c r="U196" i="40" s="1"/>
  <c r="V196" i="40" s="1"/>
  <c r="W196" i="40" s="1"/>
  <c r="X196" i="40" s="1"/>
  <c r="Y196" i="40" s="1"/>
  <c r="Z196" i="40" s="1"/>
  <c r="AA196" i="40" s="1"/>
  <c r="AB196" i="40" s="1"/>
  <c r="AC196" i="40" s="1"/>
  <c r="AD196" i="40" s="1"/>
  <c r="AE196" i="40" s="1"/>
  <c r="AF196" i="40" s="1"/>
  <c r="B196" i="40" s="1"/>
  <c r="D195" i="40"/>
  <c r="AG193" i="40"/>
  <c r="C193" i="40"/>
  <c r="D192" i="40"/>
  <c r="E192" i="40" s="1"/>
  <c r="F192" i="40" s="1"/>
  <c r="G192" i="40" s="1"/>
  <c r="H192" i="40" s="1"/>
  <c r="I192" i="40" s="1"/>
  <c r="J192" i="40" s="1"/>
  <c r="K192" i="40" s="1"/>
  <c r="L192" i="40" s="1"/>
  <c r="M192" i="40" s="1"/>
  <c r="N192" i="40" s="1"/>
  <c r="O192" i="40" s="1"/>
  <c r="P192" i="40" s="1"/>
  <c r="Q192" i="40" s="1"/>
  <c r="R192" i="40" s="1"/>
  <c r="S192" i="40" s="1"/>
  <c r="T192" i="40" s="1"/>
  <c r="U192" i="40" s="1"/>
  <c r="V192" i="40" s="1"/>
  <c r="W192" i="40" s="1"/>
  <c r="X192" i="40" s="1"/>
  <c r="Y192" i="40" s="1"/>
  <c r="Z192" i="40" s="1"/>
  <c r="AA192" i="40" s="1"/>
  <c r="AB192" i="40" s="1"/>
  <c r="AC192" i="40" s="1"/>
  <c r="AD192" i="40" s="1"/>
  <c r="AE192" i="40" s="1"/>
  <c r="AF192" i="40" s="1"/>
  <c r="B192" i="40" s="1"/>
  <c r="J191" i="40"/>
  <c r="K191" i="40" s="1"/>
  <c r="L191" i="40" s="1"/>
  <c r="M191" i="40" s="1"/>
  <c r="N191" i="40" s="1"/>
  <c r="O191" i="40" s="1"/>
  <c r="P191" i="40" s="1"/>
  <c r="Q191" i="40" s="1"/>
  <c r="R191" i="40" s="1"/>
  <c r="S191" i="40" s="1"/>
  <c r="T191" i="40" s="1"/>
  <c r="U191" i="40" s="1"/>
  <c r="V191" i="40" s="1"/>
  <c r="W191" i="40" s="1"/>
  <c r="X191" i="40" s="1"/>
  <c r="Y191" i="40" s="1"/>
  <c r="Z191" i="40" s="1"/>
  <c r="AA191" i="40" s="1"/>
  <c r="AB191" i="40" s="1"/>
  <c r="AC191" i="40" s="1"/>
  <c r="AD191" i="40" s="1"/>
  <c r="AE191" i="40" s="1"/>
  <c r="AF191" i="40" s="1"/>
  <c r="B191" i="40" s="1"/>
  <c r="D191" i="40"/>
  <c r="E191" i="40" s="1"/>
  <c r="F191" i="40" s="1"/>
  <c r="G191" i="40" s="1"/>
  <c r="H191" i="40" s="1"/>
  <c r="I191" i="40" s="1"/>
  <c r="D190" i="40"/>
  <c r="E190" i="40" s="1"/>
  <c r="F190" i="40" s="1"/>
  <c r="G190" i="40" s="1"/>
  <c r="H190" i="40" s="1"/>
  <c r="I190" i="40" s="1"/>
  <c r="J190" i="40" s="1"/>
  <c r="K190" i="40" s="1"/>
  <c r="L190" i="40" s="1"/>
  <c r="M190" i="40" s="1"/>
  <c r="N190" i="40" s="1"/>
  <c r="O190" i="40" s="1"/>
  <c r="P190" i="40" s="1"/>
  <c r="Q190" i="40" s="1"/>
  <c r="R190" i="40" s="1"/>
  <c r="S190" i="40" s="1"/>
  <c r="T190" i="40" s="1"/>
  <c r="U190" i="40" s="1"/>
  <c r="V190" i="40" s="1"/>
  <c r="W190" i="40" s="1"/>
  <c r="X190" i="40" s="1"/>
  <c r="Y190" i="40" s="1"/>
  <c r="Z190" i="40" s="1"/>
  <c r="AA190" i="40" s="1"/>
  <c r="AB190" i="40" s="1"/>
  <c r="AC190" i="40" s="1"/>
  <c r="AD190" i="40" s="1"/>
  <c r="AE190" i="40" s="1"/>
  <c r="AF190" i="40" s="1"/>
  <c r="B190" i="40" s="1"/>
  <c r="G189" i="40"/>
  <c r="H189" i="40" s="1"/>
  <c r="I189" i="40" s="1"/>
  <c r="J189" i="40" s="1"/>
  <c r="K189" i="40" s="1"/>
  <c r="L189" i="40" s="1"/>
  <c r="M189" i="40" s="1"/>
  <c r="N189" i="40" s="1"/>
  <c r="O189" i="40" s="1"/>
  <c r="P189" i="40" s="1"/>
  <c r="Q189" i="40" s="1"/>
  <c r="R189" i="40" s="1"/>
  <c r="S189" i="40" s="1"/>
  <c r="T189" i="40" s="1"/>
  <c r="U189" i="40" s="1"/>
  <c r="V189" i="40" s="1"/>
  <c r="W189" i="40" s="1"/>
  <c r="X189" i="40" s="1"/>
  <c r="Y189" i="40" s="1"/>
  <c r="Z189" i="40" s="1"/>
  <c r="AA189" i="40" s="1"/>
  <c r="AB189" i="40" s="1"/>
  <c r="AC189" i="40" s="1"/>
  <c r="AD189" i="40" s="1"/>
  <c r="AE189" i="40" s="1"/>
  <c r="AF189" i="40" s="1"/>
  <c r="B189" i="40" s="1"/>
  <c r="D189" i="40"/>
  <c r="E189" i="40" s="1"/>
  <c r="F189" i="40" s="1"/>
  <c r="J188" i="40"/>
  <c r="K188" i="40" s="1"/>
  <c r="L188" i="40" s="1"/>
  <c r="M188" i="40" s="1"/>
  <c r="N188" i="40" s="1"/>
  <c r="O188" i="40" s="1"/>
  <c r="P188" i="40" s="1"/>
  <c r="Q188" i="40" s="1"/>
  <c r="R188" i="40" s="1"/>
  <c r="S188" i="40" s="1"/>
  <c r="T188" i="40" s="1"/>
  <c r="U188" i="40" s="1"/>
  <c r="V188" i="40" s="1"/>
  <c r="W188" i="40" s="1"/>
  <c r="X188" i="40" s="1"/>
  <c r="Y188" i="40" s="1"/>
  <c r="Z188" i="40" s="1"/>
  <c r="AA188" i="40" s="1"/>
  <c r="AB188" i="40" s="1"/>
  <c r="AC188" i="40" s="1"/>
  <c r="AD188" i="40" s="1"/>
  <c r="AE188" i="40" s="1"/>
  <c r="AF188" i="40" s="1"/>
  <c r="B188" i="40" s="1"/>
  <c r="E188" i="40"/>
  <c r="F188" i="40" s="1"/>
  <c r="G188" i="40" s="1"/>
  <c r="H188" i="40" s="1"/>
  <c r="I188" i="40" s="1"/>
  <c r="D188" i="40"/>
  <c r="H187" i="40"/>
  <c r="I187" i="40" s="1"/>
  <c r="J187" i="40" s="1"/>
  <c r="K187" i="40" s="1"/>
  <c r="L187" i="40" s="1"/>
  <c r="M187" i="40" s="1"/>
  <c r="N187" i="40" s="1"/>
  <c r="O187" i="40" s="1"/>
  <c r="P187" i="40" s="1"/>
  <c r="Q187" i="40" s="1"/>
  <c r="R187" i="40" s="1"/>
  <c r="S187" i="40" s="1"/>
  <c r="T187" i="40" s="1"/>
  <c r="U187" i="40" s="1"/>
  <c r="V187" i="40" s="1"/>
  <c r="W187" i="40" s="1"/>
  <c r="X187" i="40" s="1"/>
  <c r="Y187" i="40" s="1"/>
  <c r="Z187" i="40" s="1"/>
  <c r="AA187" i="40" s="1"/>
  <c r="AB187" i="40" s="1"/>
  <c r="AC187" i="40" s="1"/>
  <c r="AD187" i="40" s="1"/>
  <c r="AE187" i="40" s="1"/>
  <c r="AF187" i="40" s="1"/>
  <c r="B187" i="40" s="1"/>
  <c r="F187" i="40"/>
  <c r="G187" i="40" s="1"/>
  <c r="D187" i="40"/>
  <c r="E187" i="40" s="1"/>
  <c r="F186" i="40"/>
  <c r="G186" i="40" s="1"/>
  <c r="H186" i="40" s="1"/>
  <c r="I186" i="40" s="1"/>
  <c r="J186" i="40" s="1"/>
  <c r="K186" i="40" s="1"/>
  <c r="L186" i="40" s="1"/>
  <c r="M186" i="40" s="1"/>
  <c r="N186" i="40" s="1"/>
  <c r="O186" i="40" s="1"/>
  <c r="P186" i="40" s="1"/>
  <c r="Q186" i="40" s="1"/>
  <c r="R186" i="40" s="1"/>
  <c r="S186" i="40" s="1"/>
  <c r="T186" i="40" s="1"/>
  <c r="U186" i="40" s="1"/>
  <c r="V186" i="40" s="1"/>
  <c r="W186" i="40" s="1"/>
  <c r="X186" i="40" s="1"/>
  <c r="Y186" i="40" s="1"/>
  <c r="Z186" i="40" s="1"/>
  <c r="AA186" i="40" s="1"/>
  <c r="AB186" i="40" s="1"/>
  <c r="AC186" i="40" s="1"/>
  <c r="AD186" i="40" s="1"/>
  <c r="AE186" i="40" s="1"/>
  <c r="AF186" i="40" s="1"/>
  <c r="B186" i="40" s="1"/>
  <c r="D186" i="40"/>
  <c r="E186" i="40" s="1"/>
  <c r="L185" i="40"/>
  <c r="M185" i="40" s="1"/>
  <c r="N185" i="40" s="1"/>
  <c r="O185" i="40" s="1"/>
  <c r="P185" i="40" s="1"/>
  <c r="Q185" i="40" s="1"/>
  <c r="R185" i="40" s="1"/>
  <c r="S185" i="40" s="1"/>
  <c r="T185" i="40" s="1"/>
  <c r="U185" i="40" s="1"/>
  <c r="V185" i="40" s="1"/>
  <c r="W185" i="40" s="1"/>
  <c r="X185" i="40" s="1"/>
  <c r="Y185" i="40" s="1"/>
  <c r="Z185" i="40" s="1"/>
  <c r="AA185" i="40" s="1"/>
  <c r="AB185" i="40" s="1"/>
  <c r="AC185" i="40" s="1"/>
  <c r="AD185" i="40" s="1"/>
  <c r="AE185" i="40" s="1"/>
  <c r="AF185" i="40" s="1"/>
  <c r="B185" i="40" s="1"/>
  <c r="H185" i="40"/>
  <c r="I185" i="40" s="1"/>
  <c r="J185" i="40" s="1"/>
  <c r="K185" i="40" s="1"/>
  <c r="G185" i="40"/>
  <c r="F185" i="40"/>
  <c r="D185" i="40"/>
  <c r="E185" i="40" s="1"/>
  <c r="P184" i="40"/>
  <c r="Q184" i="40" s="1"/>
  <c r="R184" i="40" s="1"/>
  <c r="S184" i="40" s="1"/>
  <c r="T184" i="40" s="1"/>
  <c r="U184" i="40" s="1"/>
  <c r="V184" i="40" s="1"/>
  <c r="W184" i="40" s="1"/>
  <c r="X184" i="40" s="1"/>
  <c r="Y184" i="40" s="1"/>
  <c r="Z184" i="40" s="1"/>
  <c r="AA184" i="40" s="1"/>
  <c r="AB184" i="40" s="1"/>
  <c r="AC184" i="40" s="1"/>
  <c r="AD184" i="40" s="1"/>
  <c r="AE184" i="40" s="1"/>
  <c r="AF184" i="40" s="1"/>
  <c r="B184" i="40" s="1"/>
  <c r="D184" i="40"/>
  <c r="E184" i="40" s="1"/>
  <c r="F184" i="40" s="1"/>
  <c r="G184" i="40" s="1"/>
  <c r="H184" i="40" s="1"/>
  <c r="I184" i="40" s="1"/>
  <c r="J184" i="40" s="1"/>
  <c r="K184" i="40" s="1"/>
  <c r="L184" i="40" s="1"/>
  <c r="M184" i="40" s="1"/>
  <c r="N184" i="40" s="1"/>
  <c r="O184" i="40" s="1"/>
  <c r="G183" i="40"/>
  <c r="H183" i="40" s="1"/>
  <c r="I183" i="40" s="1"/>
  <c r="J183" i="40" s="1"/>
  <c r="K183" i="40" s="1"/>
  <c r="L183" i="40" s="1"/>
  <c r="M183" i="40" s="1"/>
  <c r="N183" i="40" s="1"/>
  <c r="O183" i="40" s="1"/>
  <c r="P183" i="40" s="1"/>
  <c r="Q183" i="40" s="1"/>
  <c r="R183" i="40" s="1"/>
  <c r="S183" i="40" s="1"/>
  <c r="T183" i="40" s="1"/>
  <c r="U183" i="40" s="1"/>
  <c r="V183" i="40" s="1"/>
  <c r="W183" i="40" s="1"/>
  <c r="X183" i="40" s="1"/>
  <c r="Y183" i="40" s="1"/>
  <c r="Z183" i="40" s="1"/>
  <c r="AA183" i="40" s="1"/>
  <c r="AB183" i="40" s="1"/>
  <c r="AC183" i="40" s="1"/>
  <c r="AD183" i="40" s="1"/>
  <c r="AE183" i="40" s="1"/>
  <c r="AF183" i="40" s="1"/>
  <c r="B183" i="40" s="1"/>
  <c r="F183" i="40"/>
  <c r="E183" i="40"/>
  <c r="D183" i="40"/>
  <c r="I182" i="40"/>
  <c r="J182" i="40" s="1"/>
  <c r="K182" i="40" s="1"/>
  <c r="L182" i="40" s="1"/>
  <c r="M182" i="40" s="1"/>
  <c r="N182" i="40" s="1"/>
  <c r="O182" i="40" s="1"/>
  <c r="P182" i="40" s="1"/>
  <c r="Q182" i="40" s="1"/>
  <c r="R182" i="40" s="1"/>
  <c r="S182" i="40" s="1"/>
  <c r="T182" i="40" s="1"/>
  <c r="U182" i="40" s="1"/>
  <c r="V182" i="40" s="1"/>
  <c r="W182" i="40" s="1"/>
  <c r="X182" i="40" s="1"/>
  <c r="Y182" i="40" s="1"/>
  <c r="Z182" i="40" s="1"/>
  <c r="AA182" i="40" s="1"/>
  <c r="AB182" i="40" s="1"/>
  <c r="AC182" i="40" s="1"/>
  <c r="AD182" i="40" s="1"/>
  <c r="AE182" i="40" s="1"/>
  <c r="AF182" i="40" s="1"/>
  <c r="B182" i="40" s="1"/>
  <c r="E182" i="40"/>
  <c r="F182" i="40" s="1"/>
  <c r="G182" i="40" s="1"/>
  <c r="H182" i="40" s="1"/>
  <c r="D182" i="40"/>
  <c r="D181" i="40"/>
  <c r="E181" i="40" s="1"/>
  <c r="F181" i="40" s="1"/>
  <c r="G181" i="40" s="1"/>
  <c r="H181" i="40" s="1"/>
  <c r="I181" i="40" s="1"/>
  <c r="J181" i="40" s="1"/>
  <c r="K181" i="40" s="1"/>
  <c r="L181" i="40" s="1"/>
  <c r="M181" i="40" s="1"/>
  <c r="N181" i="40" s="1"/>
  <c r="O181" i="40" s="1"/>
  <c r="P181" i="40" s="1"/>
  <c r="Q181" i="40" s="1"/>
  <c r="R181" i="40" s="1"/>
  <c r="S181" i="40" s="1"/>
  <c r="T181" i="40" s="1"/>
  <c r="U181" i="40" s="1"/>
  <c r="V181" i="40" s="1"/>
  <c r="W181" i="40" s="1"/>
  <c r="X181" i="40" s="1"/>
  <c r="Y181" i="40" s="1"/>
  <c r="Z181" i="40" s="1"/>
  <c r="AA181" i="40" s="1"/>
  <c r="AB181" i="40" s="1"/>
  <c r="AC181" i="40" s="1"/>
  <c r="AD181" i="40" s="1"/>
  <c r="AE181" i="40" s="1"/>
  <c r="AF181" i="40" s="1"/>
  <c r="B181" i="40" s="1"/>
  <c r="H180" i="40"/>
  <c r="I180" i="40" s="1"/>
  <c r="J180" i="40" s="1"/>
  <c r="K180" i="40" s="1"/>
  <c r="L180" i="40" s="1"/>
  <c r="M180" i="40" s="1"/>
  <c r="N180" i="40" s="1"/>
  <c r="O180" i="40" s="1"/>
  <c r="P180" i="40" s="1"/>
  <c r="Q180" i="40" s="1"/>
  <c r="R180" i="40" s="1"/>
  <c r="S180" i="40" s="1"/>
  <c r="T180" i="40" s="1"/>
  <c r="U180" i="40" s="1"/>
  <c r="V180" i="40" s="1"/>
  <c r="W180" i="40" s="1"/>
  <c r="X180" i="40" s="1"/>
  <c r="Y180" i="40" s="1"/>
  <c r="Z180" i="40" s="1"/>
  <c r="AA180" i="40" s="1"/>
  <c r="AB180" i="40" s="1"/>
  <c r="AC180" i="40" s="1"/>
  <c r="AD180" i="40" s="1"/>
  <c r="AE180" i="40" s="1"/>
  <c r="AF180" i="40" s="1"/>
  <c r="B180" i="40" s="1"/>
  <c r="G180" i="40"/>
  <c r="D180" i="40"/>
  <c r="E180" i="40" s="1"/>
  <c r="F180" i="40" s="1"/>
  <c r="D178" i="40"/>
  <c r="E178" i="40" s="1"/>
  <c r="F178" i="40" s="1"/>
  <c r="G178" i="40" s="1"/>
  <c r="H178" i="40" s="1"/>
  <c r="I178" i="40" s="1"/>
  <c r="J178" i="40" s="1"/>
  <c r="K178" i="40" s="1"/>
  <c r="L178" i="40" s="1"/>
  <c r="M178" i="40" s="1"/>
  <c r="N178" i="40" s="1"/>
  <c r="O178" i="40" s="1"/>
  <c r="P178" i="40" s="1"/>
  <c r="Q178" i="40" s="1"/>
  <c r="R178" i="40" s="1"/>
  <c r="S178" i="40" s="1"/>
  <c r="T178" i="40" s="1"/>
  <c r="U178" i="40" s="1"/>
  <c r="V178" i="40" s="1"/>
  <c r="W178" i="40" s="1"/>
  <c r="X178" i="40" s="1"/>
  <c r="Y178" i="40" s="1"/>
  <c r="Z178" i="40" s="1"/>
  <c r="AA178" i="40" s="1"/>
  <c r="AB178" i="40" s="1"/>
  <c r="AC178" i="40" s="1"/>
  <c r="AD178" i="40" s="1"/>
  <c r="AE178" i="40" s="1"/>
  <c r="AF178" i="40" s="1"/>
  <c r="B178" i="40" s="1"/>
  <c r="AF177" i="40"/>
  <c r="B177" i="40" s="1"/>
  <c r="D177" i="40"/>
  <c r="E177" i="40" s="1"/>
  <c r="F177" i="40" s="1"/>
  <c r="G177" i="40" s="1"/>
  <c r="H177" i="40" s="1"/>
  <c r="I177" i="40" s="1"/>
  <c r="J177" i="40" s="1"/>
  <c r="K177" i="40" s="1"/>
  <c r="L177" i="40" s="1"/>
  <c r="M177" i="40" s="1"/>
  <c r="N177" i="40" s="1"/>
  <c r="O177" i="40" s="1"/>
  <c r="P177" i="40" s="1"/>
  <c r="Q177" i="40" s="1"/>
  <c r="R177" i="40" s="1"/>
  <c r="S177" i="40" s="1"/>
  <c r="T177" i="40" s="1"/>
  <c r="U177" i="40" s="1"/>
  <c r="V177" i="40" s="1"/>
  <c r="W177" i="40" s="1"/>
  <c r="X177" i="40" s="1"/>
  <c r="Y177" i="40" s="1"/>
  <c r="Z177" i="40" s="1"/>
  <c r="AA177" i="40" s="1"/>
  <c r="AB177" i="40" s="1"/>
  <c r="AC177" i="40" s="1"/>
  <c r="AD177" i="40" s="1"/>
  <c r="AE177" i="40" s="1"/>
  <c r="D176" i="40"/>
  <c r="E176" i="40" s="1"/>
  <c r="F176" i="40" s="1"/>
  <c r="G176" i="40" s="1"/>
  <c r="H176" i="40" s="1"/>
  <c r="I176" i="40" s="1"/>
  <c r="J176" i="40" s="1"/>
  <c r="K176" i="40" s="1"/>
  <c r="L176" i="40" s="1"/>
  <c r="M176" i="40" s="1"/>
  <c r="N176" i="40" s="1"/>
  <c r="O176" i="40" s="1"/>
  <c r="P176" i="40" s="1"/>
  <c r="Q176" i="40" s="1"/>
  <c r="R176" i="40" s="1"/>
  <c r="S176" i="40" s="1"/>
  <c r="T176" i="40" s="1"/>
  <c r="U176" i="40" s="1"/>
  <c r="V176" i="40" s="1"/>
  <c r="W176" i="40" s="1"/>
  <c r="X176" i="40" s="1"/>
  <c r="Y176" i="40" s="1"/>
  <c r="Z176" i="40" s="1"/>
  <c r="AA176" i="40" s="1"/>
  <c r="AB176" i="40" s="1"/>
  <c r="AC176" i="40" s="1"/>
  <c r="AD176" i="40" s="1"/>
  <c r="AE176" i="40" s="1"/>
  <c r="AF176" i="40" s="1"/>
  <c r="B176" i="40" s="1"/>
  <c r="Q175" i="40"/>
  <c r="R175" i="40" s="1"/>
  <c r="S175" i="40" s="1"/>
  <c r="T175" i="40" s="1"/>
  <c r="U175" i="40" s="1"/>
  <c r="V175" i="40" s="1"/>
  <c r="W175" i="40" s="1"/>
  <c r="X175" i="40" s="1"/>
  <c r="Y175" i="40" s="1"/>
  <c r="Z175" i="40" s="1"/>
  <c r="AA175" i="40" s="1"/>
  <c r="AB175" i="40" s="1"/>
  <c r="AC175" i="40" s="1"/>
  <c r="AD175" i="40" s="1"/>
  <c r="AE175" i="40" s="1"/>
  <c r="AF175" i="40" s="1"/>
  <c r="B175" i="40" s="1"/>
  <c r="D175" i="40"/>
  <c r="E175" i="40" s="1"/>
  <c r="F175" i="40" s="1"/>
  <c r="G175" i="40" s="1"/>
  <c r="H175" i="40" s="1"/>
  <c r="I175" i="40" s="1"/>
  <c r="J175" i="40" s="1"/>
  <c r="K175" i="40" s="1"/>
  <c r="L175" i="40" s="1"/>
  <c r="M175" i="40" s="1"/>
  <c r="N175" i="40" s="1"/>
  <c r="O175" i="40" s="1"/>
  <c r="P175" i="40" s="1"/>
  <c r="T174" i="40"/>
  <c r="U174" i="40" s="1"/>
  <c r="V174" i="40" s="1"/>
  <c r="W174" i="40" s="1"/>
  <c r="X174" i="40" s="1"/>
  <c r="Y174" i="40" s="1"/>
  <c r="Z174" i="40" s="1"/>
  <c r="AA174" i="40" s="1"/>
  <c r="AB174" i="40" s="1"/>
  <c r="AC174" i="40" s="1"/>
  <c r="AD174" i="40" s="1"/>
  <c r="AE174" i="40" s="1"/>
  <c r="AF174" i="40" s="1"/>
  <c r="B174" i="40" s="1"/>
  <c r="R174" i="40"/>
  <c r="S174" i="40" s="1"/>
  <c r="E174" i="40"/>
  <c r="F174" i="40" s="1"/>
  <c r="G174" i="40" s="1"/>
  <c r="H174" i="40" s="1"/>
  <c r="I174" i="40" s="1"/>
  <c r="J174" i="40" s="1"/>
  <c r="K174" i="40" s="1"/>
  <c r="L174" i="40" s="1"/>
  <c r="M174" i="40" s="1"/>
  <c r="N174" i="40" s="1"/>
  <c r="O174" i="40" s="1"/>
  <c r="P174" i="40" s="1"/>
  <c r="Q174" i="40" s="1"/>
  <c r="D174" i="40"/>
  <c r="AB173" i="40"/>
  <c r="AC173" i="40" s="1"/>
  <c r="AD173" i="40" s="1"/>
  <c r="AE173" i="40" s="1"/>
  <c r="AF173" i="40" s="1"/>
  <c r="B173" i="40" s="1"/>
  <c r="D173" i="40"/>
  <c r="E173" i="40" s="1"/>
  <c r="F173" i="40" s="1"/>
  <c r="G173" i="40" s="1"/>
  <c r="H173" i="40" s="1"/>
  <c r="I173" i="40" s="1"/>
  <c r="J173" i="40" s="1"/>
  <c r="K173" i="40" s="1"/>
  <c r="L173" i="40" s="1"/>
  <c r="M173" i="40" s="1"/>
  <c r="N173" i="40" s="1"/>
  <c r="O173" i="40" s="1"/>
  <c r="P173" i="40" s="1"/>
  <c r="Q173" i="40" s="1"/>
  <c r="R173" i="40" s="1"/>
  <c r="S173" i="40" s="1"/>
  <c r="T173" i="40" s="1"/>
  <c r="U173" i="40" s="1"/>
  <c r="V173" i="40" s="1"/>
  <c r="W173" i="40" s="1"/>
  <c r="X173" i="40" s="1"/>
  <c r="Y173" i="40" s="1"/>
  <c r="Z173" i="40" s="1"/>
  <c r="AA173" i="40" s="1"/>
  <c r="L172" i="40"/>
  <c r="M172" i="40" s="1"/>
  <c r="N172" i="40" s="1"/>
  <c r="O172" i="40" s="1"/>
  <c r="P172" i="40" s="1"/>
  <c r="Q172" i="40" s="1"/>
  <c r="R172" i="40" s="1"/>
  <c r="S172" i="40" s="1"/>
  <c r="T172" i="40" s="1"/>
  <c r="U172" i="40" s="1"/>
  <c r="V172" i="40" s="1"/>
  <c r="W172" i="40" s="1"/>
  <c r="X172" i="40" s="1"/>
  <c r="Y172" i="40" s="1"/>
  <c r="Z172" i="40" s="1"/>
  <c r="AA172" i="40" s="1"/>
  <c r="AB172" i="40" s="1"/>
  <c r="AC172" i="40" s="1"/>
  <c r="AD172" i="40" s="1"/>
  <c r="AE172" i="40" s="1"/>
  <c r="AF172" i="40" s="1"/>
  <c r="B172" i="40" s="1"/>
  <c r="F172" i="40"/>
  <c r="G172" i="40" s="1"/>
  <c r="H172" i="40" s="1"/>
  <c r="I172" i="40" s="1"/>
  <c r="J172" i="40" s="1"/>
  <c r="K172" i="40" s="1"/>
  <c r="E172" i="40"/>
  <c r="D172" i="40"/>
  <c r="Q171" i="40"/>
  <c r="R171" i="40" s="1"/>
  <c r="S171" i="40" s="1"/>
  <c r="T171" i="40" s="1"/>
  <c r="U171" i="40" s="1"/>
  <c r="V171" i="40" s="1"/>
  <c r="W171" i="40" s="1"/>
  <c r="X171" i="40" s="1"/>
  <c r="Y171" i="40" s="1"/>
  <c r="Z171" i="40" s="1"/>
  <c r="AA171" i="40" s="1"/>
  <c r="AB171" i="40" s="1"/>
  <c r="AC171" i="40" s="1"/>
  <c r="AD171" i="40" s="1"/>
  <c r="AE171" i="40" s="1"/>
  <c r="AF171" i="40" s="1"/>
  <c r="B171" i="40" s="1"/>
  <c r="F171" i="40"/>
  <c r="G171" i="40" s="1"/>
  <c r="H171" i="40" s="1"/>
  <c r="I171" i="40" s="1"/>
  <c r="J171" i="40" s="1"/>
  <c r="K171" i="40" s="1"/>
  <c r="L171" i="40" s="1"/>
  <c r="M171" i="40" s="1"/>
  <c r="N171" i="40" s="1"/>
  <c r="O171" i="40" s="1"/>
  <c r="P171" i="40" s="1"/>
  <c r="D171" i="40"/>
  <c r="E171" i="40" s="1"/>
  <c r="AC169" i="40"/>
  <c r="AD169" i="40" s="1"/>
  <c r="AE169" i="40" s="1"/>
  <c r="AF169" i="40" s="1"/>
  <c r="B169" i="40" s="1"/>
  <c r="Z169" i="40"/>
  <c r="AA169" i="40" s="1"/>
  <c r="AB169" i="40" s="1"/>
  <c r="D169" i="40"/>
  <c r="E169" i="40" s="1"/>
  <c r="F169" i="40" s="1"/>
  <c r="G169" i="40" s="1"/>
  <c r="H169" i="40" s="1"/>
  <c r="I169" i="40" s="1"/>
  <c r="J169" i="40" s="1"/>
  <c r="K169" i="40" s="1"/>
  <c r="L169" i="40" s="1"/>
  <c r="M169" i="40" s="1"/>
  <c r="N169" i="40" s="1"/>
  <c r="O169" i="40" s="1"/>
  <c r="P169" i="40" s="1"/>
  <c r="Q169" i="40" s="1"/>
  <c r="R169" i="40" s="1"/>
  <c r="S169" i="40" s="1"/>
  <c r="T169" i="40" s="1"/>
  <c r="U169" i="40" s="1"/>
  <c r="V169" i="40" s="1"/>
  <c r="W169" i="40" s="1"/>
  <c r="X169" i="40" s="1"/>
  <c r="Y169" i="40" s="1"/>
  <c r="L168" i="40"/>
  <c r="M168" i="40" s="1"/>
  <c r="N168" i="40" s="1"/>
  <c r="O168" i="40" s="1"/>
  <c r="P168" i="40" s="1"/>
  <c r="Q168" i="40" s="1"/>
  <c r="R168" i="40" s="1"/>
  <c r="S168" i="40" s="1"/>
  <c r="T168" i="40" s="1"/>
  <c r="U168" i="40" s="1"/>
  <c r="V168" i="40" s="1"/>
  <c r="W168" i="40" s="1"/>
  <c r="X168" i="40" s="1"/>
  <c r="Y168" i="40" s="1"/>
  <c r="Z168" i="40" s="1"/>
  <c r="AA168" i="40" s="1"/>
  <c r="AB168" i="40" s="1"/>
  <c r="AC168" i="40" s="1"/>
  <c r="AD168" i="40" s="1"/>
  <c r="AE168" i="40" s="1"/>
  <c r="AF168" i="40" s="1"/>
  <c r="B168" i="40" s="1"/>
  <c r="G168" i="40"/>
  <c r="H168" i="40" s="1"/>
  <c r="I168" i="40" s="1"/>
  <c r="J168" i="40" s="1"/>
  <c r="K168" i="40" s="1"/>
  <c r="F168" i="40"/>
  <c r="D168" i="40"/>
  <c r="E168" i="40" s="1"/>
  <c r="U167" i="40"/>
  <c r="V167" i="40" s="1"/>
  <c r="W167" i="40" s="1"/>
  <c r="X167" i="40" s="1"/>
  <c r="Y167" i="40" s="1"/>
  <c r="Z167" i="40" s="1"/>
  <c r="AA167" i="40" s="1"/>
  <c r="AB167" i="40" s="1"/>
  <c r="AC167" i="40" s="1"/>
  <c r="AD167" i="40" s="1"/>
  <c r="AE167" i="40" s="1"/>
  <c r="AF167" i="40" s="1"/>
  <c r="B167" i="40" s="1"/>
  <c r="T167" i="40"/>
  <c r="D167" i="40"/>
  <c r="E167" i="40" s="1"/>
  <c r="F167" i="40" s="1"/>
  <c r="G167" i="40" s="1"/>
  <c r="H167" i="40" s="1"/>
  <c r="I167" i="40" s="1"/>
  <c r="J167" i="40" s="1"/>
  <c r="K167" i="40" s="1"/>
  <c r="L167" i="40" s="1"/>
  <c r="M167" i="40" s="1"/>
  <c r="N167" i="40" s="1"/>
  <c r="O167" i="40" s="1"/>
  <c r="P167" i="40" s="1"/>
  <c r="Q167" i="40" s="1"/>
  <c r="R167" i="40" s="1"/>
  <c r="S167" i="40" s="1"/>
  <c r="D166" i="40"/>
  <c r="E166" i="40" s="1"/>
  <c r="F166" i="40" s="1"/>
  <c r="G166" i="40" s="1"/>
  <c r="H166" i="40" s="1"/>
  <c r="I166" i="40" s="1"/>
  <c r="J166" i="40" s="1"/>
  <c r="K166" i="40" s="1"/>
  <c r="L166" i="40" s="1"/>
  <c r="M166" i="40" s="1"/>
  <c r="N166" i="40" s="1"/>
  <c r="O166" i="40" s="1"/>
  <c r="P166" i="40" s="1"/>
  <c r="Q166" i="40" s="1"/>
  <c r="R166" i="40" s="1"/>
  <c r="S166" i="40" s="1"/>
  <c r="T166" i="40" s="1"/>
  <c r="U166" i="40" s="1"/>
  <c r="V166" i="40" s="1"/>
  <c r="W166" i="40" s="1"/>
  <c r="X166" i="40" s="1"/>
  <c r="Y166" i="40" s="1"/>
  <c r="Z166" i="40" s="1"/>
  <c r="AA166" i="40" s="1"/>
  <c r="AB166" i="40" s="1"/>
  <c r="AC166" i="40" s="1"/>
  <c r="AD166" i="40" s="1"/>
  <c r="AE166" i="40" s="1"/>
  <c r="AF166" i="40" s="1"/>
  <c r="B166" i="40" s="1"/>
  <c r="N165" i="40"/>
  <c r="O165" i="40" s="1"/>
  <c r="P165" i="40" s="1"/>
  <c r="Q165" i="40" s="1"/>
  <c r="R165" i="40" s="1"/>
  <c r="S165" i="40" s="1"/>
  <c r="T165" i="40" s="1"/>
  <c r="U165" i="40" s="1"/>
  <c r="V165" i="40" s="1"/>
  <c r="W165" i="40" s="1"/>
  <c r="X165" i="40" s="1"/>
  <c r="Y165" i="40" s="1"/>
  <c r="Z165" i="40" s="1"/>
  <c r="AA165" i="40" s="1"/>
  <c r="AB165" i="40" s="1"/>
  <c r="AC165" i="40" s="1"/>
  <c r="AD165" i="40" s="1"/>
  <c r="AE165" i="40" s="1"/>
  <c r="AF165" i="40" s="1"/>
  <c r="B165" i="40" s="1"/>
  <c r="D165" i="40"/>
  <c r="E165" i="40" s="1"/>
  <c r="F165" i="40" s="1"/>
  <c r="G165" i="40" s="1"/>
  <c r="H165" i="40" s="1"/>
  <c r="I165" i="40" s="1"/>
  <c r="J165" i="40" s="1"/>
  <c r="K165" i="40" s="1"/>
  <c r="L165" i="40" s="1"/>
  <c r="M165" i="40" s="1"/>
  <c r="G164" i="40"/>
  <c r="H164" i="40" s="1"/>
  <c r="I164" i="40" s="1"/>
  <c r="J164" i="40" s="1"/>
  <c r="K164" i="40" s="1"/>
  <c r="L164" i="40" s="1"/>
  <c r="M164" i="40" s="1"/>
  <c r="N164" i="40" s="1"/>
  <c r="O164" i="40" s="1"/>
  <c r="P164" i="40" s="1"/>
  <c r="Q164" i="40" s="1"/>
  <c r="R164" i="40" s="1"/>
  <c r="S164" i="40" s="1"/>
  <c r="T164" i="40" s="1"/>
  <c r="U164" i="40" s="1"/>
  <c r="V164" i="40" s="1"/>
  <c r="W164" i="40" s="1"/>
  <c r="X164" i="40" s="1"/>
  <c r="Y164" i="40" s="1"/>
  <c r="Z164" i="40" s="1"/>
  <c r="AA164" i="40" s="1"/>
  <c r="AB164" i="40" s="1"/>
  <c r="AC164" i="40" s="1"/>
  <c r="AD164" i="40" s="1"/>
  <c r="AE164" i="40" s="1"/>
  <c r="AF164" i="40" s="1"/>
  <c r="B164" i="40" s="1"/>
  <c r="F164" i="40"/>
  <c r="E164" i="40"/>
  <c r="D164" i="40"/>
  <c r="J163" i="40"/>
  <c r="K163" i="40" s="1"/>
  <c r="L163" i="40" s="1"/>
  <c r="M163" i="40" s="1"/>
  <c r="N163" i="40" s="1"/>
  <c r="O163" i="40" s="1"/>
  <c r="P163" i="40" s="1"/>
  <c r="Q163" i="40" s="1"/>
  <c r="R163" i="40" s="1"/>
  <c r="S163" i="40" s="1"/>
  <c r="T163" i="40" s="1"/>
  <c r="U163" i="40" s="1"/>
  <c r="V163" i="40" s="1"/>
  <c r="W163" i="40" s="1"/>
  <c r="X163" i="40" s="1"/>
  <c r="Y163" i="40" s="1"/>
  <c r="Z163" i="40" s="1"/>
  <c r="AA163" i="40" s="1"/>
  <c r="AB163" i="40" s="1"/>
  <c r="AC163" i="40" s="1"/>
  <c r="AD163" i="40" s="1"/>
  <c r="AE163" i="40" s="1"/>
  <c r="AF163" i="40" s="1"/>
  <c r="B163" i="40" s="1"/>
  <c r="I163" i="40"/>
  <c r="D163" i="40"/>
  <c r="E163" i="40" s="1"/>
  <c r="F163" i="40" s="1"/>
  <c r="G163" i="40" s="1"/>
  <c r="H163" i="40" s="1"/>
  <c r="K162" i="40"/>
  <c r="L162" i="40" s="1"/>
  <c r="M162" i="40" s="1"/>
  <c r="N162" i="40" s="1"/>
  <c r="O162" i="40" s="1"/>
  <c r="P162" i="40" s="1"/>
  <c r="Q162" i="40" s="1"/>
  <c r="R162" i="40" s="1"/>
  <c r="S162" i="40" s="1"/>
  <c r="T162" i="40" s="1"/>
  <c r="U162" i="40" s="1"/>
  <c r="V162" i="40" s="1"/>
  <c r="W162" i="40" s="1"/>
  <c r="X162" i="40" s="1"/>
  <c r="Y162" i="40" s="1"/>
  <c r="Z162" i="40" s="1"/>
  <c r="AA162" i="40" s="1"/>
  <c r="AB162" i="40" s="1"/>
  <c r="AC162" i="40" s="1"/>
  <c r="AD162" i="40" s="1"/>
  <c r="AE162" i="40" s="1"/>
  <c r="AF162" i="40" s="1"/>
  <c r="B162" i="40" s="1"/>
  <c r="D162" i="40"/>
  <c r="E162" i="40" s="1"/>
  <c r="F162" i="40" s="1"/>
  <c r="G162" i="40" s="1"/>
  <c r="H162" i="40" s="1"/>
  <c r="I162" i="40" s="1"/>
  <c r="J162" i="40" s="1"/>
  <c r="E161" i="40"/>
  <c r="F161" i="40" s="1"/>
  <c r="G161" i="40" s="1"/>
  <c r="H161" i="40" s="1"/>
  <c r="I161" i="40" s="1"/>
  <c r="J161" i="40" s="1"/>
  <c r="K161" i="40" s="1"/>
  <c r="L161" i="40" s="1"/>
  <c r="M161" i="40" s="1"/>
  <c r="N161" i="40" s="1"/>
  <c r="O161" i="40" s="1"/>
  <c r="P161" i="40" s="1"/>
  <c r="Q161" i="40" s="1"/>
  <c r="R161" i="40" s="1"/>
  <c r="S161" i="40" s="1"/>
  <c r="T161" i="40" s="1"/>
  <c r="U161" i="40" s="1"/>
  <c r="V161" i="40" s="1"/>
  <c r="W161" i="40" s="1"/>
  <c r="X161" i="40" s="1"/>
  <c r="Y161" i="40" s="1"/>
  <c r="Z161" i="40" s="1"/>
  <c r="AA161" i="40" s="1"/>
  <c r="AB161" i="40" s="1"/>
  <c r="AC161" i="40" s="1"/>
  <c r="AD161" i="40" s="1"/>
  <c r="AE161" i="40" s="1"/>
  <c r="AF161" i="40" s="1"/>
  <c r="B161" i="40" s="1"/>
  <c r="D161" i="40"/>
  <c r="G160" i="40"/>
  <c r="H160" i="40" s="1"/>
  <c r="I160" i="40" s="1"/>
  <c r="J160" i="40" s="1"/>
  <c r="K160" i="40" s="1"/>
  <c r="L160" i="40" s="1"/>
  <c r="M160" i="40" s="1"/>
  <c r="N160" i="40" s="1"/>
  <c r="O160" i="40" s="1"/>
  <c r="P160" i="40" s="1"/>
  <c r="Q160" i="40" s="1"/>
  <c r="R160" i="40" s="1"/>
  <c r="S160" i="40" s="1"/>
  <c r="T160" i="40" s="1"/>
  <c r="U160" i="40" s="1"/>
  <c r="V160" i="40" s="1"/>
  <c r="W160" i="40" s="1"/>
  <c r="X160" i="40" s="1"/>
  <c r="Y160" i="40" s="1"/>
  <c r="Z160" i="40" s="1"/>
  <c r="AA160" i="40" s="1"/>
  <c r="AB160" i="40" s="1"/>
  <c r="AC160" i="40" s="1"/>
  <c r="AD160" i="40" s="1"/>
  <c r="AE160" i="40" s="1"/>
  <c r="AF160" i="40" s="1"/>
  <c r="B160" i="40" s="1"/>
  <c r="F160" i="40"/>
  <c r="E160" i="40"/>
  <c r="D160" i="40"/>
  <c r="L159" i="40"/>
  <c r="M159" i="40" s="1"/>
  <c r="N159" i="40" s="1"/>
  <c r="O159" i="40" s="1"/>
  <c r="P159" i="40" s="1"/>
  <c r="Q159" i="40" s="1"/>
  <c r="R159" i="40" s="1"/>
  <c r="S159" i="40" s="1"/>
  <c r="T159" i="40" s="1"/>
  <c r="U159" i="40" s="1"/>
  <c r="V159" i="40" s="1"/>
  <c r="W159" i="40" s="1"/>
  <c r="X159" i="40" s="1"/>
  <c r="Y159" i="40" s="1"/>
  <c r="Z159" i="40" s="1"/>
  <c r="AA159" i="40" s="1"/>
  <c r="AB159" i="40" s="1"/>
  <c r="AC159" i="40" s="1"/>
  <c r="AD159" i="40" s="1"/>
  <c r="AE159" i="40" s="1"/>
  <c r="AF159" i="40" s="1"/>
  <c r="B159" i="40" s="1"/>
  <c r="F159" i="40"/>
  <c r="G159" i="40" s="1"/>
  <c r="H159" i="40" s="1"/>
  <c r="I159" i="40" s="1"/>
  <c r="J159" i="40" s="1"/>
  <c r="K159" i="40" s="1"/>
  <c r="E159" i="40"/>
  <c r="D159" i="40"/>
  <c r="D158" i="40"/>
  <c r="E158" i="40" s="1"/>
  <c r="F158" i="40" s="1"/>
  <c r="G158" i="40" s="1"/>
  <c r="H158" i="40" s="1"/>
  <c r="I158" i="40" s="1"/>
  <c r="J158" i="40" s="1"/>
  <c r="K158" i="40" s="1"/>
  <c r="L158" i="40" s="1"/>
  <c r="M158" i="40" s="1"/>
  <c r="N158" i="40" s="1"/>
  <c r="O158" i="40" s="1"/>
  <c r="P158" i="40" s="1"/>
  <c r="Q158" i="40" s="1"/>
  <c r="R158" i="40" s="1"/>
  <c r="S158" i="40" s="1"/>
  <c r="T158" i="40" s="1"/>
  <c r="U158" i="40" s="1"/>
  <c r="V158" i="40" s="1"/>
  <c r="W158" i="40" s="1"/>
  <c r="X158" i="40" s="1"/>
  <c r="Y158" i="40" s="1"/>
  <c r="Z158" i="40" s="1"/>
  <c r="AA158" i="40" s="1"/>
  <c r="AB158" i="40" s="1"/>
  <c r="AC158" i="40" s="1"/>
  <c r="AD158" i="40" s="1"/>
  <c r="AE158" i="40" s="1"/>
  <c r="AF158" i="40" s="1"/>
  <c r="B158" i="40" s="1"/>
  <c r="J157" i="40"/>
  <c r="K157" i="40" s="1"/>
  <c r="L157" i="40" s="1"/>
  <c r="M157" i="40" s="1"/>
  <c r="N157" i="40" s="1"/>
  <c r="O157" i="40" s="1"/>
  <c r="P157" i="40" s="1"/>
  <c r="Q157" i="40" s="1"/>
  <c r="R157" i="40" s="1"/>
  <c r="S157" i="40" s="1"/>
  <c r="T157" i="40" s="1"/>
  <c r="U157" i="40" s="1"/>
  <c r="V157" i="40" s="1"/>
  <c r="W157" i="40" s="1"/>
  <c r="X157" i="40" s="1"/>
  <c r="Y157" i="40" s="1"/>
  <c r="Z157" i="40" s="1"/>
  <c r="AA157" i="40" s="1"/>
  <c r="AB157" i="40" s="1"/>
  <c r="AC157" i="40" s="1"/>
  <c r="AD157" i="40" s="1"/>
  <c r="AE157" i="40" s="1"/>
  <c r="AF157" i="40" s="1"/>
  <c r="B157" i="40" s="1"/>
  <c r="H157" i="40"/>
  <c r="I157" i="40" s="1"/>
  <c r="D157" i="40"/>
  <c r="E157" i="40" s="1"/>
  <c r="F157" i="40" s="1"/>
  <c r="G157" i="40" s="1"/>
  <c r="P155" i="40"/>
  <c r="Q155" i="40" s="1"/>
  <c r="R155" i="40" s="1"/>
  <c r="S155" i="40" s="1"/>
  <c r="T155" i="40" s="1"/>
  <c r="U155" i="40" s="1"/>
  <c r="V155" i="40" s="1"/>
  <c r="W155" i="40" s="1"/>
  <c r="X155" i="40" s="1"/>
  <c r="Y155" i="40" s="1"/>
  <c r="Z155" i="40" s="1"/>
  <c r="AA155" i="40" s="1"/>
  <c r="AB155" i="40" s="1"/>
  <c r="AC155" i="40" s="1"/>
  <c r="AD155" i="40" s="1"/>
  <c r="AE155" i="40" s="1"/>
  <c r="AF155" i="40" s="1"/>
  <c r="B155" i="40" s="1"/>
  <c r="F155" i="40"/>
  <c r="G155" i="40" s="1"/>
  <c r="H155" i="40" s="1"/>
  <c r="I155" i="40" s="1"/>
  <c r="J155" i="40" s="1"/>
  <c r="K155" i="40" s="1"/>
  <c r="L155" i="40" s="1"/>
  <c r="M155" i="40" s="1"/>
  <c r="N155" i="40" s="1"/>
  <c r="O155" i="40" s="1"/>
  <c r="E155" i="40"/>
  <c r="D155" i="40"/>
  <c r="L154" i="40"/>
  <c r="M154" i="40" s="1"/>
  <c r="N154" i="40" s="1"/>
  <c r="O154" i="40" s="1"/>
  <c r="P154" i="40" s="1"/>
  <c r="Q154" i="40" s="1"/>
  <c r="R154" i="40" s="1"/>
  <c r="S154" i="40" s="1"/>
  <c r="T154" i="40" s="1"/>
  <c r="U154" i="40" s="1"/>
  <c r="V154" i="40" s="1"/>
  <c r="W154" i="40" s="1"/>
  <c r="X154" i="40" s="1"/>
  <c r="Y154" i="40" s="1"/>
  <c r="Z154" i="40" s="1"/>
  <c r="AA154" i="40" s="1"/>
  <c r="AB154" i="40" s="1"/>
  <c r="AC154" i="40" s="1"/>
  <c r="AD154" i="40" s="1"/>
  <c r="AE154" i="40" s="1"/>
  <c r="AF154" i="40" s="1"/>
  <c r="B154" i="40" s="1"/>
  <c r="F154" i="40"/>
  <c r="G154" i="40" s="1"/>
  <c r="H154" i="40" s="1"/>
  <c r="I154" i="40" s="1"/>
  <c r="J154" i="40" s="1"/>
  <c r="K154" i="40" s="1"/>
  <c r="E154" i="40"/>
  <c r="D154" i="40"/>
  <c r="D153" i="40"/>
  <c r="E153" i="40" s="1"/>
  <c r="F153" i="40" s="1"/>
  <c r="G153" i="40" s="1"/>
  <c r="H153" i="40" s="1"/>
  <c r="I153" i="40" s="1"/>
  <c r="J153" i="40" s="1"/>
  <c r="K153" i="40" s="1"/>
  <c r="L153" i="40" s="1"/>
  <c r="M153" i="40" s="1"/>
  <c r="N153" i="40" s="1"/>
  <c r="O153" i="40" s="1"/>
  <c r="P153" i="40" s="1"/>
  <c r="Q153" i="40" s="1"/>
  <c r="R153" i="40" s="1"/>
  <c r="S153" i="40" s="1"/>
  <c r="T153" i="40" s="1"/>
  <c r="U153" i="40" s="1"/>
  <c r="V153" i="40" s="1"/>
  <c r="W153" i="40" s="1"/>
  <c r="X153" i="40" s="1"/>
  <c r="Y153" i="40" s="1"/>
  <c r="Z153" i="40" s="1"/>
  <c r="AA153" i="40" s="1"/>
  <c r="AB153" i="40" s="1"/>
  <c r="AC153" i="40" s="1"/>
  <c r="AD153" i="40" s="1"/>
  <c r="AE153" i="40" s="1"/>
  <c r="AF153" i="40" s="1"/>
  <c r="B153" i="40" s="1"/>
  <c r="Z152" i="40"/>
  <c r="AA152" i="40" s="1"/>
  <c r="AB152" i="40" s="1"/>
  <c r="AC152" i="40" s="1"/>
  <c r="AD152" i="40" s="1"/>
  <c r="AE152" i="40" s="1"/>
  <c r="AF152" i="40" s="1"/>
  <c r="B152" i="40" s="1"/>
  <c r="H152" i="40"/>
  <c r="I152" i="40" s="1"/>
  <c r="J152" i="40" s="1"/>
  <c r="K152" i="40" s="1"/>
  <c r="L152" i="40" s="1"/>
  <c r="M152" i="40" s="1"/>
  <c r="N152" i="40" s="1"/>
  <c r="O152" i="40" s="1"/>
  <c r="P152" i="40" s="1"/>
  <c r="Q152" i="40" s="1"/>
  <c r="R152" i="40" s="1"/>
  <c r="S152" i="40" s="1"/>
  <c r="T152" i="40" s="1"/>
  <c r="U152" i="40" s="1"/>
  <c r="V152" i="40" s="1"/>
  <c r="W152" i="40" s="1"/>
  <c r="X152" i="40" s="1"/>
  <c r="Y152" i="40" s="1"/>
  <c r="E152" i="40"/>
  <c r="F152" i="40" s="1"/>
  <c r="G152" i="40" s="1"/>
  <c r="D152" i="40"/>
  <c r="F150" i="40"/>
  <c r="G150" i="40" s="1"/>
  <c r="H150" i="40" s="1"/>
  <c r="I150" i="40" s="1"/>
  <c r="J150" i="40" s="1"/>
  <c r="K150" i="40" s="1"/>
  <c r="L150" i="40" s="1"/>
  <c r="M150" i="40" s="1"/>
  <c r="N150" i="40" s="1"/>
  <c r="O150" i="40" s="1"/>
  <c r="P150" i="40" s="1"/>
  <c r="Q150" i="40" s="1"/>
  <c r="R150" i="40" s="1"/>
  <c r="S150" i="40" s="1"/>
  <c r="T150" i="40" s="1"/>
  <c r="U150" i="40" s="1"/>
  <c r="V150" i="40" s="1"/>
  <c r="W150" i="40" s="1"/>
  <c r="X150" i="40" s="1"/>
  <c r="Y150" i="40" s="1"/>
  <c r="Z150" i="40" s="1"/>
  <c r="AA150" i="40" s="1"/>
  <c r="AB150" i="40" s="1"/>
  <c r="AC150" i="40" s="1"/>
  <c r="AD150" i="40" s="1"/>
  <c r="AE150" i="40" s="1"/>
  <c r="AF150" i="40" s="1"/>
  <c r="B150" i="40" s="1"/>
  <c r="D150" i="40"/>
  <c r="E150" i="40" s="1"/>
  <c r="L149" i="40"/>
  <c r="M149" i="40" s="1"/>
  <c r="N149" i="40" s="1"/>
  <c r="O149" i="40" s="1"/>
  <c r="P149" i="40" s="1"/>
  <c r="Q149" i="40" s="1"/>
  <c r="R149" i="40" s="1"/>
  <c r="S149" i="40" s="1"/>
  <c r="T149" i="40" s="1"/>
  <c r="U149" i="40" s="1"/>
  <c r="V149" i="40" s="1"/>
  <c r="W149" i="40" s="1"/>
  <c r="X149" i="40" s="1"/>
  <c r="Y149" i="40" s="1"/>
  <c r="Z149" i="40" s="1"/>
  <c r="AA149" i="40" s="1"/>
  <c r="AB149" i="40" s="1"/>
  <c r="AC149" i="40" s="1"/>
  <c r="AD149" i="40" s="1"/>
  <c r="AE149" i="40" s="1"/>
  <c r="AF149" i="40" s="1"/>
  <c r="B149" i="40" s="1"/>
  <c r="F149" i="40"/>
  <c r="G149" i="40" s="1"/>
  <c r="H149" i="40" s="1"/>
  <c r="I149" i="40" s="1"/>
  <c r="J149" i="40" s="1"/>
  <c r="K149" i="40" s="1"/>
  <c r="E149" i="40"/>
  <c r="D149" i="40"/>
  <c r="D147" i="40"/>
  <c r="E147" i="40" s="1"/>
  <c r="F147" i="40" s="1"/>
  <c r="G147" i="40" s="1"/>
  <c r="H147" i="40" s="1"/>
  <c r="I147" i="40" s="1"/>
  <c r="J147" i="40" s="1"/>
  <c r="K147" i="40" s="1"/>
  <c r="L147" i="40" s="1"/>
  <c r="M147" i="40" s="1"/>
  <c r="N147" i="40" s="1"/>
  <c r="O147" i="40" s="1"/>
  <c r="P147" i="40" s="1"/>
  <c r="Q147" i="40" s="1"/>
  <c r="R147" i="40" s="1"/>
  <c r="S147" i="40" s="1"/>
  <c r="T147" i="40" s="1"/>
  <c r="U147" i="40" s="1"/>
  <c r="V147" i="40" s="1"/>
  <c r="W147" i="40" s="1"/>
  <c r="X147" i="40" s="1"/>
  <c r="Y147" i="40" s="1"/>
  <c r="Z147" i="40" s="1"/>
  <c r="AA147" i="40" s="1"/>
  <c r="AB147" i="40" s="1"/>
  <c r="AC147" i="40" s="1"/>
  <c r="AD147" i="40" s="1"/>
  <c r="AE147" i="40" s="1"/>
  <c r="AF147" i="40" s="1"/>
  <c r="B147" i="40"/>
  <c r="Z146" i="40"/>
  <c r="AA146" i="40" s="1"/>
  <c r="AB146" i="40" s="1"/>
  <c r="AC146" i="40" s="1"/>
  <c r="AD146" i="40" s="1"/>
  <c r="AE146" i="40" s="1"/>
  <c r="AF146" i="40" s="1"/>
  <c r="B146" i="40" s="1"/>
  <c r="I146" i="40"/>
  <c r="J146" i="40" s="1"/>
  <c r="K146" i="40" s="1"/>
  <c r="L146" i="40" s="1"/>
  <c r="M146" i="40" s="1"/>
  <c r="N146" i="40" s="1"/>
  <c r="O146" i="40" s="1"/>
  <c r="P146" i="40" s="1"/>
  <c r="Q146" i="40" s="1"/>
  <c r="R146" i="40" s="1"/>
  <c r="S146" i="40" s="1"/>
  <c r="T146" i="40" s="1"/>
  <c r="U146" i="40" s="1"/>
  <c r="V146" i="40" s="1"/>
  <c r="W146" i="40" s="1"/>
  <c r="X146" i="40" s="1"/>
  <c r="Y146" i="40" s="1"/>
  <c r="H146" i="40"/>
  <c r="F146" i="40"/>
  <c r="G146" i="40" s="1"/>
  <c r="D146" i="40"/>
  <c r="E146" i="40" s="1"/>
  <c r="D145" i="40"/>
  <c r="E145" i="40" s="1"/>
  <c r="F145" i="40" s="1"/>
  <c r="G145" i="40" s="1"/>
  <c r="H145" i="40" s="1"/>
  <c r="I145" i="40" s="1"/>
  <c r="J145" i="40" s="1"/>
  <c r="K145" i="40" s="1"/>
  <c r="L145" i="40" s="1"/>
  <c r="M145" i="40" s="1"/>
  <c r="N145" i="40" s="1"/>
  <c r="O145" i="40" s="1"/>
  <c r="P145" i="40" s="1"/>
  <c r="Q145" i="40" s="1"/>
  <c r="R145" i="40" s="1"/>
  <c r="S145" i="40" s="1"/>
  <c r="T145" i="40" s="1"/>
  <c r="U145" i="40" s="1"/>
  <c r="V145" i="40" s="1"/>
  <c r="W145" i="40" s="1"/>
  <c r="X145" i="40" s="1"/>
  <c r="Y145" i="40" s="1"/>
  <c r="Z145" i="40" s="1"/>
  <c r="AA145" i="40" s="1"/>
  <c r="AB145" i="40" s="1"/>
  <c r="AC145" i="40" s="1"/>
  <c r="AD145" i="40" s="1"/>
  <c r="AE145" i="40" s="1"/>
  <c r="AF145" i="40" s="1"/>
  <c r="B145" i="40" s="1"/>
  <c r="Q144" i="40"/>
  <c r="R144" i="40" s="1"/>
  <c r="S144" i="40" s="1"/>
  <c r="T144" i="40" s="1"/>
  <c r="U144" i="40" s="1"/>
  <c r="V144" i="40" s="1"/>
  <c r="W144" i="40" s="1"/>
  <c r="X144" i="40" s="1"/>
  <c r="Y144" i="40" s="1"/>
  <c r="Z144" i="40" s="1"/>
  <c r="AA144" i="40" s="1"/>
  <c r="AB144" i="40" s="1"/>
  <c r="AC144" i="40" s="1"/>
  <c r="AD144" i="40" s="1"/>
  <c r="AE144" i="40" s="1"/>
  <c r="AF144" i="40" s="1"/>
  <c r="B144" i="40" s="1"/>
  <c r="E144" i="40"/>
  <c r="F144" i="40" s="1"/>
  <c r="G144" i="40" s="1"/>
  <c r="H144" i="40" s="1"/>
  <c r="I144" i="40" s="1"/>
  <c r="J144" i="40" s="1"/>
  <c r="K144" i="40" s="1"/>
  <c r="L144" i="40" s="1"/>
  <c r="M144" i="40" s="1"/>
  <c r="N144" i="40" s="1"/>
  <c r="O144" i="40" s="1"/>
  <c r="P144" i="40" s="1"/>
  <c r="D144" i="40"/>
  <c r="J143" i="40"/>
  <c r="K143" i="40" s="1"/>
  <c r="L143" i="40" s="1"/>
  <c r="M143" i="40" s="1"/>
  <c r="N143" i="40" s="1"/>
  <c r="O143" i="40" s="1"/>
  <c r="P143" i="40" s="1"/>
  <c r="Q143" i="40" s="1"/>
  <c r="R143" i="40" s="1"/>
  <c r="S143" i="40" s="1"/>
  <c r="T143" i="40" s="1"/>
  <c r="U143" i="40" s="1"/>
  <c r="V143" i="40" s="1"/>
  <c r="W143" i="40" s="1"/>
  <c r="X143" i="40" s="1"/>
  <c r="Y143" i="40" s="1"/>
  <c r="Z143" i="40" s="1"/>
  <c r="AA143" i="40" s="1"/>
  <c r="AB143" i="40" s="1"/>
  <c r="AC143" i="40" s="1"/>
  <c r="AD143" i="40" s="1"/>
  <c r="AE143" i="40" s="1"/>
  <c r="AF143" i="40" s="1"/>
  <c r="B143" i="40" s="1"/>
  <c r="F143" i="40"/>
  <c r="G143" i="40" s="1"/>
  <c r="H143" i="40" s="1"/>
  <c r="I143" i="40" s="1"/>
  <c r="E143" i="40"/>
  <c r="D143" i="40"/>
  <c r="E142" i="40"/>
  <c r="F142" i="40" s="1"/>
  <c r="G142" i="40" s="1"/>
  <c r="H142" i="40" s="1"/>
  <c r="I142" i="40" s="1"/>
  <c r="J142" i="40" s="1"/>
  <c r="K142" i="40" s="1"/>
  <c r="L142" i="40" s="1"/>
  <c r="M142" i="40" s="1"/>
  <c r="N142" i="40" s="1"/>
  <c r="O142" i="40" s="1"/>
  <c r="P142" i="40" s="1"/>
  <c r="Q142" i="40" s="1"/>
  <c r="R142" i="40" s="1"/>
  <c r="S142" i="40" s="1"/>
  <c r="T142" i="40" s="1"/>
  <c r="U142" i="40" s="1"/>
  <c r="V142" i="40" s="1"/>
  <c r="W142" i="40" s="1"/>
  <c r="X142" i="40" s="1"/>
  <c r="Y142" i="40" s="1"/>
  <c r="Z142" i="40" s="1"/>
  <c r="AA142" i="40" s="1"/>
  <c r="AB142" i="40" s="1"/>
  <c r="AC142" i="40" s="1"/>
  <c r="AD142" i="40" s="1"/>
  <c r="AE142" i="40" s="1"/>
  <c r="AF142" i="40" s="1"/>
  <c r="B142" i="40" s="1"/>
  <c r="D142" i="40"/>
  <c r="E141" i="40"/>
  <c r="F141" i="40" s="1"/>
  <c r="G141" i="40" s="1"/>
  <c r="H141" i="40" s="1"/>
  <c r="I141" i="40" s="1"/>
  <c r="J141" i="40" s="1"/>
  <c r="K141" i="40" s="1"/>
  <c r="L141" i="40" s="1"/>
  <c r="M141" i="40" s="1"/>
  <c r="N141" i="40" s="1"/>
  <c r="O141" i="40" s="1"/>
  <c r="P141" i="40" s="1"/>
  <c r="Q141" i="40" s="1"/>
  <c r="R141" i="40" s="1"/>
  <c r="S141" i="40" s="1"/>
  <c r="T141" i="40" s="1"/>
  <c r="U141" i="40" s="1"/>
  <c r="V141" i="40" s="1"/>
  <c r="W141" i="40" s="1"/>
  <c r="X141" i="40" s="1"/>
  <c r="Y141" i="40" s="1"/>
  <c r="Z141" i="40" s="1"/>
  <c r="AA141" i="40" s="1"/>
  <c r="AB141" i="40" s="1"/>
  <c r="AC141" i="40" s="1"/>
  <c r="AD141" i="40" s="1"/>
  <c r="AE141" i="40" s="1"/>
  <c r="AF141" i="40" s="1"/>
  <c r="B141" i="40" s="1"/>
  <c r="D141" i="40"/>
  <c r="K139" i="40"/>
  <c r="L139" i="40" s="1"/>
  <c r="M139" i="40" s="1"/>
  <c r="N139" i="40" s="1"/>
  <c r="O139" i="40" s="1"/>
  <c r="P139" i="40" s="1"/>
  <c r="Q139" i="40" s="1"/>
  <c r="R139" i="40" s="1"/>
  <c r="S139" i="40" s="1"/>
  <c r="T139" i="40" s="1"/>
  <c r="U139" i="40" s="1"/>
  <c r="V139" i="40" s="1"/>
  <c r="W139" i="40" s="1"/>
  <c r="X139" i="40" s="1"/>
  <c r="Y139" i="40" s="1"/>
  <c r="Z139" i="40" s="1"/>
  <c r="AA139" i="40" s="1"/>
  <c r="AB139" i="40" s="1"/>
  <c r="AC139" i="40" s="1"/>
  <c r="AD139" i="40" s="1"/>
  <c r="AE139" i="40" s="1"/>
  <c r="AF139" i="40" s="1"/>
  <c r="B139" i="40" s="1"/>
  <c r="D139" i="40"/>
  <c r="E139" i="40" s="1"/>
  <c r="F139" i="40" s="1"/>
  <c r="G139" i="40" s="1"/>
  <c r="H139" i="40" s="1"/>
  <c r="I139" i="40" s="1"/>
  <c r="J139" i="40" s="1"/>
  <c r="O138" i="40"/>
  <c r="P138" i="40" s="1"/>
  <c r="Q138" i="40" s="1"/>
  <c r="R138" i="40" s="1"/>
  <c r="S138" i="40" s="1"/>
  <c r="T138" i="40" s="1"/>
  <c r="U138" i="40" s="1"/>
  <c r="V138" i="40" s="1"/>
  <c r="W138" i="40" s="1"/>
  <c r="X138" i="40" s="1"/>
  <c r="Y138" i="40" s="1"/>
  <c r="Z138" i="40" s="1"/>
  <c r="AA138" i="40" s="1"/>
  <c r="AB138" i="40" s="1"/>
  <c r="AC138" i="40" s="1"/>
  <c r="AD138" i="40" s="1"/>
  <c r="AE138" i="40" s="1"/>
  <c r="AF138" i="40" s="1"/>
  <c r="B138" i="40" s="1"/>
  <c r="I138" i="40"/>
  <c r="J138" i="40" s="1"/>
  <c r="K138" i="40" s="1"/>
  <c r="L138" i="40" s="1"/>
  <c r="M138" i="40" s="1"/>
  <c r="N138" i="40" s="1"/>
  <c r="G138" i="40"/>
  <c r="H138" i="40" s="1"/>
  <c r="F138" i="40"/>
  <c r="E138" i="40"/>
  <c r="D138" i="40"/>
  <c r="L137" i="40"/>
  <c r="M137" i="40" s="1"/>
  <c r="N137" i="40" s="1"/>
  <c r="O137" i="40" s="1"/>
  <c r="P137" i="40" s="1"/>
  <c r="Q137" i="40" s="1"/>
  <c r="R137" i="40" s="1"/>
  <c r="S137" i="40" s="1"/>
  <c r="T137" i="40" s="1"/>
  <c r="U137" i="40" s="1"/>
  <c r="V137" i="40" s="1"/>
  <c r="W137" i="40" s="1"/>
  <c r="X137" i="40" s="1"/>
  <c r="Y137" i="40" s="1"/>
  <c r="Z137" i="40" s="1"/>
  <c r="AA137" i="40" s="1"/>
  <c r="AB137" i="40" s="1"/>
  <c r="AC137" i="40" s="1"/>
  <c r="AD137" i="40" s="1"/>
  <c r="AE137" i="40" s="1"/>
  <c r="AF137" i="40" s="1"/>
  <c r="B137" i="40" s="1"/>
  <c r="D137" i="40"/>
  <c r="E137" i="40" s="1"/>
  <c r="F137" i="40" s="1"/>
  <c r="G137" i="40" s="1"/>
  <c r="H137" i="40" s="1"/>
  <c r="I137" i="40" s="1"/>
  <c r="J137" i="40" s="1"/>
  <c r="K137" i="40" s="1"/>
  <c r="J136" i="40"/>
  <c r="K136" i="40" s="1"/>
  <c r="L136" i="40" s="1"/>
  <c r="M136" i="40" s="1"/>
  <c r="N136" i="40" s="1"/>
  <c r="O136" i="40" s="1"/>
  <c r="P136" i="40" s="1"/>
  <c r="Q136" i="40" s="1"/>
  <c r="R136" i="40" s="1"/>
  <c r="S136" i="40" s="1"/>
  <c r="T136" i="40" s="1"/>
  <c r="U136" i="40" s="1"/>
  <c r="V136" i="40" s="1"/>
  <c r="W136" i="40" s="1"/>
  <c r="X136" i="40" s="1"/>
  <c r="Y136" i="40" s="1"/>
  <c r="Z136" i="40" s="1"/>
  <c r="AA136" i="40" s="1"/>
  <c r="AB136" i="40" s="1"/>
  <c r="AC136" i="40" s="1"/>
  <c r="AD136" i="40" s="1"/>
  <c r="AE136" i="40" s="1"/>
  <c r="AF136" i="40" s="1"/>
  <c r="B136" i="40" s="1"/>
  <c r="E136" i="40"/>
  <c r="F136" i="40" s="1"/>
  <c r="G136" i="40" s="1"/>
  <c r="H136" i="40" s="1"/>
  <c r="I136" i="40" s="1"/>
  <c r="D136" i="40"/>
  <c r="I135" i="40"/>
  <c r="J135" i="40" s="1"/>
  <c r="K135" i="40" s="1"/>
  <c r="L135" i="40" s="1"/>
  <c r="M135" i="40" s="1"/>
  <c r="N135" i="40" s="1"/>
  <c r="O135" i="40" s="1"/>
  <c r="P135" i="40" s="1"/>
  <c r="Q135" i="40" s="1"/>
  <c r="R135" i="40" s="1"/>
  <c r="S135" i="40" s="1"/>
  <c r="T135" i="40" s="1"/>
  <c r="U135" i="40" s="1"/>
  <c r="V135" i="40" s="1"/>
  <c r="W135" i="40" s="1"/>
  <c r="X135" i="40" s="1"/>
  <c r="Y135" i="40" s="1"/>
  <c r="Z135" i="40" s="1"/>
  <c r="AA135" i="40" s="1"/>
  <c r="AB135" i="40" s="1"/>
  <c r="AC135" i="40" s="1"/>
  <c r="AD135" i="40" s="1"/>
  <c r="AE135" i="40" s="1"/>
  <c r="AF135" i="40" s="1"/>
  <c r="B135" i="40" s="1"/>
  <c r="D135" i="40"/>
  <c r="E135" i="40" s="1"/>
  <c r="F135" i="40" s="1"/>
  <c r="G135" i="40" s="1"/>
  <c r="H135" i="40" s="1"/>
  <c r="N134" i="40"/>
  <c r="O134" i="40" s="1"/>
  <c r="P134" i="40" s="1"/>
  <c r="Q134" i="40" s="1"/>
  <c r="R134" i="40" s="1"/>
  <c r="S134" i="40" s="1"/>
  <c r="T134" i="40" s="1"/>
  <c r="U134" i="40" s="1"/>
  <c r="V134" i="40" s="1"/>
  <c r="W134" i="40" s="1"/>
  <c r="X134" i="40" s="1"/>
  <c r="Y134" i="40" s="1"/>
  <c r="Z134" i="40" s="1"/>
  <c r="AA134" i="40" s="1"/>
  <c r="AB134" i="40" s="1"/>
  <c r="AC134" i="40" s="1"/>
  <c r="AD134" i="40" s="1"/>
  <c r="AE134" i="40" s="1"/>
  <c r="AF134" i="40" s="1"/>
  <c r="B134" i="40" s="1"/>
  <c r="G134" i="40"/>
  <c r="H134" i="40" s="1"/>
  <c r="I134" i="40" s="1"/>
  <c r="J134" i="40" s="1"/>
  <c r="K134" i="40" s="1"/>
  <c r="L134" i="40" s="1"/>
  <c r="M134" i="40" s="1"/>
  <c r="F134" i="40"/>
  <c r="E134" i="40"/>
  <c r="D134" i="40"/>
  <c r="H133" i="40"/>
  <c r="I133" i="40" s="1"/>
  <c r="J133" i="40" s="1"/>
  <c r="K133" i="40" s="1"/>
  <c r="L133" i="40" s="1"/>
  <c r="M133" i="40" s="1"/>
  <c r="N133" i="40" s="1"/>
  <c r="O133" i="40" s="1"/>
  <c r="P133" i="40" s="1"/>
  <c r="Q133" i="40" s="1"/>
  <c r="R133" i="40" s="1"/>
  <c r="S133" i="40" s="1"/>
  <c r="T133" i="40" s="1"/>
  <c r="U133" i="40" s="1"/>
  <c r="V133" i="40" s="1"/>
  <c r="W133" i="40" s="1"/>
  <c r="X133" i="40" s="1"/>
  <c r="Y133" i="40" s="1"/>
  <c r="Z133" i="40" s="1"/>
  <c r="AA133" i="40" s="1"/>
  <c r="AB133" i="40" s="1"/>
  <c r="AC133" i="40" s="1"/>
  <c r="AD133" i="40" s="1"/>
  <c r="AE133" i="40" s="1"/>
  <c r="AF133" i="40" s="1"/>
  <c r="B133" i="40" s="1"/>
  <c r="D133" i="40"/>
  <c r="E133" i="40" s="1"/>
  <c r="F133" i="40" s="1"/>
  <c r="G133" i="40" s="1"/>
  <c r="M132" i="40"/>
  <c r="N132" i="40" s="1"/>
  <c r="O132" i="40" s="1"/>
  <c r="P132" i="40" s="1"/>
  <c r="Q132" i="40" s="1"/>
  <c r="R132" i="40" s="1"/>
  <c r="S132" i="40" s="1"/>
  <c r="T132" i="40" s="1"/>
  <c r="U132" i="40" s="1"/>
  <c r="V132" i="40" s="1"/>
  <c r="W132" i="40" s="1"/>
  <c r="X132" i="40" s="1"/>
  <c r="Y132" i="40" s="1"/>
  <c r="Z132" i="40" s="1"/>
  <c r="AA132" i="40" s="1"/>
  <c r="AB132" i="40" s="1"/>
  <c r="AC132" i="40" s="1"/>
  <c r="AD132" i="40" s="1"/>
  <c r="AE132" i="40" s="1"/>
  <c r="AF132" i="40" s="1"/>
  <c r="B132" i="40" s="1"/>
  <c r="F132" i="40"/>
  <c r="G132" i="40" s="1"/>
  <c r="H132" i="40" s="1"/>
  <c r="I132" i="40" s="1"/>
  <c r="J132" i="40" s="1"/>
  <c r="K132" i="40" s="1"/>
  <c r="L132" i="40" s="1"/>
  <c r="E132" i="40"/>
  <c r="D132" i="40"/>
  <c r="L130" i="40"/>
  <c r="M130" i="40" s="1"/>
  <c r="N130" i="40" s="1"/>
  <c r="O130" i="40" s="1"/>
  <c r="P130" i="40" s="1"/>
  <c r="Q130" i="40" s="1"/>
  <c r="R130" i="40" s="1"/>
  <c r="S130" i="40" s="1"/>
  <c r="T130" i="40" s="1"/>
  <c r="U130" i="40" s="1"/>
  <c r="V130" i="40" s="1"/>
  <c r="W130" i="40" s="1"/>
  <c r="X130" i="40" s="1"/>
  <c r="Y130" i="40" s="1"/>
  <c r="Z130" i="40" s="1"/>
  <c r="AA130" i="40" s="1"/>
  <c r="AB130" i="40" s="1"/>
  <c r="AC130" i="40" s="1"/>
  <c r="AD130" i="40" s="1"/>
  <c r="AE130" i="40" s="1"/>
  <c r="AF130" i="40" s="1"/>
  <c r="B130" i="40" s="1"/>
  <c r="H130" i="40"/>
  <c r="I130" i="40" s="1"/>
  <c r="J130" i="40" s="1"/>
  <c r="K130" i="40" s="1"/>
  <c r="D130" i="40"/>
  <c r="E130" i="40" s="1"/>
  <c r="F130" i="40" s="1"/>
  <c r="G130" i="40" s="1"/>
  <c r="F129" i="40"/>
  <c r="G129" i="40" s="1"/>
  <c r="H129" i="40" s="1"/>
  <c r="I129" i="40" s="1"/>
  <c r="J129" i="40" s="1"/>
  <c r="K129" i="40" s="1"/>
  <c r="L129" i="40" s="1"/>
  <c r="M129" i="40" s="1"/>
  <c r="N129" i="40" s="1"/>
  <c r="O129" i="40" s="1"/>
  <c r="P129" i="40" s="1"/>
  <c r="Q129" i="40" s="1"/>
  <c r="R129" i="40" s="1"/>
  <c r="S129" i="40" s="1"/>
  <c r="T129" i="40" s="1"/>
  <c r="U129" i="40" s="1"/>
  <c r="V129" i="40" s="1"/>
  <c r="W129" i="40" s="1"/>
  <c r="X129" i="40" s="1"/>
  <c r="Y129" i="40" s="1"/>
  <c r="Z129" i="40" s="1"/>
  <c r="AA129" i="40" s="1"/>
  <c r="AB129" i="40" s="1"/>
  <c r="AC129" i="40" s="1"/>
  <c r="AD129" i="40" s="1"/>
  <c r="AE129" i="40" s="1"/>
  <c r="AF129" i="40" s="1"/>
  <c r="B129" i="40" s="1"/>
  <c r="E129" i="40"/>
  <c r="D129" i="40"/>
  <c r="H128" i="40"/>
  <c r="I128" i="40" s="1"/>
  <c r="J128" i="40" s="1"/>
  <c r="K128" i="40" s="1"/>
  <c r="L128" i="40" s="1"/>
  <c r="M128" i="40" s="1"/>
  <c r="N128" i="40" s="1"/>
  <c r="O128" i="40" s="1"/>
  <c r="P128" i="40" s="1"/>
  <c r="Q128" i="40" s="1"/>
  <c r="R128" i="40" s="1"/>
  <c r="S128" i="40" s="1"/>
  <c r="T128" i="40" s="1"/>
  <c r="U128" i="40" s="1"/>
  <c r="V128" i="40" s="1"/>
  <c r="W128" i="40" s="1"/>
  <c r="X128" i="40" s="1"/>
  <c r="Y128" i="40" s="1"/>
  <c r="Z128" i="40" s="1"/>
  <c r="AA128" i="40" s="1"/>
  <c r="AB128" i="40" s="1"/>
  <c r="AC128" i="40" s="1"/>
  <c r="AD128" i="40" s="1"/>
  <c r="AE128" i="40" s="1"/>
  <c r="AF128" i="40" s="1"/>
  <c r="B128" i="40" s="1"/>
  <c r="D128" i="40"/>
  <c r="E128" i="40" s="1"/>
  <c r="F128" i="40" s="1"/>
  <c r="G128" i="40" s="1"/>
  <c r="E127" i="40"/>
  <c r="F127" i="40" s="1"/>
  <c r="G127" i="40" s="1"/>
  <c r="H127" i="40" s="1"/>
  <c r="I127" i="40" s="1"/>
  <c r="J127" i="40" s="1"/>
  <c r="K127" i="40" s="1"/>
  <c r="L127" i="40" s="1"/>
  <c r="M127" i="40" s="1"/>
  <c r="N127" i="40" s="1"/>
  <c r="O127" i="40" s="1"/>
  <c r="P127" i="40" s="1"/>
  <c r="Q127" i="40" s="1"/>
  <c r="R127" i="40" s="1"/>
  <c r="S127" i="40" s="1"/>
  <c r="T127" i="40" s="1"/>
  <c r="U127" i="40" s="1"/>
  <c r="V127" i="40" s="1"/>
  <c r="W127" i="40" s="1"/>
  <c r="X127" i="40" s="1"/>
  <c r="Y127" i="40" s="1"/>
  <c r="Z127" i="40" s="1"/>
  <c r="AA127" i="40" s="1"/>
  <c r="AB127" i="40" s="1"/>
  <c r="AC127" i="40" s="1"/>
  <c r="AD127" i="40" s="1"/>
  <c r="AE127" i="40" s="1"/>
  <c r="AF127" i="40" s="1"/>
  <c r="B127" i="40" s="1"/>
  <c r="D127" i="40"/>
  <c r="K126" i="40"/>
  <c r="L126" i="40" s="1"/>
  <c r="M126" i="40" s="1"/>
  <c r="N126" i="40" s="1"/>
  <c r="O126" i="40" s="1"/>
  <c r="P126" i="40" s="1"/>
  <c r="Q126" i="40" s="1"/>
  <c r="R126" i="40" s="1"/>
  <c r="S126" i="40" s="1"/>
  <c r="T126" i="40" s="1"/>
  <c r="U126" i="40" s="1"/>
  <c r="V126" i="40" s="1"/>
  <c r="W126" i="40" s="1"/>
  <c r="X126" i="40" s="1"/>
  <c r="Y126" i="40" s="1"/>
  <c r="Z126" i="40" s="1"/>
  <c r="AA126" i="40" s="1"/>
  <c r="AB126" i="40" s="1"/>
  <c r="AC126" i="40" s="1"/>
  <c r="AD126" i="40" s="1"/>
  <c r="AE126" i="40" s="1"/>
  <c r="AF126" i="40" s="1"/>
  <c r="B126" i="40" s="1"/>
  <c r="J126" i="40"/>
  <c r="D126" i="40"/>
  <c r="E126" i="40" s="1"/>
  <c r="F126" i="40" s="1"/>
  <c r="G126" i="40" s="1"/>
  <c r="H126" i="40" s="1"/>
  <c r="E125" i="40"/>
  <c r="F125" i="40" s="1"/>
  <c r="G125" i="40" s="1"/>
  <c r="H125" i="40" s="1"/>
  <c r="I125" i="40" s="1"/>
  <c r="J125" i="40" s="1"/>
  <c r="K125" i="40" s="1"/>
  <c r="L125" i="40" s="1"/>
  <c r="M125" i="40" s="1"/>
  <c r="N125" i="40" s="1"/>
  <c r="O125" i="40" s="1"/>
  <c r="P125" i="40" s="1"/>
  <c r="Q125" i="40" s="1"/>
  <c r="R125" i="40" s="1"/>
  <c r="S125" i="40" s="1"/>
  <c r="T125" i="40" s="1"/>
  <c r="U125" i="40" s="1"/>
  <c r="V125" i="40" s="1"/>
  <c r="W125" i="40" s="1"/>
  <c r="X125" i="40" s="1"/>
  <c r="Y125" i="40" s="1"/>
  <c r="Z125" i="40" s="1"/>
  <c r="AA125" i="40" s="1"/>
  <c r="AB125" i="40" s="1"/>
  <c r="AC125" i="40" s="1"/>
  <c r="AD125" i="40" s="1"/>
  <c r="AE125" i="40" s="1"/>
  <c r="AF125" i="40" s="1"/>
  <c r="B125" i="40" s="1"/>
  <c r="D125" i="40"/>
  <c r="J124" i="40"/>
  <c r="K124" i="40" s="1"/>
  <c r="L124" i="40" s="1"/>
  <c r="M124" i="40" s="1"/>
  <c r="N124" i="40" s="1"/>
  <c r="O124" i="40" s="1"/>
  <c r="P124" i="40" s="1"/>
  <c r="Q124" i="40" s="1"/>
  <c r="R124" i="40" s="1"/>
  <c r="S124" i="40" s="1"/>
  <c r="T124" i="40" s="1"/>
  <c r="U124" i="40" s="1"/>
  <c r="V124" i="40" s="1"/>
  <c r="W124" i="40" s="1"/>
  <c r="X124" i="40" s="1"/>
  <c r="Y124" i="40" s="1"/>
  <c r="Z124" i="40" s="1"/>
  <c r="AA124" i="40" s="1"/>
  <c r="AB124" i="40" s="1"/>
  <c r="AC124" i="40" s="1"/>
  <c r="AD124" i="40" s="1"/>
  <c r="AE124" i="40" s="1"/>
  <c r="AF124" i="40" s="1"/>
  <c r="B124" i="40" s="1"/>
  <c r="D124" i="40"/>
  <c r="E124" i="40" s="1"/>
  <c r="F124" i="40" s="1"/>
  <c r="G124" i="40" s="1"/>
  <c r="H124" i="40" s="1"/>
  <c r="I124" i="40" s="1"/>
  <c r="E123" i="40"/>
  <c r="F123" i="40" s="1"/>
  <c r="G123" i="40" s="1"/>
  <c r="H123" i="40" s="1"/>
  <c r="I123" i="40" s="1"/>
  <c r="J123" i="40" s="1"/>
  <c r="K123" i="40" s="1"/>
  <c r="L123" i="40" s="1"/>
  <c r="M123" i="40" s="1"/>
  <c r="N123" i="40" s="1"/>
  <c r="O123" i="40" s="1"/>
  <c r="P123" i="40" s="1"/>
  <c r="Q123" i="40" s="1"/>
  <c r="R123" i="40" s="1"/>
  <c r="S123" i="40" s="1"/>
  <c r="T123" i="40" s="1"/>
  <c r="U123" i="40" s="1"/>
  <c r="V123" i="40" s="1"/>
  <c r="W123" i="40" s="1"/>
  <c r="X123" i="40" s="1"/>
  <c r="Y123" i="40" s="1"/>
  <c r="Z123" i="40" s="1"/>
  <c r="AA123" i="40" s="1"/>
  <c r="AB123" i="40" s="1"/>
  <c r="AC123" i="40" s="1"/>
  <c r="AD123" i="40" s="1"/>
  <c r="AE123" i="40" s="1"/>
  <c r="AF123" i="40" s="1"/>
  <c r="B123" i="40" s="1"/>
  <c r="D123" i="40"/>
  <c r="D122" i="40"/>
  <c r="E122" i="40" s="1"/>
  <c r="F122" i="40" s="1"/>
  <c r="G122" i="40" s="1"/>
  <c r="H122" i="40" s="1"/>
  <c r="I122" i="40" s="1"/>
  <c r="J122" i="40" s="1"/>
  <c r="K122" i="40" s="1"/>
  <c r="L122" i="40" s="1"/>
  <c r="M122" i="40" s="1"/>
  <c r="N122" i="40" s="1"/>
  <c r="O122" i="40" s="1"/>
  <c r="P122" i="40" s="1"/>
  <c r="Q122" i="40" s="1"/>
  <c r="R122" i="40" s="1"/>
  <c r="S122" i="40" s="1"/>
  <c r="T122" i="40" s="1"/>
  <c r="U122" i="40" s="1"/>
  <c r="V122" i="40" s="1"/>
  <c r="W122" i="40" s="1"/>
  <c r="X122" i="40" s="1"/>
  <c r="Y122" i="40" s="1"/>
  <c r="Z122" i="40" s="1"/>
  <c r="AA122" i="40" s="1"/>
  <c r="AB122" i="40" s="1"/>
  <c r="AC122" i="40" s="1"/>
  <c r="AD122" i="40" s="1"/>
  <c r="AE122" i="40" s="1"/>
  <c r="AF122" i="40" s="1"/>
  <c r="B122" i="40" s="1"/>
  <c r="D121" i="40"/>
  <c r="E121" i="40" s="1"/>
  <c r="F121" i="40" s="1"/>
  <c r="G121" i="40" s="1"/>
  <c r="H121" i="40" s="1"/>
  <c r="I121" i="40" s="1"/>
  <c r="J121" i="40" s="1"/>
  <c r="K121" i="40" s="1"/>
  <c r="L121" i="40" s="1"/>
  <c r="M121" i="40" s="1"/>
  <c r="N121" i="40" s="1"/>
  <c r="O121" i="40" s="1"/>
  <c r="P121" i="40" s="1"/>
  <c r="Q121" i="40" s="1"/>
  <c r="R121" i="40" s="1"/>
  <c r="S121" i="40" s="1"/>
  <c r="T121" i="40" s="1"/>
  <c r="U121" i="40" s="1"/>
  <c r="V121" i="40" s="1"/>
  <c r="W121" i="40" s="1"/>
  <c r="X121" i="40" s="1"/>
  <c r="Y121" i="40" s="1"/>
  <c r="Z121" i="40" s="1"/>
  <c r="AA121" i="40" s="1"/>
  <c r="AB121" i="40" s="1"/>
  <c r="AC121" i="40" s="1"/>
  <c r="AD121" i="40" s="1"/>
  <c r="AE121" i="40" s="1"/>
  <c r="AF121" i="40" s="1"/>
  <c r="B121" i="40" s="1"/>
  <c r="E120" i="40"/>
  <c r="F120" i="40" s="1"/>
  <c r="G120" i="40" s="1"/>
  <c r="H120" i="40" s="1"/>
  <c r="I120" i="40" s="1"/>
  <c r="J120" i="40" s="1"/>
  <c r="K120" i="40" s="1"/>
  <c r="L120" i="40" s="1"/>
  <c r="M120" i="40" s="1"/>
  <c r="N120" i="40" s="1"/>
  <c r="O120" i="40" s="1"/>
  <c r="P120" i="40" s="1"/>
  <c r="Q120" i="40" s="1"/>
  <c r="R120" i="40" s="1"/>
  <c r="S120" i="40" s="1"/>
  <c r="T120" i="40" s="1"/>
  <c r="U120" i="40" s="1"/>
  <c r="V120" i="40" s="1"/>
  <c r="W120" i="40" s="1"/>
  <c r="X120" i="40" s="1"/>
  <c r="Y120" i="40" s="1"/>
  <c r="Z120" i="40" s="1"/>
  <c r="AA120" i="40" s="1"/>
  <c r="AB120" i="40" s="1"/>
  <c r="AC120" i="40" s="1"/>
  <c r="AD120" i="40" s="1"/>
  <c r="AE120" i="40" s="1"/>
  <c r="AF120" i="40" s="1"/>
  <c r="B120" i="40" s="1"/>
  <c r="D120" i="40"/>
  <c r="D119" i="40"/>
  <c r="E119" i="40" s="1"/>
  <c r="F119" i="40" s="1"/>
  <c r="G119" i="40" s="1"/>
  <c r="H119" i="40" s="1"/>
  <c r="I119" i="40" s="1"/>
  <c r="J119" i="40" s="1"/>
  <c r="K119" i="40" s="1"/>
  <c r="L119" i="40" s="1"/>
  <c r="M119" i="40" s="1"/>
  <c r="N119" i="40" s="1"/>
  <c r="O119" i="40" s="1"/>
  <c r="P119" i="40" s="1"/>
  <c r="Q119" i="40" s="1"/>
  <c r="R119" i="40" s="1"/>
  <c r="S119" i="40" s="1"/>
  <c r="T119" i="40" s="1"/>
  <c r="U119" i="40" s="1"/>
  <c r="V119" i="40" s="1"/>
  <c r="W119" i="40" s="1"/>
  <c r="X119" i="40" s="1"/>
  <c r="Y119" i="40" s="1"/>
  <c r="Z119" i="40" s="1"/>
  <c r="AA119" i="40" s="1"/>
  <c r="AB119" i="40" s="1"/>
  <c r="AC119" i="40" s="1"/>
  <c r="AD119" i="40" s="1"/>
  <c r="AE119" i="40" s="1"/>
  <c r="AF119" i="40" s="1"/>
  <c r="B119" i="40" s="1"/>
  <c r="D118" i="40"/>
  <c r="E118" i="40" s="1"/>
  <c r="F118" i="40" s="1"/>
  <c r="G118" i="40" s="1"/>
  <c r="H118" i="40" s="1"/>
  <c r="I118" i="40" s="1"/>
  <c r="J118" i="40" s="1"/>
  <c r="K118" i="40" s="1"/>
  <c r="L118" i="40" s="1"/>
  <c r="M118" i="40" s="1"/>
  <c r="N118" i="40" s="1"/>
  <c r="O118" i="40" s="1"/>
  <c r="P118" i="40" s="1"/>
  <c r="Q118" i="40" s="1"/>
  <c r="R118" i="40" s="1"/>
  <c r="S118" i="40" s="1"/>
  <c r="T118" i="40" s="1"/>
  <c r="U118" i="40" s="1"/>
  <c r="V118" i="40" s="1"/>
  <c r="W118" i="40" s="1"/>
  <c r="X118" i="40" s="1"/>
  <c r="Y118" i="40" s="1"/>
  <c r="Z118" i="40" s="1"/>
  <c r="AA118" i="40" s="1"/>
  <c r="AB118" i="40" s="1"/>
  <c r="AC118" i="40" s="1"/>
  <c r="AD118" i="40" s="1"/>
  <c r="AE118" i="40" s="1"/>
  <c r="AF118" i="40" s="1"/>
  <c r="B118" i="40" s="1"/>
  <c r="D117" i="40"/>
  <c r="E117" i="40" s="1"/>
  <c r="F117" i="40" s="1"/>
  <c r="G117" i="40" s="1"/>
  <c r="H117" i="40" s="1"/>
  <c r="I117" i="40" s="1"/>
  <c r="J117" i="40" s="1"/>
  <c r="K117" i="40" s="1"/>
  <c r="L117" i="40" s="1"/>
  <c r="M117" i="40" s="1"/>
  <c r="N117" i="40" s="1"/>
  <c r="O117" i="40" s="1"/>
  <c r="P117" i="40" s="1"/>
  <c r="Q117" i="40" s="1"/>
  <c r="R117" i="40" s="1"/>
  <c r="S117" i="40" s="1"/>
  <c r="T117" i="40" s="1"/>
  <c r="U117" i="40" s="1"/>
  <c r="V117" i="40" s="1"/>
  <c r="W117" i="40" s="1"/>
  <c r="X117" i="40" s="1"/>
  <c r="Y117" i="40" s="1"/>
  <c r="Z117" i="40" s="1"/>
  <c r="AA117" i="40" s="1"/>
  <c r="AB117" i="40" s="1"/>
  <c r="AC117" i="40" s="1"/>
  <c r="AD117" i="40" s="1"/>
  <c r="AE117" i="40" s="1"/>
  <c r="AF117" i="40" s="1"/>
  <c r="B117" i="40" s="1"/>
  <c r="E116" i="40"/>
  <c r="F116" i="40" s="1"/>
  <c r="G116" i="40" s="1"/>
  <c r="H116" i="40" s="1"/>
  <c r="I116" i="40" s="1"/>
  <c r="J116" i="40" s="1"/>
  <c r="K116" i="40" s="1"/>
  <c r="L116" i="40" s="1"/>
  <c r="M116" i="40" s="1"/>
  <c r="N116" i="40" s="1"/>
  <c r="O116" i="40" s="1"/>
  <c r="P116" i="40" s="1"/>
  <c r="Q116" i="40" s="1"/>
  <c r="R116" i="40" s="1"/>
  <c r="S116" i="40" s="1"/>
  <c r="T116" i="40" s="1"/>
  <c r="U116" i="40" s="1"/>
  <c r="V116" i="40" s="1"/>
  <c r="W116" i="40" s="1"/>
  <c r="X116" i="40" s="1"/>
  <c r="Y116" i="40" s="1"/>
  <c r="Z116" i="40" s="1"/>
  <c r="AA116" i="40" s="1"/>
  <c r="AB116" i="40" s="1"/>
  <c r="AC116" i="40" s="1"/>
  <c r="AD116" i="40" s="1"/>
  <c r="AE116" i="40" s="1"/>
  <c r="AF116" i="40" s="1"/>
  <c r="B116" i="40" s="1"/>
  <c r="D116" i="40"/>
  <c r="L115" i="40"/>
  <c r="M115" i="40" s="1"/>
  <c r="N115" i="40" s="1"/>
  <c r="O115" i="40" s="1"/>
  <c r="P115" i="40" s="1"/>
  <c r="Q115" i="40" s="1"/>
  <c r="R115" i="40" s="1"/>
  <c r="S115" i="40" s="1"/>
  <c r="T115" i="40" s="1"/>
  <c r="U115" i="40" s="1"/>
  <c r="V115" i="40" s="1"/>
  <c r="W115" i="40" s="1"/>
  <c r="X115" i="40" s="1"/>
  <c r="Y115" i="40" s="1"/>
  <c r="Z115" i="40" s="1"/>
  <c r="AA115" i="40" s="1"/>
  <c r="AB115" i="40" s="1"/>
  <c r="AC115" i="40" s="1"/>
  <c r="AD115" i="40" s="1"/>
  <c r="AE115" i="40" s="1"/>
  <c r="AF115" i="40" s="1"/>
  <c r="B115" i="40" s="1"/>
  <c r="K115" i="40"/>
  <c r="D115" i="40"/>
  <c r="E115" i="40" s="1"/>
  <c r="F115" i="40" s="1"/>
  <c r="G115" i="40" s="1"/>
  <c r="H115" i="40" s="1"/>
  <c r="I115" i="40" s="1"/>
  <c r="E114" i="40"/>
  <c r="F114" i="40" s="1"/>
  <c r="G114" i="40" s="1"/>
  <c r="H114" i="40" s="1"/>
  <c r="I114" i="40" s="1"/>
  <c r="J114" i="40" s="1"/>
  <c r="K114" i="40" s="1"/>
  <c r="L114" i="40" s="1"/>
  <c r="M114" i="40" s="1"/>
  <c r="N114" i="40" s="1"/>
  <c r="O114" i="40" s="1"/>
  <c r="P114" i="40" s="1"/>
  <c r="Q114" i="40" s="1"/>
  <c r="R114" i="40" s="1"/>
  <c r="S114" i="40" s="1"/>
  <c r="T114" i="40" s="1"/>
  <c r="U114" i="40" s="1"/>
  <c r="V114" i="40" s="1"/>
  <c r="W114" i="40" s="1"/>
  <c r="X114" i="40" s="1"/>
  <c r="Y114" i="40" s="1"/>
  <c r="Z114" i="40" s="1"/>
  <c r="AA114" i="40" s="1"/>
  <c r="AB114" i="40" s="1"/>
  <c r="AC114" i="40" s="1"/>
  <c r="AD114" i="40" s="1"/>
  <c r="AE114" i="40" s="1"/>
  <c r="AF114" i="40" s="1"/>
  <c r="B114" i="40" s="1"/>
  <c r="D114" i="40"/>
  <c r="D113" i="40"/>
  <c r="E113" i="40" s="1"/>
  <c r="F113" i="40" s="1"/>
  <c r="G113" i="40" s="1"/>
  <c r="H113" i="40" s="1"/>
  <c r="I113" i="40" s="1"/>
  <c r="J113" i="40" s="1"/>
  <c r="K113" i="40" s="1"/>
  <c r="L113" i="40" s="1"/>
  <c r="M113" i="40" s="1"/>
  <c r="N113" i="40" s="1"/>
  <c r="O113" i="40" s="1"/>
  <c r="P113" i="40" s="1"/>
  <c r="Q113" i="40" s="1"/>
  <c r="R113" i="40" s="1"/>
  <c r="S113" i="40" s="1"/>
  <c r="T113" i="40" s="1"/>
  <c r="U113" i="40" s="1"/>
  <c r="V113" i="40" s="1"/>
  <c r="W113" i="40" s="1"/>
  <c r="X113" i="40" s="1"/>
  <c r="Y113" i="40" s="1"/>
  <c r="Z113" i="40" s="1"/>
  <c r="AA113" i="40" s="1"/>
  <c r="AB113" i="40" s="1"/>
  <c r="AC113" i="40" s="1"/>
  <c r="AD113" i="40" s="1"/>
  <c r="AE113" i="40" s="1"/>
  <c r="AF113" i="40" s="1"/>
  <c r="B113" i="40" s="1"/>
  <c r="E111" i="40"/>
  <c r="F111" i="40" s="1"/>
  <c r="G111" i="40" s="1"/>
  <c r="H111" i="40" s="1"/>
  <c r="I111" i="40" s="1"/>
  <c r="J111" i="40" s="1"/>
  <c r="K111" i="40" s="1"/>
  <c r="L111" i="40" s="1"/>
  <c r="M111" i="40" s="1"/>
  <c r="N111" i="40" s="1"/>
  <c r="O111" i="40" s="1"/>
  <c r="P111" i="40" s="1"/>
  <c r="Q111" i="40" s="1"/>
  <c r="R111" i="40" s="1"/>
  <c r="S111" i="40" s="1"/>
  <c r="T111" i="40" s="1"/>
  <c r="U111" i="40" s="1"/>
  <c r="V111" i="40" s="1"/>
  <c r="W111" i="40" s="1"/>
  <c r="X111" i="40" s="1"/>
  <c r="Y111" i="40" s="1"/>
  <c r="Z111" i="40" s="1"/>
  <c r="AA111" i="40" s="1"/>
  <c r="AB111" i="40" s="1"/>
  <c r="AC111" i="40" s="1"/>
  <c r="AD111" i="40" s="1"/>
  <c r="AE111" i="40" s="1"/>
  <c r="AF111" i="40" s="1"/>
  <c r="B111" i="40" s="1"/>
  <c r="D111" i="40"/>
  <c r="D110" i="40"/>
  <c r="E110" i="40" s="1"/>
  <c r="F110" i="40" s="1"/>
  <c r="G110" i="40" s="1"/>
  <c r="H110" i="40" s="1"/>
  <c r="I110" i="40" s="1"/>
  <c r="J110" i="40" s="1"/>
  <c r="K110" i="40" s="1"/>
  <c r="L110" i="40" s="1"/>
  <c r="M110" i="40" s="1"/>
  <c r="N110" i="40" s="1"/>
  <c r="O110" i="40" s="1"/>
  <c r="P110" i="40" s="1"/>
  <c r="Q110" i="40" s="1"/>
  <c r="R110" i="40" s="1"/>
  <c r="S110" i="40" s="1"/>
  <c r="T110" i="40" s="1"/>
  <c r="U110" i="40" s="1"/>
  <c r="V110" i="40" s="1"/>
  <c r="W110" i="40" s="1"/>
  <c r="X110" i="40" s="1"/>
  <c r="Y110" i="40" s="1"/>
  <c r="Z110" i="40" s="1"/>
  <c r="AA110" i="40" s="1"/>
  <c r="AB110" i="40" s="1"/>
  <c r="AC110" i="40" s="1"/>
  <c r="AD110" i="40" s="1"/>
  <c r="AE110" i="40" s="1"/>
  <c r="AF110" i="40" s="1"/>
  <c r="B110" i="40" s="1"/>
  <c r="F108" i="40"/>
  <c r="G108" i="40" s="1"/>
  <c r="H108" i="40" s="1"/>
  <c r="I108" i="40" s="1"/>
  <c r="J108" i="40" s="1"/>
  <c r="K108" i="40" s="1"/>
  <c r="L108" i="40" s="1"/>
  <c r="M108" i="40" s="1"/>
  <c r="N108" i="40" s="1"/>
  <c r="O108" i="40" s="1"/>
  <c r="P108" i="40" s="1"/>
  <c r="Q108" i="40" s="1"/>
  <c r="R108" i="40" s="1"/>
  <c r="S108" i="40" s="1"/>
  <c r="T108" i="40" s="1"/>
  <c r="U108" i="40" s="1"/>
  <c r="V108" i="40" s="1"/>
  <c r="W108" i="40" s="1"/>
  <c r="X108" i="40" s="1"/>
  <c r="Y108" i="40" s="1"/>
  <c r="Z108" i="40" s="1"/>
  <c r="AA108" i="40" s="1"/>
  <c r="AB108" i="40" s="1"/>
  <c r="AC108" i="40" s="1"/>
  <c r="AD108" i="40" s="1"/>
  <c r="AE108" i="40" s="1"/>
  <c r="AF108" i="40" s="1"/>
  <c r="B108" i="40" s="1"/>
  <c r="E108" i="40"/>
  <c r="D108" i="40"/>
  <c r="D107" i="40"/>
  <c r="E107" i="40" s="1"/>
  <c r="F107" i="40" s="1"/>
  <c r="G107" i="40" s="1"/>
  <c r="H107" i="40" s="1"/>
  <c r="I107" i="40" s="1"/>
  <c r="J107" i="40" s="1"/>
  <c r="K107" i="40" s="1"/>
  <c r="L107" i="40" s="1"/>
  <c r="M107" i="40" s="1"/>
  <c r="N107" i="40" s="1"/>
  <c r="O107" i="40" s="1"/>
  <c r="P107" i="40" s="1"/>
  <c r="Q107" i="40" s="1"/>
  <c r="R107" i="40" s="1"/>
  <c r="S107" i="40" s="1"/>
  <c r="T107" i="40" s="1"/>
  <c r="U107" i="40" s="1"/>
  <c r="V107" i="40" s="1"/>
  <c r="W107" i="40" s="1"/>
  <c r="X107" i="40" s="1"/>
  <c r="Y107" i="40" s="1"/>
  <c r="Z107" i="40" s="1"/>
  <c r="AA107" i="40" s="1"/>
  <c r="AB107" i="40" s="1"/>
  <c r="AC107" i="40" s="1"/>
  <c r="AD107" i="40" s="1"/>
  <c r="AE107" i="40" s="1"/>
  <c r="AF107" i="40" s="1"/>
  <c r="B107" i="40" s="1"/>
  <c r="I106" i="40"/>
  <c r="J106" i="40" s="1"/>
  <c r="K106" i="40" s="1"/>
  <c r="L106" i="40" s="1"/>
  <c r="M106" i="40" s="1"/>
  <c r="N106" i="40" s="1"/>
  <c r="O106" i="40" s="1"/>
  <c r="P106" i="40" s="1"/>
  <c r="Q106" i="40" s="1"/>
  <c r="R106" i="40" s="1"/>
  <c r="S106" i="40" s="1"/>
  <c r="T106" i="40" s="1"/>
  <c r="U106" i="40" s="1"/>
  <c r="V106" i="40" s="1"/>
  <c r="W106" i="40" s="1"/>
  <c r="X106" i="40" s="1"/>
  <c r="Y106" i="40" s="1"/>
  <c r="Z106" i="40" s="1"/>
  <c r="AA106" i="40" s="1"/>
  <c r="AB106" i="40" s="1"/>
  <c r="AC106" i="40" s="1"/>
  <c r="AD106" i="40" s="1"/>
  <c r="AE106" i="40" s="1"/>
  <c r="AF106" i="40" s="1"/>
  <c r="B106" i="40" s="1"/>
  <c r="G106" i="40"/>
  <c r="H106" i="40" s="1"/>
  <c r="F106" i="40"/>
  <c r="E106" i="40"/>
  <c r="D106" i="40"/>
  <c r="G105" i="40"/>
  <c r="H105" i="40" s="1"/>
  <c r="I105" i="40" s="1"/>
  <c r="J105" i="40" s="1"/>
  <c r="K105" i="40" s="1"/>
  <c r="L105" i="40" s="1"/>
  <c r="M105" i="40" s="1"/>
  <c r="N105" i="40" s="1"/>
  <c r="O105" i="40" s="1"/>
  <c r="P105" i="40" s="1"/>
  <c r="Q105" i="40" s="1"/>
  <c r="R105" i="40" s="1"/>
  <c r="S105" i="40" s="1"/>
  <c r="T105" i="40" s="1"/>
  <c r="U105" i="40" s="1"/>
  <c r="V105" i="40" s="1"/>
  <c r="W105" i="40" s="1"/>
  <c r="X105" i="40" s="1"/>
  <c r="Y105" i="40" s="1"/>
  <c r="Z105" i="40" s="1"/>
  <c r="AA105" i="40" s="1"/>
  <c r="AB105" i="40" s="1"/>
  <c r="AC105" i="40" s="1"/>
  <c r="AD105" i="40" s="1"/>
  <c r="AE105" i="40" s="1"/>
  <c r="AF105" i="40" s="1"/>
  <c r="B105" i="40" s="1"/>
  <c r="D105" i="40"/>
  <c r="E105" i="40" s="1"/>
  <c r="F105" i="40" s="1"/>
  <c r="E104" i="40"/>
  <c r="D104" i="40"/>
  <c r="D103" i="40"/>
  <c r="AH100" i="40"/>
  <c r="AI100" i="40" s="1"/>
  <c r="AH99" i="40"/>
  <c r="AI99" i="40" s="1"/>
  <c r="AH98" i="40"/>
  <c r="AI98" i="40" s="1"/>
  <c r="AH97" i="40"/>
  <c r="AI97" i="40" s="1"/>
  <c r="AH96" i="40"/>
  <c r="AI96" i="40" s="1"/>
  <c r="AH95" i="40"/>
  <c r="AI95" i="40" s="1"/>
  <c r="AH94" i="40"/>
  <c r="AI94" i="40" s="1"/>
  <c r="D93" i="40"/>
  <c r="C93" i="40"/>
  <c r="AI91" i="40"/>
  <c r="AH91" i="40"/>
  <c r="AI90" i="40"/>
  <c r="AH90" i="40"/>
  <c r="AI89" i="40"/>
  <c r="AH89" i="40"/>
  <c r="AI88" i="40"/>
  <c r="AH88" i="40"/>
  <c r="AI87" i="40"/>
  <c r="AH87" i="40"/>
  <c r="AI86" i="40"/>
  <c r="AH86" i="40"/>
  <c r="AI85" i="40"/>
  <c r="AH85" i="40"/>
  <c r="AI84" i="40"/>
  <c r="AH84" i="40"/>
  <c r="AI82" i="40"/>
  <c r="AH82" i="40"/>
  <c r="AG82" i="40"/>
  <c r="AI81" i="40"/>
  <c r="AH81" i="40"/>
  <c r="AI80" i="40"/>
  <c r="AH80" i="40"/>
  <c r="AI79" i="40"/>
  <c r="AH79" i="40"/>
  <c r="AI78" i="40"/>
  <c r="AH78" i="40"/>
  <c r="AI77" i="40"/>
  <c r="AH77" i="40"/>
  <c r="AI76" i="40"/>
  <c r="AH76" i="40"/>
  <c r="AI74" i="40"/>
  <c r="AH74" i="40"/>
  <c r="AI73" i="40"/>
  <c r="AH73" i="40"/>
  <c r="AI72" i="40"/>
  <c r="AH72" i="40"/>
  <c r="AG72" i="40"/>
  <c r="AI71" i="40"/>
  <c r="AH71" i="40"/>
  <c r="AI70" i="40"/>
  <c r="AH70" i="40"/>
  <c r="AI69" i="40"/>
  <c r="AH69" i="40"/>
  <c r="AG68" i="40"/>
  <c r="AB5" i="40"/>
  <c r="AA5" i="40"/>
  <c r="T5" i="40"/>
  <c r="S5" i="40"/>
  <c r="L5" i="40"/>
  <c r="K5" i="40"/>
  <c r="J5" i="40"/>
  <c r="I5" i="40"/>
  <c r="H5" i="40"/>
  <c r="D5" i="40"/>
  <c r="C5" i="40"/>
  <c r="AI67" i="40"/>
  <c r="AH67" i="40"/>
  <c r="AI66" i="40"/>
  <c r="AH66" i="40"/>
  <c r="AI65" i="40"/>
  <c r="AH65" i="40"/>
  <c r="AI64" i="40"/>
  <c r="AH64" i="40"/>
  <c r="AI63" i="40"/>
  <c r="AH63" i="40"/>
  <c r="AI62" i="40"/>
  <c r="AH62" i="40"/>
  <c r="AI61" i="40"/>
  <c r="AH61" i="40"/>
  <c r="AI60" i="40"/>
  <c r="AH60" i="40"/>
  <c r="AI59" i="40"/>
  <c r="AH59" i="40"/>
  <c r="AI58" i="40"/>
  <c r="AH58" i="40"/>
  <c r="AI57" i="40"/>
  <c r="AH57" i="40"/>
  <c r="AG56" i="40"/>
  <c r="AF56" i="40"/>
  <c r="AE56" i="40"/>
  <c r="AD56" i="40"/>
  <c r="AC56" i="40"/>
  <c r="AB56" i="40"/>
  <c r="AA56" i="40"/>
  <c r="Z56" i="40"/>
  <c r="Y56" i="40"/>
  <c r="X56" i="40"/>
  <c r="W56" i="40"/>
  <c r="V56" i="40"/>
  <c r="U56" i="40"/>
  <c r="T56" i="40"/>
  <c r="S56" i="40"/>
  <c r="R56" i="40"/>
  <c r="Q56" i="40"/>
  <c r="P56" i="40"/>
  <c r="O56" i="40"/>
  <c r="N56" i="40"/>
  <c r="M56" i="40"/>
  <c r="L56" i="40"/>
  <c r="K56" i="40"/>
  <c r="J56" i="40"/>
  <c r="I56" i="40"/>
  <c r="H56" i="40"/>
  <c r="G56" i="40"/>
  <c r="F56" i="40"/>
  <c r="E56" i="40"/>
  <c r="D56" i="40"/>
  <c r="C56" i="40"/>
  <c r="B56" i="40"/>
  <c r="AI55" i="40"/>
  <c r="AH55" i="40"/>
  <c r="AI54" i="40"/>
  <c r="AH54" i="40"/>
  <c r="AI53" i="40"/>
  <c r="AH53" i="40"/>
  <c r="AF52" i="40"/>
  <c r="AE52" i="40"/>
  <c r="AD52" i="40"/>
  <c r="AC52" i="40"/>
  <c r="AB52" i="40"/>
  <c r="AA52" i="40"/>
  <c r="Z52" i="40"/>
  <c r="Y52" i="40"/>
  <c r="X52" i="40"/>
  <c r="W52" i="40"/>
  <c r="V52" i="40"/>
  <c r="U52" i="40"/>
  <c r="T52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G52" i="40"/>
  <c r="F52" i="40"/>
  <c r="E52" i="40"/>
  <c r="D52" i="40"/>
  <c r="C52" i="40"/>
  <c r="B52" i="40"/>
  <c r="AI51" i="40"/>
  <c r="AH51" i="40"/>
  <c r="AG51" i="40"/>
  <c r="AG52" i="40" s="1"/>
  <c r="AI50" i="40"/>
  <c r="AH50" i="40"/>
  <c r="AI49" i="40"/>
  <c r="AH49" i="40"/>
  <c r="AI48" i="40"/>
  <c r="AH48" i="40"/>
  <c r="AI47" i="40"/>
  <c r="AH47" i="40"/>
  <c r="AI46" i="40"/>
  <c r="AH46" i="40"/>
  <c r="AI45" i="40"/>
  <c r="AH45" i="40"/>
  <c r="AI44" i="40"/>
  <c r="AH44" i="40"/>
  <c r="AI43" i="40"/>
  <c r="AH43" i="40"/>
  <c r="AI42" i="40"/>
  <c r="AH42" i="40"/>
  <c r="AI41" i="40"/>
  <c r="AH41" i="40"/>
  <c r="AI40" i="40"/>
  <c r="AH40" i="40"/>
  <c r="AI39" i="40"/>
  <c r="AH39" i="40"/>
  <c r="AG38" i="40"/>
  <c r="AG2" i="40" s="1"/>
  <c r="AF38" i="40"/>
  <c r="AE38" i="40"/>
  <c r="AE75" i="40" s="1"/>
  <c r="AD38" i="40"/>
  <c r="AC38" i="40"/>
  <c r="AB38" i="40"/>
  <c r="AA38" i="40"/>
  <c r="AA75" i="40" s="1"/>
  <c r="AA83" i="40" s="1"/>
  <c r="Z38" i="40"/>
  <c r="Z75" i="40" s="1"/>
  <c r="Y38" i="40"/>
  <c r="X38" i="40"/>
  <c r="W38" i="40"/>
  <c r="W75" i="40" s="1"/>
  <c r="V38" i="40"/>
  <c r="V75" i="40" s="1"/>
  <c r="V7" i="40" s="1"/>
  <c r="U38" i="40"/>
  <c r="T38" i="40"/>
  <c r="S38" i="40"/>
  <c r="R38" i="40"/>
  <c r="R75" i="40" s="1"/>
  <c r="Q38" i="40"/>
  <c r="P38" i="40"/>
  <c r="P75" i="40" s="1"/>
  <c r="O38" i="40"/>
  <c r="N38" i="40"/>
  <c r="M38" i="40"/>
  <c r="L38" i="40"/>
  <c r="K38" i="40"/>
  <c r="J38" i="40"/>
  <c r="I38" i="40"/>
  <c r="H38" i="40"/>
  <c r="G38" i="40"/>
  <c r="F38" i="40"/>
  <c r="E38" i="40"/>
  <c r="D38" i="40"/>
  <c r="C38" i="40"/>
  <c r="B38" i="40"/>
  <c r="B75" i="40" s="1"/>
  <c r="AI37" i="40"/>
  <c r="AH37" i="40"/>
  <c r="AI36" i="40"/>
  <c r="AH36" i="40"/>
  <c r="AI35" i="40"/>
  <c r="AH35" i="40"/>
  <c r="AI34" i="40"/>
  <c r="AH34" i="40"/>
  <c r="AI33" i="40"/>
  <c r="AH33" i="40"/>
  <c r="AI32" i="40"/>
  <c r="AH32" i="40"/>
  <c r="AI31" i="40"/>
  <c r="AH31" i="40"/>
  <c r="AI30" i="40"/>
  <c r="AH30" i="40"/>
  <c r="AI29" i="40"/>
  <c r="AH29" i="40"/>
  <c r="AI28" i="40"/>
  <c r="AH28" i="40"/>
  <c r="AI27" i="40"/>
  <c r="AH27" i="40"/>
  <c r="AI26" i="40"/>
  <c r="AH26" i="40"/>
  <c r="AI25" i="40"/>
  <c r="AH25" i="40"/>
  <c r="AI24" i="40"/>
  <c r="AH24" i="40"/>
  <c r="AI23" i="40"/>
  <c r="AH23" i="40"/>
  <c r="AI22" i="40"/>
  <c r="AH22" i="40"/>
  <c r="AI21" i="40"/>
  <c r="AH21" i="40"/>
  <c r="AI20" i="40"/>
  <c r="AH20" i="40"/>
  <c r="AI19" i="40"/>
  <c r="AH19" i="40"/>
  <c r="AI18" i="40"/>
  <c r="AH18" i="40"/>
  <c r="AI17" i="40"/>
  <c r="AH17" i="40"/>
  <c r="AI16" i="40"/>
  <c r="AH16" i="40"/>
  <c r="AI15" i="40"/>
  <c r="AH15" i="40"/>
  <c r="AI14" i="40"/>
  <c r="AH14" i="40"/>
  <c r="AI13" i="40"/>
  <c r="AH13" i="40"/>
  <c r="AI12" i="40"/>
  <c r="AH12" i="40"/>
  <c r="AI11" i="40"/>
  <c r="AH11" i="40"/>
  <c r="AF5" i="40"/>
  <c r="AE5" i="40"/>
  <c r="AC5" i="40"/>
  <c r="Z5" i="40"/>
  <c r="Y5" i="40"/>
  <c r="X5" i="40"/>
  <c r="W5" i="40"/>
  <c r="U5" i="40"/>
  <c r="R5" i="40"/>
  <c r="Q5" i="40"/>
  <c r="P5" i="40"/>
  <c r="O5" i="40"/>
  <c r="M5" i="40"/>
  <c r="E5" i="40"/>
  <c r="B5" i="40"/>
  <c r="AG4" i="40"/>
  <c r="K4" i="40"/>
  <c r="B4" i="40"/>
  <c r="AF37" i="38"/>
  <c r="AE37" i="38"/>
  <c r="AD37" i="38"/>
  <c r="AC37" i="38"/>
  <c r="AB37" i="38"/>
  <c r="AA95" i="38"/>
  <c r="AA37" i="38"/>
  <c r="Z95" i="38"/>
  <c r="Z37" i="38"/>
  <c r="Y95" i="38"/>
  <c r="Y37" i="38"/>
  <c r="X95" i="38"/>
  <c r="X37" i="38"/>
  <c r="W95" i="38"/>
  <c r="W37" i="38"/>
  <c r="V37" i="38"/>
  <c r="U95" i="38"/>
  <c r="U37" i="38"/>
  <c r="T95" i="38"/>
  <c r="T37" i="38"/>
  <c r="S95" i="38"/>
  <c r="R68" i="38"/>
  <c r="S37" i="38"/>
  <c r="Q75" i="38"/>
  <c r="Q68" i="38"/>
  <c r="Q56" i="38"/>
  <c r="R56" i="38"/>
  <c r="R37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AI37" i="38" s="1"/>
  <c r="D95" i="38"/>
  <c r="D37" i="38"/>
  <c r="C95" i="38"/>
  <c r="C37" i="38"/>
  <c r="B37" i="38"/>
  <c r="AH101" i="38"/>
  <c r="AI101" i="38" s="1"/>
  <c r="B105" i="38"/>
  <c r="B104" i="38"/>
  <c r="B93" i="38"/>
  <c r="B68" i="38"/>
  <c r="B56" i="38"/>
  <c r="B52" i="38"/>
  <c r="B38" i="38"/>
  <c r="AF240" i="38"/>
  <c r="AE240" i="38"/>
  <c r="AD240" i="38"/>
  <c r="AC240" i="38"/>
  <c r="AB240" i="38"/>
  <c r="AA240" i="38"/>
  <c r="Z240" i="38"/>
  <c r="Y240" i="38"/>
  <c r="X240" i="38"/>
  <c r="W240" i="38"/>
  <c r="V240" i="38"/>
  <c r="U240" i="38"/>
  <c r="T240" i="38"/>
  <c r="S240" i="38"/>
  <c r="R240" i="38"/>
  <c r="Q240" i="38"/>
  <c r="P240" i="38"/>
  <c r="O240" i="38"/>
  <c r="N240" i="38"/>
  <c r="M240" i="38"/>
  <c r="L240" i="38"/>
  <c r="K240" i="38"/>
  <c r="J240" i="38"/>
  <c r="I240" i="38"/>
  <c r="H240" i="38"/>
  <c r="G240" i="38"/>
  <c r="F240" i="38"/>
  <c r="E240" i="38"/>
  <c r="D240" i="38"/>
  <c r="C240" i="38"/>
  <c r="B240" i="38"/>
  <c r="A240" i="38"/>
  <c r="AF239" i="38"/>
  <c r="AE239" i="38"/>
  <c r="AD239" i="38"/>
  <c r="AC239" i="38"/>
  <c r="AB239" i="38"/>
  <c r="AA239" i="38"/>
  <c r="Z239" i="38"/>
  <c r="Y239" i="38"/>
  <c r="X239" i="38"/>
  <c r="W239" i="38"/>
  <c r="V239" i="38"/>
  <c r="U239" i="38"/>
  <c r="T239" i="38"/>
  <c r="S239" i="38"/>
  <c r="R239" i="38"/>
  <c r="Q239" i="38"/>
  <c r="P239" i="38"/>
  <c r="O239" i="38"/>
  <c r="N239" i="38"/>
  <c r="M239" i="38"/>
  <c r="L239" i="38"/>
  <c r="K239" i="38"/>
  <c r="J239" i="38"/>
  <c r="I239" i="38"/>
  <c r="H239" i="38"/>
  <c r="G239" i="38"/>
  <c r="F239" i="38"/>
  <c r="E239" i="38"/>
  <c r="D239" i="38"/>
  <c r="C239" i="38"/>
  <c r="B239" i="38"/>
  <c r="A239" i="38"/>
  <c r="AF238" i="38"/>
  <c r="AE238" i="38"/>
  <c r="AD238" i="38"/>
  <c r="AC238" i="38"/>
  <c r="AB238" i="38"/>
  <c r="AA238" i="38"/>
  <c r="Z238" i="38"/>
  <c r="Y238" i="38"/>
  <c r="X238" i="38"/>
  <c r="W238" i="38"/>
  <c r="V238" i="38"/>
  <c r="U238" i="38"/>
  <c r="T238" i="38"/>
  <c r="S238" i="38"/>
  <c r="R238" i="38"/>
  <c r="Q238" i="38"/>
  <c r="P238" i="38"/>
  <c r="O238" i="38"/>
  <c r="N238" i="38"/>
  <c r="M238" i="38"/>
  <c r="L238" i="38"/>
  <c r="K238" i="38"/>
  <c r="J238" i="38"/>
  <c r="I238" i="38"/>
  <c r="H238" i="38"/>
  <c r="G238" i="38"/>
  <c r="F238" i="38"/>
  <c r="E238" i="38"/>
  <c r="D238" i="38"/>
  <c r="C238" i="38"/>
  <c r="B238" i="38"/>
  <c r="A238" i="38"/>
  <c r="AF237" i="38"/>
  <c r="AE237" i="38"/>
  <c r="AD237" i="38"/>
  <c r="AC237" i="38"/>
  <c r="AB237" i="38"/>
  <c r="AA237" i="38"/>
  <c r="Z237" i="38"/>
  <c r="Y237" i="38"/>
  <c r="X237" i="38"/>
  <c r="W237" i="38"/>
  <c r="V237" i="38"/>
  <c r="U237" i="38"/>
  <c r="T237" i="38"/>
  <c r="S237" i="38"/>
  <c r="R237" i="38"/>
  <c r="Q237" i="38"/>
  <c r="P237" i="38"/>
  <c r="O237" i="38"/>
  <c r="N237" i="38"/>
  <c r="M237" i="38"/>
  <c r="L237" i="38"/>
  <c r="K237" i="38"/>
  <c r="J237" i="38"/>
  <c r="I237" i="38"/>
  <c r="H237" i="38"/>
  <c r="G237" i="38"/>
  <c r="F237" i="38"/>
  <c r="E237" i="38"/>
  <c r="D237" i="38"/>
  <c r="C237" i="38"/>
  <c r="B237" i="38"/>
  <c r="A237" i="38"/>
  <c r="C236" i="38"/>
  <c r="B236" i="38"/>
  <c r="S211" i="38"/>
  <c r="AG201" i="38"/>
  <c r="C201" i="38"/>
  <c r="E200" i="38"/>
  <c r="D236" i="38" s="1"/>
  <c r="D200" i="38"/>
  <c r="D199" i="38"/>
  <c r="E199" i="38" s="1"/>
  <c r="F199" i="38" s="1"/>
  <c r="G199" i="38" s="1"/>
  <c r="H199" i="38" s="1"/>
  <c r="I199" i="38" s="1"/>
  <c r="J199" i="38" s="1"/>
  <c r="K199" i="38" s="1"/>
  <c r="L199" i="38" s="1"/>
  <c r="M199" i="38" s="1"/>
  <c r="N199" i="38" s="1"/>
  <c r="O199" i="38" s="1"/>
  <c r="P199" i="38" s="1"/>
  <c r="Q199" i="38" s="1"/>
  <c r="R199" i="38" s="1"/>
  <c r="S199" i="38" s="1"/>
  <c r="T199" i="38" s="1"/>
  <c r="U199" i="38" s="1"/>
  <c r="V199" i="38" s="1"/>
  <c r="W199" i="38" s="1"/>
  <c r="X199" i="38" s="1"/>
  <c r="Y199" i="38" s="1"/>
  <c r="Z199" i="38" s="1"/>
  <c r="AA199" i="38" s="1"/>
  <c r="AB199" i="38" s="1"/>
  <c r="AC199" i="38" s="1"/>
  <c r="AD199" i="38" s="1"/>
  <c r="AE199" i="38" s="1"/>
  <c r="AF199" i="38" s="1"/>
  <c r="B199" i="38" s="1"/>
  <c r="E198" i="38"/>
  <c r="F198" i="38" s="1"/>
  <c r="G198" i="38" s="1"/>
  <c r="H198" i="38" s="1"/>
  <c r="I198" i="38" s="1"/>
  <c r="J198" i="38" s="1"/>
  <c r="K198" i="38" s="1"/>
  <c r="L198" i="38" s="1"/>
  <c r="M198" i="38" s="1"/>
  <c r="N198" i="38" s="1"/>
  <c r="O198" i="38" s="1"/>
  <c r="P198" i="38" s="1"/>
  <c r="Q198" i="38" s="1"/>
  <c r="R198" i="38" s="1"/>
  <c r="S198" i="38" s="1"/>
  <c r="T198" i="38" s="1"/>
  <c r="U198" i="38" s="1"/>
  <c r="V198" i="38" s="1"/>
  <c r="W198" i="38" s="1"/>
  <c r="X198" i="38" s="1"/>
  <c r="Y198" i="38" s="1"/>
  <c r="Z198" i="38" s="1"/>
  <c r="AA198" i="38" s="1"/>
  <c r="AB198" i="38" s="1"/>
  <c r="AC198" i="38" s="1"/>
  <c r="AD198" i="38" s="1"/>
  <c r="AE198" i="38" s="1"/>
  <c r="AF198" i="38" s="1"/>
  <c r="B198" i="38" s="1"/>
  <c r="D198" i="38"/>
  <c r="D201" i="38" s="1"/>
  <c r="E197" i="38"/>
  <c r="F197" i="38" s="1"/>
  <c r="G197" i="38" s="1"/>
  <c r="H197" i="38" s="1"/>
  <c r="I197" i="38" s="1"/>
  <c r="J197" i="38" s="1"/>
  <c r="K197" i="38" s="1"/>
  <c r="L197" i="38" s="1"/>
  <c r="M197" i="38" s="1"/>
  <c r="N197" i="38" s="1"/>
  <c r="O197" i="38" s="1"/>
  <c r="P197" i="38" s="1"/>
  <c r="Q197" i="38" s="1"/>
  <c r="R197" i="38" s="1"/>
  <c r="S197" i="38" s="1"/>
  <c r="T197" i="38" s="1"/>
  <c r="U197" i="38" s="1"/>
  <c r="V197" i="38" s="1"/>
  <c r="W197" i="38" s="1"/>
  <c r="X197" i="38" s="1"/>
  <c r="Y197" i="38" s="1"/>
  <c r="Z197" i="38" s="1"/>
  <c r="AA197" i="38" s="1"/>
  <c r="AB197" i="38" s="1"/>
  <c r="AC197" i="38" s="1"/>
  <c r="AD197" i="38" s="1"/>
  <c r="AE197" i="38" s="1"/>
  <c r="AF197" i="38" s="1"/>
  <c r="B197" i="38" s="1"/>
  <c r="D197" i="38"/>
  <c r="E196" i="38"/>
  <c r="F196" i="38" s="1"/>
  <c r="G196" i="38" s="1"/>
  <c r="H196" i="38" s="1"/>
  <c r="I196" i="38" s="1"/>
  <c r="J196" i="38" s="1"/>
  <c r="K196" i="38" s="1"/>
  <c r="L196" i="38" s="1"/>
  <c r="M196" i="38" s="1"/>
  <c r="N196" i="38" s="1"/>
  <c r="O196" i="38" s="1"/>
  <c r="P196" i="38" s="1"/>
  <c r="Q196" i="38" s="1"/>
  <c r="R196" i="38" s="1"/>
  <c r="S196" i="38" s="1"/>
  <c r="T196" i="38" s="1"/>
  <c r="U196" i="38" s="1"/>
  <c r="V196" i="38" s="1"/>
  <c r="W196" i="38" s="1"/>
  <c r="X196" i="38" s="1"/>
  <c r="Y196" i="38" s="1"/>
  <c r="Z196" i="38" s="1"/>
  <c r="AA196" i="38" s="1"/>
  <c r="AB196" i="38" s="1"/>
  <c r="AC196" i="38" s="1"/>
  <c r="AD196" i="38" s="1"/>
  <c r="AE196" i="38" s="1"/>
  <c r="AF196" i="38" s="1"/>
  <c r="B196" i="38" s="1"/>
  <c r="D196" i="38"/>
  <c r="F195" i="38"/>
  <c r="D195" i="38"/>
  <c r="E195" i="38" s="1"/>
  <c r="E201" i="38" s="1"/>
  <c r="AG193" i="38"/>
  <c r="C193" i="38"/>
  <c r="Q192" i="38"/>
  <c r="R192" i="38" s="1"/>
  <c r="S192" i="38" s="1"/>
  <c r="T192" i="38" s="1"/>
  <c r="U192" i="38" s="1"/>
  <c r="V192" i="38" s="1"/>
  <c r="W192" i="38" s="1"/>
  <c r="X192" i="38" s="1"/>
  <c r="Y192" i="38" s="1"/>
  <c r="Z192" i="38" s="1"/>
  <c r="AA192" i="38" s="1"/>
  <c r="AB192" i="38" s="1"/>
  <c r="AC192" i="38" s="1"/>
  <c r="AD192" i="38" s="1"/>
  <c r="AE192" i="38" s="1"/>
  <c r="AF192" i="38" s="1"/>
  <c r="B192" i="38" s="1"/>
  <c r="E192" i="38"/>
  <c r="F192" i="38" s="1"/>
  <c r="G192" i="38" s="1"/>
  <c r="H192" i="38" s="1"/>
  <c r="I192" i="38" s="1"/>
  <c r="J192" i="38" s="1"/>
  <c r="K192" i="38" s="1"/>
  <c r="L192" i="38" s="1"/>
  <c r="M192" i="38" s="1"/>
  <c r="N192" i="38" s="1"/>
  <c r="O192" i="38" s="1"/>
  <c r="P192" i="38" s="1"/>
  <c r="D192" i="38"/>
  <c r="O191" i="38"/>
  <c r="P191" i="38" s="1"/>
  <c r="Q191" i="38" s="1"/>
  <c r="R191" i="38" s="1"/>
  <c r="S191" i="38" s="1"/>
  <c r="T191" i="38" s="1"/>
  <c r="U191" i="38" s="1"/>
  <c r="V191" i="38" s="1"/>
  <c r="W191" i="38" s="1"/>
  <c r="X191" i="38" s="1"/>
  <c r="Y191" i="38" s="1"/>
  <c r="Z191" i="38" s="1"/>
  <c r="AA191" i="38" s="1"/>
  <c r="AB191" i="38" s="1"/>
  <c r="AC191" i="38" s="1"/>
  <c r="AD191" i="38" s="1"/>
  <c r="AE191" i="38" s="1"/>
  <c r="AF191" i="38" s="1"/>
  <c r="B191" i="38" s="1"/>
  <c r="G191" i="38"/>
  <c r="H191" i="38" s="1"/>
  <c r="I191" i="38" s="1"/>
  <c r="J191" i="38" s="1"/>
  <c r="K191" i="38" s="1"/>
  <c r="L191" i="38" s="1"/>
  <c r="M191" i="38" s="1"/>
  <c r="N191" i="38" s="1"/>
  <c r="E191" i="38"/>
  <c r="F191" i="38" s="1"/>
  <c r="D191" i="38"/>
  <c r="F190" i="38"/>
  <c r="G190" i="38" s="1"/>
  <c r="H190" i="38" s="1"/>
  <c r="I190" i="38" s="1"/>
  <c r="J190" i="38" s="1"/>
  <c r="K190" i="38" s="1"/>
  <c r="L190" i="38" s="1"/>
  <c r="M190" i="38" s="1"/>
  <c r="N190" i="38" s="1"/>
  <c r="O190" i="38" s="1"/>
  <c r="P190" i="38" s="1"/>
  <c r="Q190" i="38" s="1"/>
  <c r="R190" i="38" s="1"/>
  <c r="S190" i="38" s="1"/>
  <c r="T190" i="38" s="1"/>
  <c r="U190" i="38" s="1"/>
  <c r="V190" i="38" s="1"/>
  <c r="W190" i="38" s="1"/>
  <c r="X190" i="38" s="1"/>
  <c r="Y190" i="38" s="1"/>
  <c r="Z190" i="38" s="1"/>
  <c r="AA190" i="38" s="1"/>
  <c r="AB190" i="38" s="1"/>
  <c r="AC190" i="38" s="1"/>
  <c r="AD190" i="38" s="1"/>
  <c r="AE190" i="38" s="1"/>
  <c r="AF190" i="38" s="1"/>
  <c r="B190" i="38" s="1"/>
  <c r="E190" i="38"/>
  <c r="D190" i="38"/>
  <c r="E189" i="38"/>
  <c r="F189" i="38" s="1"/>
  <c r="G189" i="38" s="1"/>
  <c r="H189" i="38" s="1"/>
  <c r="I189" i="38" s="1"/>
  <c r="J189" i="38" s="1"/>
  <c r="K189" i="38" s="1"/>
  <c r="L189" i="38" s="1"/>
  <c r="M189" i="38" s="1"/>
  <c r="N189" i="38" s="1"/>
  <c r="O189" i="38" s="1"/>
  <c r="P189" i="38" s="1"/>
  <c r="Q189" i="38" s="1"/>
  <c r="R189" i="38" s="1"/>
  <c r="S189" i="38" s="1"/>
  <c r="T189" i="38" s="1"/>
  <c r="U189" i="38" s="1"/>
  <c r="V189" i="38" s="1"/>
  <c r="W189" i="38" s="1"/>
  <c r="X189" i="38" s="1"/>
  <c r="Y189" i="38" s="1"/>
  <c r="Z189" i="38" s="1"/>
  <c r="AA189" i="38" s="1"/>
  <c r="AB189" i="38" s="1"/>
  <c r="AC189" i="38" s="1"/>
  <c r="AD189" i="38" s="1"/>
  <c r="AE189" i="38" s="1"/>
  <c r="AF189" i="38" s="1"/>
  <c r="B189" i="38" s="1"/>
  <c r="D189" i="38"/>
  <c r="G188" i="38"/>
  <c r="H188" i="38" s="1"/>
  <c r="I188" i="38" s="1"/>
  <c r="J188" i="38" s="1"/>
  <c r="K188" i="38" s="1"/>
  <c r="L188" i="38" s="1"/>
  <c r="M188" i="38" s="1"/>
  <c r="N188" i="38" s="1"/>
  <c r="O188" i="38" s="1"/>
  <c r="P188" i="38" s="1"/>
  <c r="Q188" i="38" s="1"/>
  <c r="R188" i="38" s="1"/>
  <c r="S188" i="38" s="1"/>
  <c r="T188" i="38" s="1"/>
  <c r="U188" i="38" s="1"/>
  <c r="V188" i="38" s="1"/>
  <c r="W188" i="38" s="1"/>
  <c r="X188" i="38" s="1"/>
  <c r="Y188" i="38" s="1"/>
  <c r="Z188" i="38" s="1"/>
  <c r="AA188" i="38" s="1"/>
  <c r="AB188" i="38" s="1"/>
  <c r="AC188" i="38" s="1"/>
  <c r="AD188" i="38" s="1"/>
  <c r="AE188" i="38" s="1"/>
  <c r="AF188" i="38" s="1"/>
  <c r="B188" i="38" s="1"/>
  <c r="E188" i="38"/>
  <c r="F188" i="38" s="1"/>
  <c r="D188" i="38"/>
  <c r="E187" i="38"/>
  <c r="F187" i="38" s="1"/>
  <c r="G187" i="38" s="1"/>
  <c r="H187" i="38" s="1"/>
  <c r="I187" i="38" s="1"/>
  <c r="J187" i="38" s="1"/>
  <c r="K187" i="38" s="1"/>
  <c r="L187" i="38" s="1"/>
  <c r="M187" i="38" s="1"/>
  <c r="N187" i="38" s="1"/>
  <c r="O187" i="38" s="1"/>
  <c r="P187" i="38" s="1"/>
  <c r="Q187" i="38" s="1"/>
  <c r="R187" i="38" s="1"/>
  <c r="S187" i="38" s="1"/>
  <c r="T187" i="38" s="1"/>
  <c r="U187" i="38" s="1"/>
  <c r="V187" i="38" s="1"/>
  <c r="W187" i="38" s="1"/>
  <c r="X187" i="38" s="1"/>
  <c r="Y187" i="38" s="1"/>
  <c r="Z187" i="38" s="1"/>
  <c r="AA187" i="38" s="1"/>
  <c r="AB187" i="38" s="1"/>
  <c r="AC187" i="38" s="1"/>
  <c r="AD187" i="38" s="1"/>
  <c r="AE187" i="38" s="1"/>
  <c r="AF187" i="38" s="1"/>
  <c r="B187" i="38" s="1"/>
  <c r="D187" i="38"/>
  <c r="H186" i="38"/>
  <c r="I186" i="38" s="1"/>
  <c r="J186" i="38" s="1"/>
  <c r="K186" i="38" s="1"/>
  <c r="L186" i="38" s="1"/>
  <c r="M186" i="38" s="1"/>
  <c r="N186" i="38" s="1"/>
  <c r="O186" i="38" s="1"/>
  <c r="P186" i="38" s="1"/>
  <c r="Q186" i="38" s="1"/>
  <c r="R186" i="38" s="1"/>
  <c r="S186" i="38" s="1"/>
  <c r="T186" i="38" s="1"/>
  <c r="U186" i="38" s="1"/>
  <c r="V186" i="38" s="1"/>
  <c r="W186" i="38" s="1"/>
  <c r="X186" i="38" s="1"/>
  <c r="Y186" i="38" s="1"/>
  <c r="Z186" i="38" s="1"/>
  <c r="AA186" i="38" s="1"/>
  <c r="AB186" i="38" s="1"/>
  <c r="AC186" i="38" s="1"/>
  <c r="AD186" i="38" s="1"/>
  <c r="AE186" i="38" s="1"/>
  <c r="AF186" i="38" s="1"/>
  <c r="B186" i="38" s="1"/>
  <c r="E186" i="38"/>
  <c r="F186" i="38" s="1"/>
  <c r="G186" i="38" s="1"/>
  <c r="D186" i="38"/>
  <c r="D185" i="38"/>
  <c r="E185" i="38" s="1"/>
  <c r="F185" i="38" s="1"/>
  <c r="G185" i="38" s="1"/>
  <c r="H185" i="38" s="1"/>
  <c r="I185" i="38" s="1"/>
  <c r="J185" i="38" s="1"/>
  <c r="K185" i="38" s="1"/>
  <c r="L185" i="38" s="1"/>
  <c r="M185" i="38" s="1"/>
  <c r="N185" i="38" s="1"/>
  <c r="O185" i="38" s="1"/>
  <c r="P185" i="38" s="1"/>
  <c r="Q185" i="38" s="1"/>
  <c r="R185" i="38" s="1"/>
  <c r="S185" i="38" s="1"/>
  <c r="T185" i="38" s="1"/>
  <c r="U185" i="38" s="1"/>
  <c r="V185" i="38" s="1"/>
  <c r="W185" i="38" s="1"/>
  <c r="X185" i="38" s="1"/>
  <c r="Y185" i="38" s="1"/>
  <c r="Z185" i="38" s="1"/>
  <c r="AA185" i="38" s="1"/>
  <c r="AB185" i="38" s="1"/>
  <c r="AC185" i="38" s="1"/>
  <c r="AD185" i="38" s="1"/>
  <c r="AE185" i="38" s="1"/>
  <c r="AF185" i="38" s="1"/>
  <c r="B185" i="38" s="1"/>
  <c r="E184" i="38"/>
  <c r="F184" i="38" s="1"/>
  <c r="G184" i="38" s="1"/>
  <c r="H184" i="38" s="1"/>
  <c r="I184" i="38" s="1"/>
  <c r="J184" i="38" s="1"/>
  <c r="K184" i="38" s="1"/>
  <c r="L184" i="38" s="1"/>
  <c r="M184" i="38" s="1"/>
  <c r="N184" i="38" s="1"/>
  <c r="O184" i="38" s="1"/>
  <c r="P184" i="38" s="1"/>
  <c r="Q184" i="38" s="1"/>
  <c r="R184" i="38" s="1"/>
  <c r="S184" i="38" s="1"/>
  <c r="T184" i="38" s="1"/>
  <c r="U184" i="38" s="1"/>
  <c r="V184" i="38" s="1"/>
  <c r="W184" i="38" s="1"/>
  <c r="X184" i="38" s="1"/>
  <c r="Y184" i="38" s="1"/>
  <c r="Z184" i="38" s="1"/>
  <c r="AA184" i="38" s="1"/>
  <c r="AB184" i="38" s="1"/>
  <c r="AC184" i="38" s="1"/>
  <c r="AD184" i="38" s="1"/>
  <c r="AE184" i="38" s="1"/>
  <c r="AF184" i="38" s="1"/>
  <c r="B184" i="38" s="1"/>
  <c r="D184" i="38"/>
  <c r="E183" i="38"/>
  <c r="F183" i="38" s="1"/>
  <c r="G183" i="38" s="1"/>
  <c r="H183" i="38" s="1"/>
  <c r="I183" i="38" s="1"/>
  <c r="J183" i="38" s="1"/>
  <c r="K183" i="38" s="1"/>
  <c r="L183" i="38" s="1"/>
  <c r="M183" i="38" s="1"/>
  <c r="N183" i="38" s="1"/>
  <c r="O183" i="38" s="1"/>
  <c r="P183" i="38" s="1"/>
  <c r="Q183" i="38" s="1"/>
  <c r="R183" i="38" s="1"/>
  <c r="S183" i="38" s="1"/>
  <c r="T183" i="38" s="1"/>
  <c r="U183" i="38" s="1"/>
  <c r="V183" i="38" s="1"/>
  <c r="W183" i="38" s="1"/>
  <c r="X183" i="38" s="1"/>
  <c r="Y183" i="38" s="1"/>
  <c r="Z183" i="38" s="1"/>
  <c r="AA183" i="38" s="1"/>
  <c r="AB183" i="38" s="1"/>
  <c r="AC183" i="38" s="1"/>
  <c r="AD183" i="38" s="1"/>
  <c r="AE183" i="38" s="1"/>
  <c r="AF183" i="38" s="1"/>
  <c r="B183" i="38" s="1"/>
  <c r="D183" i="38"/>
  <c r="E182" i="38"/>
  <c r="F182" i="38" s="1"/>
  <c r="G182" i="38" s="1"/>
  <c r="H182" i="38" s="1"/>
  <c r="I182" i="38" s="1"/>
  <c r="J182" i="38" s="1"/>
  <c r="K182" i="38" s="1"/>
  <c r="L182" i="38" s="1"/>
  <c r="M182" i="38" s="1"/>
  <c r="N182" i="38" s="1"/>
  <c r="O182" i="38" s="1"/>
  <c r="P182" i="38" s="1"/>
  <c r="Q182" i="38" s="1"/>
  <c r="R182" i="38" s="1"/>
  <c r="S182" i="38" s="1"/>
  <c r="T182" i="38" s="1"/>
  <c r="U182" i="38" s="1"/>
  <c r="V182" i="38" s="1"/>
  <c r="W182" i="38" s="1"/>
  <c r="X182" i="38" s="1"/>
  <c r="Y182" i="38" s="1"/>
  <c r="Z182" i="38" s="1"/>
  <c r="AA182" i="38" s="1"/>
  <c r="AB182" i="38" s="1"/>
  <c r="AC182" i="38" s="1"/>
  <c r="AD182" i="38" s="1"/>
  <c r="AE182" i="38" s="1"/>
  <c r="AF182" i="38" s="1"/>
  <c r="B182" i="38" s="1"/>
  <c r="D182" i="38"/>
  <c r="I181" i="38"/>
  <c r="J181" i="38" s="1"/>
  <c r="K181" i="38" s="1"/>
  <c r="L181" i="38" s="1"/>
  <c r="M181" i="38" s="1"/>
  <c r="N181" i="38" s="1"/>
  <c r="O181" i="38" s="1"/>
  <c r="P181" i="38" s="1"/>
  <c r="Q181" i="38" s="1"/>
  <c r="R181" i="38" s="1"/>
  <c r="S181" i="38" s="1"/>
  <c r="T181" i="38" s="1"/>
  <c r="U181" i="38" s="1"/>
  <c r="V181" i="38" s="1"/>
  <c r="W181" i="38" s="1"/>
  <c r="X181" i="38" s="1"/>
  <c r="Y181" i="38" s="1"/>
  <c r="Z181" i="38" s="1"/>
  <c r="AA181" i="38" s="1"/>
  <c r="AB181" i="38" s="1"/>
  <c r="AC181" i="38" s="1"/>
  <c r="AD181" i="38" s="1"/>
  <c r="AE181" i="38" s="1"/>
  <c r="AF181" i="38" s="1"/>
  <c r="B181" i="38" s="1"/>
  <c r="G181" i="38"/>
  <c r="H181" i="38" s="1"/>
  <c r="D181" i="38"/>
  <c r="E181" i="38" s="1"/>
  <c r="F181" i="38" s="1"/>
  <c r="R180" i="38"/>
  <c r="S180" i="38" s="1"/>
  <c r="T180" i="38" s="1"/>
  <c r="U180" i="38" s="1"/>
  <c r="V180" i="38" s="1"/>
  <c r="W180" i="38" s="1"/>
  <c r="X180" i="38" s="1"/>
  <c r="Y180" i="38" s="1"/>
  <c r="Z180" i="38" s="1"/>
  <c r="AA180" i="38" s="1"/>
  <c r="AB180" i="38" s="1"/>
  <c r="AC180" i="38" s="1"/>
  <c r="AD180" i="38" s="1"/>
  <c r="AE180" i="38" s="1"/>
  <c r="AF180" i="38" s="1"/>
  <c r="B180" i="38" s="1"/>
  <c r="D180" i="38"/>
  <c r="E180" i="38" s="1"/>
  <c r="F180" i="38" s="1"/>
  <c r="G180" i="38" s="1"/>
  <c r="H180" i="38" s="1"/>
  <c r="I180" i="38" s="1"/>
  <c r="J180" i="38" s="1"/>
  <c r="K180" i="38" s="1"/>
  <c r="L180" i="38" s="1"/>
  <c r="M180" i="38" s="1"/>
  <c r="N180" i="38" s="1"/>
  <c r="O180" i="38" s="1"/>
  <c r="P180" i="38" s="1"/>
  <c r="Q180" i="38" s="1"/>
  <c r="E178" i="38"/>
  <c r="F178" i="38" s="1"/>
  <c r="G178" i="38" s="1"/>
  <c r="H178" i="38" s="1"/>
  <c r="I178" i="38" s="1"/>
  <c r="J178" i="38" s="1"/>
  <c r="K178" i="38" s="1"/>
  <c r="L178" i="38" s="1"/>
  <c r="M178" i="38" s="1"/>
  <c r="N178" i="38" s="1"/>
  <c r="O178" i="38" s="1"/>
  <c r="P178" i="38" s="1"/>
  <c r="Q178" i="38" s="1"/>
  <c r="R178" i="38" s="1"/>
  <c r="S178" i="38" s="1"/>
  <c r="T178" i="38" s="1"/>
  <c r="U178" i="38" s="1"/>
  <c r="V178" i="38" s="1"/>
  <c r="W178" i="38" s="1"/>
  <c r="X178" i="38" s="1"/>
  <c r="Y178" i="38" s="1"/>
  <c r="Z178" i="38" s="1"/>
  <c r="AA178" i="38" s="1"/>
  <c r="AB178" i="38" s="1"/>
  <c r="AC178" i="38" s="1"/>
  <c r="AD178" i="38" s="1"/>
  <c r="AE178" i="38" s="1"/>
  <c r="AF178" i="38" s="1"/>
  <c r="B178" i="38" s="1"/>
  <c r="D178" i="38"/>
  <c r="N177" i="38"/>
  <c r="O177" i="38" s="1"/>
  <c r="P177" i="38" s="1"/>
  <c r="Q177" i="38" s="1"/>
  <c r="R177" i="38" s="1"/>
  <c r="S177" i="38" s="1"/>
  <c r="T177" i="38" s="1"/>
  <c r="U177" i="38" s="1"/>
  <c r="V177" i="38" s="1"/>
  <c r="W177" i="38" s="1"/>
  <c r="X177" i="38" s="1"/>
  <c r="Y177" i="38" s="1"/>
  <c r="Z177" i="38" s="1"/>
  <c r="AA177" i="38" s="1"/>
  <c r="AB177" i="38" s="1"/>
  <c r="AC177" i="38" s="1"/>
  <c r="AD177" i="38" s="1"/>
  <c r="AE177" i="38" s="1"/>
  <c r="AF177" i="38" s="1"/>
  <c r="B177" i="38" s="1"/>
  <c r="F177" i="38"/>
  <c r="G177" i="38" s="1"/>
  <c r="H177" i="38" s="1"/>
  <c r="I177" i="38" s="1"/>
  <c r="J177" i="38" s="1"/>
  <c r="K177" i="38" s="1"/>
  <c r="L177" i="38" s="1"/>
  <c r="M177" i="38" s="1"/>
  <c r="E177" i="38"/>
  <c r="D177" i="38"/>
  <c r="P176" i="38"/>
  <c r="Q176" i="38" s="1"/>
  <c r="R176" i="38" s="1"/>
  <c r="S176" i="38" s="1"/>
  <c r="T176" i="38" s="1"/>
  <c r="U176" i="38" s="1"/>
  <c r="V176" i="38" s="1"/>
  <c r="W176" i="38" s="1"/>
  <c r="X176" i="38" s="1"/>
  <c r="Y176" i="38" s="1"/>
  <c r="Z176" i="38" s="1"/>
  <c r="AA176" i="38" s="1"/>
  <c r="AB176" i="38" s="1"/>
  <c r="AC176" i="38" s="1"/>
  <c r="AD176" i="38" s="1"/>
  <c r="AE176" i="38" s="1"/>
  <c r="AF176" i="38" s="1"/>
  <c r="B176" i="38" s="1"/>
  <c r="D176" i="38"/>
  <c r="E176" i="38" s="1"/>
  <c r="F176" i="38" s="1"/>
  <c r="G176" i="38" s="1"/>
  <c r="H176" i="38" s="1"/>
  <c r="I176" i="38" s="1"/>
  <c r="J176" i="38" s="1"/>
  <c r="K176" i="38" s="1"/>
  <c r="L176" i="38" s="1"/>
  <c r="M176" i="38" s="1"/>
  <c r="N176" i="38" s="1"/>
  <c r="O176" i="38" s="1"/>
  <c r="N175" i="38"/>
  <c r="O175" i="38" s="1"/>
  <c r="P175" i="38" s="1"/>
  <c r="Q175" i="38" s="1"/>
  <c r="R175" i="38" s="1"/>
  <c r="S175" i="38" s="1"/>
  <c r="T175" i="38" s="1"/>
  <c r="U175" i="38" s="1"/>
  <c r="V175" i="38" s="1"/>
  <c r="W175" i="38" s="1"/>
  <c r="X175" i="38" s="1"/>
  <c r="Y175" i="38" s="1"/>
  <c r="Z175" i="38" s="1"/>
  <c r="AA175" i="38" s="1"/>
  <c r="AB175" i="38" s="1"/>
  <c r="AC175" i="38" s="1"/>
  <c r="AD175" i="38" s="1"/>
  <c r="AE175" i="38" s="1"/>
  <c r="AF175" i="38" s="1"/>
  <c r="B175" i="38" s="1"/>
  <c r="F175" i="38"/>
  <c r="G175" i="38" s="1"/>
  <c r="H175" i="38" s="1"/>
  <c r="I175" i="38" s="1"/>
  <c r="J175" i="38" s="1"/>
  <c r="K175" i="38" s="1"/>
  <c r="L175" i="38" s="1"/>
  <c r="M175" i="38" s="1"/>
  <c r="D175" i="38"/>
  <c r="E175" i="38" s="1"/>
  <c r="D174" i="38"/>
  <c r="E174" i="38" s="1"/>
  <c r="F174" i="38" s="1"/>
  <c r="G174" i="38" s="1"/>
  <c r="H174" i="38" s="1"/>
  <c r="I174" i="38" s="1"/>
  <c r="J174" i="38" s="1"/>
  <c r="K174" i="38" s="1"/>
  <c r="L174" i="38" s="1"/>
  <c r="M174" i="38" s="1"/>
  <c r="N174" i="38" s="1"/>
  <c r="O174" i="38" s="1"/>
  <c r="P174" i="38" s="1"/>
  <c r="Q174" i="38" s="1"/>
  <c r="R174" i="38" s="1"/>
  <c r="S174" i="38" s="1"/>
  <c r="T174" i="38" s="1"/>
  <c r="U174" i="38" s="1"/>
  <c r="V174" i="38" s="1"/>
  <c r="W174" i="38" s="1"/>
  <c r="X174" i="38" s="1"/>
  <c r="Y174" i="38" s="1"/>
  <c r="Z174" i="38" s="1"/>
  <c r="AA174" i="38" s="1"/>
  <c r="AB174" i="38" s="1"/>
  <c r="AC174" i="38" s="1"/>
  <c r="AD174" i="38" s="1"/>
  <c r="AE174" i="38" s="1"/>
  <c r="AF174" i="38" s="1"/>
  <c r="B174" i="38" s="1"/>
  <c r="H173" i="38"/>
  <c r="I173" i="38" s="1"/>
  <c r="J173" i="38" s="1"/>
  <c r="K173" i="38" s="1"/>
  <c r="L173" i="38" s="1"/>
  <c r="M173" i="38" s="1"/>
  <c r="N173" i="38" s="1"/>
  <c r="O173" i="38" s="1"/>
  <c r="P173" i="38" s="1"/>
  <c r="Q173" i="38" s="1"/>
  <c r="R173" i="38" s="1"/>
  <c r="S173" i="38" s="1"/>
  <c r="T173" i="38" s="1"/>
  <c r="U173" i="38" s="1"/>
  <c r="V173" i="38" s="1"/>
  <c r="W173" i="38" s="1"/>
  <c r="X173" i="38" s="1"/>
  <c r="Y173" i="38" s="1"/>
  <c r="Z173" i="38" s="1"/>
  <c r="AA173" i="38" s="1"/>
  <c r="AB173" i="38" s="1"/>
  <c r="AC173" i="38" s="1"/>
  <c r="AD173" i="38" s="1"/>
  <c r="AE173" i="38" s="1"/>
  <c r="AF173" i="38" s="1"/>
  <c r="B173" i="38" s="1"/>
  <c r="G173" i="38"/>
  <c r="F173" i="38"/>
  <c r="E173" i="38"/>
  <c r="D173" i="38"/>
  <c r="D172" i="38"/>
  <c r="E172" i="38" s="1"/>
  <c r="F172" i="38" s="1"/>
  <c r="G172" i="38" s="1"/>
  <c r="H172" i="38" s="1"/>
  <c r="I172" i="38" s="1"/>
  <c r="J172" i="38" s="1"/>
  <c r="K172" i="38" s="1"/>
  <c r="L172" i="38" s="1"/>
  <c r="M172" i="38" s="1"/>
  <c r="N172" i="38" s="1"/>
  <c r="O172" i="38" s="1"/>
  <c r="P172" i="38" s="1"/>
  <c r="Q172" i="38" s="1"/>
  <c r="R172" i="38" s="1"/>
  <c r="S172" i="38" s="1"/>
  <c r="T172" i="38" s="1"/>
  <c r="U172" i="38" s="1"/>
  <c r="V172" i="38" s="1"/>
  <c r="W172" i="38" s="1"/>
  <c r="X172" i="38" s="1"/>
  <c r="Y172" i="38" s="1"/>
  <c r="Z172" i="38" s="1"/>
  <c r="AA172" i="38" s="1"/>
  <c r="AB172" i="38" s="1"/>
  <c r="AC172" i="38" s="1"/>
  <c r="AD172" i="38" s="1"/>
  <c r="AE172" i="38" s="1"/>
  <c r="AF172" i="38" s="1"/>
  <c r="B172" i="38" s="1"/>
  <c r="D171" i="38"/>
  <c r="E171" i="38" s="1"/>
  <c r="F171" i="38" s="1"/>
  <c r="G171" i="38" s="1"/>
  <c r="H171" i="38" s="1"/>
  <c r="I171" i="38" s="1"/>
  <c r="J171" i="38" s="1"/>
  <c r="K171" i="38" s="1"/>
  <c r="L171" i="38" s="1"/>
  <c r="M171" i="38" s="1"/>
  <c r="N171" i="38" s="1"/>
  <c r="O171" i="38" s="1"/>
  <c r="P171" i="38" s="1"/>
  <c r="Q171" i="38" s="1"/>
  <c r="R171" i="38" s="1"/>
  <c r="S171" i="38" s="1"/>
  <c r="T171" i="38" s="1"/>
  <c r="U171" i="38" s="1"/>
  <c r="V171" i="38" s="1"/>
  <c r="W171" i="38" s="1"/>
  <c r="X171" i="38" s="1"/>
  <c r="Y171" i="38" s="1"/>
  <c r="Z171" i="38" s="1"/>
  <c r="AA171" i="38" s="1"/>
  <c r="AB171" i="38" s="1"/>
  <c r="AC171" i="38" s="1"/>
  <c r="AD171" i="38" s="1"/>
  <c r="AE171" i="38" s="1"/>
  <c r="AF171" i="38" s="1"/>
  <c r="B171" i="38" s="1"/>
  <c r="D169" i="38"/>
  <c r="E169" i="38" s="1"/>
  <c r="F169" i="38" s="1"/>
  <c r="G169" i="38" s="1"/>
  <c r="H169" i="38" s="1"/>
  <c r="I169" i="38" s="1"/>
  <c r="J169" i="38" s="1"/>
  <c r="K169" i="38" s="1"/>
  <c r="L169" i="38" s="1"/>
  <c r="M169" i="38" s="1"/>
  <c r="N169" i="38" s="1"/>
  <c r="O169" i="38" s="1"/>
  <c r="P169" i="38" s="1"/>
  <c r="Q169" i="38" s="1"/>
  <c r="R169" i="38" s="1"/>
  <c r="S169" i="38" s="1"/>
  <c r="T169" i="38" s="1"/>
  <c r="U169" i="38" s="1"/>
  <c r="V169" i="38" s="1"/>
  <c r="W169" i="38" s="1"/>
  <c r="X169" i="38" s="1"/>
  <c r="Y169" i="38" s="1"/>
  <c r="Z169" i="38" s="1"/>
  <c r="AA169" i="38" s="1"/>
  <c r="AB169" i="38" s="1"/>
  <c r="AC169" i="38" s="1"/>
  <c r="AD169" i="38" s="1"/>
  <c r="AE169" i="38" s="1"/>
  <c r="AF169" i="38" s="1"/>
  <c r="B169" i="38" s="1"/>
  <c r="F168" i="38"/>
  <c r="G168" i="38" s="1"/>
  <c r="H168" i="38" s="1"/>
  <c r="I168" i="38" s="1"/>
  <c r="J168" i="38" s="1"/>
  <c r="K168" i="38" s="1"/>
  <c r="L168" i="38" s="1"/>
  <c r="M168" i="38" s="1"/>
  <c r="N168" i="38" s="1"/>
  <c r="O168" i="38" s="1"/>
  <c r="P168" i="38" s="1"/>
  <c r="Q168" i="38" s="1"/>
  <c r="R168" i="38" s="1"/>
  <c r="S168" i="38" s="1"/>
  <c r="T168" i="38" s="1"/>
  <c r="U168" i="38" s="1"/>
  <c r="V168" i="38" s="1"/>
  <c r="W168" i="38" s="1"/>
  <c r="X168" i="38" s="1"/>
  <c r="Y168" i="38" s="1"/>
  <c r="Z168" i="38" s="1"/>
  <c r="AA168" i="38" s="1"/>
  <c r="AB168" i="38" s="1"/>
  <c r="AC168" i="38" s="1"/>
  <c r="AD168" i="38" s="1"/>
  <c r="AE168" i="38" s="1"/>
  <c r="AF168" i="38" s="1"/>
  <c r="B168" i="38" s="1"/>
  <c r="E168" i="38"/>
  <c r="D168" i="38"/>
  <c r="H167" i="38"/>
  <c r="I167" i="38" s="1"/>
  <c r="J167" i="38" s="1"/>
  <c r="K167" i="38" s="1"/>
  <c r="L167" i="38" s="1"/>
  <c r="M167" i="38" s="1"/>
  <c r="N167" i="38" s="1"/>
  <c r="O167" i="38" s="1"/>
  <c r="P167" i="38" s="1"/>
  <c r="Q167" i="38" s="1"/>
  <c r="R167" i="38" s="1"/>
  <c r="S167" i="38" s="1"/>
  <c r="T167" i="38" s="1"/>
  <c r="U167" i="38" s="1"/>
  <c r="V167" i="38" s="1"/>
  <c r="W167" i="38" s="1"/>
  <c r="X167" i="38" s="1"/>
  <c r="Y167" i="38" s="1"/>
  <c r="Z167" i="38" s="1"/>
  <c r="AA167" i="38" s="1"/>
  <c r="AB167" i="38" s="1"/>
  <c r="AC167" i="38" s="1"/>
  <c r="AD167" i="38" s="1"/>
  <c r="AE167" i="38" s="1"/>
  <c r="AF167" i="38" s="1"/>
  <c r="B167" i="38" s="1"/>
  <c r="D167" i="38"/>
  <c r="E167" i="38" s="1"/>
  <c r="F167" i="38" s="1"/>
  <c r="G167" i="38" s="1"/>
  <c r="R166" i="38"/>
  <c r="S166" i="38" s="1"/>
  <c r="T166" i="38" s="1"/>
  <c r="U166" i="38" s="1"/>
  <c r="V166" i="38" s="1"/>
  <c r="W166" i="38" s="1"/>
  <c r="X166" i="38" s="1"/>
  <c r="Y166" i="38" s="1"/>
  <c r="Z166" i="38" s="1"/>
  <c r="AA166" i="38" s="1"/>
  <c r="AB166" i="38" s="1"/>
  <c r="AC166" i="38" s="1"/>
  <c r="AD166" i="38" s="1"/>
  <c r="AE166" i="38" s="1"/>
  <c r="AF166" i="38" s="1"/>
  <c r="B166" i="38" s="1"/>
  <c r="F166" i="38"/>
  <c r="G166" i="38" s="1"/>
  <c r="H166" i="38" s="1"/>
  <c r="I166" i="38" s="1"/>
  <c r="J166" i="38" s="1"/>
  <c r="K166" i="38" s="1"/>
  <c r="L166" i="38" s="1"/>
  <c r="M166" i="38" s="1"/>
  <c r="N166" i="38" s="1"/>
  <c r="O166" i="38" s="1"/>
  <c r="P166" i="38" s="1"/>
  <c r="Q166" i="38" s="1"/>
  <c r="D166" i="38"/>
  <c r="E166" i="38" s="1"/>
  <c r="H165" i="38"/>
  <c r="I165" i="38" s="1"/>
  <c r="J165" i="38" s="1"/>
  <c r="K165" i="38" s="1"/>
  <c r="L165" i="38" s="1"/>
  <c r="M165" i="38" s="1"/>
  <c r="N165" i="38" s="1"/>
  <c r="O165" i="38" s="1"/>
  <c r="P165" i="38" s="1"/>
  <c r="Q165" i="38" s="1"/>
  <c r="R165" i="38" s="1"/>
  <c r="S165" i="38" s="1"/>
  <c r="T165" i="38" s="1"/>
  <c r="U165" i="38" s="1"/>
  <c r="V165" i="38" s="1"/>
  <c r="W165" i="38" s="1"/>
  <c r="X165" i="38" s="1"/>
  <c r="Y165" i="38" s="1"/>
  <c r="Z165" i="38" s="1"/>
  <c r="AA165" i="38" s="1"/>
  <c r="AB165" i="38" s="1"/>
  <c r="AC165" i="38" s="1"/>
  <c r="AD165" i="38" s="1"/>
  <c r="AE165" i="38" s="1"/>
  <c r="AF165" i="38" s="1"/>
  <c r="B165" i="38" s="1"/>
  <c r="D165" i="38"/>
  <c r="E165" i="38" s="1"/>
  <c r="F165" i="38" s="1"/>
  <c r="G165" i="38" s="1"/>
  <c r="R164" i="38"/>
  <c r="S164" i="38" s="1"/>
  <c r="T164" i="38" s="1"/>
  <c r="U164" i="38" s="1"/>
  <c r="V164" i="38" s="1"/>
  <c r="W164" i="38" s="1"/>
  <c r="X164" i="38" s="1"/>
  <c r="Y164" i="38" s="1"/>
  <c r="Z164" i="38" s="1"/>
  <c r="AA164" i="38" s="1"/>
  <c r="AB164" i="38" s="1"/>
  <c r="AC164" i="38" s="1"/>
  <c r="AD164" i="38" s="1"/>
  <c r="AE164" i="38" s="1"/>
  <c r="AF164" i="38" s="1"/>
  <c r="B164" i="38" s="1"/>
  <c r="F164" i="38"/>
  <c r="G164" i="38" s="1"/>
  <c r="H164" i="38" s="1"/>
  <c r="I164" i="38" s="1"/>
  <c r="J164" i="38" s="1"/>
  <c r="K164" i="38" s="1"/>
  <c r="L164" i="38" s="1"/>
  <c r="M164" i="38" s="1"/>
  <c r="N164" i="38" s="1"/>
  <c r="O164" i="38" s="1"/>
  <c r="P164" i="38" s="1"/>
  <c r="Q164" i="38" s="1"/>
  <c r="E164" i="38"/>
  <c r="D164" i="38"/>
  <c r="D163" i="38"/>
  <c r="E163" i="38" s="1"/>
  <c r="F163" i="38" s="1"/>
  <c r="G163" i="38" s="1"/>
  <c r="H163" i="38" s="1"/>
  <c r="I163" i="38" s="1"/>
  <c r="J163" i="38" s="1"/>
  <c r="K163" i="38" s="1"/>
  <c r="L163" i="38" s="1"/>
  <c r="M163" i="38" s="1"/>
  <c r="N163" i="38" s="1"/>
  <c r="O163" i="38" s="1"/>
  <c r="P163" i="38" s="1"/>
  <c r="Q163" i="38" s="1"/>
  <c r="R163" i="38" s="1"/>
  <c r="S163" i="38" s="1"/>
  <c r="T163" i="38" s="1"/>
  <c r="U163" i="38" s="1"/>
  <c r="V163" i="38" s="1"/>
  <c r="W163" i="38" s="1"/>
  <c r="X163" i="38" s="1"/>
  <c r="Y163" i="38" s="1"/>
  <c r="Z163" i="38" s="1"/>
  <c r="AA163" i="38" s="1"/>
  <c r="AB163" i="38" s="1"/>
  <c r="AC163" i="38" s="1"/>
  <c r="AD163" i="38" s="1"/>
  <c r="AE163" i="38" s="1"/>
  <c r="AF163" i="38" s="1"/>
  <c r="B163" i="38" s="1"/>
  <c r="J162" i="38"/>
  <c r="K162" i="38" s="1"/>
  <c r="L162" i="38" s="1"/>
  <c r="M162" i="38" s="1"/>
  <c r="N162" i="38" s="1"/>
  <c r="O162" i="38" s="1"/>
  <c r="P162" i="38" s="1"/>
  <c r="Q162" i="38" s="1"/>
  <c r="R162" i="38" s="1"/>
  <c r="S162" i="38" s="1"/>
  <c r="T162" i="38" s="1"/>
  <c r="U162" i="38" s="1"/>
  <c r="V162" i="38" s="1"/>
  <c r="W162" i="38" s="1"/>
  <c r="X162" i="38" s="1"/>
  <c r="Y162" i="38" s="1"/>
  <c r="Z162" i="38" s="1"/>
  <c r="AA162" i="38" s="1"/>
  <c r="AB162" i="38" s="1"/>
  <c r="AC162" i="38" s="1"/>
  <c r="AD162" i="38" s="1"/>
  <c r="AE162" i="38" s="1"/>
  <c r="AF162" i="38" s="1"/>
  <c r="B162" i="38" s="1"/>
  <c r="D162" i="38"/>
  <c r="E162" i="38" s="1"/>
  <c r="F162" i="38" s="1"/>
  <c r="G162" i="38" s="1"/>
  <c r="H162" i="38" s="1"/>
  <c r="I162" i="38" s="1"/>
  <c r="D161" i="38"/>
  <c r="E161" i="38" s="1"/>
  <c r="F161" i="38" s="1"/>
  <c r="G161" i="38" s="1"/>
  <c r="H161" i="38" s="1"/>
  <c r="I161" i="38" s="1"/>
  <c r="J161" i="38" s="1"/>
  <c r="K161" i="38" s="1"/>
  <c r="L161" i="38" s="1"/>
  <c r="M161" i="38" s="1"/>
  <c r="N161" i="38" s="1"/>
  <c r="O161" i="38" s="1"/>
  <c r="P161" i="38" s="1"/>
  <c r="Q161" i="38" s="1"/>
  <c r="R161" i="38" s="1"/>
  <c r="S161" i="38" s="1"/>
  <c r="T161" i="38" s="1"/>
  <c r="U161" i="38" s="1"/>
  <c r="V161" i="38" s="1"/>
  <c r="W161" i="38" s="1"/>
  <c r="X161" i="38" s="1"/>
  <c r="Y161" i="38" s="1"/>
  <c r="Z161" i="38" s="1"/>
  <c r="AA161" i="38" s="1"/>
  <c r="AB161" i="38" s="1"/>
  <c r="AC161" i="38" s="1"/>
  <c r="AD161" i="38" s="1"/>
  <c r="AE161" i="38" s="1"/>
  <c r="AF161" i="38" s="1"/>
  <c r="B161" i="38" s="1"/>
  <c r="F160" i="38"/>
  <c r="G160" i="38" s="1"/>
  <c r="H160" i="38" s="1"/>
  <c r="I160" i="38" s="1"/>
  <c r="J160" i="38" s="1"/>
  <c r="K160" i="38" s="1"/>
  <c r="L160" i="38" s="1"/>
  <c r="M160" i="38" s="1"/>
  <c r="N160" i="38" s="1"/>
  <c r="O160" i="38" s="1"/>
  <c r="P160" i="38" s="1"/>
  <c r="Q160" i="38" s="1"/>
  <c r="R160" i="38" s="1"/>
  <c r="S160" i="38" s="1"/>
  <c r="T160" i="38" s="1"/>
  <c r="U160" i="38" s="1"/>
  <c r="V160" i="38" s="1"/>
  <c r="W160" i="38" s="1"/>
  <c r="X160" i="38" s="1"/>
  <c r="Y160" i="38" s="1"/>
  <c r="Z160" i="38" s="1"/>
  <c r="AA160" i="38" s="1"/>
  <c r="AB160" i="38" s="1"/>
  <c r="AC160" i="38" s="1"/>
  <c r="AD160" i="38" s="1"/>
  <c r="AE160" i="38" s="1"/>
  <c r="AF160" i="38" s="1"/>
  <c r="B160" i="38" s="1"/>
  <c r="E160" i="38"/>
  <c r="D160" i="38"/>
  <c r="AB159" i="38"/>
  <c r="AC159" i="38" s="1"/>
  <c r="AD159" i="38" s="1"/>
  <c r="AE159" i="38" s="1"/>
  <c r="AF159" i="38" s="1"/>
  <c r="B159" i="38" s="1"/>
  <c r="D159" i="38"/>
  <c r="E159" i="38" s="1"/>
  <c r="F159" i="38" s="1"/>
  <c r="G159" i="38" s="1"/>
  <c r="H159" i="38" s="1"/>
  <c r="I159" i="38" s="1"/>
  <c r="J159" i="38" s="1"/>
  <c r="K159" i="38" s="1"/>
  <c r="L159" i="38" s="1"/>
  <c r="M159" i="38" s="1"/>
  <c r="N159" i="38" s="1"/>
  <c r="O159" i="38" s="1"/>
  <c r="P159" i="38" s="1"/>
  <c r="Q159" i="38" s="1"/>
  <c r="R159" i="38" s="1"/>
  <c r="S159" i="38" s="1"/>
  <c r="T159" i="38" s="1"/>
  <c r="U159" i="38" s="1"/>
  <c r="V159" i="38" s="1"/>
  <c r="W159" i="38" s="1"/>
  <c r="X159" i="38" s="1"/>
  <c r="Y159" i="38" s="1"/>
  <c r="Z159" i="38" s="1"/>
  <c r="AA159" i="38" s="1"/>
  <c r="S158" i="38"/>
  <c r="T158" i="38" s="1"/>
  <c r="U158" i="38" s="1"/>
  <c r="V158" i="38" s="1"/>
  <c r="W158" i="38" s="1"/>
  <c r="X158" i="38" s="1"/>
  <c r="Y158" i="38" s="1"/>
  <c r="Z158" i="38" s="1"/>
  <c r="AA158" i="38" s="1"/>
  <c r="AB158" i="38" s="1"/>
  <c r="AC158" i="38" s="1"/>
  <c r="AD158" i="38" s="1"/>
  <c r="AE158" i="38" s="1"/>
  <c r="AF158" i="38" s="1"/>
  <c r="B158" i="38" s="1"/>
  <c r="K158" i="38"/>
  <c r="L158" i="38" s="1"/>
  <c r="M158" i="38" s="1"/>
  <c r="N158" i="38" s="1"/>
  <c r="O158" i="38" s="1"/>
  <c r="P158" i="38" s="1"/>
  <c r="Q158" i="38" s="1"/>
  <c r="R158" i="38" s="1"/>
  <c r="E158" i="38"/>
  <c r="F158" i="38" s="1"/>
  <c r="G158" i="38" s="1"/>
  <c r="H158" i="38" s="1"/>
  <c r="I158" i="38" s="1"/>
  <c r="J158" i="38" s="1"/>
  <c r="D158" i="38"/>
  <c r="D157" i="38"/>
  <c r="E157" i="38" s="1"/>
  <c r="F157" i="38" s="1"/>
  <c r="G157" i="38" s="1"/>
  <c r="H157" i="38" s="1"/>
  <c r="I157" i="38" s="1"/>
  <c r="J157" i="38" s="1"/>
  <c r="K157" i="38" s="1"/>
  <c r="L157" i="38" s="1"/>
  <c r="M157" i="38" s="1"/>
  <c r="N157" i="38" s="1"/>
  <c r="O157" i="38" s="1"/>
  <c r="P157" i="38" s="1"/>
  <c r="Q157" i="38" s="1"/>
  <c r="R157" i="38" s="1"/>
  <c r="S157" i="38" s="1"/>
  <c r="T157" i="38" s="1"/>
  <c r="U157" i="38" s="1"/>
  <c r="V157" i="38" s="1"/>
  <c r="W157" i="38" s="1"/>
  <c r="X157" i="38" s="1"/>
  <c r="Y157" i="38" s="1"/>
  <c r="Z157" i="38" s="1"/>
  <c r="AA157" i="38" s="1"/>
  <c r="AB157" i="38" s="1"/>
  <c r="AC157" i="38" s="1"/>
  <c r="AD157" i="38" s="1"/>
  <c r="AE157" i="38" s="1"/>
  <c r="AF157" i="38" s="1"/>
  <c r="B157" i="38" s="1"/>
  <c r="Z155" i="38"/>
  <c r="AA155" i="38" s="1"/>
  <c r="AB155" i="38" s="1"/>
  <c r="AC155" i="38" s="1"/>
  <c r="AD155" i="38" s="1"/>
  <c r="AE155" i="38" s="1"/>
  <c r="AF155" i="38" s="1"/>
  <c r="B155" i="38" s="1"/>
  <c r="H155" i="38"/>
  <c r="I155" i="38" s="1"/>
  <c r="J155" i="38" s="1"/>
  <c r="K155" i="38" s="1"/>
  <c r="L155" i="38" s="1"/>
  <c r="M155" i="38" s="1"/>
  <c r="N155" i="38" s="1"/>
  <c r="O155" i="38" s="1"/>
  <c r="P155" i="38" s="1"/>
  <c r="Q155" i="38" s="1"/>
  <c r="R155" i="38" s="1"/>
  <c r="S155" i="38" s="1"/>
  <c r="T155" i="38" s="1"/>
  <c r="U155" i="38" s="1"/>
  <c r="V155" i="38" s="1"/>
  <c r="W155" i="38" s="1"/>
  <c r="X155" i="38" s="1"/>
  <c r="Y155" i="38" s="1"/>
  <c r="F155" i="38"/>
  <c r="G155" i="38" s="1"/>
  <c r="E155" i="38"/>
  <c r="D155" i="38"/>
  <c r="H154" i="38"/>
  <c r="I154" i="38" s="1"/>
  <c r="J154" i="38" s="1"/>
  <c r="K154" i="38" s="1"/>
  <c r="L154" i="38" s="1"/>
  <c r="M154" i="38" s="1"/>
  <c r="N154" i="38" s="1"/>
  <c r="O154" i="38" s="1"/>
  <c r="P154" i="38" s="1"/>
  <c r="Q154" i="38" s="1"/>
  <c r="R154" i="38" s="1"/>
  <c r="S154" i="38" s="1"/>
  <c r="T154" i="38" s="1"/>
  <c r="U154" i="38" s="1"/>
  <c r="V154" i="38" s="1"/>
  <c r="W154" i="38" s="1"/>
  <c r="X154" i="38" s="1"/>
  <c r="Y154" i="38" s="1"/>
  <c r="Z154" i="38" s="1"/>
  <c r="AA154" i="38" s="1"/>
  <c r="AB154" i="38" s="1"/>
  <c r="AC154" i="38" s="1"/>
  <c r="AD154" i="38" s="1"/>
  <c r="AE154" i="38" s="1"/>
  <c r="AF154" i="38" s="1"/>
  <c r="B154" i="38" s="1"/>
  <c r="D154" i="38"/>
  <c r="E154" i="38" s="1"/>
  <c r="F154" i="38" s="1"/>
  <c r="G154" i="38" s="1"/>
  <c r="F153" i="38"/>
  <c r="G153" i="38" s="1"/>
  <c r="H153" i="38" s="1"/>
  <c r="I153" i="38" s="1"/>
  <c r="J153" i="38" s="1"/>
  <c r="K153" i="38" s="1"/>
  <c r="L153" i="38" s="1"/>
  <c r="M153" i="38" s="1"/>
  <c r="N153" i="38" s="1"/>
  <c r="O153" i="38" s="1"/>
  <c r="P153" i="38" s="1"/>
  <c r="Q153" i="38" s="1"/>
  <c r="R153" i="38" s="1"/>
  <c r="S153" i="38" s="1"/>
  <c r="T153" i="38" s="1"/>
  <c r="U153" i="38" s="1"/>
  <c r="V153" i="38" s="1"/>
  <c r="W153" i="38" s="1"/>
  <c r="X153" i="38" s="1"/>
  <c r="Y153" i="38" s="1"/>
  <c r="Z153" i="38" s="1"/>
  <c r="AA153" i="38" s="1"/>
  <c r="AB153" i="38" s="1"/>
  <c r="AC153" i="38" s="1"/>
  <c r="AD153" i="38" s="1"/>
  <c r="AE153" i="38" s="1"/>
  <c r="AF153" i="38" s="1"/>
  <c r="B153" i="38" s="1"/>
  <c r="D153" i="38"/>
  <c r="E153" i="38" s="1"/>
  <c r="Q152" i="38"/>
  <c r="R152" i="38" s="1"/>
  <c r="S152" i="38" s="1"/>
  <c r="T152" i="38" s="1"/>
  <c r="U152" i="38" s="1"/>
  <c r="V152" i="38" s="1"/>
  <c r="W152" i="38" s="1"/>
  <c r="X152" i="38" s="1"/>
  <c r="Y152" i="38" s="1"/>
  <c r="Z152" i="38" s="1"/>
  <c r="AA152" i="38" s="1"/>
  <c r="AB152" i="38" s="1"/>
  <c r="AC152" i="38" s="1"/>
  <c r="AD152" i="38" s="1"/>
  <c r="AE152" i="38" s="1"/>
  <c r="AF152" i="38" s="1"/>
  <c r="B152" i="38" s="1"/>
  <c r="E152" i="38"/>
  <c r="F152" i="38" s="1"/>
  <c r="G152" i="38" s="1"/>
  <c r="H152" i="38" s="1"/>
  <c r="I152" i="38" s="1"/>
  <c r="J152" i="38" s="1"/>
  <c r="K152" i="38" s="1"/>
  <c r="L152" i="38" s="1"/>
  <c r="M152" i="38" s="1"/>
  <c r="N152" i="38" s="1"/>
  <c r="O152" i="38" s="1"/>
  <c r="P152" i="38" s="1"/>
  <c r="D152" i="38"/>
  <c r="E150" i="38"/>
  <c r="F150" i="38" s="1"/>
  <c r="G150" i="38" s="1"/>
  <c r="H150" i="38" s="1"/>
  <c r="I150" i="38" s="1"/>
  <c r="J150" i="38" s="1"/>
  <c r="K150" i="38" s="1"/>
  <c r="L150" i="38" s="1"/>
  <c r="M150" i="38" s="1"/>
  <c r="N150" i="38" s="1"/>
  <c r="O150" i="38" s="1"/>
  <c r="P150" i="38" s="1"/>
  <c r="Q150" i="38" s="1"/>
  <c r="R150" i="38" s="1"/>
  <c r="S150" i="38" s="1"/>
  <c r="T150" i="38" s="1"/>
  <c r="U150" i="38" s="1"/>
  <c r="V150" i="38" s="1"/>
  <c r="W150" i="38" s="1"/>
  <c r="X150" i="38" s="1"/>
  <c r="Y150" i="38" s="1"/>
  <c r="Z150" i="38" s="1"/>
  <c r="AA150" i="38" s="1"/>
  <c r="AB150" i="38" s="1"/>
  <c r="AC150" i="38" s="1"/>
  <c r="AD150" i="38" s="1"/>
  <c r="AE150" i="38" s="1"/>
  <c r="AF150" i="38" s="1"/>
  <c r="B150" i="38" s="1"/>
  <c r="D150" i="38"/>
  <c r="L149" i="38"/>
  <c r="M149" i="38" s="1"/>
  <c r="N149" i="38" s="1"/>
  <c r="O149" i="38" s="1"/>
  <c r="P149" i="38" s="1"/>
  <c r="Q149" i="38" s="1"/>
  <c r="R149" i="38" s="1"/>
  <c r="S149" i="38" s="1"/>
  <c r="T149" i="38" s="1"/>
  <c r="U149" i="38" s="1"/>
  <c r="V149" i="38" s="1"/>
  <c r="W149" i="38" s="1"/>
  <c r="X149" i="38" s="1"/>
  <c r="Y149" i="38" s="1"/>
  <c r="Z149" i="38" s="1"/>
  <c r="AA149" i="38" s="1"/>
  <c r="AB149" i="38" s="1"/>
  <c r="AC149" i="38" s="1"/>
  <c r="AD149" i="38" s="1"/>
  <c r="AE149" i="38" s="1"/>
  <c r="AF149" i="38" s="1"/>
  <c r="B149" i="38" s="1"/>
  <c r="F149" i="38"/>
  <c r="G149" i="38" s="1"/>
  <c r="H149" i="38" s="1"/>
  <c r="I149" i="38" s="1"/>
  <c r="J149" i="38" s="1"/>
  <c r="K149" i="38" s="1"/>
  <c r="E149" i="38"/>
  <c r="D149" i="38"/>
  <c r="D147" i="38"/>
  <c r="E147" i="38" s="1"/>
  <c r="F147" i="38" s="1"/>
  <c r="G147" i="38" s="1"/>
  <c r="H147" i="38" s="1"/>
  <c r="I147" i="38" s="1"/>
  <c r="J147" i="38" s="1"/>
  <c r="K147" i="38" s="1"/>
  <c r="L147" i="38" s="1"/>
  <c r="M147" i="38" s="1"/>
  <c r="N147" i="38" s="1"/>
  <c r="O147" i="38" s="1"/>
  <c r="P147" i="38" s="1"/>
  <c r="Q147" i="38" s="1"/>
  <c r="R147" i="38" s="1"/>
  <c r="S147" i="38" s="1"/>
  <c r="T147" i="38" s="1"/>
  <c r="U147" i="38" s="1"/>
  <c r="V147" i="38" s="1"/>
  <c r="W147" i="38" s="1"/>
  <c r="X147" i="38" s="1"/>
  <c r="Y147" i="38" s="1"/>
  <c r="Z147" i="38" s="1"/>
  <c r="AA147" i="38" s="1"/>
  <c r="AB147" i="38" s="1"/>
  <c r="AC147" i="38" s="1"/>
  <c r="AD147" i="38" s="1"/>
  <c r="AE147" i="38" s="1"/>
  <c r="AF147" i="38" s="1"/>
  <c r="B147" i="38" s="1"/>
  <c r="G146" i="38"/>
  <c r="H146" i="38" s="1"/>
  <c r="I146" i="38" s="1"/>
  <c r="J146" i="38" s="1"/>
  <c r="K146" i="38" s="1"/>
  <c r="L146" i="38" s="1"/>
  <c r="M146" i="38" s="1"/>
  <c r="N146" i="38" s="1"/>
  <c r="O146" i="38" s="1"/>
  <c r="P146" i="38" s="1"/>
  <c r="Q146" i="38" s="1"/>
  <c r="R146" i="38" s="1"/>
  <c r="S146" i="38" s="1"/>
  <c r="T146" i="38" s="1"/>
  <c r="U146" i="38" s="1"/>
  <c r="V146" i="38" s="1"/>
  <c r="W146" i="38" s="1"/>
  <c r="X146" i="38" s="1"/>
  <c r="Y146" i="38" s="1"/>
  <c r="Z146" i="38" s="1"/>
  <c r="AA146" i="38" s="1"/>
  <c r="AB146" i="38" s="1"/>
  <c r="AC146" i="38" s="1"/>
  <c r="AD146" i="38" s="1"/>
  <c r="AE146" i="38" s="1"/>
  <c r="AF146" i="38" s="1"/>
  <c r="B146" i="38" s="1"/>
  <c r="D146" i="38"/>
  <c r="E146" i="38" s="1"/>
  <c r="F146" i="38" s="1"/>
  <c r="D145" i="38"/>
  <c r="E145" i="38" s="1"/>
  <c r="F145" i="38" s="1"/>
  <c r="G145" i="38" s="1"/>
  <c r="H145" i="38" s="1"/>
  <c r="I145" i="38" s="1"/>
  <c r="J145" i="38" s="1"/>
  <c r="K145" i="38" s="1"/>
  <c r="L145" i="38" s="1"/>
  <c r="M145" i="38" s="1"/>
  <c r="N145" i="38" s="1"/>
  <c r="O145" i="38" s="1"/>
  <c r="P145" i="38" s="1"/>
  <c r="Q145" i="38" s="1"/>
  <c r="R145" i="38" s="1"/>
  <c r="S145" i="38" s="1"/>
  <c r="T145" i="38" s="1"/>
  <c r="U145" i="38" s="1"/>
  <c r="V145" i="38" s="1"/>
  <c r="W145" i="38" s="1"/>
  <c r="X145" i="38" s="1"/>
  <c r="Y145" i="38" s="1"/>
  <c r="Z145" i="38" s="1"/>
  <c r="AA145" i="38" s="1"/>
  <c r="AB145" i="38" s="1"/>
  <c r="AC145" i="38" s="1"/>
  <c r="AD145" i="38" s="1"/>
  <c r="AE145" i="38" s="1"/>
  <c r="AF145" i="38" s="1"/>
  <c r="B145" i="38" s="1"/>
  <c r="M144" i="38"/>
  <c r="N144" i="38" s="1"/>
  <c r="O144" i="38" s="1"/>
  <c r="P144" i="38" s="1"/>
  <c r="Q144" i="38" s="1"/>
  <c r="R144" i="38" s="1"/>
  <c r="S144" i="38" s="1"/>
  <c r="T144" i="38" s="1"/>
  <c r="U144" i="38" s="1"/>
  <c r="V144" i="38" s="1"/>
  <c r="W144" i="38" s="1"/>
  <c r="X144" i="38" s="1"/>
  <c r="Y144" i="38" s="1"/>
  <c r="Z144" i="38" s="1"/>
  <c r="AA144" i="38" s="1"/>
  <c r="AB144" i="38" s="1"/>
  <c r="AC144" i="38" s="1"/>
  <c r="AD144" i="38" s="1"/>
  <c r="AE144" i="38" s="1"/>
  <c r="AF144" i="38" s="1"/>
  <c r="B144" i="38" s="1"/>
  <c r="E144" i="38"/>
  <c r="F144" i="38" s="1"/>
  <c r="G144" i="38" s="1"/>
  <c r="H144" i="38" s="1"/>
  <c r="I144" i="38" s="1"/>
  <c r="J144" i="38" s="1"/>
  <c r="K144" i="38" s="1"/>
  <c r="L144" i="38" s="1"/>
  <c r="D144" i="38"/>
  <c r="R143" i="38"/>
  <c r="S143" i="38" s="1"/>
  <c r="T143" i="38" s="1"/>
  <c r="U143" i="38" s="1"/>
  <c r="V143" i="38" s="1"/>
  <c r="W143" i="38" s="1"/>
  <c r="X143" i="38" s="1"/>
  <c r="Y143" i="38" s="1"/>
  <c r="Z143" i="38" s="1"/>
  <c r="AA143" i="38" s="1"/>
  <c r="AB143" i="38" s="1"/>
  <c r="AC143" i="38" s="1"/>
  <c r="AD143" i="38" s="1"/>
  <c r="AE143" i="38" s="1"/>
  <c r="AF143" i="38" s="1"/>
  <c r="B143" i="38" s="1"/>
  <c r="F143" i="38"/>
  <c r="G143" i="38" s="1"/>
  <c r="H143" i="38" s="1"/>
  <c r="I143" i="38" s="1"/>
  <c r="J143" i="38" s="1"/>
  <c r="K143" i="38" s="1"/>
  <c r="L143" i="38" s="1"/>
  <c r="M143" i="38" s="1"/>
  <c r="N143" i="38" s="1"/>
  <c r="O143" i="38" s="1"/>
  <c r="P143" i="38" s="1"/>
  <c r="Q143" i="38" s="1"/>
  <c r="D143" i="38"/>
  <c r="E143" i="38" s="1"/>
  <c r="L142" i="38"/>
  <c r="M142" i="38" s="1"/>
  <c r="N142" i="38" s="1"/>
  <c r="O142" i="38" s="1"/>
  <c r="P142" i="38" s="1"/>
  <c r="Q142" i="38" s="1"/>
  <c r="R142" i="38" s="1"/>
  <c r="S142" i="38" s="1"/>
  <c r="T142" i="38" s="1"/>
  <c r="U142" i="38" s="1"/>
  <c r="V142" i="38" s="1"/>
  <c r="W142" i="38" s="1"/>
  <c r="X142" i="38" s="1"/>
  <c r="Y142" i="38" s="1"/>
  <c r="Z142" i="38" s="1"/>
  <c r="AA142" i="38" s="1"/>
  <c r="AB142" i="38" s="1"/>
  <c r="AC142" i="38" s="1"/>
  <c r="AD142" i="38" s="1"/>
  <c r="AE142" i="38" s="1"/>
  <c r="AF142" i="38" s="1"/>
  <c r="B142" i="38" s="1"/>
  <c r="D142" i="38"/>
  <c r="E142" i="38" s="1"/>
  <c r="F142" i="38" s="1"/>
  <c r="G142" i="38" s="1"/>
  <c r="H142" i="38" s="1"/>
  <c r="I142" i="38" s="1"/>
  <c r="J142" i="38" s="1"/>
  <c r="K142" i="38" s="1"/>
  <c r="D141" i="38"/>
  <c r="E141" i="38" s="1"/>
  <c r="F141" i="38" s="1"/>
  <c r="G141" i="38" s="1"/>
  <c r="H141" i="38" s="1"/>
  <c r="I141" i="38" s="1"/>
  <c r="J141" i="38" s="1"/>
  <c r="K141" i="38" s="1"/>
  <c r="L141" i="38" s="1"/>
  <c r="M141" i="38" s="1"/>
  <c r="N141" i="38" s="1"/>
  <c r="O141" i="38" s="1"/>
  <c r="P141" i="38" s="1"/>
  <c r="Q141" i="38" s="1"/>
  <c r="R141" i="38" s="1"/>
  <c r="S141" i="38" s="1"/>
  <c r="T141" i="38" s="1"/>
  <c r="U141" i="38" s="1"/>
  <c r="V141" i="38" s="1"/>
  <c r="W141" i="38" s="1"/>
  <c r="X141" i="38" s="1"/>
  <c r="Y141" i="38" s="1"/>
  <c r="Z141" i="38" s="1"/>
  <c r="AA141" i="38" s="1"/>
  <c r="AB141" i="38" s="1"/>
  <c r="AC141" i="38" s="1"/>
  <c r="AD141" i="38" s="1"/>
  <c r="AE141" i="38" s="1"/>
  <c r="AF141" i="38" s="1"/>
  <c r="B141" i="38" s="1"/>
  <c r="D139" i="38"/>
  <c r="E139" i="38" s="1"/>
  <c r="F139" i="38" s="1"/>
  <c r="G139" i="38" s="1"/>
  <c r="H139" i="38" s="1"/>
  <c r="I139" i="38" s="1"/>
  <c r="J139" i="38" s="1"/>
  <c r="K139" i="38" s="1"/>
  <c r="L139" i="38" s="1"/>
  <c r="M139" i="38" s="1"/>
  <c r="N139" i="38" s="1"/>
  <c r="O139" i="38" s="1"/>
  <c r="P139" i="38" s="1"/>
  <c r="Q139" i="38" s="1"/>
  <c r="R139" i="38" s="1"/>
  <c r="S139" i="38" s="1"/>
  <c r="T139" i="38" s="1"/>
  <c r="U139" i="38" s="1"/>
  <c r="V139" i="38" s="1"/>
  <c r="W139" i="38" s="1"/>
  <c r="X139" i="38" s="1"/>
  <c r="Y139" i="38" s="1"/>
  <c r="Z139" i="38" s="1"/>
  <c r="AA139" i="38" s="1"/>
  <c r="AB139" i="38" s="1"/>
  <c r="AC139" i="38" s="1"/>
  <c r="AD139" i="38" s="1"/>
  <c r="AE139" i="38" s="1"/>
  <c r="AF139" i="38" s="1"/>
  <c r="B139" i="38" s="1"/>
  <c r="D138" i="38"/>
  <c r="E138" i="38" s="1"/>
  <c r="F138" i="38" s="1"/>
  <c r="G138" i="38" s="1"/>
  <c r="H138" i="38" s="1"/>
  <c r="I138" i="38" s="1"/>
  <c r="J138" i="38" s="1"/>
  <c r="K138" i="38" s="1"/>
  <c r="L138" i="38" s="1"/>
  <c r="M138" i="38" s="1"/>
  <c r="N138" i="38" s="1"/>
  <c r="O138" i="38" s="1"/>
  <c r="P138" i="38" s="1"/>
  <c r="Q138" i="38" s="1"/>
  <c r="R138" i="38" s="1"/>
  <c r="S138" i="38" s="1"/>
  <c r="T138" i="38" s="1"/>
  <c r="U138" i="38" s="1"/>
  <c r="V138" i="38" s="1"/>
  <c r="W138" i="38" s="1"/>
  <c r="X138" i="38" s="1"/>
  <c r="Y138" i="38" s="1"/>
  <c r="Z138" i="38" s="1"/>
  <c r="AA138" i="38" s="1"/>
  <c r="AB138" i="38" s="1"/>
  <c r="AC138" i="38" s="1"/>
  <c r="AD138" i="38" s="1"/>
  <c r="AE138" i="38" s="1"/>
  <c r="AF138" i="38" s="1"/>
  <c r="B138" i="38" s="1"/>
  <c r="F137" i="38"/>
  <c r="G137" i="38" s="1"/>
  <c r="H137" i="38" s="1"/>
  <c r="I137" i="38" s="1"/>
  <c r="J137" i="38" s="1"/>
  <c r="K137" i="38" s="1"/>
  <c r="L137" i="38" s="1"/>
  <c r="M137" i="38" s="1"/>
  <c r="N137" i="38" s="1"/>
  <c r="O137" i="38" s="1"/>
  <c r="P137" i="38" s="1"/>
  <c r="Q137" i="38" s="1"/>
  <c r="R137" i="38" s="1"/>
  <c r="S137" i="38" s="1"/>
  <c r="T137" i="38" s="1"/>
  <c r="U137" i="38" s="1"/>
  <c r="V137" i="38" s="1"/>
  <c r="W137" i="38" s="1"/>
  <c r="X137" i="38" s="1"/>
  <c r="Y137" i="38" s="1"/>
  <c r="Z137" i="38" s="1"/>
  <c r="AA137" i="38" s="1"/>
  <c r="AB137" i="38" s="1"/>
  <c r="AC137" i="38" s="1"/>
  <c r="AD137" i="38" s="1"/>
  <c r="AE137" i="38" s="1"/>
  <c r="AF137" i="38" s="1"/>
  <c r="B137" i="38" s="1"/>
  <c r="D137" i="38"/>
  <c r="E137" i="38" s="1"/>
  <c r="F136" i="38"/>
  <c r="G136" i="38" s="1"/>
  <c r="H136" i="38" s="1"/>
  <c r="I136" i="38" s="1"/>
  <c r="J136" i="38" s="1"/>
  <c r="K136" i="38" s="1"/>
  <c r="L136" i="38" s="1"/>
  <c r="M136" i="38" s="1"/>
  <c r="N136" i="38" s="1"/>
  <c r="O136" i="38" s="1"/>
  <c r="P136" i="38" s="1"/>
  <c r="Q136" i="38" s="1"/>
  <c r="R136" i="38" s="1"/>
  <c r="S136" i="38" s="1"/>
  <c r="T136" i="38" s="1"/>
  <c r="U136" i="38" s="1"/>
  <c r="V136" i="38" s="1"/>
  <c r="W136" i="38" s="1"/>
  <c r="X136" i="38" s="1"/>
  <c r="Y136" i="38" s="1"/>
  <c r="Z136" i="38" s="1"/>
  <c r="AA136" i="38" s="1"/>
  <c r="AB136" i="38" s="1"/>
  <c r="AC136" i="38" s="1"/>
  <c r="AD136" i="38" s="1"/>
  <c r="AE136" i="38" s="1"/>
  <c r="AF136" i="38" s="1"/>
  <c r="B136" i="38" s="1"/>
  <c r="D136" i="38"/>
  <c r="E136" i="38" s="1"/>
  <c r="D135" i="38"/>
  <c r="E135" i="38" s="1"/>
  <c r="F135" i="38" s="1"/>
  <c r="G135" i="38" s="1"/>
  <c r="H135" i="38" s="1"/>
  <c r="I135" i="38" s="1"/>
  <c r="J135" i="38" s="1"/>
  <c r="K135" i="38" s="1"/>
  <c r="L135" i="38" s="1"/>
  <c r="M135" i="38" s="1"/>
  <c r="N135" i="38" s="1"/>
  <c r="O135" i="38" s="1"/>
  <c r="P135" i="38" s="1"/>
  <c r="Q135" i="38" s="1"/>
  <c r="R135" i="38" s="1"/>
  <c r="S135" i="38" s="1"/>
  <c r="T135" i="38" s="1"/>
  <c r="U135" i="38" s="1"/>
  <c r="V135" i="38" s="1"/>
  <c r="W135" i="38" s="1"/>
  <c r="X135" i="38" s="1"/>
  <c r="Y135" i="38" s="1"/>
  <c r="Z135" i="38" s="1"/>
  <c r="AA135" i="38" s="1"/>
  <c r="AB135" i="38" s="1"/>
  <c r="AC135" i="38" s="1"/>
  <c r="AD135" i="38" s="1"/>
  <c r="AE135" i="38" s="1"/>
  <c r="AF135" i="38" s="1"/>
  <c r="B135" i="38" s="1"/>
  <c r="E134" i="38"/>
  <c r="F134" i="38" s="1"/>
  <c r="G134" i="38" s="1"/>
  <c r="H134" i="38" s="1"/>
  <c r="I134" i="38" s="1"/>
  <c r="J134" i="38" s="1"/>
  <c r="K134" i="38" s="1"/>
  <c r="L134" i="38" s="1"/>
  <c r="M134" i="38" s="1"/>
  <c r="N134" i="38" s="1"/>
  <c r="O134" i="38" s="1"/>
  <c r="P134" i="38" s="1"/>
  <c r="Q134" i="38" s="1"/>
  <c r="R134" i="38" s="1"/>
  <c r="S134" i="38" s="1"/>
  <c r="T134" i="38" s="1"/>
  <c r="U134" i="38" s="1"/>
  <c r="V134" i="38" s="1"/>
  <c r="W134" i="38" s="1"/>
  <c r="X134" i="38" s="1"/>
  <c r="Y134" i="38" s="1"/>
  <c r="Z134" i="38" s="1"/>
  <c r="AA134" i="38" s="1"/>
  <c r="AB134" i="38" s="1"/>
  <c r="AC134" i="38" s="1"/>
  <c r="AD134" i="38" s="1"/>
  <c r="AE134" i="38" s="1"/>
  <c r="AF134" i="38" s="1"/>
  <c r="B134" i="38" s="1"/>
  <c r="D134" i="38"/>
  <c r="E133" i="38"/>
  <c r="F133" i="38" s="1"/>
  <c r="G133" i="38" s="1"/>
  <c r="H133" i="38" s="1"/>
  <c r="I133" i="38" s="1"/>
  <c r="J133" i="38" s="1"/>
  <c r="K133" i="38" s="1"/>
  <c r="L133" i="38" s="1"/>
  <c r="M133" i="38" s="1"/>
  <c r="N133" i="38" s="1"/>
  <c r="O133" i="38" s="1"/>
  <c r="P133" i="38" s="1"/>
  <c r="Q133" i="38" s="1"/>
  <c r="R133" i="38" s="1"/>
  <c r="S133" i="38" s="1"/>
  <c r="T133" i="38" s="1"/>
  <c r="U133" i="38" s="1"/>
  <c r="V133" i="38" s="1"/>
  <c r="W133" i="38" s="1"/>
  <c r="X133" i="38" s="1"/>
  <c r="Y133" i="38" s="1"/>
  <c r="Z133" i="38" s="1"/>
  <c r="AA133" i="38" s="1"/>
  <c r="AB133" i="38" s="1"/>
  <c r="AC133" i="38" s="1"/>
  <c r="AD133" i="38" s="1"/>
  <c r="AE133" i="38" s="1"/>
  <c r="AF133" i="38" s="1"/>
  <c r="B133" i="38" s="1"/>
  <c r="D133" i="38"/>
  <c r="D132" i="38"/>
  <c r="E132" i="38" s="1"/>
  <c r="F132" i="38" s="1"/>
  <c r="G132" i="38" s="1"/>
  <c r="H132" i="38" s="1"/>
  <c r="I132" i="38" s="1"/>
  <c r="J132" i="38" s="1"/>
  <c r="K132" i="38" s="1"/>
  <c r="L132" i="38" s="1"/>
  <c r="M132" i="38" s="1"/>
  <c r="N132" i="38" s="1"/>
  <c r="O132" i="38" s="1"/>
  <c r="P132" i="38" s="1"/>
  <c r="Q132" i="38" s="1"/>
  <c r="R132" i="38" s="1"/>
  <c r="S132" i="38" s="1"/>
  <c r="T132" i="38" s="1"/>
  <c r="U132" i="38" s="1"/>
  <c r="V132" i="38" s="1"/>
  <c r="W132" i="38" s="1"/>
  <c r="X132" i="38" s="1"/>
  <c r="Y132" i="38" s="1"/>
  <c r="Z132" i="38" s="1"/>
  <c r="AA132" i="38" s="1"/>
  <c r="AB132" i="38" s="1"/>
  <c r="AC132" i="38" s="1"/>
  <c r="AD132" i="38" s="1"/>
  <c r="AE132" i="38" s="1"/>
  <c r="AF132" i="38" s="1"/>
  <c r="B132" i="38" s="1"/>
  <c r="I130" i="38"/>
  <c r="J130" i="38" s="1"/>
  <c r="K130" i="38" s="1"/>
  <c r="L130" i="38" s="1"/>
  <c r="M130" i="38" s="1"/>
  <c r="N130" i="38" s="1"/>
  <c r="O130" i="38" s="1"/>
  <c r="P130" i="38" s="1"/>
  <c r="Q130" i="38" s="1"/>
  <c r="R130" i="38" s="1"/>
  <c r="S130" i="38" s="1"/>
  <c r="T130" i="38" s="1"/>
  <c r="U130" i="38" s="1"/>
  <c r="V130" i="38" s="1"/>
  <c r="W130" i="38" s="1"/>
  <c r="X130" i="38" s="1"/>
  <c r="Y130" i="38" s="1"/>
  <c r="Z130" i="38" s="1"/>
  <c r="AA130" i="38" s="1"/>
  <c r="AB130" i="38" s="1"/>
  <c r="AC130" i="38" s="1"/>
  <c r="AD130" i="38" s="1"/>
  <c r="AE130" i="38" s="1"/>
  <c r="AF130" i="38" s="1"/>
  <c r="B130" i="38" s="1"/>
  <c r="D130" i="38"/>
  <c r="E130" i="38" s="1"/>
  <c r="F130" i="38" s="1"/>
  <c r="G130" i="38" s="1"/>
  <c r="H130" i="38" s="1"/>
  <c r="E129" i="38"/>
  <c r="F129" i="38" s="1"/>
  <c r="G129" i="38" s="1"/>
  <c r="H129" i="38" s="1"/>
  <c r="I129" i="38" s="1"/>
  <c r="J129" i="38" s="1"/>
  <c r="K129" i="38" s="1"/>
  <c r="L129" i="38" s="1"/>
  <c r="M129" i="38" s="1"/>
  <c r="N129" i="38" s="1"/>
  <c r="O129" i="38" s="1"/>
  <c r="P129" i="38" s="1"/>
  <c r="Q129" i="38" s="1"/>
  <c r="R129" i="38" s="1"/>
  <c r="S129" i="38" s="1"/>
  <c r="T129" i="38" s="1"/>
  <c r="U129" i="38" s="1"/>
  <c r="V129" i="38" s="1"/>
  <c r="W129" i="38" s="1"/>
  <c r="X129" i="38" s="1"/>
  <c r="Y129" i="38" s="1"/>
  <c r="Z129" i="38" s="1"/>
  <c r="AA129" i="38" s="1"/>
  <c r="AB129" i="38" s="1"/>
  <c r="AC129" i="38" s="1"/>
  <c r="AD129" i="38" s="1"/>
  <c r="AE129" i="38" s="1"/>
  <c r="AF129" i="38" s="1"/>
  <c r="B129" i="38" s="1"/>
  <c r="D129" i="38"/>
  <c r="M128" i="38"/>
  <c r="N128" i="38" s="1"/>
  <c r="O128" i="38" s="1"/>
  <c r="P128" i="38" s="1"/>
  <c r="Q128" i="38" s="1"/>
  <c r="R128" i="38" s="1"/>
  <c r="S128" i="38" s="1"/>
  <c r="T128" i="38" s="1"/>
  <c r="U128" i="38" s="1"/>
  <c r="V128" i="38" s="1"/>
  <c r="W128" i="38" s="1"/>
  <c r="X128" i="38" s="1"/>
  <c r="Y128" i="38" s="1"/>
  <c r="Z128" i="38" s="1"/>
  <c r="AA128" i="38" s="1"/>
  <c r="AB128" i="38" s="1"/>
  <c r="AC128" i="38" s="1"/>
  <c r="AD128" i="38" s="1"/>
  <c r="AE128" i="38" s="1"/>
  <c r="AF128" i="38" s="1"/>
  <c r="B128" i="38" s="1"/>
  <c r="E128" i="38"/>
  <c r="F128" i="38" s="1"/>
  <c r="G128" i="38" s="1"/>
  <c r="H128" i="38" s="1"/>
  <c r="I128" i="38" s="1"/>
  <c r="J128" i="38" s="1"/>
  <c r="K128" i="38" s="1"/>
  <c r="L128" i="38" s="1"/>
  <c r="D128" i="38"/>
  <c r="D127" i="38"/>
  <c r="E127" i="38" s="1"/>
  <c r="F127" i="38" s="1"/>
  <c r="G127" i="38" s="1"/>
  <c r="H127" i="38" s="1"/>
  <c r="I127" i="38" s="1"/>
  <c r="J127" i="38" s="1"/>
  <c r="K127" i="38" s="1"/>
  <c r="L127" i="38" s="1"/>
  <c r="M127" i="38" s="1"/>
  <c r="N127" i="38" s="1"/>
  <c r="O127" i="38" s="1"/>
  <c r="P127" i="38" s="1"/>
  <c r="Q127" i="38" s="1"/>
  <c r="R127" i="38" s="1"/>
  <c r="S127" i="38" s="1"/>
  <c r="T127" i="38" s="1"/>
  <c r="U127" i="38" s="1"/>
  <c r="V127" i="38" s="1"/>
  <c r="W127" i="38" s="1"/>
  <c r="X127" i="38" s="1"/>
  <c r="Y127" i="38" s="1"/>
  <c r="Z127" i="38" s="1"/>
  <c r="AA127" i="38" s="1"/>
  <c r="AB127" i="38" s="1"/>
  <c r="AC127" i="38" s="1"/>
  <c r="AD127" i="38" s="1"/>
  <c r="AE127" i="38" s="1"/>
  <c r="AF127" i="38" s="1"/>
  <c r="B127" i="38" s="1"/>
  <c r="J126" i="38"/>
  <c r="K126" i="38" s="1"/>
  <c r="L126" i="38" s="1"/>
  <c r="M126" i="38" s="1"/>
  <c r="N126" i="38" s="1"/>
  <c r="O126" i="38" s="1"/>
  <c r="P126" i="38" s="1"/>
  <c r="Q126" i="38" s="1"/>
  <c r="R126" i="38" s="1"/>
  <c r="S126" i="38" s="1"/>
  <c r="T126" i="38" s="1"/>
  <c r="U126" i="38" s="1"/>
  <c r="V126" i="38" s="1"/>
  <c r="W126" i="38" s="1"/>
  <c r="X126" i="38" s="1"/>
  <c r="Y126" i="38" s="1"/>
  <c r="Z126" i="38" s="1"/>
  <c r="AA126" i="38" s="1"/>
  <c r="AB126" i="38" s="1"/>
  <c r="AC126" i="38" s="1"/>
  <c r="AD126" i="38" s="1"/>
  <c r="AE126" i="38" s="1"/>
  <c r="AF126" i="38" s="1"/>
  <c r="B126" i="38" s="1"/>
  <c r="F126" i="38"/>
  <c r="G126" i="38" s="1"/>
  <c r="H126" i="38" s="1"/>
  <c r="E126" i="38"/>
  <c r="D126" i="38"/>
  <c r="F125" i="38"/>
  <c r="G125" i="38" s="1"/>
  <c r="H125" i="38" s="1"/>
  <c r="I125" i="38" s="1"/>
  <c r="J125" i="38" s="1"/>
  <c r="K125" i="38" s="1"/>
  <c r="L125" i="38" s="1"/>
  <c r="M125" i="38" s="1"/>
  <c r="N125" i="38" s="1"/>
  <c r="O125" i="38" s="1"/>
  <c r="P125" i="38" s="1"/>
  <c r="Q125" i="38" s="1"/>
  <c r="R125" i="38" s="1"/>
  <c r="S125" i="38" s="1"/>
  <c r="T125" i="38" s="1"/>
  <c r="U125" i="38" s="1"/>
  <c r="V125" i="38" s="1"/>
  <c r="W125" i="38" s="1"/>
  <c r="X125" i="38" s="1"/>
  <c r="Y125" i="38" s="1"/>
  <c r="Z125" i="38" s="1"/>
  <c r="AA125" i="38" s="1"/>
  <c r="AB125" i="38" s="1"/>
  <c r="AC125" i="38" s="1"/>
  <c r="AD125" i="38" s="1"/>
  <c r="AE125" i="38" s="1"/>
  <c r="AF125" i="38" s="1"/>
  <c r="B125" i="38" s="1"/>
  <c r="D125" i="38"/>
  <c r="E125" i="38" s="1"/>
  <c r="E124" i="38"/>
  <c r="F124" i="38" s="1"/>
  <c r="G124" i="38" s="1"/>
  <c r="H124" i="38" s="1"/>
  <c r="I124" i="38" s="1"/>
  <c r="J124" i="38" s="1"/>
  <c r="K124" i="38" s="1"/>
  <c r="L124" i="38" s="1"/>
  <c r="M124" i="38" s="1"/>
  <c r="N124" i="38" s="1"/>
  <c r="O124" i="38" s="1"/>
  <c r="P124" i="38" s="1"/>
  <c r="Q124" i="38" s="1"/>
  <c r="R124" i="38" s="1"/>
  <c r="S124" i="38" s="1"/>
  <c r="T124" i="38" s="1"/>
  <c r="U124" i="38" s="1"/>
  <c r="V124" i="38" s="1"/>
  <c r="W124" i="38" s="1"/>
  <c r="X124" i="38" s="1"/>
  <c r="Y124" i="38" s="1"/>
  <c r="Z124" i="38" s="1"/>
  <c r="AA124" i="38" s="1"/>
  <c r="AB124" i="38" s="1"/>
  <c r="AC124" i="38" s="1"/>
  <c r="AD124" i="38" s="1"/>
  <c r="AE124" i="38" s="1"/>
  <c r="AF124" i="38" s="1"/>
  <c r="B124" i="38" s="1"/>
  <c r="D124" i="38"/>
  <c r="D123" i="38"/>
  <c r="E123" i="38" s="1"/>
  <c r="F123" i="38" s="1"/>
  <c r="G123" i="38" s="1"/>
  <c r="H123" i="38" s="1"/>
  <c r="I123" i="38" s="1"/>
  <c r="J123" i="38" s="1"/>
  <c r="K123" i="38" s="1"/>
  <c r="L123" i="38" s="1"/>
  <c r="M123" i="38" s="1"/>
  <c r="N123" i="38" s="1"/>
  <c r="O123" i="38" s="1"/>
  <c r="P123" i="38" s="1"/>
  <c r="Q123" i="38" s="1"/>
  <c r="R123" i="38" s="1"/>
  <c r="S123" i="38" s="1"/>
  <c r="T123" i="38" s="1"/>
  <c r="U123" i="38" s="1"/>
  <c r="V123" i="38" s="1"/>
  <c r="W123" i="38" s="1"/>
  <c r="X123" i="38" s="1"/>
  <c r="Y123" i="38" s="1"/>
  <c r="Z123" i="38" s="1"/>
  <c r="AA123" i="38" s="1"/>
  <c r="AB123" i="38" s="1"/>
  <c r="AC123" i="38" s="1"/>
  <c r="AD123" i="38" s="1"/>
  <c r="AE123" i="38" s="1"/>
  <c r="AF123" i="38" s="1"/>
  <c r="B123" i="38" s="1"/>
  <c r="F122" i="38"/>
  <c r="G122" i="38" s="1"/>
  <c r="H122" i="38" s="1"/>
  <c r="I122" i="38" s="1"/>
  <c r="J122" i="38" s="1"/>
  <c r="K122" i="38" s="1"/>
  <c r="L122" i="38" s="1"/>
  <c r="M122" i="38" s="1"/>
  <c r="N122" i="38" s="1"/>
  <c r="O122" i="38" s="1"/>
  <c r="P122" i="38" s="1"/>
  <c r="Q122" i="38" s="1"/>
  <c r="R122" i="38" s="1"/>
  <c r="S122" i="38" s="1"/>
  <c r="T122" i="38" s="1"/>
  <c r="U122" i="38" s="1"/>
  <c r="V122" i="38" s="1"/>
  <c r="W122" i="38" s="1"/>
  <c r="X122" i="38" s="1"/>
  <c r="Y122" i="38" s="1"/>
  <c r="Z122" i="38" s="1"/>
  <c r="AA122" i="38" s="1"/>
  <c r="AB122" i="38" s="1"/>
  <c r="AC122" i="38" s="1"/>
  <c r="AD122" i="38" s="1"/>
  <c r="AE122" i="38" s="1"/>
  <c r="AF122" i="38" s="1"/>
  <c r="B122" i="38" s="1"/>
  <c r="E122" i="38"/>
  <c r="D122" i="38"/>
  <c r="F121" i="38"/>
  <c r="G121" i="38" s="1"/>
  <c r="H121" i="38" s="1"/>
  <c r="I121" i="38" s="1"/>
  <c r="J121" i="38" s="1"/>
  <c r="K121" i="38" s="1"/>
  <c r="L121" i="38" s="1"/>
  <c r="M121" i="38" s="1"/>
  <c r="N121" i="38" s="1"/>
  <c r="O121" i="38" s="1"/>
  <c r="P121" i="38" s="1"/>
  <c r="Q121" i="38" s="1"/>
  <c r="R121" i="38" s="1"/>
  <c r="S121" i="38" s="1"/>
  <c r="T121" i="38" s="1"/>
  <c r="U121" i="38" s="1"/>
  <c r="V121" i="38" s="1"/>
  <c r="W121" i="38" s="1"/>
  <c r="X121" i="38" s="1"/>
  <c r="Y121" i="38" s="1"/>
  <c r="Z121" i="38" s="1"/>
  <c r="AA121" i="38" s="1"/>
  <c r="AB121" i="38" s="1"/>
  <c r="AC121" i="38" s="1"/>
  <c r="AD121" i="38" s="1"/>
  <c r="AE121" i="38" s="1"/>
  <c r="AF121" i="38" s="1"/>
  <c r="B121" i="38" s="1"/>
  <c r="D121" i="38"/>
  <c r="E121" i="38" s="1"/>
  <c r="D120" i="38"/>
  <c r="E120" i="38" s="1"/>
  <c r="F120" i="38" s="1"/>
  <c r="G120" i="38" s="1"/>
  <c r="H120" i="38" s="1"/>
  <c r="I120" i="38" s="1"/>
  <c r="J120" i="38" s="1"/>
  <c r="K120" i="38" s="1"/>
  <c r="L120" i="38" s="1"/>
  <c r="M120" i="38" s="1"/>
  <c r="N120" i="38" s="1"/>
  <c r="O120" i="38" s="1"/>
  <c r="P120" i="38" s="1"/>
  <c r="Q120" i="38" s="1"/>
  <c r="R120" i="38" s="1"/>
  <c r="S120" i="38" s="1"/>
  <c r="T120" i="38" s="1"/>
  <c r="U120" i="38" s="1"/>
  <c r="V120" i="38" s="1"/>
  <c r="W120" i="38" s="1"/>
  <c r="X120" i="38" s="1"/>
  <c r="Y120" i="38" s="1"/>
  <c r="Z120" i="38" s="1"/>
  <c r="AA120" i="38" s="1"/>
  <c r="AB120" i="38" s="1"/>
  <c r="AC120" i="38" s="1"/>
  <c r="AD120" i="38" s="1"/>
  <c r="AE120" i="38" s="1"/>
  <c r="AF120" i="38" s="1"/>
  <c r="B120" i="38" s="1"/>
  <c r="E119" i="38"/>
  <c r="F119" i="38" s="1"/>
  <c r="G119" i="38" s="1"/>
  <c r="H119" i="38" s="1"/>
  <c r="I119" i="38" s="1"/>
  <c r="J119" i="38" s="1"/>
  <c r="K119" i="38" s="1"/>
  <c r="L119" i="38" s="1"/>
  <c r="M119" i="38" s="1"/>
  <c r="N119" i="38" s="1"/>
  <c r="O119" i="38" s="1"/>
  <c r="P119" i="38" s="1"/>
  <c r="Q119" i="38" s="1"/>
  <c r="R119" i="38" s="1"/>
  <c r="S119" i="38" s="1"/>
  <c r="T119" i="38" s="1"/>
  <c r="U119" i="38" s="1"/>
  <c r="V119" i="38" s="1"/>
  <c r="W119" i="38" s="1"/>
  <c r="X119" i="38" s="1"/>
  <c r="Y119" i="38" s="1"/>
  <c r="Z119" i="38" s="1"/>
  <c r="AA119" i="38" s="1"/>
  <c r="AB119" i="38" s="1"/>
  <c r="AC119" i="38" s="1"/>
  <c r="AD119" i="38" s="1"/>
  <c r="AE119" i="38" s="1"/>
  <c r="AF119" i="38" s="1"/>
  <c r="B119" i="38" s="1"/>
  <c r="D119" i="38"/>
  <c r="H118" i="38"/>
  <c r="I118" i="38" s="1"/>
  <c r="J118" i="38" s="1"/>
  <c r="K118" i="38" s="1"/>
  <c r="L118" i="38" s="1"/>
  <c r="M118" i="38" s="1"/>
  <c r="N118" i="38" s="1"/>
  <c r="O118" i="38" s="1"/>
  <c r="P118" i="38" s="1"/>
  <c r="Q118" i="38" s="1"/>
  <c r="R118" i="38" s="1"/>
  <c r="S118" i="38" s="1"/>
  <c r="T118" i="38" s="1"/>
  <c r="U118" i="38" s="1"/>
  <c r="V118" i="38" s="1"/>
  <c r="W118" i="38" s="1"/>
  <c r="X118" i="38" s="1"/>
  <c r="Y118" i="38" s="1"/>
  <c r="Z118" i="38" s="1"/>
  <c r="AA118" i="38" s="1"/>
  <c r="AB118" i="38" s="1"/>
  <c r="AC118" i="38" s="1"/>
  <c r="AD118" i="38" s="1"/>
  <c r="AE118" i="38" s="1"/>
  <c r="AF118" i="38" s="1"/>
  <c r="B118" i="38" s="1"/>
  <c r="F118" i="38"/>
  <c r="G118" i="38" s="1"/>
  <c r="E118" i="38"/>
  <c r="D118" i="38"/>
  <c r="D117" i="38"/>
  <c r="E117" i="38" s="1"/>
  <c r="F117" i="38" s="1"/>
  <c r="G117" i="38" s="1"/>
  <c r="H117" i="38" s="1"/>
  <c r="I117" i="38" s="1"/>
  <c r="J117" i="38" s="1"/>
  <c r="K117" i="38" s="1"/>
  <c r="L117" i="38" s="1"/>
  <c r="M117" i="38" s="1"/>
  <c r="N117" i="38" s="1"/>
  <c r="O117" i="38" s="1"/>
  <c r="P117" i="38" s="1"/>
  <c r="Q117" i="38" s="1"/>
  <c r="R117" i="38" s="1"/>
  <c r="S117" i="38" s="1"/>
  <c r="T117" i="38" s="1"/>
  <c r="U117" i="38" s="1"/>
  <c r="V117" i="38" s="1"/>
  <c r="W117" i="38" s="1"/>
  <c r="X117" i="38" s="1"/>
  <c r="Y117" i="38" s="1"/>
  <c r="Z117" i="38" s="1"/>
  <c r="AA117" i="38" s="1"/>
  <c r="AB117" i="38" s="1"/>
  <c r="AC117" i="38" s="1"/>
  <c r="AD117" i="38" s="1"/>
  <c r="AE117" i="38" s="1"/>
  <c r="AF117" i="38" s="1"/>
  <c r="B117" i="38" s="1"/>
  <c r="D116" i="38"/>
  <c r="E116" i="38" s="1"/>
  <c r="K115" i="38"/>
  <c r="L115" i="38" s="1"/>
  <c r="M115" i="38" s="1"/>
  <c r="N115" i="38" s="1"/>
  <c r="O115" i="38" s="1"/>
  <c r="P115" i="38" s="1"/>
  <c r="Q115" i="38" s="1"/>
  <c r="R115" i="38" s="1"/>
  <c r="S115" i="38" s="1"/>
  <c r="T115" i="38" s="1"/>
  <c r="U115" i="38" s="1"/>
  <c r="V115" i="38" s="1"/>
  <c r="W115" i="38" s="1"/>
  <c r="X115" i="38" s="1"/>
  <c r="Y115" i="38" s="1"/>
  <c r="Z115" i="38" s="1"/>
  <c r="AA115" i="38" s="1"/>
  <c r="AB115" i="38" s="1"/>
  <c r="AC115" i="38" s="1"/>
  <c r="AD115" i="38" s="1"/>
  <c r="AE115" i="38" s="1"/>
  <c r="AF115" i="38" s="1"/>
  <c r="B115" i="38" s="1"/>
  <c r="F115" i="38"/>
  <c r="G115" i="38" s="1"/>
  <c r="H115" i="38" s="1"/>
  <c r="I115" i="38" s="1"/>
  <c r="D115" i="38"/>
  <c r="E115" i="38" s="1"/>
  <c r="E114" i="38"/>
  <c r="F114" i="38" s="1"/>
  <c r="G114" i="38" s="1"/>
  <c r="H114" i="38" s="1"/>
  <c r="I114" i="38" s="1"/>
  <c r="J114" i="38" s="1"/>
  <c r="K114" i="38" s="1"/>
  <c r="L114" i="38" s="1"/>
  <c r="M114" i="38" s="1"/>
  <c r="N114" i="38" s="1"/>
  <c r="O114" i="38" s="1"/>
  <c r="P114" i="38" s="1"/>
  <c r="Q114" i="38" s="1"/>
  <c r="R114" i="38" s="1"/>
  <c r="S114" i="38" s="1"/>
  <c r="T114" i="38" s="1"/>
  <c r="U114" i="38" s="1"/>
  <c r="V114" i="38" s="1"/>
  <c r="W114" i="38" s="1"/>
  <c r="X114" i="38" s="1"/>
  <c r="Y114" i="38" s="1"/>
  <c r="Z114" i="38" s="1"/>
  <c r="AA114" i="38" s="1"/>
  <c r="AB114" i="38" s="1"/>
  <c r="AC114" i="38" s="1"/>
  <c r="AD114" i="38" s="1"/>
  <c r="AE114" i="38" s="1"/>
  <c r="AF114" i="38" s="1"/>
  <c r="B114" i="38" s="1"/>
  <c r="D114" i="38"/>
  <c r="D113" i="38"/>
  <c r="E113" i="38" s="1"/>
  <c r="F113" i="38" s="1"/>
  <c r="G113" i="38" s="1"/>
  <c r="H113" i="38" s="1"/>
  <c r="I113" i="38" s="1"/>
  <c r="J113" i="38" s="1"/>
  <c r="K113" i="38" s="1"/>
  <c r="L113" i="38" s="1"/>
  <c r="M113" i="38" s="1"/>
  <c r="N113" i="38" s="1"/>
  <c r="O113" i="38" s="1"/>
  <c r="P113" i="38" s="1"/>
  <c r="Q113" i="38" s="1"/>
  <c r="R113" i="38" s="1"/>
  <c r="S113" i="38" s="1"/>
  <c r="T113" i="38" s="1"/>
  <c r="U113" i="38" s="1"/>
  <c r="V113" i="38" s="1"/>
  <c r="W113" i="38" s="1"/>
  <c r="X113" i="38" s="1"/>
  <c r="Y113" i="38" s="1"/>
  <c r="Z113" i="38" s="1"/>
  <c r="AA113" i="38" s="1"/>
  <c r="AB113" i="38" s="1"/>
  <c r="AC113" i="38" s="1"/>
  <c r="AD113" i="38" s="1"/>
  <c r="AE113" i="38" s="1"/>
  <c r="AF113" i="38" s="1"/>
  <c r="B113" i="38" s="1"/>
  <c r="E111" i="38"/>
  <c r="F111" i="38" s="1"/>
  <c r="G111" i="38" s="1"/>
  <c r="H111" i="38" s="1"/>
  <c r="I111" i="38" s="1"/>
  <c r="J111" i="38" s="1"/>
  <c r="K111" i="38" s="1"/>
  <c r="L111" i="38" s="1"/>
  <c r="M111" i="38" s="1"/>
  <c r="N111" i="38" s="1"/>
  <c r="O111" i="38" s="1"/>
  <c r="P111" i="38" s="1"/>
  <c r="Q111" i="38" s="1"/>
  <c r="R111" i="38" s="1"/>
  <c r="S111" i="38" s="1"/>
  <c r="T111" i="38" s="1"/>
  <c r="U111" i="38" s="1"/>
  <c r="V111" i="38" s="1"/>
  <c r="W111" i="38" s="1"/>
  <c r="X111" i="38" s="1"/>
  <c r="Y111" i="38" s="1"/>
  <c r="Z111" i="38" s="1"/>
  <c r="AA111" i="38" s="1"/>
  <c r="AB111" i="38" s="1"/>
  <c r="AC111" i="38" s="1"/>
  <c r="AD111" i="38" s="1"/>
  <c r="AE111" i="38" s="1"/>
  <c r="AF111" i="38" s="1"/>
  <c r="B111" i="38" s="1"/>
  <c r="D111" i="38"/>
  <c r="E110" i="38"/>
  <c r="F110" i="38" s="1"/>
  <c r="G110" i="38" s="1"/>
  <c r="H110" i="38" s="1"/>
  <c r="I110" i="38" s="1"/>
  <c r="J110" i="38" s="1"/>
  <c r="K110" i="38" s="1"/>
  <c r="L110" i="38" s="1"/>
  <c r="M110" i="38" s="1"/>
  <c r="N110" i="38" s="1"/>
  <c r="O110" i="38" s="1"/>
  <c r="P110" i="38" s="1"/>
  <c r="Q110" i="38" s="1"/>
  <c r="R110" i="38" s="1"/>
  <c r="S110" i="38" s="1"/>
  <c r="T110" i="38" s="1"/>
  <c r="U110" i="38" s="1"/>
  <c r="V110" i="38" s="1"/>
  <c r="W110" i="38" s="1"/>
  <c r="X110" i="38" s="1"/>
  <c r="Y110" i="38" s="1"/>
  <c r="Z110" i="38" s="1"/>
  <c r="AA110" i="38" s="1"/>
  <c r="AB110" i="38" s="1"/>
  <c r="AC110" i="38" s="1"/>
  <c r="AD110" i="38" s="1"/>
  <c r="AE110" i="38" s="1"/>
  <c r="AF110" i="38" s="1"/>
  <c r="B110" i="38" s="1"/>
  <c r="D110" i="38"/>
  <c r="E108" i="38"/>
  <c r="F108" i="38" s="1"/>
  <c r="G108" i="38" s="1"/>
  <c r="H108" i="38" s="1"/>
  <c r="I108" i="38" s="1"/>
  <c r="J108" i="38" s="1"/>
  <c r="K108" i="38" s="1"/>
  <c r="L108" i="38" s="1"/>
  <c r="M108" i="38" s="1"/>
  <c r="N108" i="38" s="1"/>
  <c r="O108" i="38" s="1"/>
  <c r="P108" i="38" s="1"/>
  <c r="Q108" i="38" s="1"/>
  <c r="R108" i="38" s="1"/>
  <c r="S108" i="38" s="1"/>
  <c r="T108" i="38" s="1"/>
  <c r="U108" i="38" s="1"/>
  <c r="V108" i="38" s="1"/>
  <c r="W108" i="38" s="1"/>
  <c r="X108" i="38" s="1"/>
  <c r="Y108" i="38" s="1"/>
  <c r="Z108" i="38" s="1"/>
  <c r="AA108" i="38" s="1"/>
  <c r="AB108" i="38" s="1"/>
  <c r="AC108" i="38" s="1"/>
  <c r="AD108" i="38" s="1"/>
  <c r="AE108" i="38" s="1"/>
  <c r="AF108" i="38" s="1"/>
  <c r="B108" i="38" s="1"/>
  <c r="D108" i="38"/>
  <c r="D107" i="38"/>
  <c r="E107" i="38" s="1"/>
  <c r="F107" i="38" s="1"/>
  <c r="G107" i="38" s="1"/>
  <c r="H107" i="38" s="1"/>
  <c r="I107" i="38" s="1"/>
  <c r="J107" i="38" s="1"/>
  <c r="K107" i="38" s="1"/>
  <c r="L107" i="38" s="1"/>
  <c r="M107" i="38" s="1"/>
  <c r="N107" i="38" s="1"/>
  <c r="O107" i="38" s="1"/>
  <c r="P107" i="38" s="1"/>
  <c r="Q107" i="38" s="1"/>
  <c r="R107" i="38" s="1"/>
  <c r="S107" i="38" s="1"/>
  <c r="T107" i="38" s="1"/>
  <c r="U107" i="38" s="1"/>
  <c r="V107" i="38" s="1"/>
  <c r="W107" i="38" s="1"/>
  <c r="X107" i="38" s="1"/>
  <c r="Y107" i="38" s="1"/>
  <c r="Z107" i="38" s="1"/>
  <c r="AA107" i="38" s="1"/>
  <c r="AB107" i="38" s="1"/>
  <c r="AC107" i="38" s="1"/>
  <c r="AD107" i="38" s="1"/>
  <c r="AE107" i="38" s="1"/>
  <c r="AF107" i="38" s="1"/>
  <c r="B107" i="38" s="1"/>
  <c r="E106" i="38"/>
  <c r="F106" i="38" s="1"/>
  <c r="G106" i="38" s="1"/>
  <c r="H106" i="38" s="1"/>
  <c r="I106" i="38" s="1"/>
  <c r="J106" i="38" s="1"/>
  <c r="K106" i="38" s="1"/>
  <c r="L106" i="38" s="1"/>
  <c r="M106" i="38" s="1"/>
  <c r="N106" i="38" s="1"/>
  <c r="O106" i="38" s="1"/>
  <c r="P106" i="38" s="1"/>
  <c r="Q106" i="38" s="1"/>
  <c r="R106" i="38" s="1"/>
  <c r="S106" i="38" s="1"/>
  <c r="T106" i="38" s="1"/>
  <c r="U106" i="38" s="1"/>
  <c r="V106" i="38" s="1"/>
  <c r="W106" i="38" s="1"/>
  <c r="X106" i="38" s="1"/>
  <c r="Y106" i="38" s="1"/>
  <c r="Z106" i="38" s="1"/>
  <c r="AA106" i="38" s="1"/>
  <c r="AB106" i="38" s="1"/>
  <c r="AC106" i="38" s="1"/>
  <c r="AD106" i="38" s="1"/>
  <c r="AE106" i="38" s="1"/>
  <c r="AF106" i="38" s="1"/>
  <c r="B106" i="38" s="1"/>
  <c r="D106" i="38"/>
  <c r="E105" i="38"/>
  <c r="F105" i="38" s="1"/>
  <c r="G105" i="38" s="1"/>
  <c r="H105" i="38" s="1"/>
  <c r="I105" i="38" s="1"/>
  <c r="J105" i="38" s="1"/>
  <c r="K105" i="38" s="1"/>
  <c r="L105" i="38" s="1"/>
  <c r="M105" i="38" s="1"/>
  <c r="N105" i="38" s="1"/>
  <c r="O105" i="38" s="1"/>
  <c r="P105" i="38" s="1"/>
  <c r="Q105" i="38" s="1"/>
  <c r="R105" i="38" s="1"/>
  <c r="S105" i="38" s="1"/>
  <c r="T105" i="38" s="1"/>
  <c r="U105" i="38" s="1"/>
  <c r="V105" i="38" s="1"/>
  <c r="W105" i="38" s="1"/>
  <c r="X105" i="38" s="1"/>
  <c r="Y105" i="38" s="1"/>
  <c r="Z105" i="38" s="1"/>
  <c r="AA105" i="38" s="1"/>
  <c r="AB105" i="38" s="1"/>
  <c r="AC105" i="38" s="1"/>
  <c r="AD105" i="38" s="1"/>
  <c r="AE105" i="38" s="1"/>
  <c r="AF105" i="38" s="1"/>
  <c r="D105" i="38"/>
  <c r="E104" i="38"/>
  <c r="F104" i="38" s="1"/>
  <c r="D104" i="38"/>
  <c r="D93" i="38" s="1"/>
  <c r="D103" i="38"/>
  <c r="AH100" i="38"/>
  <c r="AI100" i="38" s="1"/>
  <c r="AH99" i="38"/>
  <c r="AI99" i="38" s="1"/>
  <c r="AH98" i="38"/>
  <c r="AI98" i="38" s="1"/>
  <c r="AH97" i="38"/>
  <c r="AI97" i="38" s="1"/>
  <c r="AH96" i="38"/>
  <c r="AI96" i="38" s="1"/>
  <c r="AH95" i="38"/>
  <c r="AI95" i="38" s="1"/>
  <c r="AH94" i="38"/>
  <c r="AI94" i="38" s="1"/>
  <c r="C93" i="38"/>
  <c r="AI91" i="38"/>
  <c r="AH91" i="38"/>
  <c r="AI90" i="38"/>
  <c r="AH90" i="38"/>
  <c r="AI89" i="38"/>
  <c r="AH89" i="38"/>
  <c r="AI88" i="38"/>
  <c r="AH88" i="38"/>
  <c r="AI87" i="38"/>
  <c r="AH87" i="38"/>
  <c r="AI86" i="38"/>
  <c r="AH86" i="38"/>
  <c r="AI85" i="38"/>
  <c r="AH85" i="38"/>
  <c r="AI84" i="38"/>
  <c r="AH84" i="38"/>
  <c r="AI82" i="38"/>
  <c r="AH82" i="38"/>
  <c r="AG82" i="38"/>
  <c r="AI81" i="38"/>
  <c r="AH81" i="38"/>
  <c r="AI80" i="38"/>
  <c r="AH80" i="38"/>
  <c r="AI79" i="38"/>
  <c r="AH79" i="38"/>
  <c r="AI78" i="38"/>
  <c r="AH78" i="38"/>
  <c r="AI77" i="38"/>
  <c r="AH77" i="38"/>
  <c r="AI76" i="38"/>
  <c r="AH76" i="38"/>
  <c r="AI74" i="38"/>
  <c r="AH74" i="38"/>
  <c r="AI72" i="38"/>
  <c r="AH72" i="38"/>
  <c r="AG72" i="38"/>
  <c r="AI71" i="38"/>
  <c r="AH71" i="38"/>
  <c r="AI70" i="38"/>
  <c r="AH70" i="38"/>
  <c r="AI69" i="38"/>
  <c r="AH69" i="38"/>
  <c r="AG68" i="38"/>
  <c r="AF68" i="38"/>
  <c r="AE68" i="38"/>
  <c r="AD68" i="38"/>
  <c r="AC5" i="38" s="1"/>
  <c r="AC68" i="38"/>
  <c r="AB68" i="38"/>
  <c r="AA5" i="38" s="1"/>
  <c r="AA68" i="38"/>
  <c r="Z68" i="38"/>
  <c r="Y5" i="38" s="1"/>
  <c r="Y68" i="38"/>
  <c r="X5" i="38" s="1"/>
  <c r="X68" i="38"/>
  <c r="W68" i="38"/>
  <c r="V68" i="38"/>
  <c r="U5" i="38" s="1"/>
  <c r="U68" i="38"/>
  <c r="T5" i="38" s="1"/>
  <c r="T68" i="38"/>
  <c r="S5" i="38" s="1"/>
  <c r="S68" i="38"/>
  <c r="Q5" i="38"/>
  <c r="P68" i="38"/>
  <c r="O68" i="38"/>
  <c r="N5" i="38" s="1"/>
  <c r="N68" i="38"/>
  <c r="M5" i="38" s="1"/>
  <c r="M68" i="38"/>
  <c r="L5" i="38" s="1"/>
  <c r="L68" i="38"/>
  <c r="K5" i="38" s="1"/>
  <c r="K68" i="38"/>
  <c r="J5" i="38" s="1"/>
  <c r="J68" i="38"/>
  <c r="I68" i="38"/>
  <c r="H5" i="38" s="1"/>
  <c r="H68" i="38"/>
  <c r="G68" i="38"/>
  <c r="F5" i="38" s="1"/>
  <c r="F68" i="38"/>
  <c r="E5" i="38" s="1"/>
  <c r="E68" i="38"/>
  <c r="D68" i="38"/>
  <c r="C5" i="38" s="1"/>
  <c r="C68" i="38"/>
  <c r="B5" i="38" s="1"/>
  <c r="AI67" i="38"/>
  <c r="AH67" i="38"/>
  <c r="AI66" i="38"/>
  <c r="AH66" i="38"/>
  <c r="AI65" i="38"/>
  <c r="AH65" i="38"/>
  <c r="AI64" i="38"/>
  <c r="AH64" i="38"/>
  <c r="AI63" i="38"/>
  <c r="AH63" i="38"/>
  <c r="AI62" i="38"/>
  <c r="AH62" i="38"/>
  <c r="AI61" i="38"/>
  <c r="AH61" i="38"/>
  <c r="AI60" i="38"/>
  <c r="AH60" i="38"/>
  <c r="AI59" i="38"/>
  <c r="AH59" i="38"/>
  <c r="AI58" i="38"/>
  <c r="AH58" i="38"/>
  <c r="AI57" i="38"/>
  <c r="AH57" i="38"/>
  <c r="AG56" i="38"/>
  <c r="AG73" i="38" s="1"/>
  <c r="AF56" i="38"/>
  <c r="AE56" i="38"/>
  <c r="AD56" i="38"/>
  <c r="AC56" i="38"/>
  <c r="AB56" i="38"/>
  <c r="AA56" i="38"/>
  <c r="Z56" i="38"/>
  <c r="Y56" i="38"/>
  <c r="X56" i="38"/>
  <c r="W56" i="38"/>
  <c r="V56" i="38"/>
  <c r="U56" i="38"/>
  <c r="T56" i="38"/>
  <c r="S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AI55" i="38"/>
  <c r="AH55" i="38"/>
  <c r="AI54" i="38"/>
  <c r="AH54" i="38"/>
  <c r="AI53" i="38"/>
  <c r="AH53" i="38"/>
  <c r="AF52" i="38"/>
  <c r="AE52" i="38"/>
  <c r="AD52" i="38"/>
  <c r="AC52" i="38"/>
  <c r="AB52" i="38"/>
  <c r="AA52" i="38"/>
  <c r="Z52" i="38"/>
  <c r="Y52" i="38"/>
  <c r="X52" i="38"/>
  <c r="W52" i="38"/>
  <c r="V52" i="38"/>
  <c r="U52" i="38"/>
  <c r="T52" i="38"/>
  <c r="S52" i="38"/>
  <c r="R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AI51" i="38"/>
  <c r="AH51" i="38"/>
  <c r="AG51" i="38"/>
  <c r="AG52" i="38" s="1"/>
  <c r="AG3" i="38" s="1"/>
  <c r="AI50" i="38"/>
  <c r="AH50" i="38"/>
  <c r="AI49" i="38"/>
  <c r="AH49" i="38"/>
  <c r="AI48" i="38"/>
  <c r="AH48" i="38"/>
  <c r="AI47" i="38"/>
  <c r="AH47" i="38"/>
  <c r="AI46" i="38"/>
  <c r="AH46" i="38"/>
  <c r="AI45" i="38"/>
  <c r="AH45" i="38"/>
  <c r="AI44" i="38"/>
  <c r="AH44" i="38"/>
  <c r="AI43" i="38"/>
  <c r="AH43" i="38"/>
  <c r="AI42" i="38"/>
  <c r="AH42" i="38"/>
  <c r="AI41" i="38"/>
  <c r="AH41" i="38"/>
  <c r="AI40" i="38"/>
  <c r="AH40" i="38"/>
  <c r="AI39" i="38"/>
  <c r="AH39" i="38"/>
  <c r="AG38" i="38"/>
  <c r="AG2" i="38" s="1"/>
  <c r="AG6" i="38" s="1"/>
  <c r="AF38" i="38"/>
  <c r="AE38" i="38"/>
  <c r="AD38" i="38"/>
  <c r="AC38" i="38"/>
  <c r="AB38" i="38"/>
  <c r="AA38" i="38"/>
  <c r="Z38" i="38"/>
  <c r="Y38" i="38"/>
  <c r="X38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C38" i="38"/>
  <c r="AI36" i="38"/>
  <c r="AH36" i="38"/>
  <c r="AI35" i="38"/>
  <c r="AH35" i="38"/>
  <c r="AI34" i="38"/>
  <c r="AH34" i="38"/>
  <c r="AI33" i="38"/>
  <c r="AH33" i="38"/>
  <c r="AI32" i="38"/>
  <c r="AH32" i="38"/>
  <c r="AI31" i="38"/>
  <c r="AH31" i="38"/>
  <c r="AI30" i="38"/>
  <c r="AH30" i="38"/>
  <c r="AI29" i="38"/>
  <c r="AH29" i="38"/>
  <c r="AI28" i="38"/>
  <c r="AH28" i="38"/>
  <c r="AI27" i="38"/>
  <c r="AH27" i="38"/>
  <c r="AI26" i="38"/>
  <c r="AH26" i="38"/>
  <c r="AI25" i="38"/>
  <c r="AH25" i="38"/>
  <c r="AI24" i="38"/>
  <c r="AH24" i="38"/>
  <c r="AI23" i="38"/>
  <c r="AH23" i="38"/>
  <c r="AI22" i="38"/>
  <c r="AH22" i="38"/>
  <c r="AI21" i="38"/>
  <c r="AH21" i="38"/>
  <c r="AI20" i="38"/>
  <c r="AH20" i="38"/>
  <c r="AI19" i="38"/>
  <c r="AH19" i="38"/>
  <c r="AI18" i="38"/>
  <c r="AH18" i="38"/>
  <c r="AI17" i="38"/>
  <c r="AH17" i="38"/>
  <c r="AI16" i="38"/>
  <c r="AH16" i="38"/>
  <c r="AI15" i="38"/>
  <c r="AH15" i="38"/>
  <c r="AI14" i="38"/>
  <c r="AH14" i="38"/>
  <c r="AI13" i="38"/>
  <c r="AH13" i="38"/>
  <c r="AI12" i="38"/>
  <c r="AH12" i="38"/>
  <c r="AI11" i="38"/>
  <c r="AH11" i="38"/>
  <c r="AD5" i="38"/>
  <c r="AB5" i="38"/>
  <c r="Z5" i="38"/>
  <c r="V5" i="38"/>
  <c r="R5" i="38"/>
  <c r="P5" i="38"/>
  <c r="D5" i="38"/>
  <c r="AG4" i="38"/>
  <c r="K4" i="38"/>
  <c r="B4" i="38"/>
  <c r="AF95" i="37"/>
  <c r="AF37" i="37"/>
  <c r="AE37" i="37"/>
  <c r="AD37" i="37"/>
  <c r="C73" i="35"/>
  <c r="D73" i="35"/>
  <c r="E73" i="35"/>
  <c r="F73" i="35"/>
  <c r="G73" i="35"/>
  <c r="H73" i="35"/>
  <c r="I73" i="35"/>
  <c r="J73" i="35"/>
  <c r="K73" i="35"/>
  <c r="L73" i="35"/>
  <c r="M73" i="35"/>
  <c r="N73" i="35"/>
  <c r="O73" i="35"/>
  <c r="P73" i="35"/>
  <c r="Q73" i="35"/>
  <c r="R73" i="35"/>
  <c r="S73" i="35"/>
  <c r="T73" i="35"/>
  <c r="U73" i="35"/>
  <c r="V73" i="35"/>
  <c r="W73" i="35"/>
  <c r="X73" i="35"/>
  <c r="Y73" i="35"/>
  <c r="Z73" i="35"/>
  <c r="AA73" i="35"/>
  <c r="AB73" i="35"/>
  <c r="AC73" i="35"/>
  <c r="AD73" i="35"/>
  <c r="AE73" i="35"/>
  <c r="AF73" i="35"/>
  <c r="B73" i="35"/>
  <c r="AC37" i="37"/>
  <c r="AB95" i="37"/>
  <c r="AB37" i="37"/>
  <c r="AA95" i="37"/>
  <c r="AA37" i="37"/>
  <c r="Z95" i="37"/>
  <c r="Z37" i="37"/>
  <c r="Y95" i="37"/>
  <c r="Y37" i="37"/>
  <c r="X95" i="37"/>
  <c r="X37" i="37"/>
  <c r="W95" i="37"/>
  <c r="W37" i="37"/>
  <c r="V95" i="37"/>
  <c r="V37" i="37"/>
  <c r="U95" i="37"/>
  <c r="U37" i="37"/>
  <c r="T95" i="37"/>
  <c r="S95" i="37"/>
  <c r="S37" i="37"/>
  <c r="R37" i="37"/>
  <c r="O37" i="37"/>
  <c r="N37" i="37"/>
  <c r="M95" i="37"/>
  <c r="M37" i="37"/>
  <c r="L95" i="37"/>
  <c r="L37" i="37"/>
  <c r="K37" i="37"/>
  <c r="J37" i="37"/>
  <c r="I37" i="37"/>
  <c r="H37" i="37"/>
  <c r="G37" i="37"/>
  <c r="F37" i="37"/>
  <c r="E4" i="40"/>
  <c r="E4" i="38"/>
  <c r="AF75" i="40" l="1"/>
  <c r="AD75" i="40"/>
  <c r="AD7" i="40" s="1"/>
  <c r="X75" i="40"/>
  <c r="S75" i="40"/>
  <c r="S83" i="40" s="1"/>
  <c r="O75" i="40"/>
  <c r="N75" i="40"/>
  <c r="N7" i="40" s="1"/>
  <c r="K75" i="40"/>
  <c r="AC215" i="40" s="1"/>
  <c r="J75" i="40"/>
  <c r="AB215" i="40" s="1"/>
  <c r="H75" i="40"/>
  <c r="G5" i="40"/>
  <c r="G75" i="40"/>
  <c r="G83" i="40" s="1"/>
  <c r="F75" i="40"/>
  <c r="F7" i="40" s="1"/>
  <c r="AI56" i="40"/>
  <c r="AI38" i="40"/>
  <c r="C75" i="40"/>
  <c r="C83" i="40" s="1"/>
  <c r="H4" i="40"/>
  <c r="AN215" i="40"/>
  <c r="V83" i="40"/>
  <c r="AV215" i="40"/>
  <c r="AD83" i="40"/>
  <c r="AI52" i="40"/>
  <c r="AG215" i="40"/>
  <c r="O83" i="40"/>
  <c r="O7" i="40"/>
  <c r="AO215" i="40"/>
  <c r="W83" i="40"/>
  <c r="W7" i="40"/>
  <c r="AW215" i="40"/>
  <c r="AE83" i="40"/>
  <c r="AE7" i="40"/>
  <c r="D75" i="40"/>
  <c r="Z215" i="40"/>
  <c r="H83" i="40"/>
  <c r="H7" i="40"/>
  <c r="AH215" i="40"/>
  <c r="P83" i="40"/>
  <c r="P7" i="40"/>
  <c r="AP215" i="40"/>
  <c r="X83" i="40"/>
  <c r="X7" i="40"/>
  <c r="AX215" i="40"/>
  <c r="AF83" i="40"/>
  <c r="AF7" i="40"/>
  <c r="AG83" i="40"/>
  <c r="L75" i="40"/>
  <c r="I75" i="40"/>
  <c r="Q75" i="40"/>
  <c r="Y75" i="40"/>
  <c r="AG75" i="40"/>
  <c r="T75" i="40"/>
  <c r="AI68" i="40"/>
  <c r="AJ215" i="40"/>
  <c r="R7" i="40"/>
  <c r="R83" i="40"/>
  <c r="AR215" i="40"/>
  <c r="Z7" i="40"/>
  <c r="Z83" i="40"/>
  <c r="AB75" i="40"/>
  <c r="F104" i="40"/>
  <c r="AG3" i="40"/>
  <c r="AG73" i="40"/>
  <c r="AG6" i="40"/>
  <c r="AK215" i="40"/>
  <c r="AS215" i="40"/>
  <c r="AA7" i="40"/>
  <c r="F5" i="40"/>
  <c r="N5" i="40"/>
  <c r="V5" i="40"/>
  <c r="AD5" i="40"/>
  <c r="AH52" i="40"/>
  <c r="AH56" i="40"/>
  <c r="AH68" i="40"/>
  <c r="AH38" i="40"/>
  <c r="E75" i="40"/>
  <c r="M75" i="40"/>
  <c r="U75" i="40"/>
  <c r="AC75" i="40"/>
  <c r="D193" i="40"/>
  <c r="E103" i="40"/>
  <c r="S212" i="40"/>
  <c r="D212" i="40"/>
  <c r="D201" i="40"/>
  <c r="E195" i="40"/>
  <c r="H200" i="40"/>
  <c r="B75" i="38"/>
  <c r="AI38" i="38"/>
  <c r="AI56" i="38"/>
  <c r="AH37" i="38"/>
  <c r="AI52" i="38"/>
  <c r="AH68" i="38"/>
  <c r="G75" i="38"/>
  <c r="G7" i="38" s="1"/>
  <c r="O75" i="38"/>
  <c r="O83" i="38" s="1"/>
  <c r="W75" i="38"/>
  <c r="W7" i="38" s="1"/>
  <c r="AE75" i="38"/>
  <c r="AE7" i="38" s="1"/>
  <c r="H75" i="38"/>
  <c r="Z215" i="38" s="1"/>
  <c r="P75" i="38"/>
  <c r="P7" i="38" s="1"/>
  <c r="X75" i="38"/>
  <c r="X83" i="38" s="1"/>
  <c r="AF75" i="38"/>
  <c r="AX215" i="38" s="1"/>
  <c r="I75" i="38"/>
  <c r="AA215" i="38" s="1"/>
  <c r="Y75" i="38"/>
  <c r="AQ215" i="38" s="1"/>
  <c r="J75" i="38"/>
  <c r="J7" i="38" s="1"/>
  <c r="C75" i="38"/>
  <c r="U215" i="38" s="1"/>
  <c r="K75" i="38"/>
  <c r="AC215" i="38" s="1"/>
  <c r="S75" i="38"/>
  <c r="S83" i="38" s="1"/>
  <c r="AA75" i="38"/>
  <c r="AS215" i="38" s="1"/>
  <c r="E75" i="38"/>
  <c r="W215" i="38" s="1"/>
  <c r="M75" i="38"/>
  <c r="AE215" i="38" s="1"/>
  <c r="U75" i="38"/>
  <c r="AM215" i="38" s="1"/>
  <c r="AC75" i="38"/>
  <c r="AC7" i="38" s="1"/>
  <c r="F75" i="38"/>
  <c r="X215" i="38" s="1"/>
  <c r="N75" i="38"/>
  <c r="N83" i="38" s="1"/>
  <c r="V75" i="38"/>
  <c r="V83" i="38" s="1"/>
  <c r="AD75" i="38"/>
  <c r="AV215" i="38" s="1"/>
  <c r="B73" i="38"/>
  <c r="H4" i="38"/>
  <c r="AP215" i="38"/>
  <c r="G104" i="38"/>
  <c r="AW215" i="38"/>
  <c r="E93" i="38"/>
  <c r="F116" i="38"/>
  <c r="G116" i="38" s="1"/>
  <c r="H116" i="38" s="1"/>
  <c r="I116" i="38" s="1"/>
  <c r="J116" i="38" s="1"/>
  <c r="K116" i="38" s="1"/>
  <c r="L116" i="38" s="1"/>
  <c r="M116" i="38" s="1"/>
  <c r="N116" i="38" s="1"/>
  <c r="O116" i="38" s="1"/>
  <c r="P116" i="38" s="1"/>
  <c r="Q116" i="38" s="1"/>
  <c r="R116" i="38" s="1"/>
  <c r="S116" i="38" s="1"/>
  <c r="T116" i="38" s="1"/>
  <c r="U116" i="38" s="1"/>
  <c r="V116" i="38" s="1"/>
  <c r="W116" i="38" s="1"/>
  <c r="X116" i="38" s="1"/>
  <c r="Y116" i="38" s="1"/>
  <c r="Z116" i="38" s="1"/>
  <c r="AA116" i="38" s="1"/>
  <c r="AB116" i="38" s="1"/>
  <c r="AC116" i="38" s="1"/>
  <c r="AD116" i="38" s="1"/>
  <c r="AE116" i="38" s="1"/>
  <c r="AF116" i="38" s="1"/>
  <c r="B116" i="38" s="1"/>
  <c r="AI215" i="38"/>
  <c r="AB215" i="38"/>
  <c r="AU215" i="38"/>
  <c r="D212" i="38"/>
  <c r="S212" i="38"/>
  <c r="AG75" i="38"/>
  <c r="AG83" i="38" s="1"/>
  <c r="AH52" i="38"/>
  <c r="AH56" i="38"/>
  <c r="G5" i="38"/>
  <c r="O5" i="38"/>
  <c r="W5" i="38"/>
  <c r="AE5" i="38"/>
  <c r="AI68" i="38"/>
  <c r="AF5" i="38"/>
  <c r="D75" i="38"/>
  <c r="L75" i="38"/>
  <c r="T75" i="38"/>
  <c r="AB75" i="38"/>
  <c r="R75" i="38"/>
  <c r="Z75" i="38"/>
  <c r="I5" i="38"/>
  <c r="AH38" i="38"/>
  <c r="D193" i="38"/>
  <c r="E103" i="38"/>
  <c r="G195" i="38"/>
  <c r="F200" i="38"/>
  <c r="E95" i="37"/>
  <c r="E37" i="37"/>
  <c r="D95" i="37"/>
  <c r="D37" i="37"/>
  <c r="C79" i="37"/>
  <c r="D79" i="37"/>
  <c r="D82" i="37" s="1"/>
  <c r="C82" i="37"/>
  <c r="C68" i="37"/>
  <c r="D68" i="37"/>
  <c r="E68" i="37"/>
  <c r="F68" i="37"/>
  <c r="B68" i="37"/>
  <c r="C95" i="37"/>
  <c r="E82" i="37"/>
  <c r="F82" i="37"/>
  <c r="G82" i="37"/>
  <c r="H82" i="37"/>
  <c r="I82" i="37"/>
  <c r="J82" i="37"/>
  <c r="K82" i="37"/>
  <c r="L82" i="37"/>
  <c r="M82" i="37"/>
  <c r="N82" i="37"/>
  <c r="O82" i="37"/>
  <c r="P82" i="37"/>
  <c r="Q82" i="37"/>
  <c r="R82" i="37"/>
  <c r="S82" i="37"/>
  <c r="T82" i="37"/>
  <c r="U82" i="37"/>
  <c r="V82" i="37"/>
  <c r="W82" i="37"/>
  <c r="C37" i="37"/>
  <c r="AH101" i="37"/>
  <c r="AI101" i="37" s="1"/>
  <c r="B37" i="37"/>
  <c r="B93" i="37"/>
  <c r="B80" i="37"/>
  <c r="B79" i="37"/>
  <c r="B78" i="37"/>
  <c r="B77" i="37"/>
  <c r="B76" i="37"/>
  <c r="AI76" i="37" s="1"/>
  <c r="B56" i="37"/>
  <c r="B52" i="37"/>
  <c r="B38" i="37"/>
  <c r="B73" i="37" s="1"/>
  <c r="AF240" i="37"/>
  <c r="AE240" i="37"/>
  <c r="AD240" i="37"/>
  <c r="AC240" i="37"/>
  <c r="AB240" i="37"/>
  <c r="AA240" i="37"/>
  <c r="Z240" i="37"/>
  <c r="Y240" i="37"/>
  <c r="X240" i="37"/>
  <c r="W240" i="37"/>
  <c r="V240" i="37"/>
  <c r="U240" i="37"/>
  <c r="T240" i="37"/>
  <c r="S240" i="37"/>
  <c r="R240" i="37"/>
  <c r="Q240" i="37"/>
  <c r="P240" i="37"/>
  <c r="O240" i="37"/>
  <c r="N240" i="37"/>
  <c r="M240" i="37"/>
  <c r="L240" i="37"/>
  <c r="K240" i="37"/>
  <c r="J240" i="37"/>
  <c r="I240" i="37"/>
  <c r="H240" i="37"/>
  <c r="G240" i="37"/>
  <c r="F240" i="37"/>
  <c r="E240" i="37"/>
  <c r="D240" i="37"/>
  <c r="C240" i="37"/>
  <c r="B240" i="37"/>
  <c r="A240" i="37"/>
  <c r="AF239" i="37"/>
  <c r="AE239" i="37"/>
  <c r="AD239" i="37"/>
  <c r="AC239" i="37"/>
  <c r="AB239" i="37"/>
  <c r="AA239" i="37"/>
  <c r="Z239" i="37"/>
  <c r="Y239" i="37"/>
  <c r="X239" i="37"/>
  <c r="W239" i="37"/>
  <c r="V239" i="37"/>
  <c r="U239" i="37"/>
  <c r="T239" i="37"/>
  <c r="S239" i="37"/>
  <c r="R239" i="37"/>
  <c r="Q239" i="37"/>
  <c r="P239" i="37"/>
  <c r="O239" i="37"/>
  <c r="N239" i="37"/>
  <c r="M239" i="37"/>
  <c r="L239" i="37"/>
  <c r="K239" i="37"/>
  <c r="J239" i="37"/>
  <c r="I239" i="37"/>
  <c r="H239" i="37"/>
  <c r="G239" i="37"/>
  <c r="F239" i="37"/>
  <c r="E239" i="37"/>
  <c r="D239" i="37"/>
  <c r="C239" i="37"/>
  <c r="B239" i="37"/>
  <c r="A239" i="37"/>
  <c r="AF238" i="37"/>
  <c r="AE238" i="37"/>
  <c r="AD238" i="37"/>
  <c r="AC238" i="37"/>
  <c r="AB238" i="37"/>
  <c r="AA238" i="37"/>
  <c r="Z238" i="37"/>
  <c r="Y238" i="37"/>
  <c r="X238" i="37"/>
  <c r="W238" i="37"/>
  <c r="V238" i="37"/>
  <c r="U238" i="37"/>
  <c r="T238" i="37"/>
  <c r="S238" i="37"/>
  <c r="R238" i="37"/>
  <c r="Q238" i="37"/>
  <c r="P238" i="37"/>
  <c r="O238" i="37"/>
  <c r="N238" i="37"/>
  <c r="M238" i="37"/>
  <c r="L238" i="37"/>
  <c r="K238" i="37"/>
  <c r="J238" i="37"/>
  <c r="I238" i="37"/>
  <c r="H238" i="37"/>
  <c r="G238" i="37"/>
  <c r="F238" i="37"/>
  <c r="E238" i="37"/>
  <c r="D238" i="37"/>
  <c r="C238" i="37"/>
  <c r="B238" i="37"/>
  <c r="A238" i="37"/>
  <c r="AF237" i="37"/>
  <c r="AE237" i="37"/>
  <c r="AD237" i="37"/>
  <c r="AC237" i="37"/>
  <c r="AB237" i="37"/>
  <c r="AA237" i="37"/>
  <c r="Z237" i="37"/>
  <c r="Y237" i="37"/>
  <c r="X237" i="37"/>
  <c r="W237" i="37"/>
  <c r="V237" i="37"/>
  <c r="U237" i="37"/>
  <c r="T237" i="37"/>
  <c r="S237" i="37"/>
  <c r="R237" i="37"/>
  <c r="Q237" i="37"/>
  <c r="P237" i="37"/>
  <c r="O237" i="37"/>
  <c r="N237" i="37"/>
  <c r="M237" i="37"/>
  <c r="L237" i="37"/>
  <c r="K237" i="37"/>
  <c r="J237" i="37"/>
  <c r="I237" i="37"/>
  <c r="H237" i="37"/>
  <c r="G237" i="37"/>
  <c r="F237" i="37"/>
  <c r="E237" i="37"/>
  <c r="D237" i="37"/>
  <c r="C237" i="37"/>
  <c r="B237" i="37"/>
  <c r="A237" i="37"/>
  <c r="B236" i="37"/>
  <c r="S211" i="37"/>
  <c r="AG201" i="37"/>
  <c r="C201" i="37"/>
  <c r="E200" i="37"/>
  <c r="D236" i="37" s="1"/>
  <c r="D200" i="37"/>
  <c r="C236" i="37" s="1"/>
  <c r="D199" i="37"/>
  <c r="E199" i="37" s="1"/>
  <c r="F199" i="37" s="1"/>
  <c r="G199" i="37" s="1"/>
  <c r="H199" i="37" s="1"/>
  <c r="I199" i="37" s="1"/>
  <c r="J199" i="37" s="1"/>
  <c r="K199" i="37" s="1"/>
  <c r="L199" i="37" s="1"/>
  <c r="M199" i="37" s="1"/>
  <c r="N199" i="37" s="1"/>
  <c r="O199" i="37" s="1"/>
  <c r="P199" i="37" s="1"/>
  <c r="Q199" i="37" s="1"/>
  <c r="R199" i="37" s="1"/>
  <c r="S199" i="37" s="1"/>
  <c r="T199" i="37" s="1"/>
  <c r="U199" i="37" s="1"/>
  <c r="V199" i="37" s="1"/>
  <c r="W199" i="37" s="1"/>
  <c r="X199" i="37" s="1"/>
  <c r="Y199" i="37" s="1"/>
  <c r="Z199" i="37" s="1"/>
  <c r="AA199" i="37" s="1"/>
  <c r="AB199" i="37" s="1"/>
  <c r="AC199" i="37" s="1"/>
  <c r="AD199" i="37" s="1"/>
  <c r="AE199" i="37" s="1"/>
  <c r="AF199" i="37" s="1"/>
  <c r="B199" i="37" s="1"/>
  <c r="D198" i="37"/>
  <c r="E198" i="37" s="1"/>
  <c r="F198" i="37" s="1"/>
  <c r="G198" i="37" s="1"/>
  <c r="H198" i="37" s="1"/>
  <c r="I198" i="37" s="1"/>
  <c r="J198" i="37" s="1"/>
  <c r="K198" i="37" s="1"/>
  <c r="L198" i="37" s="1"/>
  <c r="M198" i="37" s="1"/>
  <c r="N198" i="37" s="1"/>
  <c r="O198" i="37" s="1"/>
  <c r="P198" i="37" s="1"/>
  <c r="Q198" i="37" s="1"/>
  <c r="R198" i="37" s="1"/>
  <c r="S198" i="37" s="1"/>
  <c r="T198" i="37" s="1"/>
  <c r="U198" i="37" s="1"/>
  <c r="V198" i="37" s="1"/>
  <c r="W198" i="37" s="1"/>
  <c r="X198" i="37" s="1"/>
  <c r="Y198" i="37" s="1"/>
  <c r="Z198" i="37" s="1"/>
  <c r="AA198" i="37" s="1"/>
  <c r="AB198" i="37" s="1"/>
  <c r="AC198" i="37" s="1"/>
  <c r="AD198" i="37" s="1"/>
  <c r="AE198" i="37" s="1"/>
  <c r="AF198" i="37" s="1"/>
  <c r="B198" i="37" s="1"/>
  <c r="E197" i="37"/>
  <c r="F197" i="37" s="1"/>
  <c r="G197" i="37" s="1"/>
  <c r="H197" i="37" s="1"/>
  <c r="I197" i="37" s="1"/>
  <c r="J197" i="37" s="1"/>
  <c r="K197" i="37" s="1"/>
  <c r="L197" i="37" s="1"/>
  <c r="M197" i="37" s="1"/>
  <c r="N197" i="37" s="1"/>
  <c r="O197" i="37" s="1"/>
  <c r="P197" i="37" s="1"/>
  <c r="Q197" i="37" s="1"/>
  <c r="R197" i="37" s="1"/>
  <c r="S197" i="37" s="1"/>
  <c r="T197" i="37" s="1"/>
  <c r="U197" i="37" s="1"/>
  <c r="V197" i="37" s="1"/>
  <c r="W197" i="37" s="1"/>
  <c r="X197" i="37" s="1"/>
  <c r="Y197" i="37" s="1"/>
  <c r="Z197" i="37" s="1"/>
  <c r="AA197" i="37" s="1"/>
  <c r="AB197" i="37" s="1"/>
  <c r="AC197" i="37" s="1"/>
  <c r="AD197" i="37" s="1"/>
  <c r="AE197" i="37" s="1"/>
  <c r="AF197" i="37" s="1"/>
  <c r="B197" i="37" s="1"/>
  <c r="D197" i="37"/>
  <c r="D196" i="37"/>
  <c r="E196" i="37" s="1"/>
  <c r="F196" i="37" s="1"/>
  <c r="G196" i="37" s="1"/>
  <c r="H196" i="37" s="1"/>
  <c r="I196" i="37" s="1"/>
  <c r="J196" i="37" s="1"/>
  <c r="K196" i="37" s="1"/>
  <c r="L196" i="37" s="1"/>
  <c r="M196" i="37" s="1"/>
  <c r="N196" i="37" s="1"/>
  <c r="O196" i="37" s="1"/>
  <c r="P196" i="37" s="1"/>
  <c r="Q196" i="37" s="1"/>
  <c r="R196" i="37" s="1"/>
  <c r="S196" i="37" s="1"/>
  <c r="T196" i="37" s="1"/>
  <c r="U196" i="37" s="1"/>
  <c r="V196" i="37" s="1"/>
  <c r="W196" i="37" s="1"/>
  <c r="X196" i="37" s="1"/>
  <c r="Y196" i="37" s="1"/>
  <c r="Z196" i="37" s="1"/>
  <c r="AA196" i="37" s="1"/>
  <c r="AB196" i="37" s="1"/>
  <c r="AC196" i="37" s="1"/>
  <c r="AD196" i="37" s="1"/>
  <c r="AE196" i="37" s="1"/>
  <c r="AF196" i="37" s="1"/>
  <c r="B196" i="37" s="1"/>
  <c r="D195" i="37"/>
  <c r="AG193" i="37"/>
  <c r="C193" i="37"/>
  <c r="D192" i="37"/>
  <c r="E192" i="37" s="1"/>
  <c r="F192" i="37" s="1"/>
  <c r="G192" i="37" s="1"/>
  <c r="H192" i="37" s="1"/>
  <c r="I192" i="37" s="1"/>
  <c r="J192" i="37" s="1"/>
  <c r="K192" i="37" s="1"/>
  <c r="L192" i="37" s="1"/>
  <c r="M192" i="37" s="1"/>
  <c r="N192" i="37" s="1"/>
  <c r="O192" i="37" s="1"/>
  <c r="P192" i="37" s="1"/>
  <c r="Q192" i="37" s="1"/>
  <c r="R192" i="37" s="1"/>
  <c r="S192" i="37" s="1"/>
  <c r="T192" i="37" s="1"/>
  <c r="U192" i="37" s="1"/>
  <c r="V192" i="37" s="1"/>
  <c r="W192" i="37" s="1"/>
  <c r="X192" i="37" s="1"/>
  <c r="Y192" i="37" s="1"/>
  <c r="Z192" i="37" s="1"/>
  <c r="AA192" i="37" s="1"/>
  <c r="AB192" i="37" s="1"/>
  <c r="AC192" i="37" s="1"/>
  <c r="AD192" i="37" s="1"/>
  <c r="AE192" i="37" s="1"/>
  <c r="AF192" i="37" s="1"/>
  <c r="B192" i="37" s="1"/>
  <c r="P191" i="37"/>
  <c r="Q191" i="37" s="1"/>
  <c r="R191" i="37" s="1"/>
  <c r="S191" i="37" s="1"/>
  <c r="T191" i="37" s="1"/>
  <c r="U191" i="37" s="1"/>
  <c r="V191" i="37" s="1"/>
  <c r="W191" i="37" s="1"/>
  <c r="X191" i="37" s="1"/>
  <c r="Y191" i="37" s="1"/>
  <c r="Z191" i="37" s="1"/>
  <c r="AA191" i="37" s="1"/>
  <c r="AB191" i="37" s="1"/>
  <c r="AC191" i="37" s="1"/>
  <c r="AD191" i="37" s="1"/>
  <c r="AE191" i="37" s="1"/>
  <c r="AF191" i="37" s="1"/>
  <c r="B191" i="37" s="1"/>
  <c r="E191" i="37"/>
  <c r="F191" i="37" s="1"/>
  <c r="G191" i="37" s="1"/>
  <c r="H191" i="37" s="1"/>
  <c r="I191" i="37" s="1"/>
  <c r="J191" i="37" s="1"/>
  <c r="K191" i="37" s="1"/>
  <c r="L191" i="37" s="1"/>
  <c r="M191" i="37" s="1"/>
  <c r="N191" i="37" s="1"/>
  <c r="O191" i="37" s="1"/>
  <c r="D191" i="37"/>
  <c r="D190" i="37"/>
  <c r="E190" i="37" s="1"/>
  <c r="F190" i="37" s="1"/>
  <c r="G190" i="37" s="1"/>
  <c r="H190" i="37" s="1"/>
  <c r="I190" i="37" s="1"/>
  <c r="J190" i="37" s="1"/>
  <c r="K190" i="37" s="1"/>
  <c r="L190" i="37" s="1"/>
  <c r="M190" i="37" s="1"/>
  <c r="N190" i="37" s="1"/>
  <c r="O190" i="37" s="1"/>
  <c r="P190" i="37" s="1"/>
  <c r="Q190" i="37" s="1"/>
  <c r="R190" i="37" s="1"/>
  <c r="S190" i="37" s="1"/>
  <c r="T190" i="37" s="1"/>
  <c r="U190" i="37" s="1"/>
  <c r="V190" i="37" s="1"/>
  <c r="W190" i="37" s="1"/>
  <c r="X190" i="37" s="1"/>
  <c r="Y190" i="37" s="1"/>
  <c r="Z190" i="37" s="1"/>
  <c r="AA190" i="37" s="1"/>
  <c r="AB190" i="37" s="1"/>
  <c r="AC190" i="37" s="1"/>
  <c r="AD190" i="37" s="1"/>
  <c r="AE190" i="37" s="1"/>
  <c r="AF190" i="37" s="1"/>
  <c r="B190" i="37" s="1"/>
  <c r="F189" i="37"/>
  <c r="G189" i="37" s="1"/>
  <c r="H189" i="37" s="1"/>
  <c r="I189" i="37" s="1"/>
  <c r="J189" i="37" s="1"/>
  <c r="K189" i="37" s="1"/>
  <c r="L189" i="37" s="1"/>
  <c r="M189" i="37" s="1"/>
  <c r="N189" i="37" s="1"/>
  <c r="O189" i="37" s="1"/>
  <c r="P189" i="37" s="1"/>
  <c r="Q189" i="37" s="1"/>
  <c r="R189" i="37" s="1"/>
  <c r="S189" i="37" s="1"/>
  <c r="T189" i="37" s="1"/>
  <c r="U189" i="37" s="1"/>
  <c r="V189" i="37" s="1"/>
  <c r="W189" i="37" s="1"/>
  <c r="X189" i="37" s="1"/>
  <c r="Y189" i="37" s="1"/>
  <c r="Z189" i="37" s="1"/>
  <c r="AA189" i="37" s="1"/>
  <c r="AB189" i="37" s="1"/>
  <c r="AC189" i="37" s="1"/>
  <c r="AD189" i="37" s="1"/>
  <c r="AE189" i="37" s="1"/>
  <c r="AF189" i="37" s="1"/>
  <c r="B189" i="37" s="1"/>
  <c r="D189" i="37"/>
  <c r="E189" i="37" s="1"/>
  <c r="D188" i="37"/>
  <c r="E188" i="37" s="1"/>
  <c r="F188" i="37" s="1"/>
  <c r="G188" i="37" s="1"/>
  <c r="H188" i="37" s="1"/>
  <c r="I188" i="37" s="1"/>
  <c r="J188" i="37" s="1"/>
  <c r="K188" i="37" s="1"/>
  <c r="L188" i="37" s="1"/>
  <c r="M188" i="37" s="1"/>
  <c r="N188" i="37" s="1"/>
  <c r="O188" i="37" s="1"/>
  <c r="P188" i="37" s="1"/>
  <c r="Q188" i="37" s="1"/>
  <c r="R188" i="37" s="1"/>
  <c r="S188" i="37" s="1"/>
  <c r="T188" i="37" s="1"/>
  <c r="U188" i="37" s="1"/>
  <c r="V188" i="37" s="1"/>
  <c r="W188" i="37" s="1"/>
  <c r="X188" i="37" s="1"/>
  <c r="Y188" i="37" s="1"/>
  <c r="Z188" i="37" s="1"/>
  <c r="AA188" i="37" s="1"/>
  <c r="AB188" i="37" s="1"/>
  <c r="AC188" i="37" s="1"/>
  <c r="AD188" i="37" s="1"/>
  <c r="AE188" i="37" s="1"/>
  <c r="AF188" i="37" s="1"/>
  <c r="B188" i="37" s="1"/>
  <c r="D187" i="37"/>
  <c r="E187" i="37" s="1"/>
  <c r="F187" i="37" s="1"/>
  <c r="G187" i="37" s="1"/>
  <c r="H187" i="37" s="1"/>
  <c r="I187" i="37" s="1"/>
  <c r="J187" i="37" s="1"/>
  <c r="K187" i="37" s="1"/>
  <c r="L187" i="37" s="1"/>
  <c r="M187" i="37" s="1"/>
  <c r="N187" i="37" s="1"/>
  <c r="O187" i="37" s="1"/>
  <c r="P187" i="37" s="1"/>
  <c r="Q187" i="37" s="1"/>
  <c r="R187" i="37" s="1"/>
  <c r="S187" i="37" s="1"/>
  <c r="T187" i="37" s="1"/>
  <c r="U187" i="37" s="1"/>
  <c r="V187" i="37" s="1"/>
  <c r="W187" i="37" s="1"/>
  <c r="X187" i="37" s="1"/>
  <c r="Y187" i="37" s="1"/>
  <c r="Z187" i="37" s="1"/>
  <c r="AA187" i="37" s="1"/>
  <c r="AB187" i="37" s="1"/>
  <c r="AC187" i="37" s="1"/>
  <c r="AD187" i="37" s="1"/>
  <c r="AE187" i="37" s="1"/>
  <c r="AF187" i="37" s="1"/>
  <c r="B187" i="37" s="1"/>
  <c r="H186" i="37"/>
  <c r="I186" i="37" s="1"/>
  <c r="J186" i="37" s="1"/>
  <c r="K186" i="37" s="1"/>
  <c r="L186" i="37" s="1"/>
  <c r="M186" i="37" s="1"/>
  <c r="N186" i="37" s="1"/>
  <c r="O186" i="37" s="1"/>
  <c r="P186" i="37" s="1"/>
  <c r="Q186" i="37" s="1"/>
  <c r="R186" i="37" s="1"/>
  <c r="S186" i="37" s="1"/>
  <c r="T186" i="37" s="1"/>
  <c r="U186" i="37" s="1"/>
  <c r="V186" i="37" s="1"/>
  <c r="W186" i="37" s="1"/>
  <c r="X186" i="37" s="1"/>
  <c r="Y186" i="37" s="1"/>
  <c r="Z186" i="37" s="1"/>
  <c r="AA186" i="37" s="1"/>
  <c r="AB186" i="37" s="1"/>
  <c r="AC186" i="37" s="1"/>
  <c r="AD186" i="37" s="1"/>
  <c r="AE186" i="37" s="1"/>
  <c r="AF186" i="37" s="1"/>
  <c r="B186" i="37" s="1"/>
  <c r="D186" i="37"/>
  <c r="E186" i="37" s="1"/>
  <c r="F186" i="37" s="1"/>
  <c r="G186" i="37" s="1"/>
  <c r="D185" i="37"/>
  <c r="E185" i="37" s="1"/>
  <c r="F185" i="37" s="1"/>
  <c r="G185" i="37" s="1"/>
  <c r="H185" i="37" s="1"/>
  <c r="I185" i="37" s="1"/>
  <c r="J185" i="37" s="1"/>
  <c r="K185" i="37" s="1"/>
  <c r="L185" i="37" s="1"/>
  <c r="M185" i="37" s="1"/>
  <c r="N185" i="37" s="1"/>
  <c r="O185" i="37" s="1"/>
  <c r="P185" i="37" s="1"/>
  <c r="Q185" i="37" s="1"/>
  <c r="R185" i="37" s="1"/>
  <c r="S185" i="37" s="1"/>
  <c r="T185" i="37" s="1"/>
  <c r="U185" i="37" s="1"/>
  <c r="V185" i="37" s="1"/>
  <c r="W185" i="37" s="1"/>
  <c r="X185" i="37" s="1"/>
  <c r="Y185" i="37" s="1"/>
  <c r="Z185" i="37" s="1"/>
  <c r="AA185" i="37" s="1"/>
  <c r="AB185" i="37" s="1"/>
  <c r="AC185" i="37" s="1"/>
  <c r="AD185" i="37" s="1"/>
  <c r="AE185" i="37" s="1"/>
  <c r="AF185" i="37" s="1"/>
  <c r="B185" i="37" s="1"/>
  <c r="AB184" i="37"/>
  <c r="AC184" i="37" s="1"/>
  <c r="AD184" i="37" s="1"/>
  <c r="AE184" i="37" s="1"/>
  <c r="AF184" i="37" s="1"/>
  <c r="B184" i="37" s="1"/>
  <c r="D184" i="37"/>
  <c r="E184" i="37" s="1"/>
  <c r="F184" i="37" s="1"/>
  <c r="G184" i="37" s="1"/>
  <c r="H184" i="37" s="1"/>
  <c r="I184" i="37" s="1"/>
  <c r="J184" i="37" s="1"/>
  <c r="K184" i="37" s="1"/>
  <c r="L184" i="37" s="1"/>
  <c r="M184" i="37" s="1"/>
  <c r="N184" i="37" s="1"/>
  <c r="O184" i="37" s="1"/>
  <c r="P184" i="37" s="1"/>
  <c r="Q184" i="37" s="1"/>
  <c r="R184" i="37" s="1"/>
  <c r="S184" i="37" s="1"/>
  <c r="T184" i="37" s="1"/>
  <c r="U184" i="37" s="1"/>
  <c r="V184" i="37" s="1"/>
  <c r="W184" i="37" s="1"/>
  <c r="X184" i="37" s="1"/>
  <c r="Y184" i="37" s="1"/>
  <c r="Z184" i="37" s="1"/>
  <c r="AA184" i="37" s="1"/>
  <c r="D183" i="37"/>
  <c r="E183" i="37" s="1"/>
  <c r="F183" i="37" s="1"/>
  <c r="G183" i="37" s="1"/>
  <c r="H183" i="37" s="1"/>
  <c r="I183" i="37" s="1"/>
  <c r="J183" i="37" s="1"/>
  <c r="K183" i="37" s="1"/>
  <c r="L183" i="37" s="1"/>
  <c r="M183" i="37" s="1"/>
  <c r="N183" i="37" s="1"/>
  <c r="O183" i="37" s="1"/>
  <c r="P183" i="37" s="1"/>
  <c r="Q183" i="37" s="1"/>
  <c r="R183" i="37" s="1"/>
  <c r="S183" i="37" s="1"/>
  <c r="T183" i="37" s="1"/>
  <c r="U183" i="37" s="1"/>
  <c r="V183" i="37" s="1"/>
  <c r="W183" i="37" s="1"/>
  <c r="X183" i="37" s="1"/>
  <c r="Y183" i="37" s="1"/>
  <c r="Z183" i="37" s="1"/>
  <c r="AA183" i="37" s="1"/>
  <c r="AB183" i="37" s="1"/>
  <c r="AC183" i="37" s="1"/>
  <c r="AD183" i="37" s="1"/>
  <c r="AE183" i="37" s="1"/>
  <c r="AF183" i="37" s="1"/>
  <c r="B183" i="37" s="1"/>
  <c r="I182" i="37"/>
  <c r="J182" i="37" s="1"/>
  <c r="K182" i="37" s="1"/>
  <c r="L182" i="37" s="1"/>
  <c r="M182" i="37" s="1"/>
  <c r="N182" i="37" s="1"/>
  <c r="O182" i="37" s="1"/>
  <c r="P182" i="37" s="1"/>
  <c r="Q182" i="37" s="1"/>
  <c r="R182" i="37" s="1"/>
  <c r="S182" i="37" s="1"/>
  <c r="T182" i="37" s="1"/>
  <c r="U182" i="37" s="1"/>
  <c r="V182" i="37" s="1"/>
  <c r="W182" i="37" s="1"/>
  <c r="X182" i="37" s="1"/>
  <c r="Y182" i="37" s="1"/>
  <c r="Z182" i="37" s="1"/>
  <c r="AA182" i="37" s="1"/>
  <c r="AB182" i="37" s="1"/>
  <c r="AC182" i="37" s="1"/>
  <c r="AD182" i="37" s="1"/>
  <c r="AE182" i="37" s="1"/>
  <c r="AF182" i="37" s="1"/>
  <c r="B182" i="37" s="1"/>
  <c r="E182" i="37"/>
  <c r="F182" i="37" s="1"/>
  <c r="G182" i="37" s="1"/>
  <c r="H182" i="37" s="1"/>
  <c r="D182" i="37"/>
  <c r="F181" i="37"/>
  <c r="G181" i="37" s="1"/>
  <c r="H181" i="37" s="1"/>
  <c r="I181" i="37" s="1"/>
  <c r="J181" i="37" s="1"/>
  <c r="K181" i="37" s="1"/>
  <c r="L181" i="37" s="1"/>
  <c r="M181" i="37" s="1"/>
  <c r="N181" i="37" s="1"/>
  <c r="O181" i="37" s="1"/>
  <c r="P181" i="37" s="1"/>
  <c r="Q181" i="37" s="1"/>
  <c r="R181" i="37" s="1"/>
  <c r="S181" i="37" s="1"/>
  <c r="T181" i="37" s="1"/>
  <c r="U181" i="37" s="1"/>
  <c r="V181" i="37" s="1"/>
  <c r="W181" i="37" s="1"/>
  <c r="X181" i="37" s="1"/>
  <c r="Y181" i="37" s="1"/>
  <c r="Z181" i="37" s="1"/>
  <c r="AA181" i="37" s="1"/>
  <c r="AB181" i="37" s="1"/>
  <c r="AC181" i="37" s="1"/>
  <c r="AD181" i="37" s="1"/>
  <c r="AE181" i="37" s="1"/>
  <c r="AF181" i="37" s="1"/>
  <c r="B181" i="37" s="1"/>
  <c r="D181" i="37"/>
  <c r="E181" i="37" s="1"/>
  <c r="E180" i="37"/>
  <c r="F180" i="37" s="1"/>
  <c r="G180" i="37" s="1"/>
  <c r="H180" i="37" s="1"/>
  <c r="I180" i="37" s="1"/>
  <c r="J180" i="37" s="1"/>
  <c r="K180" i="37" s="1"/>
  <c r="L180" i="37" s="1"/>
  <c r="M180" i="37" s="1"/>
  <c r="N180" i="37" s="1"/>
  <c r="O180" i="37" s="1"/>
  <c r="P180" i="37" s="1"/>
  <c r="Q180" i="37" s="1"/>
  <c r="R180" i="37" s="1"/>
  <c r="S180" i="37" s="1"/>
  <c r="T180" i="37" s="1"/>
  <c r="U180" i="37" s="1"/>
  <c r="V180" i="37" s="1"/>
  <c r="W180" i="37" s="1"/>
  <c r="X180" i="37" s="1"/>
  <c r="Y180" i="37" s="1"/>
  <c r="Z180" i="37" s="1"/>
  <c r="AA180" i="37" s="1"/>
  <c r="AB180" i="37" s="1"/>
  <c r="AC180" i="37" s="1"/>
  <c r="AD180" i="37" s="1"/>
  <c r="AE180" i="37" s="1"/>
  <c r="AF180" i="37" s="1"/>
  <c r="B180" i="37" s="1"/>
  <c r="D180" i="37"/>
  <c r="E178" i="37"/>
  <c r="F178" i="37" s="1"/>
  <c r="G178" i="37" s="1"/>
  <c r="H178" i="37" s="1"/>
  <c r="I178" i="37" s="1"/>
  <c r="J178" i="37" s="1"/>
  <c r="K178" i="37" s="1"/>
  <c r="L178" i="37" s="1"/>
  <c r="M178" i="37" s="1"/>
  <c r="N178" i="37" s="1"/>
  <c r="O178" i="37" s="1"/>
  <c r="P178" i="37" s="1"/>
  <c r="Q178" i="37" s="1"/>
  <c r="R178" i="37" s="1"/>
  <c r="S178" i="37" s="1"/>
  <c r="T178" i="37" s="1"/>
  <c r="U178" i="37" s="1"/>
  <c r="V178" i="37" s="1"/>
  <c r="W178" i="37" s="1"/>
  <c r="X178" i="37" s="1"/>
  <c r="Y178" i="37" s="1"/>
  <c r="Z178" i="37" s="1"/>
  <c r="AA178" i="37" s="1"/>
  <c r="AB178" i="37" s="1"/>
  <c r="AC178" i="37" s="1"/>
  <c r="AD178" i="37" s="1"/>
  <c r="AE178" i="37" s="1"/>
  <c r="AF178" i="37" s="1"/>
  <c r="B178" i="37" s="1"/>
  <c r="D178" i="37"/>
  <c r="F177" i="37"/>
  <c r="G177" i="37" s="1"/>
  <c r="H177" i="37" s="1"/>
  <c r="I177" i="37" s="1"/>
  <c r="J177" i="37" s="1"/>
  <c r="K177" i="37" s="1"/>
  <c r="L177" i="37" s="1"/>
  <c r="M177" i="37" s="1"/>
  <c r="N177" i="37" s="1"/>
  <c r="O177" i="37" s="1"/>
  <c r="P177" i="37" s="1"/>
  <c r="Q177" i="37" s="1"/>
  <c r="R177" i="37" s="1"/>
  <c r="S177" i="37" s="1"/>
  <c r="T177" i="37" s="1"/>
  <c r="U177" i="37" s="1"/>
  <c r="V177" i="37" s="1"/>
  <c r="W177" i="37" s="1"/>
  <c r="X177" i="37" s="1"/>
  <c r="Y177" i="37" s="1"/>
  <c r="Z177" i="37" s="1"/>
  <c r="AA177" i="37" s="1"/>
  <c r="AB177" i="37" s="1"/>
  <c r="AC177" i="37" s="1"/>
  <c r="AD177" i="37" s="1"/>
  <c r="AE177" i="37" s="1"/>
  <c r="AF177" i="37" s="1"/>
  <c r="D177" i="37"/>
  <c r="E177" i="37" s="1"/>
  <c r="B177" i="37"/>
  <c r="I176" i="37"/>
  <c r="J176" i="37" s="1"/>
  <c r="K176" i="37" s="1"/>
  <c r="L176" i="37" s="1"/>
  <c r="M176" i="37" s="1"/>
  <c r="N176" i="37" s="1"/>
  <c r="O176" i="37" s="1"/>
  <c r="P176" i="37" s="1"/>
  <c r="Q176" i="37" s="1"/>
  <c r="R176" i="37" s="1"/>
  <c r="S176" i="37" s="1"/>
  <c r="T176" i="37" s="1"/>
  <c r="U176" i="37" s="1"/>
  <c r="V176" i="37" s="1"/>
  <c r="W176" i="37" s="1"/>
  <c r="X176" i="37" s="1"/>
  <c r="Y176" i="37" s="1"/>
  <c r="Z176" i="37" s="1"/>
  <c r="AA176" i="37" s="1"/>
  <c r="AB176" i="37" s="1"/>
  <c r="AC176" i="37" s="1"/>
  <c r="AD176" i="37" s="1"/>
  <c r="AE176" i="37" s="1"/>
  <c r="AF176" i="37" s="1"/>
  <c r="B176" i="37" s="1"/>
  <c r="F176" i="37"/>
  <c r="G176" i="37" s="1"/>
  <c r="H176" i="37" s="1"/>
  <c r="D176" i="37"/>
  <c r="E176" i="37" s="1"/>
  <c r="G175" i="37"/>
  <c r="H175" i="37" s="1"/>
  <c r="I175" i="37" s="1"/>
  <c r="J175" i="37" s="1"/>
  <c r="K175" i="37" s="1"/>
  <c r="L175" i="37" s="1"/>
  <c r="M175" i="37" s="1"/>
  <c r="N175" i="37" s="1"/>
  <c r="O175" i="37" s="1"/>
  <c r="P175" i="37" s="1"/>
  <c r="Q175" i="37" s="1"/>
  <c r="R175" i="37" s="1"/>
  <c r="S175" i="37" s="1"/>
  <c r="T175" i="37" s="1"/>
  <c r="U175" i="37" s="1"/>
  <c r="V175" i="37" s="1"/>
  <c r="W175" i="37" s="1"/>
  <c r="X175" i="37" s="1"/>
  <c r="Y175" i="37" s="1"/>
  <c r="Z175" i="37" s="1"/>
  <c r="AA175" i="37" s="1"/>
  <c r="AB175" i="37" s="1"/>
  <c r="AC175" i="37" s="1"/>
  <c r="AD175" i="37" s="1"/>
  <c r="AE175" i="37" s="1"/>
  <c r="AF175" i="37" s="1"/>
  <c r="B175" i="37" s="1"/>
  <c r="D175" i="37"/>
  <c r="E175" i="37" s="1"/>
  <c r="F175" i="37" s="1"/>
  <c r="E174" i="37"/>
  <c r="F174" i="37" s="1"/>
  <c r="G174" i="37" s="1"/>
  <c r="H174" i="37" s="1"/>
  <c r="I174" i="37" s="1"/>
  <c r="J174" i="37" s="1"/>
  <c r="K174" i="37" s="1"/>
  <c r="L174" i="37" s="1"/>
  <c r="M174" i="37" s="1"/>
  <c r="N174" i="37" s="1"/>
  <c r="O174" i="37" s="1"/>
  <c r="P174" i="37" s="1"/>
  <c r="Q174" i="37" s="1"/>
  <c r="R174" i="37" s="1"/>
  <c r="S174" i="37" s="1"/>
  <c r="T174" i="37" s="1"/>
  <c r="U174" i="37" s="1"/>
  <c r="V174" i="37" s="1"/>
  <c r="W174" i="37" s="1"/>
  <c r="X174" i="37" s="1"/>
  <c r="Y174" i="37" s="1"/>
  <c r="Z174" i="37" s="1"/>
  <c r="AA174" i="37" s="1"/>
  <c r="AB174" i="37" s="1"/>
  <c r="AC174" i="37" s="1"/>
  <c r="AD174" i="37" s="1"/>
  <c r="AE174" i="37" s="1"/>
  <c r="AF174" i="37" s="1"/>
  <c r="B174" i="37" s="1"/>
  <c r="D174" i="37"/>
  <c r="N173" i="37"/>
  <c r="O173" i="37" s="1"/>
  <c r="P173" i="37" s="1"/>
  <c r="Q173" i="37" s="1"/>
  <c r="R173" i="37" s="1"/>
  <c r="S173" i="37" s="1"/>
  <c r="T173" i="37" s="1"/>
  <c r="U173" i="37" s="1"/>
  <c r="V173" i="37" s="1"/>
  <c r="W173" i="37" s="1"/>
  <c r="X173" i="37" s="1"/>
  <c r="Y173" i="37" s="1"/>
  <c r="Z173" i="37" s="1"/>
  <c r="AA173" i="37" s="1"/>
  <c r="AB173" i="37" s="1"/>
  <c r="AC173" i="37" s="1"/>
  <c r="AD173" i="37" s="1"/>
  <c r="AE173" i="37" s="1"/>
  <c r="AF173" i="37" s="1"/>
  <c r="B173" i="37" s="1"/>
  <c r="F173" i="37"/>
  <c r="G173" i="37" s="1"/>
  <c r="H173" i="37" s="1"/>
  <c r="I173" i="37" s="1"/>
  <c r="J173" i="37" s="1"/>
  <c r="K173" i="37" s="1"/>
  <c r="L173" i="37" s="1"/>
  <c r="M173" i="37" s="1"/>
  <c r="D173" i="37"/>
  <c r="E173" i="37" s="1"/>
  <c r="M172" i="37"/>
  <c r="N172" i="37" s="1"/>
  <c r="O172" i="37" s="1"/>
  <c r="P172" i="37" s="1"/>
  <c r="Q172" i="37" s="1"/>
  <c r="R172" i="37" s="1"/>
  <c r="S172" i="37" s="1"/>
  <c r="T172" i="37" s="1"/>
  <c r="U172" i="37" s="1"/>
  <c r="V172" i="37" s="1"/>
  <c r="W172" i="37" s="1"/>
  <c r="X172" i="37" s="1"/>
  <c r="Y172" i="37" s="1"/>
  <c r="Z172" i="37" s="1"/>
  <c r="AA172" i="37" s="1"/>
  <c r="AB172" i="37" s="1"/>
  <c r="AC172" i="37" s="1"/>
  <c r="AD172" i="37" s="1"/>
  <c r="AE172" i="37" s="1"/>
  <c r="AF172" i="37" s="1"/>
  <c r="B172" i="37" s="1"/>
  <c r="D172" i="37"/>
  <c r="E172" i="37" s="1"/>
  <c r="F172" i="37" s="1"/>
  <c r="G172" i="37" s="1"/>
  <c r="H172" i="37" s="1"/>
  <c r="I172" i="37" s="1"/>
  <c r="J172" i="37" s="1"/>
  <c r="K172" i="37" s="1"/>
  <c r="L172" i="37" s="1"/>
  <c r="D171" i="37"/>
  <c r="E171" i="37" s="1"/>
  <c r="F171" i="37" s="1"/>
  <c r="G171" i="37" s="1"/>
  <c r="H171" i="37" s="1"/>
  <c r="I171" i="37" s="1"/>
  <c r="J171" i="37" s="1"/>
  <c r="K171" i="37" s="1"/>
  <c r="L171" i="37" s="1"/>
  <c r="M171" i="37" s="1"/>
  <c r="N171" i="37" s="1"/>
  <c r="O171" i="37" s="1"/>
  <c r="P171" i="37" s="1"/>
  <c r="Q171" i="37" s="1"/>
  <c r="R171" i="37" s="1"/>
  <c r="S171" i="37" s="1"/>
  <c r="T171" i="37" s="1"/>
  <c r="U171" i="37" s="1"/>
  <c r="V171" i="37" s="1"/>
  <c r="W171" i="37" s="1"/>
  <c r="X171" i="37" s="1"/>
  <c r="Y171" i="37" s="1"/>
  <c r="Z171" i="37" s="1"/>
  <c r="AA171" i="37" s="1"/>
  <c r="AB171" i="37" s="1"/>
  <c r="AC171" i="37" s="1"/>
  <c r="AD171" i="37" s="1"/>
  <c r="AE171" i="37" s="1"/>
  <c r="AF171" i="37" s="1"/>
  <c r="B171" i="37" s="1"/>
  <c r="I169" i="37"/>
  <c r="J169" i="37" s="1"/>
  <c r="K169" i="37" s="1"/>
  <c r="L169" i="37" s="1"/>
  <c r="M169" i="37" s="1"/>
  <c r="N169" i="37" s="1"/>
  <c r="O169" i="37" s="1"/>
  <c r="P169" i="37" s="1"/>
  <c r="Q169" i="37" s="1"/>
  <c r="R169" i="37" s="1"/>
  <c r="S169" i="37" s="1"/>
  <c r="T169" i="37" s="1"/>
  <c r="U169" i="37" s="1"/>
  <c r="V169" i="37" s="1"/>
  <c r="W169" i="37" s="1"/>
  <c r="X169" i="37" s="1"/>
  <c r="Y169" i="37" s="1"/>
  <c r="Z169" i="37" s="1"/>
  <c r="AA169" i="37" s="1"/>
  <c r="AB169" i="37" s="1"/>
  <c r="AC169" i="37" s="1"/>
  <c r="AD169" i="37" s="1"/>
  <c r="AE169" i="37" s="1"/>
  <c r="AF169" i="37" s="1"/>
  <c r="B169" i="37" s="1"/>
  <c r="D169" i="37"/>
  <c r="E169" i="37" s="1"/>
  <c r="F169" i="37" s="1"/>
  <c r="G169" i="37" s="1"/>
  <c r="H169" i="37" s="1"/>
  <c r="M168" i="37"/>
  <c r="N168" i="37" s="1"/>
  <c r="O168" i="37" s="1"/>
  <c r="P168" i="37" s="1"/>
  <c r="Q168" i="37" s="1"/>
  <c r="R168" i="37" s="1"/>
  <c r="S168" i="37" s="1"/>
  <c r="T168" i="37" s="1"/>
  <c r="U168" i="37" s="1"/>
  <c r="V168" i="37" s="1"/>
  <c r="W168" i="37" s="1"/>
  <c r="X168" i="37" s="1"/>
  <c r="Y168" i="37" s="1"/>
  <c r="Z168" i="37" s="1"/>
  <c r="AA168" i="37" s="1"/>
  <c r="AB168" i="37" s="1"/>
  <c r="AC168" i="37" s="1"/>
  <c r="AD168" i="37" s="1"/>
  <c r="AE168" i="37" s="1"/>
  <c r="AF168" i="37" s="1"/>
  <c r="B168" i="37" s="1"/>
  <c r="G168" i="37"/>
  <c r="H168" i="37" s="1"/>
  <c r="I168" i="37" s="1"/>
  <c r="J168" i="37" s="1"/>
  <c r="K168" i="37" s="1"/>
  <c r="L168" i="37" s="1"/>
  <c r="E168" i="37"/>
  <c r="F168" i="37" s="1"/>
  <c r="D168" i="37"/>
  <c r="S167" i="37"/>
  <c r="T167" i="37" s="1"/>
  <c r="U167" i="37" s="1"/>
  <c r="V167" i="37" s="1"/>
  <c r="W167" i="37" s="1"/>
  <c r="X167" i="37" s="1"/>
  <c r="Y167" i="37" s="1"/>
  <c r="Z167" i="37" s="1"/>
  <c r="AA167" i="37" s="1"/>
  <c r="AB167" i="37" s="1"/>
  <c r="AC167" i="37" s="1"/>
  <c r="AD167" i="37" s="1"/>
  <c r="AE167" i="37" s="1"/>
  <c r="AF167" i="37" s="1"/>
  <c r="B167" i="37" s="1"/>
  <c r="F167" i="37"/>
  <c r="G167" i="37" s="1"/>
  <c r="H167" i="37" s="1"/>
  <c r="I167" i="37" s="1"/>
  <c r="J167" i="37" s="1"/>
  <c r="K167" i="37" s="1"/>
  <c r="L167" i="37" s="1"/>
  <c r="M167" i="37" s="1"/>
  <c r="N167" i="37" s="1"/>
  <c r="O167" i="37" s="1"/>
  <c r="P167" i="37" s="1"/>
  <c r="Q167" i="37" s="1"/>
  <c r="R167" i="37" s="1"/>
  <c r="E167" i="37"/>
  <c r="D167" i="37"/>
  <c r="E166" i="37"/>
  <c r="F166" i="37" s="1"/>
  <c r="G166" i="37" s="1"/>
  <c r="H166" i="37" s="1"/>
  <c r="I166" i="37" s="1"/>
  <c r="J166" i="37" s="1"/>
  <c r="K166" i="37" s="1"/>
  <c r="L166" i="37" s="1"/>
  <c r="M166" i="37" s="1"/>
  <c r="N166" i="37" s="1"/>
  <c r="O166" i="37" s="1"/>
  <c r="P166" i="37" s="1"/>
  <c r="Q166" i="37" s="1"/>
  <c r="R166" i="37" s="1"/>
  <c r="S166" i="37" s="1"/>
  <c r="T166" i="37" s="1"/>
  <c r="U166" i="37" s="1"/>
  <c r="V166" i="37" s="1"/>
  <c r="W166" i="37" s="1"/>
  <c r="X166" i="37" s="1"/>
  <c r="Y166" i="37" s="1"/>
  <c r="Z166" i="37" s="1"/>
  <c r="AA166" i="37" s="1"/>
  <c r="AB166" i="37" s="1"/>
  <c r="AC166" i="37" s="1"/>
  <c r="AD166" i="37" s="1"/>
  <c r="AE166" i="37" s="1"/>
  <c r="AF166" i="37" s="1"/>
  <c r="B166" i="37" s="1"/>
  <c r="D166" i="37"/>
  <c r="D165" i="37"/>
  <c r="E165" i="37" s="1"/>
  <c r="F165" i="37" s="1"/>
  <c r="G165" i="37" s="1"/>
  <c r="H165" i="37" s="1"/>
  <c r="I165" i="37" s="1"/>
  <c r="J165" i="37" s="1"/>
  <c r="K165" i="37" s="1"/>
  <c r="L165" i="37" s="1"/>
  <c r="M165" i="37" s="1"/>
  <c r="N165" i="37" s="1"/>
  <c r="O165" i="37" s="1"/>
  <c r="P165" i="37" s="1"/>
  <c r="Q165" i="37" s="1"/>
  <c r="R165" i="37" s="1"/>
  <c r="S165" i="37" s="1"/>
  <c r="T165" i="37" s="1"/>
  <c r="U165" i="37" s="1"/>
  <c r="V165" i="37" s="1"/>
  <c r="W165" i="37" s="1"/>
  <c r="X165" i="37" s="1"/>
  <c r="Y165" i="37" s="1"/>
  <c r="Z165" i="37" s="1"/>
  <c r="AA165" i="37" s="1"/>
  <c r="AB165" i="37" s="1"/>
  <c r="AC165" i="37" s="1"/>
  <c r="AD165" i="37" s="1"/>
  <c r="AE165" i="37" s="1"/>
  <c r="AF165" i="37" s="1"/>
  <c r="B165" i="37" s="1"/>
  <c r="J164" i="37"/>
  <c r="K164" i="37" s="1"/>
  <c r="L164" i="37" s="1"/>
  <c r="M164" i="37" s="1"/>
  <c r="N164" i="37" s="1"/>
  <c r="O164" i="37" s="1"/>
  <c r="P164" i="37" s="1"/>
  <c r="Q164" i="37" s="1"/>
  <c r="R164" i="37" s="1"/>
  <c r="S164" i="37" s="1"/>
  <c r="T164" i="37" s="1"/>
  <c r="U164" i="37" s="1"/>
  <c r="V164" i="37" s="1"/>
  <c r="W164" i="37" s="1"/>
  <c r="X164" i="37" s="1"/>
  <c r="Y164" i="37" s="1"/>
  <c r="Z164" i="37" s="1"/>
  <c r="AA164" i="37" s="1"/>
  <c r="AB164" i="37" s="1"/>
  <c r="AC164" i="37" s="1"/>
  <c r="AD164" i="37" s="1"/>
  <c r="AE164" i="37" s="1"/>
  <c r="AF164" i="37" s="1"/>
  <c r="B164" i="37" s="1"/>
  <c r="F164" i="37"/>
  <c r="G164" i="37" s="1"/>
  <c r="H164" i="37" s="1"/>
  <c r="I164" i="37" s="1"/>
  <c r="E164" i="37"/>
  <c r="D164" i="37"/>
  <c r="E163" i="37"/>
  <c r="F163" i="37" s="1"/>
  <c r="G163" i="37" s="1"/>
  <c r="H163" i="37" s="1"/>
  <c r="I163" i="37" s="1"/>
  <c r="J163" i="37" s="1"/>
  <c r="K163" i="37" s="1"/>
  <c r="L163" i="37" s="1"/>
  <c r="M163" i="37" s="1"/>
  <c r="N163" i="37" s="1"/>
  <c r="O163" i="37" s="1"/>
  <c r="P163" i="37" s="1"/>
  <c r="Q163" i="37" s="1"/>
  <c r="R163" i="37" s="1"/>
  <c r="S163" i="37" s="1"/>
  <c r="T163" i="37" s="1"/>
  <c r="U163" i="37" s="1"/>
  <c r="V163" i="37" s="1"/>
  <c r="W163" i="37" s="1"/>
  <c r="X163" i="37" s="1"/>
  <c r="Y163" i="37" s="1"/>
  <c r="Z163" i="37" s="1"/>
  <c r="AA163" i="37" s="1"/>
  <c r="AB163" i="37" s="1"/>
  <c r="AC163" i="37" s="1"/>
  <c r="AD163" i="37" s="1"/>
  <c r="AE163" i="37" s="1"/>
  <c r="AF163" i="37" s="1"/>
  <c r="B163" i="37" s="1"/>
  <c r="D163" i="37"/>
  <c r="I162" i="37"/>
  <c r="J162" i="37" s="1"/>
  <c r="K162" i="37" s="1"/>
  <c r="L162" i="37" s="1"/>
  <c r="M162" i="37" s="1"/>
  <c r="N162" i="37" s="1"/>
  <c r="O162" i="37" s="1"/>
  <c r="P162" i="37" s="1"/>
  <c r="Q162" i="37" s="1"/>
  <c r="R162" i="37" s="1"/>
  <c r="S162" i="37" s="1"/>
  <c r="T162" i="37" s="1"/>
  <c r="U162" i="37" s="1"/>
  <c r="V162" i="37" s="1"/>
  <c r="W162" i="37" s="1"/>
  <c r="X162" i="37" s="1"/>
  <c r="Y162" i="37" s="1"/>
  <c r="Z162" i="37" s="1"/>
  <c r="AA162" i="37" s="1"/>
  <c r="AB162" i="37" s="1"/>
  <c r="AC162" i="37" s="1"/>
  <c r="AD162" i="37" s="1"/>
  <c r="AE162" i="37" s="1"/>
  <c r="AF162" i="37" s="1"/>
  <c r="B162" i="37" s="1"/>
  <c r="D162" i="37"/>
  <c r="E162" i="37" s="1"/>
  <c r="F162" i="37" s="1"/>
  <c r="G162" i="37" s="1"/>
  <c r="H162" i="37" s="1"/>
  <c r="K161" i="37"/>
  <c r="L161" i="37" s="1"/>
  <c r="M161" i="37" s="1"/>
  <c r="N161" i="37" s="1"/>
  <c r="O161" i="37" s="1"/>
  <c r="P161" i="37" s="1"/>
  <c r="Q161" i="37" s="1"/>
  <c r="R161" i="37" s="1"/>
  <c r="S161" i="37" s="1"/>
  <c r="T161" i="37" s="1"/>
  <c r="U161" i="37" s="1"/>
  <c r="V161" i="37" s="1"/>
  <c r="W161" i="37" s="1"/>
  <c r="X161" i="37" s="1"/>
  <c r="Y161" i="37" s="1"/>
  <c r="Z161" i="37" s="1"/>
  <c r="AA161" i="37" s="1"/>
  <c r="AB161" i="37" s="1"/>
  <c r="AC161" i="37" s="1"/>
  <c r="AD161" i="37" s="1"/>
  <c r="AE161" i="37" s="1"/>
  <c r="AF161" i="37" s="1"/>
  <c r="B161" i="37" s="1"/>
  <c r="G161" i="37"/>
  <c r="H161" i="37" s="1"/>
  <c r="I161" i="37" s="1"/>
  <c r="J161" i="37" s="1"/>
  <c r="D161" i="37"/>
  <c r="E161" i="37" s="1"/>
  <c r="F161" i="37" s="1"/>
  <c r="E160" i="37"/>
  <c r="F160" i="37" s="1"/>
  <c r="G160" i="37" s="1"/>
  <c r="H160" i="37" s="1"/>
  <c r="I160" i="37" s="1"/>
  <c r="J160" i="37" s="1"/>
  <c r="K160" i="37" s="1"/>
  <c r="L160" i="37" s="1"/>
  <c r="M160" i="37" s="1"/>
  <c r="N160" i="37" s="1"/>
  <c r="O160" i="37" s="1"/>
  <c r="P160" i="37" s="1"/>
  <c r="Q160" i="37" s="1"/>
  <c r="R160" i="37" s="1"/>
  <c r="S160" i="37" s="1"/>
  <c r="T160" i="37" s="1"/>
  <c r="U160" i="37" s="1"/>
  <c r="V160" i="37" s="1"/>
  <c r="W160" i="37" s="1"/>
  <c r="X160" i="37" s="1"/>
  <c r="Y160" i="37" s="1"/>
  <c r="Z160" i="37" s="1"/>
  <c r="AA160" i="37" s="1"/>
  <c r="AB160" i="37" s="1"/>
  <c r="AC160" i="37" s="1"/>
  <c r="AD160" i="37" s="1"/>
  <c r="AE160" i="37" s="1"/>
  <c r="AF160" i="37" s="1"/>
  <c r="B160" i="37" s="1"/>
  <c r="D160" i="37"/>
  <c r="D159" i="37"/>
  <c r="E159" i="37" s="1"/>
  <c r="F159" i="37" s="1"/>
  <c r="G159" i="37" s="1"/>
  <c r="H159" i="37" s="1"/>
  <c r="I159" i="37" s="1"/>
  <c r="J159" i="37" s="1"/>
  <c r="K159" i="37" s="1"/>
  <c r="L159" i="37" s="1"/>
  <c r="M159" i="37" s="1"/>
  <c r="N159" i="37" s="1"/>
  <c r="O159" i="37" s="1"/>
  <c r="P159" i="37" s="1"/>
  <c r="Q159" i="37" s="1"/>
  <c r="R159" i="37" s="1"/>
  <c r="S159" i="37" s="1"/>
  <c r="T159" i="37" s="1"/>
  <c r="U159" i="37" s="1"/>
  <c r="V159" i="37" s="1"/>
  <c r="W159" i="37" s="1"/>
  <c r="X159" i="37" s="1"/>
  <c r="Y159" i="37" s="1"/>
  <c r="Z159" i="37" s="1"/>
  <c r="AA159" i="37" s="1"/>
  <c r="AB159" i="37" s="1"/>
  <c r="AC159" i="37" s="1"/>
  <c r="AD159" i="37" s="1"/>
  <c r="AE159" i="37" s="1"/>
  <c r="AF159" i="37" s="1"/>
  <c r="B159" i="37" s="1"/>
  <c r="AC158" i="37"/>
  <c r="AD158" i="37" s="1"/>
  <c r="AE158" i="37" s="1"/>
  <c r="AF158" i="37" s="1"/>
  <c r="B158" i="37" s="1"/>
  <c r="I158" i="37"/>
  <c r="J158" i="37" s="1"/>
  <c r="K158" i="37" s="1"/>
  <c r="L158" i="37" s="1"/>
  <c r="M158" i="37" s="1"/>
  <c r="N158" i="37" s="1"/>
  <c r="O158" i="37" s="1"/>
  <c r="P158" i="37" s="1"/>
  <c r="Q158" i="37" s="1"/>
  <c r="R158" i="37" s="1"/>
  <c r="S158" i="37" s="1"/>
  <c r="T158" i="37" s="1"/>
  <c r="U158" i="37" s="1"/>
  <c r="V158" i="37" s="1"/>
  <c r="W158" i="37" s="1"/>
  <c r="X158" i="37" s="1"/>
  <c r="Y158" i="37" s="1"/>
  <c r="Z158" i="37" s="1"/>
  <c r="AA158" i="37" s="1"/>
  <c r="AB158" i="37" s="1"/>
  <c r="D158" i="37"/>
  <c r="E158" i="37" s="1"/>
  <c r="F158" i="37" s="1"/>
  <c r="G158" i="37" s="1"/>
  <c r="H158" i="37" s="1"/>
  <c r="G157" i="37"/>
  <c r="H157" i="37" s="1"/>
  <c r="I157" i="37" s="1"/>
  <c r="J157" i="37" s="1"/>
  <c r="K157" i="37" s="1"/>
  <c r="L157" i="37" s="1"/>
  <c r="M157" i="37" s="1"/>
  <c r="N157" i="37" s="1"/>
  <c r="O157" i="37" s="1"/>
  <c r="P157" i="37" s="1"/>
  <c r="Q157" i="37" s="1"/>
  <c r="R157" i="37" s="1"/>
  <c r="S157" i="37" s="1"/>
  <c r="T157" i="37" s="1"/>
  <c r="U157" i="37" s="1"/>
  <c r="V157" i="37" s="1"/>
  <c r="W157" i="37" s="1"/>
  <c r="X157" i="37" s="1"/>
  <c r="Y157" i="37" s="1"/>
  <c r="Z157" i="37" s="1"/>
  <c r="AA157" i="37" s="1"/>
  <c r="AB157" i="37" s="1"/>
  <c r="AC157" i="37" s="1"/>
  <c r="AD157" i="37" s="1"/>
  <c r="AE157" i="37" s="1"/>
  <c r="AF157" i="37" s="1"/>
  <c r="B157" i="37" s="1"/>
  <c r="D157" i="37"/>
  <c r="E157" i="37" s="1"/>
  <c r="F157" i="37" s="1"/>
  <c r="E155" i="37"/>
  <c r="F155" i="37" s="1"/>
  <c r="G155" i="37" s="1"/>
  <c r="H155" i="37" s="1"/>
  <c r="I155" i="37" s="1"/>
  <c r="J155" i="37" s="1"/>
  <c r="K155" i="37" s="1"/>
  <c r="L155" i="37" s="1"/>
  <c r="M155" i="37" s="1"/>
  <c r="N155" i="37" s="1"/>
  <c r="O155" i="37" s="1"/>
  <c r="P155" i="37" s="1"/>
  <c r="Q155" i="37" s="1"/>
  <c r="R155" i="37" s="1"/>
  <c r="S155" i="37" s="1"/>
  <c r="T155" i="37" s="1"/>
  <c r="U155" i="37" s="1"/>
  <c r="V155" i="37" s="1"/>
  <c r="W155" i="37" s="1"/>
  <c r="X155" i="37" s="1"/>
  <c r="Y155" i="37" s="1"/>
  <c r="Z155" i="37" s="1"/>
  <c r="AA155" i="37" s="1"/>
  <c r="AB155" i="37" s="1"/>
  <c r="AC155" i="37" s="1"/>
  <c r="AD155" i="37" s="1"/>
  <c r="AE155" i="37" s="1"/>
  <c r="AF155" i="37" s="1"/>
  <c r="B155" i="37" s="1"/>
  <c r="D155" i="37"/>
  <c r="D154" i="37"/>
  <c r="E154" i="37" s="1"/>
  <c r="F154" i="37" s="1"/>
  <c r="G154" i="37" s="1"/>
  <c r="H154" i="37" s="1"/>
  <c r="I154" i="37" s="1"/>
  <c r="J154" i="37" s="1"/>
  <c r="K154" i="37" s="1"/>
  <c r="L154" i="37" s="1"/>
  <c r="M154" i="37" s="1"/>
  <c r="N154" i="37" s="1"/>
  <c r="O154" i="37" s="1"/>
  <c r="P154" i="37" s="1"/>
  <c r="Q154" i="37" s="1"/>
  <c r="R154" i="37" s="1"/>
  <c r="S154" i="37" s="1"/>
  <c r="T154" i="37" s="1"/>
  <c r="U154" i="37" s="1"/>
  <c r="V154" i="37" s="1"/>
  <c r="W154" i="37" s="1"/>
  <c r="X154" i="37" s="1"/>
  <c r="Y154" i="37" s="1"/>
  <c r="Z154" i="37" s="1"/>
  <c r="AA154" i="37" s="1"/>
  <c r="AB154" i="37" s="1"/>
  <c r="AC154" i="37" s="1"/>
  <c r="AD154" i="37" s="1"/>
  <c r="AE154" i="37" s="1"/>
  <c r="AF154" i="37" s="1"/>
  <c r="B154" i="37" s="1"/>
  <c r="E153" i="37"/>
  <c r="F153" i="37" s="1"/>
  <c r="G153" i="37" s="1"/>
  <c r="H153" i="37" s="1"/>
  <c r="I153" i="37" s="1"/>
  <c r="J153" i="37" s="1"/>
  <c r="K153" i="37" s="1"/>
  <c r="L153" i="37" s="1"/>
  <c r="M153" i="37" s="1"/>
  <c r="N153" i="37" s="1"/>
  <c r="O153" i="37" s="1"/>
  <c r="P153" i="37" s="1"/>
  <c r="Q153" i="37" s="1"/>
  <c r="R153" i="37" s="1"/>
  <c r="S153" i="37" s="1"/>
  <c r="T153" i="37" s="1"/>
  <c r="U153" i="37" s="1"/>
  <c r="V153" i="37" s="1"/>
  <c r="W153" i="37" s="1"/>
  <c r="X153" i="37" s="1"/>
  <c r="Y153" i="37" s="1"/>
  <c r="Z153" i="37" s="1"/>
  <c r="AA153" i="37" s="1"/>
  <c r="AB153" i="37" s="1"/>
  <c r="AC153" i="37" s="1"/>
  <c r="AD153" i="37" s="1"/>
  <c r="AE153" i="37" s="1"/>
  <c r="AF153" i="37" s="1"/>
  <c r="B153" i="37" s="1"/>
  <c r="D153" i="37"/>
  <c r="H152" i="37"/>
  <c r="I152" i="37" s="1"/>
  <c r="J152" i="37" s="1"/>
  <c r="K152" i="37" s="1"/>
  <c r="L152" i="37" s="1"/>
  <c r="M152" i="37" s="1"/>
  <c r="N152" i="37" s="1"/>
  <c r="O152" i="37" s="1"/>
  <c r="P152" i="37" s="1"/>
  <c r="Q152" i="37" s="1"/>
  <c r="R152" i="37" s="1"/>
  <c r="S152" i="37" s="1"/>
  <c r="T152" i="37" s="1"/>
  <c r="U152" i="37" s="1"/>
  <c r="V152" i="37" s="1"/>
  <c r="W152" i="37" s="1"/>
  <c r="X152" i="37" s="1"/>
  <c r="Y152" i="37" s="1"/>
  <c r="Z152" i="37" s="1"/>
  <c r="AA152" i="37" s="1"/>
  <c r="AB152" i="37" s="1"/>
  <c r="AC152" i="37" s="1"/>
  <c r="AD152" i="37" s="1"/>
  <c r="AE152" i="37" s="1"/>
  <c r="AF152" i="37" s="1"/>
  <c r="B152" i="37" s="1"/>
  <c r="D152" i="37"/>
  <c r="E152" i="37" s="1"/>
  <c r="F152" i="37" s="1"/>
  <c r="G152" i="37" s="1"/>
  <c r="F150" i="37"/>
  <c r="G150" i="37" s="1"/>
  <c r="H150" i="37" s="1"/>
  <c r="I150" i="37" s="1"/>
  <c r="J150" i="37" s="1"/>
  <c r="K150" i="37" s="1"/>
  <c r="L150" i="37" s="1"/>
  <c r="M150" i="37" s="1"/>
  <c r="N150" i="37" s="1"/>
  <c r="O150" i="37" s="1"/>
  <c r="P150" i="37" s="1"/>
  <c r="Q150" i="37" s="1"/>
  <c r="R150" i="37" s="1"/>
  <c r="S150" i="37" s="1"/>
  <c r="T150" i="37" s="1"/>
  <c r="U150" i="37" s="1"/>
  <c r="V150" i="37" s="1"/>
  <c r="W150" i="37" s="1"/>
  <c r="X150" i="37" s="1"/>
  <c r="Y150" i="37" s="1"/>
  <c r="Z150" i="37" s="1"/>
  <c r="AA150" i="37" s="1"/>
  <c r="AB150" i="37" s="1"/>
  <c r="AC150" i="37" s="1"/>
  <c r="AD150" i="37" s="1"/>
  <c r="AE150" i="37" s="1"/>
  <c r="AF150" i="37" s="1"/>
  <c r="B150" i="37" s="1"/>
  <c r="D150" i="37"/>
  <c r="E150" i="37" s="1"/>
  <c r="D149" i="37"/>
  <c r="E149" i="37" s="1"/>
  <c r="F149" i="37" s="1"/>
  <c r="G149" i="37" s="1"/>
  <c r="H149" i="37" s="1"/>
  <c r="I149" i="37" s="1"/>
  <c r="J149" i="37" s="1"/>
  <c r="K149" i="37" s="1"/>
  <c r="L149" i="37" s="1"/>
  <c r="M149" i="37" s="1"/>
  <c r="N149" i="37" s="1"/>
  <c r="O149" i="37" s="1"/>
  <c r="P149" i="37" s="1"/>
  <c r="Q149" i="37" s="1"/>
  <c r="R149" i="37" s="1"/>
  <c r="S149" i="37" s="1"/>
  <c r="T149" i="37" s="1"/>
  <c r="U149" i="37" s="1"/>
  <c r="V149" i="37" s="1"/>
  <c r="W149" i="37" s="1"/>
  <c r="X149" i="37" s="1"/>
  <c r="Y149" i="37" s="1"/>
  <c r="Z149" i="37" s="1"/>
  <c r="AA149" i="37" s="1"/>
  <c r="AB149" i="37" s="1"/>
  <c r="AC149" i="37" s="1"/>
  <c r="AD149" i="37" s="1"/>
  <c r="AE149" i="37" s="1"/>
  <c r="AF149" i="37" s="1"/>
  <c r="B149" i="37" s="1"/>
  <c r="E147" i="37"/>
  <c r="F147" i="37" s="1"/>
  <c r="G147" i="37" s="1"/>
  <c r="H147" i="37" s="1"/>
  <c r="I147" i="37" s="1"/>
  <c r="J147" i="37" s="1"/>
  <c r="K147" i="37" s="1"/>
  <c r="L147" i="37" s="1"/>
  <c r="M147" i="37" s="1"/>
  <c r="N147" i="37" s="1"/>
  <c r="O147" i="37" s="1"/>
  <c r="P147" i="37" s="1"/>
  <c r="Q147" i="37" s="1"/>
  <c r="R147" i="37" s="1"/>
  <c r="S147" i="37" s="1"/>
  <c r="T147" i="37" s="1"/>
  <c r="U147" i="37" s="1"/>
  <c r="V147" i="37" s="1"/>
  <c r="W147" i="37" s="1"/>
  <c r="X147" i="37" s="1"/>
  <c r="Y147" i="37" s="1"/>
  <c r="Z147" i="37" s="1"/>
  <c r="AA147" i="37" s="1"/>
  <c r="AB147" i="37" s="1"/>
  <c r="AC147" i="37" s="1"/>
  <c r="AD147" i="37" s="1"/>
  <c r="AE147" i="37" s="1"/>
  <c r="AF147" i="37" s="1"/>
  <c r="B147" i="37" s="1"/>
  <c r="D147" i="37"/>
  <c r="D146" i="37"/>
  <c r="E146" i="37" s="1"/>
  <c r="F146" i="37" s="1"/>
  <c r="G146" i="37" s="1"/>
  <c r="H146" i="37" s="1"/>
  <c r="I146" i="37" s="1"/>
  <c r="J146" i="37" s="1"/>
  <c r="K146" i="37" s="1"/>
  <c r="L146" i="37" s="1"/>
  <c r="M146" i="37" s="1"/>
  <c r="N146" i="37" s="1"/>
  <c r="O146" i="37" s="1"/>
  <c r="P146" i="37" s="1"/>
  <c r="Q146" i="37" s="1"/>
  <c r="R146" i="37" s="1"/>
  <c r="S146" i="37" s="1"/>
  <c r="T146" i="37" s="1"/>
  <c r="U146" i="37" s="1"/>
  <c r="V146" i="37" s="1"/>
  <c r="W146" i="37" s="1"/>
  <c r="X146" i="37" s="1"/>
  <c r="Y146" i="37" s="1"/>
  <c r="Z146" i="37" s="1"/>
  <c r="AA146" i="37" s="1"/>
  <c r="AB146" i="37" s="1"/>
  <c r="AC146" i="37" s="1"/>
  <c r="AD146" i="37" s="1"/>
  <c r="AE146" i="37" s="1"/>
  <c r="AF146" i="37" s="1"/>
  <c r="B146" i="37"/>
  <c r="D145" i="37"/>
  <c r="E145" i="37" s="1"/>
  <c r="F145" i="37" s="1"/>
  <c r="G145" i="37" s="1"/>
  <c r="H145" i="37" s="1"/>
  <c r="I145" i="37" s="1"/>
  <c r="J145" i="37" s="1"/>
  <c r="K145" i="37" s="1"/>
  <c r="L145" i="37" s="1"/>
  <c r="M145" i="37" s="1"/>
  <c r="N145" i="37" s="1"/>
  <c r="O145" i="37" s="1"/>
  <c r="P145" i="37" s="1"/>
  <c r="Q145" i="37" s="1"/>
  <c r="R145" i="37" s="1"/>
  <c r="S145" i="37" s="1"/>
  <c r="T145" i="37" s="1"/>
  <c r="U145" i="37" s="1"/>
  <c r="V145" i="37" s="1"/>
  <c r="W145" i="37" s="1"/>
  <c r="X145" i="37" s="1"/>
  <c r="Y145" i="37" s="1"/>
  <c r="Z145" i="37" s="1"/>
  <c r="AA145" i="37" s="1"/>
  <c r="AB145" i="37" s="1"/>
  <c r="AC145" i="37" s="1"/>
  <c r="AD145" i="37" s="1"/>
  <c r="AE145" i="37" s="1"/>
  <c r="AF145" i="37" s="1"/>
  <c r="B145" i="37" s="1"/>
  <c r="D144" i="37"/>
  <c r="E144" i="37" s="1"/>
  <c r="F144" i="37" s="1"/>
  <c r="G144" i="37" s="1"/>
  <c r="H144" i="37" s="1"/>
  <c r="I144" i="37" s="1"/>
  <c r="J144" i="37" s="1"/>
  <c r="K144" i="37" s="1"/>
  <c r="L144" i="37" s="1"/>
  <c r="M144" i="37" s="1"/>
  <c r="N144" i="37" s="1"/>
  <c r="O144" i="37" s="1"/>
  <c r="P144" i="37" s="1"/>
  <c r="Q144" i="37" s="1"/>
  <c r="R144" i="37" s="1"/>
  <c r="S144" i="37" s="1"/>
  <c r="T144" i="37" s="1"/>
  <c r="U144" i="37" s="1"/>
  <c r="V144" i="37" s="1"/>
  <c r="W144" i="37" s="1"/>
  <c r="X144" i="37" s="1"/>
  <c r="Y144" i="37" s="1"/>
  <c r="Z144" i="37" s="1"/>
  <c r="AA144" i="37" s="1"/>
  <c r="AB144" i="37" s="1"/>
  <c r="AC144" i="37" s="1"/>
  <c r="AD144" i="37" s="1"/>
  <c r="AE144" i="37" s="1"/>
  <c r="AF144" i="37" s="1"/>
  <c r="B144" i="37" s="1"/>
  <c r="E143" i="37"/>
  <c r="F143" i="37" s="1"/>
  <c r="G143" i="37" s="1"/>
  <c r="H143" i="37" s="1"/>
  <c r="I143" i="37" s="1"/>
  <c r="J143" i="37" s="1"/>
  <c r="K143" i="37" s="1"/>
  <c r="L143" i="37" s="1"/>
  <c r="M143" i="37" s="1"/>
  <c r="N143" i="37" s="1"/>
  <c r="O143" i="37" s="1"/>
  <c r="P143" i="37" s="1"/>
  <c r="Q143" i="37" s="1"/>
  <c r="R143" i="37" s="1"/>
  <c r="S143" i="37" s="1"/>
  <c r="T143" i="37" s="1"/>
  <c r="U143" i="37" s="1"/>
  <c r="V143" i="37" s="1"/>
  <c r="W143" i="37" s="1"/>
  <c r="X143" i="37" s="1"/>
  <c r="Y143" i="37" s="1"/>
  <c r="Z143" i="37" s="1"/>
  <c r="AA143" i="37" s="1"/>
  <c r="AB143" i="37" s="1"/>
  <c r="AC143" i="37" s="1"/>
  <c r="AD143" i="37" s="1"/>
  <c r="AE143" i="37" s="1"/>
  <c r="AF143" i="37" s="1"/>
  <c r="B143" i="37" s="1"/>
  <c r="D143" i="37"/>
  <c r="K142" i="37"/>
  <c r="L142" i="37" s="1"/>
  <c r="M142" i="37" s="1"/>
  <c r="N142" i="37" s="1"/>
  <c r="O142" i="37" s="1"/>
  <c r="P142" i="37" s="1"/>
  <c r="Q142" i="37" s="1"/>
  <c r="R142" i="37" s="1"/>
  <c r="S142" i="37" s="1"/>
  <c r="T142" i="37" s="1"/>
  <c r="U142" i="37" s="1"/>
  <c r="V142" i="37" s="1"/>
  <c r="W142" i="37" s="1"/>
  <c r="X142" i="37" s="1"/>
  <c r="Y142" i="37" s="1"/>
  <c r="Z142" i="37" s="1"/>
  <c r="AA142" i="37" s="1"/>
  <c r="AB142" i="37" s="1"/>
  <c r="AC142" i="37" s="1"/>
  <c r="AD142" i="37" s="1"/>
  <c r="AE142" i="37" s="1"/>
  <c r="AF142" i="37" s="1"/>
  <c r="B142" i="37" s="1"/>
  <c r="D142" i="37"/>
  <c r="E142" i="37" s="1"/>
  <c r="F142" i="37" s="1"/>
  <c r="G142" i="37" s="1"/>
  <c r="H142" i="37" s="1"/>
  <c r="I142" i="37" s="1"/>
  <c r="J142" i="37" s="1"/>
  <c r="I141" i="37"/>
  <c r="J141" i="37" s="1"/>
  <c r="K141" i="37" s="1"/>
  <c r="L141" i="37" s="1"/>
  <c r="M141" i="37" s="1"/>
  <c r="N141" i="37" s="1"/>
  <c r="O141" i="37" s="1"/>
  <c r="P141" i="37" s="1"/>
  <c r="Q141" i="37" s="1"/>
  <c r="R141" i="37" s="1"/>
  <c r="S141" i="37" s="1"/>
  <c r="T141" i="37" s="1"/>
  <c r="U141" i="37" s="1"/>
  <c r="V141" i="37" s="1"/>
  <c r="W141" i="37" s="1"/>
  <c r="X141" i="37" s="1"/>
  <c r="Y141" i="37" s="1"/>
  <c r="Z141" i="37" s="1"/>
  <c r="AA141" i="37" s="1"/>
  <c r="AB141" i="37" s="1"/>
  <c r="AC141" i="37" s="1"/>
  <c r="AD141" i="37" s="1"/>
  <c r="AE141" i="37" s="1"/>
  <c r="AF141" i="37" s="1"/>
  <c r="B141" i="37" s="1"/>
  <c r="E141" i="37"/>
  <c r="F141" i="37" s="1"/>
  <c r="G141" i="37" s="1"/>
  <c r="H141" i="37" s="1"/>
  <c r="D141" i="37"/>
  <c r="D139" i="37"/>
  <c r="E139" i="37" s="1"/>
  <c r="F139" i="37" s="1"/>
  <c r="G139" i="37" s="1"/>
  <c r="H139" i="37" s="1"/>
  <c r="I139" i="37" s="1"/>
  <c r="J139" i="37" s="1"/>
  <c r="K139" i="37" s="1"/>
  <c r="L139" i="37" s="1"/>
  <c r="M139" i="37" s="1"/>
  <c r="N139" i="37" s="1"/>
  <c r="O139" i="37" s="1"/>
  <c r="P139" i="37" s="1"/>
  <c r="Q139" i="37" s="1"/>
  <c r="R139" i="37" s="1"/>
  <c r="S139" i="37" s="1"/>
  <c r="T139" i="37" s="1"/>
  <c r="U139" i="37" s="1"/>
  <c r="V139" i="37" s="1"/>
  <c r="W139" i="37" s="1"/>
  <c r="X139" i="37" s="1"/>
  <c r="Y139" i="37" s="1"/>
  <c r="Z139" i="37" s="1"/>
  <c r="AA139" i="37" s="1"/>
  <c r="AB139" i="37" s="1"/>
  <c r="AC139" i="37" s="1"/>
  <c r="AD139" i="37" s="1"/>
  <c r="AE139" i="37" s="1"/>
  <c r="AF139" i="37" s="1"/>
  <c r="B139" i="37" s="1"/>
  <c r="D138" i="37"/>
  <c r="E138" i="37" s="1"/>
  <c r="F138" i="37" s="1"/>
  <c r="G138" i="37" s="1"/>
  <c r="H138" i="37" s="1"/>
  <c r="I138" i="37" s="1"/>
  <c r="J138" i="37" s="1"/>
  <c r="K138" i="37" s="1"/>
  <c r="L138" i="37" s="1"/>
  <c r="M138" i="37" s="1"/>
  <c r="N138" i="37" s="1"/>
  <c r="O138" i="37" s="1"/>
  <c r="P138" i="37" s="1"/>
  <c r="Q138" i="37" s="1"/>
  <c r="R138" i="37" s="1"/>
  <c r="S138" i="37" s="1"/>
  <c r="T138" i="37" s="1"/>
  <c r="U138" i="37" s="1"/>
  <c r="V138" i="37" s="1"/>
  <c r="W138" i="37" s="1"/>
  <c r="X138" i="37" s="1"/>
  <c r="Y138" i="37" s="1"/>
  <c r="Z138" i="37" s="1"/>
  <c r="AA138" i="37" s="1"/>
  <c r="AB138" i="37" s="1"/>
  <c r="AC138" i="37" s="1"/>
  <c r="AD138" i="37" s="1"/>
  <c r="AE138" i="37" s="1"/>
  <c r="AF138" i="37" s="1"/>
  <c r="B138" i="37" s="1"/>
  <c r="E137" i="37"/>
  <c r="F137" i="37" s="1"/>
  <c r="G137" i="37" s="1"/>
  <c r="H137" i="37" s="1"/>
  <c r="I137" i="37" s="1"/>
  <c r="J137" i="37" s="1"/>
  <c r="K137" i="37" s="1"/>
  <c r="L137" i="37" s="1"/>
  <c r="M137" i="37" s="1"/>
  <c r="N137" i="37" s="1"/>
  <c r="O137" i="37" s="1"/>
  <c r="P137" i="37" s="1"/>
  <c r="Q137" i="37" s="1"/>
  <c r="R137" i="37" s="1"/>
  <c r="S137" i="37" s="1"/>
  <c r="T137" i="37" s="1"/>
  <c r="U137" i="37" s="1"/>
  <c r="V137" i="37" s="1"/>
  <c r="W137" i="37" s="1"/>
  <c r="X137" i="37" s="1"/>
  <c r="Y137" i="37" s="1"/>
  <c r="Z137" i="37" s="1"/>
  <c r="AA137" i="37" s="1"/>
  <c r="AB137" i="37" s="1"/>
  <c r="AC137" i="37" s="1"/>
  <c r="AD137" i="37" s="1"/>
  <c r="AE137" i="37" s="1"/>
  <c r="AF137" i="37" s="1"/>
  <c r="B137" i="37" s="1"/>
  <c r="D137" i="37"/>
  <c r="F136" i="37"/>
  <c r="G136" i="37" s="1"/>
  <c r="H136" i="37" s="1"/>
  <c r="I136" i="37" s="1"/>
  <c r="J136" i="37" s="1"/>
  <c r="K136" i="37" s="1"/>
  <c r="L136" i="37" s="1"/>
  <c r="M136" i="37" s="1"/>
  <c r="N136" i="37" s="1"/>
  <c r="O136" i="37" s="1"/>
  <c r="P136" i="37" s="1"/>
  <c r="Q136" i="37" s="1"/>
  <c r="R136" i="37" s="1"/>
  <c r="S136" i="37" s="1"/>
  <c r="T136" i="37" s="1"/>
  <c r="U136" i="37" s="1"/>
  <c r="V136" i="37" s="1"/>
  <c r="W136" i="37" s="1"/>
  <c r="X136" i="37" s="1"/>
  <c r="Y136" i="37" s="1"/>
  <c r="Z136" i="37" s="1"/>
  <c r="AA136" i="37" s="1"/>
  <c r="AB136" i="37" s="1"/>
  <c r="AC136" i="37" s="1"/>
  <c r="AD136" i="37" s="1"/>
  <c r="AE136" i="37" s="1"/>
  <c r="AF136" i="37" s="1"/>
  <c r="B136" i="37" s="1"/>
  <c r="D136" i="37"/>
  <c r="E136" i="37" s="1"/>
  <c r="D135" i="37"/>
  <c r="E135" i="37" s="1"/>
  <c r="F135" i="37" s="1"/>
  <c r="G135" i="37" s="1"/>
  <c r="H135" i="37" s="1"/>
  <c r="I135" i="37" s="1"/>
  <c r="J135" i="37" s="1"/>
  <c r="K135" i="37" s="1"/>
  <c r="L135" i="37" s="1"/>
  <c r="M135" i="37" s="1"/>
  <c r="N135" i="37" s="1"/>
  <c r="O135" i="37" s="1"/>
  <c r="P135" i="37" s="1"/>
  <c r="Q135" i="37" s="1"/>
  <c r="R135" i="37" s="1"/>
  <c r="S135" i="37" s="1"/>
  <c r="T135" i="37" s="1"/>
  <c r="U135" i="37" s="1"/>
  <c r="V135" i="37" s="1"/>
  <c r="W135" i="37" s="1"/>
  <c r="X135" i="37" s="1"/>
  <c r="Y135" i="37" s="1"/>
  <c r="Z135" i="37" s="1"/>
  <c r="AA135" i="37" s="1"/>
  <c r="AB135" i="37" s="1"/>
  <c r="AC135" i="37" s="1"/>
  <c r="AD135" i="37" s="1"/>
  <c r="AE135" i="37" s="1"/>
  <c r="AF135" i="37" s="1"/>
  <c r="B135" i="37" s="1"/>
  <c r="H134" i="37"/>
  <c r="I134" i="37" s="1"/>
  <c r="J134" i="37" s="1"/>
  <c r="K134" i="37" s="1"/>
  <c r="L134" i="37" s="1"/>
  <c r="M134" i="37" s="1"/>
  <c r="N134" i="37" s="1"/>
  <c r="O134" i="37" s="1"/>
  <c r="P134" i="37" s="1"/>
  <c r="Q134" i="37" s="1"/>
  <c r="R134" i="37" s="1"/>
  <c r="S134" i="37" s="1"/>
  <c r="T134" i="37" s="1"/>
  <c r="U134" i="37" s="1"/>
  <c r="V134" i="37" s="1"/>
  <c r="W134" i="37" s="1"/>
  <c r="X134" i="37" s="1"/>
  <c r="Y134" i="37" s="1"/>
  <c r="Z134" i="37" s="1"/>
  <c r="AA134" i="37" s="1"/>
  <c r="AB134" i="37" s="1"/>
  <c r="AC134" i="37" s="1"/>
  <c r="AD134" i="37" s="1"/>
  <c r="AE134" i="37" s="1"/>
  <c r="AF134" i="37" s="1"/>
  <c r="B134" i="37" s="1"/>
  <c r="G134" i="37"/>
  <c r="D134" i="37"/>
  <c r="E134" i="37" s="1"/>
  <c r="F134" i="37" s="1"/>
  <c r="F133" i="37"/>
  <c r="G133" i="37" s="1"/>
  <c r="H133" i="37" s="1"/>
  <c r="I133" i="37" s="1"/>
  <c r="J133" i="37" s="1"/>
  <c r="K133" i="37" s="1"/>
  <c r="L133" i="37" s="1"/>
  <c r="M133" i="37" s="1"/>
  <c r="N133" i="37" s="1"/>
  <c r="O133" i="37" s="1"/>
  <c r="P133" i="37" s="1"/>
  <c r="Q133" i="37" s="1"/>
  <c r="R133" i="37" s="1"/>
  <c r="S133" i="37" s="1"/>
  <c r="T133" i="37" s="1"/>
  <c r="U133" i="37" s="1"/>
  <c r="V133" i="37" s="1"/>
  <c r="W133" i="37" s="1"/>
  <c r="X133" i="37" s="1"/>
  <c r="Y133" i="37" s="1"/>
  <c r="Z133" i="37" s="1"/>
  <c r="AA133" i="37" s="1"/>
  <c r="AB133" i="37" s="1"/>
  <c r="AC133" i="37" s="1"/>
  <c r="AD133" i="37" s="1"/>
  <c r="AE133" i="37" s="1"/>
  <c r="AF133" i="37" s="1"/>
  <c r="B133" i="37" s="1"/>
  <c r="E133" i="37"/>
  <c r="D133" i="37"/>
  <c r="F132" i="37"/>
  <c r="G132" i="37" s="1"/>
  <c r="H132" i="37" s="1"/>
  <c r="I132" i="37" s="1"/>
  <c r="J132" i="37" s="1"/>
  <c r="K132" i="37" s="1"/>
  <c r="L132" i="37" s="1"/>
  <c r="M132" i="37" s="1"/>
  <c r="N132" i="37" s="1"/>
  <c r="O132" i="37" s="1"/>
  <c r="P132" i="37" s="1"/>
  <c r="Q132" i="37" s="1"/>
  <c r="R132" i="37" s="1"/>
  <c r="S132" i="37" s="1"/>
  <c r="T132" i="37" s="1"/>
  <c r="U132" i="37" s="1"/>
  <c r="V132" i="37" s="1"/>
  <c r="W132" i="37" s="1"/>
  <c r="X132" i="37" s="1"/>
  <c r="Y132" i="37" s="1"/>
  <c r="Z132" i="37" s="1"/>
  <c r="AA132" i="37" s="1"/>
  <c r="AB132" i="37" s="1"/>
  <c r="AC132" i="37" s="1"/>
  <c r="AD132" i="37" s="1"/>
  <c r="AE132" i="37" s="1"/>
  <c r="AF132" i="37" s="1"/>
  <c r="B132" i="37" s="1"/>
  <c r="D132" i="37"/>
  <c r="E132" i="37" s="1"/>
  <c r="J130" i="37"/>
  <c r="K130" i="37" s="1"/>
  <c r="L130" i="37" s="1"/>
  <c r="M130" i="37" s="1"/>
  <c r="N130" i="37" s="1"/>
  <c r="O130" i="37" s="1"/>
  <c r="P130" i="37" s="1"/>
  <c r="Q130" i="37" s="1"/>
  <c r="R130" i="37" s="1"/>
  <c r="S130" i="37" s="1"/>
  <c r="T130" i="37" s="1"/>
  <c r="U130" i="37" s="1"/>
  <c r="V130" i="37" s="1"/>
  <c r="W130" i="37" s="1"/>
  <c r="X130" i="37" s="1"/>
  <c r="Y130" i="37" s="1"/>
  <c r="Z130" i="37" s="1"/>
  <c r="AA130" i="37" s="1"/>
  <c r="AB130" i="37" s="1"/>
  <c r="AC130" i="37" s="1"/>
  <c r="AD130" i="37" s="1"/>
  <c r="AE130" i="37" s="1"/>
  <c r="AF130" i="37" s="1"/>
  <c r="B130" i="37" s="1"/>
  <c r="D130" i="37"/>
  <c r="E130" i="37" s="1"/>
  <c r="F130" i="37" s="1"/>
  <c r="G130" i="37" s="1"/>
  <c r="H130" i="37" s="1"/>
  <c r="I130" i="37" s="1"/>
  <c r="H129" i="37"/>
  <c r="I129" i="37" s="1"/>
  <c r="J129" i="37" s="1"/>
  <c r="K129" i="37" s="1"/>
  <c r="L129" i="37" s="1"/>
  <c r="M129" i="37" s="1"/>
  <c r="N129" i="37" s="1"/>
  <c r="O129" i="37" s="1"/>
  <c r="P129" i="37" s="1"/>
  <c r="Q129" i="37" s="1"/>
  <c r="R129" i="37" s="1"/>
  <c r="S129" i="37" s="1"/>
  <c r="T129" i="37" s="1"/>
  <c r="U129" i="37" s="1"/>
  <c r="V129" i="37" s="1"/>
  <c r="W129" i="37" s="1"/>
  <c r="X129" i="37" s="1"/>
  <c r="Y129" i="37" s="1"/>
  <c r="Z129" i="37" s="1"/>
  <c r="AA129" i="37" s="1"/>
  <c r="AB129" i="37" s="1"/>
  <c r="AC129" i="37" s="1"/>
  <c r="AD129" i="37" s="1"/>
  <c r="AE129" i="37" s="1"/>
  <c r="AF129" i="37" s="1"/>
  <c r="B129" i="37" s="1"/>
  <c r="G129" i="37"/>
  <c r="D129" i="37"/>
  <c r="E129" i="37" s="1"/>
  <c r="F129" i="37" s="1"/>
  <c r="G128" i="37"/>
  <c r="H128" i="37" s="1"/>
  <c r="I128" i="37" s="1"/>
  <c r="J128" i="37" s="1"/>
  <c r="K128" i="37" s="1"/>
  <c r="L128" i="37" s="1"/>
  <c r="M128" i="37" s="1"/>
  <c r="N128" i="37" s="1"/>
  <c r="O128" i="37" s="1"/>
  <c r="P128" i="37" s="1"/>
  <c r="Q128" i="37" s="1"/>
  <c r="R128" i="37" s="1"/>
  <c r="S128" i="37" s="1"/>
  <c r="T128" i="37" s="1"/>
  <c r="U128" i="37" s="1"/>
  <c r="V128" i="37" s="1"/>
  <c r="W128" i="37" s="1"/>
  <c r="X128" i="37" s="1"/>
  <c r="Y128" i="37" s="1"/>
  <c r="Z128" i="37" s="1"/>
  <c r="AA128" i="37" s="1"/>
  <c r="AB128" i="37" s="1"/>
  <c r="AC128" i="37" s="1"/>
  <c r="AD128" i="37" s="1"/>
  <c r="AE128" i="37" s="1"/>
  <c r="AF128" i="37" s="1"/>
  <c r="B128" i="37" s="1"/>
  <c r="F128" i="37"/>
  <c r="E128" i="37"/>
  <c r="D128" i="37"/>
  <c r="H127" i="37"/>
  <c r="I127" i="37" s="1"/>
  <c r="J127" i="37" s="1"/>
  <c r="K127" i="37" s="1"/>
  <c r="L127" i="37" s="1"/>
  <c r="M127" i="37" s="1"/>
  <c r="N127" i="37" s="1"/>
  <c r="O127" i="37" s="1"/>
  <c r="P127" i="37" s="1"/>
  <c r="Q127" i="37" s="1"/>
  <c r="R127" i="37" s="1"/>
  <c r="S127" i="37" s="1"/>
  <c r="T127" i="37" s="1"/>
  <c r="U127" i="37" s="1"/>
  <c r="V127" i="37" s="1"/>
  <c r="W127" i="37" s="1"/>
  <c r="X127" i="37" s="1"/>
  <c r="Y127" i="37" s="1"/>
  <c r="Z127" i="37" s="1"/>
  <c r="AA127" i="37" s="1"/>
  <c r="AB127" i="37" s="1"/>
  <c r="AC127" i="37" s="1"/>
  <c r="AD127" i="37" s="1"/>
  <c r="AE127" i="37" s="1"/>
  <c r="AF127" i="37" s="1"/>
  <c r="B127" i="37" s="1"/>
  <c r="D127" i="37"/>
  <c r="E127" i="37" s="1"/>
  <c r="F127" i="37" s="1"/>
  <c r="G127" i="37" s="1"/>
  <c r="J126" i="37"/>
  <c r="K126" i="37" s="1"/>
  <c r="L126" i="37" s="1"/>
  <c r="M126" i="37" s="1"/>
  <c r="N126" i="37" s="1"/>
  <c r="O126" i="37" s="1"/>
  <c r="P126" i="37" s="1"/>
  <c r="Q126" i="37" s="1"/>
  <c r="R126" i="37" s="1"/>
  <c r="S126" i="37" s="1"/>
  <c r="T126" i="37" s="1"/>
  <c r="U126" i="37" s="1"/>
  <c r="V126" i="37" s="1"/>
  <c r="W126" i="37" s="1"/>
  <c r="X126" i="37" s="1"/>
  <c r="Y126" i="37" s="1"/>
  <c r="Z126" i="37" s="1"/>
  <c r="AA126" i="37" s="1"/>
  <c r="AB126" i="37" s="1"/>
  <c r="AC126" i="37" s="1"/>
  <c r="AD126" i="37" s="1"/>
  <c r="AE126" i="37" s="1"/>
  <c r="AF126" i="37" s="1"/>
  <c r="B126" i="37" s="1"/>
  <c r="H126" i="37"/>
  <c r="D126" i="37"/>
  <c r="E126" i="37" s="1"/>
  <c r="F126" i="37" s="1"/>
  <c r="G126" i="37" s="1"/>
  <c r="F125" i="37"/>
  <c r="G125" i="37" s="1"/>
  <c r="H125" i="37" s="1"/>
  <c r="I125" i="37" s="1"/>
  <c r="J125" i="37" s="1"/>
  <c r="K125" i="37" s="1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X125" i="37" s="1"/>
  <c r="Y125" i="37" s="1"/>
  <c r="Z125" i="37" s="1"/>
  <c r="AA125" i="37" s="1"/>
  <c r="AB125" i="37" s="1"/>
  <c r="AC125" i="37" s="1"/>
  <c r="AD125" i="37" s="1"/>
  <c r="AE125" i="37" s="1"/>
  <c r="AF125" i="37" s="1"/>
  <c r="B125" i="37" s="1"/>
  <c r="E125" i="37"/>
  <c r="D125" i="37"/>
  <c r="D124" i="37"/>
  <c r="E124" i="37" s="1"/>
  <c r="F124" i="37" s="1"/>
  <c r="G124" i="37" s="1"/>
  <c r="H124" i="37" s="1"/>
  <c r="I124" i="37" s="1"/>
  <c r="J124" i="37" s="1"/>
  <c r="K124" i="37" s="1"/>
  <c r="L124" i="37" s="1"/>
  <c r="M124" i="37" s="1"/>
  <c r="N124" i="37" s="1"/>
  <c r="O124" i="37" s="1"/>
  <c r="P124" i="37" s="1"/>
  <c r="Q124" i="37" s="1"/>
  <c r="R124" i="37" s="1"/>
  <c r="S124" i="37" s="1"/>
  <c r="T124" i="37" s="1"/>
  <c r="U124" i="37" s="1"/>
  <c r="V124" i="37" s="1"/>
  <c r="W124" i="37" s="1"/>
  <c r="X124" i="37" s="1"/>
  <c r="Y124" i="37" s="1"/>
  <c r="Z124" i="37" s="1"/>
  <c r="AA124" i="37" s="1"/>
  <c r="AB124" i="37" s="1"/>
  <c r="AC124" i="37" s="1"/>
  <c r="AD124" i="37" s="1"/>
  <c r="AE124" i="37" s="1"/>
  <c r="AF124" i="37" s="1"/>
  <c r="B124" i="37" s="1"/>
  <c r="J123" i="37"/>
  <c r="K123" i="37" s="1"/>
  <c r="L123" i="37" s="1"/>
  <c r="M123" i="37" s="1"/>
  <c r="N123" i="37" s="1"/>
  <c r="O123" i="37" s="1"/>
  <c r="P123" i="37" s="1"/>
  <c r="Q123" i="37" s="1"/>
  <c r="R123" i="37" s="1"/>
  <c r="S123" i="37" s="1"/>
  <c r="T123" i="37" s="1"/>
  <c r="U123" i="37" s="1"/>
  <c r="V123" i="37" s="1"/>
  <c r="W123" i="37" s="1"/>
  <c r="X123" i="37" s="1"/>
  <c r="Y123" i="37" s="1"/>
  <c r="Z123" i="37" s="1"/>
  <c r="AA123" i="37" s="1"/>
  <c r="AB123" i="37" s="1"/>
  <c r="AC123" i="37" s="1"/>
  <c r="AD123" i="37" s="1"/>
  <c r="AE123" i="37" s="1"/>
  <c r="AF123" i="37" s="1"/>
  <c r="B123" i="37" s="1"/>
  <c r="F123" i="37"/>
  <c r="G123" i="37" s="1"/>
  <c r="H123" i="37" s="1"/>
  <c r="I123" i="37" s="1"/>
  <c r="E123" i="37"/>
  <c r="D123" i="37"/>
  <c r="D122" i="37"/>
  <c r="E122" i="37" s="1"/>
  <c r="F122" i="37" s="1"/>
  <c r="G122" i="37" s="1"/>
  <c r="H122" i="37" s="1"/>
  <c r="I122" i="37" s="1"/>
  <c r="J122" i="37" s="1"/>
  <c r="K122" i="37" s="1"/>
  <c r="L122" i="37" s="1"/>
  <c r="M122" i="37" s="1"/>
  <c r="N122" i="37" s="1"/>
  <c r="O122" i="37" s="1"/>
  <c r="P122" i="37" s="1"/>
  <c r="Q122" i="37" s="1"/>
  <c r="R122" i="37" s="1"/>
  <c r="S122" i="37" s="1"/>
  <c r="T122" i="37" s="1"/>
  <c r="U122" i="37" s="1"/>
  <c r="V122" i="37" s="1"/>
  <c r="W122" i="37" s="1"/>
  <c r="X122" i="37" s="1"/>
  <c r="Y122" i="37" s="1"/>
  <c r="Z122" i="37" s="1"/>
  <c r="AA122" i="37" s="1"/>
  <c r="AB122" i="37" s="1"/>
  <c r="AC122" i="37" s="1"/>
  <c r="AD122" i="37" s="1"/>
  <c r="AE122" i="37" s="1"/>
  <c r="AF122" i="37" s="1"/>
  <c r="B122" i="37" s="1"/>
  <c r="F121" i="37"/>
  <c r="G121" i="37" s="1"/>
  <c r="H121" i="37" s="1"/>
  <c r="I121" i="37" s="1"/>
  <c r="J121" i="37" s="1"/>
  <c r="K121" i="37" s="1"/>
  <c r="L121" i="37" s="1"/>
  <c r="M121" i="37" s="1"/>
  <c r="N121" i="37" s="1"/>
  <c r="O121" i="37" s="1"/>
  <c r="P121" i="37" s="1"/>
  <c r="Q121" i="37" s="1"/>
  <c r="R121" i="37" s="1"/>
  <c r="S121" i="37" s="1"/>
  <c r="T121" i="37" s="1"/>
  <c r="U121" i="37" s="1"/>
  <c r="V121" i="37" s="1"/>
  <c r="W121" i="37" s="1"/>
  <c r="X121" i="37" s="1"/>
  <c r="Y121" i="37" s="1"/>
  <c r="Z121" i="37" s="1"/>
  <c r="AA121" i="37" s="1"/>
  <c r="AB121" i="37" s="1"/>
  <c r="AC121" i="37" s="1"/>
  <c r="AD121" i="37" s="1"/>
  <c r="AE121" i="37" s="1"/>
  <c r="AF121" i="37" s="1"/>
  <c r="B121" i="37" s="1"/>
  <c r="E121" i="37"/>
  <c r="D121" i="37"/>
  <c r="H120" i="37"/>
  <c r="I120" i="37" s="1"/>
  <c r="J120" i="37" s="1"/>
  <c r="K120" i="37" s="1"/>
  <c r="L120" i="37" s="1"/>
  <c r="M120" i="37" s="1"/>
  <c r="N120" i="37" s="1"/>
  <c r="O120" i="37" s="1"/>
  <c r="P120" i="37" s="1"/>
  <c r="Q120" i="37" s="1"/>
  <c r="R120" i="37" s="1"/>
  <c r="S120" i="37" s="1"/>
  <c r="T120" i="37" s="1"/>
  <c r="U120" i="37" s="1"/>
  <c r="V120" i="37" s="1"/>
  <c r="W120" i="37" s="1"/>
  <c r="X120" i="37" s="1"/>
  <c r="Y120" i="37" s="1"/>
  <c r="Z120" i="37" s="1"/>
  <c r="AA120" i="37" s="1"/>
  <c r="AB120" i="37" s="1"/>
  <c r="AC120" i="37" s="1"/>
  <c r="AD120" i="37" s="1"/>
  <c r="AE120" i="37" s="1"/>
  <c r="AF120" i="37" s="1"/>
  <c r="B120" i="37" s="1"/>
  <c r="D120" i="37"/>
  <c r="E120" i="37" s="1"/>
  <c r="F120" i="37" s="1"/>
  <c r="G120" i="37" s="1"/>
  <c r="I119" i="37"/>
  <c r="J119" i="37" s="1"/>
  <c r="K119" i="37" s="1"/>
  <c r="L119" i="37" s="1"/>
  <c r="M119" i="37" s="1"/>
  <c r="N119" i="37" s="1"/>
  <c r="O119" i="37" s="1"/>
  <c r="P119" i="37" s="1"/>
  <c r="Q119" i="37" s="1"/>
  <c r="R119" i="37" s="1"/>
  <c r="S119" i="37" s="1"/>
  <c r="T119" i="37" s="1"/>
  <c r="U119" i="37" s="1"/>
  <c r="V119" i="37" s="1"/>
  <c r="W119" i="37" s="1"/>
  <c r="X119" i="37" s="1"/>
  <c r="Y119" i="37" s="1"/>
  <c r="Z119" i="37" s="1"/>
  <c r="AA119" i="37" s="1"/>
  <c r="AB119" i="37" s="1"/>
  <c r="AC119" i="37" s="1"/>
  <c r="AD119" i="37" s="1"/>
  <c r="AE119" i="37" s="1"/>
  <c r="AF119" i="37" s="1"/>
  <c r="B119" i="37" s="1"/>
  <c r="F119" i="37"/>
  <c r="G119" i="37" s="1"/>
  <c r="H119" i="37" s="1"/>
  <c r="E119" i="37"/>
  <c r="D119" i="37"/>
  <c r="D118" i="37"/>
  <c r="E118" i="37" s="1"/>
  <c r="F118" i="37" s="1"/>
  <c r="G118" i="37" s="1"/>
  <c r="H118" i="37" s="1"/>
  <c r="I118" i="37" s="1"/>
  <c r="J118" i="37" s="1"/>
  <c r="K118" i="37" s="1"/>
  <c r="L118" i="37" s="1"/>
  <c r="M118" i="37" s="1"/>
  <c r="N118" i="37" s="1"/>
  <c r="O118" i="37" s="1"/>
  <c r="P118" i="37" s="1"/>
  <c r="Q118" i="37" s="1"/>
  <c r="R118" i="37" s="1"/>
  <c r="S118" i="37" s="1"/>
  <c r="T118" i="37" s="1"/>
  <c r="U118" i="37" s="1"/>
  <c r="V118" i="37" s="1"/>
  <c r="W118" i="37" s="1"/>
  <c r="X118" i="37" s="1"/>
  <c r="Y118" i="37" s="1"/>
  <c r="Z118" i="37" s="1"/>
  <c r="AA118" i="37" s="1"/>
  <c r="AB118" i="37" s="1"/>
  <c r="AC118" i="37" s="1"/>
  <c r="AD118" i="37" s="1"/>
  <c r="AE118" i="37" s="1"/>
  <c r="AF118" i="37" s="1"/>
  <c r="B118" i="37" s="1"/>
  <c r="E117" i="37"/>
  <c r="F117" i="37" s="1"/>
  <c r="G117" i="37" s="1"/>
  <c r="H117" i="37" s="1"/>
  <c r="I117" i="37" s="1"/>
  <c r="J117" i="37" s="1"/>
  <c r="K117" i="37" s="1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X117" i="37" s="1"/>
  <c r="Y117" i="37" s="1"/>
  <c r="Z117" i="37" s="1"/>
  <c r="AA117" i="37" s="1"/>
  <c r="AB117" i="37" s="1"/>
  <c r="AC117" i="37" s="1"/>
  <c r="AD117" i="37" s="1"/>
  <c r="AE117" i="37" s="1"/>
  <c r="AF117" i="37" s="1"/>
  <c r="B117" i="37" s="1"/>
  <c r="D117" i="37"/>
  <c r="H116" i="37"/>
  <c r="I116" i="37" s="1"/>
  <c r="J116" i="37" s="1"/>
  <c r="K116" i="37" s="1"/>
  <c r="L116" i="37" s="1"/>
  <c r="M116" i="37" s="1"/>
  <c r="N116" i="37" s="1"/>
  <c r="O116" i="37" s="1"/>
  <c r="P116" i="37" s="1"/>
  <c r="Q116" i="37" s="1"/>
  <c r="R116" i="37" s="1"/>
  <c r="S116" i="37" s="1"/>
  <c r="T116" i="37" s="1"/>
  <c r="U116" i="37" s="1"/>
  <c r="V116" i="37" s="1"/>
  <c r="W116" i="37" s="1"/>
  <c r="X116" i="37" s="1"/>
  <c r="Y116" i="37" s="1"/>
  <c r="Z116" i="37" s="1"/>
  <c r="AA116" i="37" s="1"/>
  <c r="AB116" i="37" s="1"/>
  <c r="AC116" i="37" s="1"/>
  <c r="AD116" i="37" s="1"/>
  <c r="AE116" i="37" s="1"/>
  <c r="AF116" i="37" s="1"/>
  <c r="B116" i="37" s="1"/>
  <c r="D116" i="37"/>
  <c r="E116" i="37" s="1"/>
  <c r="F116" i="37" s="1"/>
  <c r="G116" i="37" s="1"/>
  <c r="K115" i="37"/>
  <c r="L115" i="37" s="1"/>
  <c r="M115" i="37" s="1"/>
  <c r="N115" i="37" s="1"/>
  <c r="O115" i="37" s="1"/>
  <c r="P115" i="37" s="1"/>
  <c r="Q115" i="37" s="1"/>
  <c r="R115" i="37" s="1"/>
  <c r="S115" i="37" s="1"/>
  <c r="T115" i="37" s="1"/>
  <c r="U115" i="37" s="1"/>
  <c r="V115" i="37" s="1"/>
  <c r="W115" i="37" s="1"/>
  <c r="X115" i="37" s="1"/>
  <c r="Y115" i="37" s="1"/>
  <c r="Z115" i="37" s="1"/>
  <c r="AA115" i="37" s="1"/>
  <c r="AB115" i="37" s="1"/>
  <c r="AC115" i="37" s="1"/>
  <c r="AD115" i="37" s="1"/>
  <c r="AE115" i="37" s="1"/>
  <c r="AF115" i="37" s="1"/>
  <c r="B115" i="37" s="1"/>
  <c r="E115" i="37"/>
  <c r="F115" i="37" s="1"/>
  <c r="G115" i="37" s="1"/>
  <c r="H115" i="37" s="1"/>
  <c r="I115" i="37" s="1"/>
  <c r="D115" i="37"/>
  <c r="D114" i="37"/>
  <c r="E114" i="37" s="1"/>
  <c r="F114" i="37" s="1"/>
  <c r="G114" i="37" s="1"/>
  <c r="H114" i="37" s="1"/>
  <c r="I114" i="37" s="1"/>
  <c r="J114" i="37" s="1"/>
  <c r="K114" i="37" s="1"/>
  <c r="L114" i="37" s="1"/>
  <c r="M114" i="37" s="1"/>
  <c r="N114" i="37" s="1"/>
  <c r="O114" i="37" s="1"/>
  <c r="P114" i="37" s="1"/>
  <c r="Q114" i="37" s="1"/>
  <c r="R114" i="37" s="1"/>
  <c r="S114" i="37" s="1"/>
  <c r="T114" i="37" s="1"/>
  <c r="U114" i="37" s="1"/>
  <c r="V114" i="37" s="1"/>
  <c r="W114" i="37" s="1"/>
  <c r="X114" i="37" s="1"/>
  <c r="Y114" i="37" s="1"/>
  <c r="Z114" i="37" s="1"/>
  <c r="AA114" i="37" s="1"/>
  <c r="AB114" i="37" s="1"/>
  <c r="AC114" i="37" s="1"/>
  <c r="AD114" i="37" s="1"/>
  <c r="AE114" i="37" s="1"/>
  <c r="AF114" i="37" s="1"/>
  <c r="B114" i="37" s="1"/>
  <c r="D113" i="37"/>
  <c r="E113" i="37" s="1"/>
  <c r="F113" i="37" s="1"/>
  <c r="G113" i="37" s="1"/>
  <c r="H113" i="37" s="1"/>
  <c r="I113" i="37" s="1"/>
  <c r="J113" i="37" s="1"/>
  <c r="K113" i="37" s="1"/>
  <c r="L113" i="37" s="1"/>
  <c r="M113" i="37" s="1"/>
  <c r="N113" i="37" s="1"/>
  <c r="O113" i="37" s="1"/>
  <c r="P113" i="37" s="1"/>
  <c r="Q113" i="37" s="1"/>
  <c r="R113" i="37" s="1"/>
  <c r="S113" i="37" s="1"/>
  <c r="T113" i="37" s="1"/>
  <c r="U113" i="37" s="1"/>
  <c r="V113" i="37" s="1"/>
  <c r="W113" i="37" s="1"/>
  <c r="X113" i="37" s="1"/>
  <c r="Y113" i="37" s="1"/>
  <c r="Z113" i="37" s="1"/>
  <c r="AA113" i="37" s="1"/>
  <c r="AB113" i="37" s="1"/>
  <c r="AC113" i="37" s="1"/>
  <c r="AD113" i="37" s="1"/>
  <c r="AE113" i="37" s="1"/>
  <c r="AF113" i="37" s="1"/>
  <c r="B113" i="37" s="1"/>
  <c r="G111" i="37"/>
  <c r="H111" i="37" s="1"/>
  <c r="I111" i="37" s="1"/>
  <c r="J111" i="37" s="1"/>
  <c r="K111" i="37" s="1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X111" i="37" s="1"/>
  <c r="Y111" i="37" s="1"/>
  <c r="Z111" i="37" s="1"/>
  <c r="AA111" i="37" s="1"/>
  <c r="AB111" i="37" s="1"/>
  <c r="AC111" i="37" s="1"/>
  <c r="AD111" i="37" s="1"/>
  <c r="AE111" i="37" s="1"/>
  <c r="AF111" i="37" s="1"/>
  <c r="B111" i="37" s="1"/>
  <c r="D111" i="37"/>
  <c r="E111" i="37" s="1"/>
  <c r="F111" i="37" s="1"/>
  <c r="F110" i="37"/>
  <c r="G110" i="37" s="1"/>
  <c r="H110" i="37" s="1"/>
  <c r="I110" i="37" s="1"/>
  <c r="J110" i="37" s="1"/>
  <c r="K110" i="37" s="1"/>
  <c r="L110" i="37" s="1"/>
  <c r="M110" i="37" s="1"/>
  <c r="N110" i="37" s="1"/>
  <c r="O110" i="37" s="1"/>
  <c r="P110" i="37" s="1"/>
  <c r="Q110" i="37" s="1"/>
  <c r="R110" i="37" s="1"/>
  <c r="S110" i="37" s="1"/>
  <c r="T110" i="37" s="1"/>
  <c r="U110" i="37" s="1"/>
  <c r="V110" i="37" s="1"/>
  <c r="W110" i="37" s="1"/>
  <c r="X110" i="37" s="1"/>
  <c r="Y110" i="37" s="1"/>
  <c r="Z110" i="37" s="1"/>
  <c r="AA110" i="37" s="1"/>
  <c r="AB110" i="37" s="1"/>
  <c r="AC110" i="37" s="1"/>
  <c r="AD110" i="37" s="1"/>
  <c r="AE110" i="37" s="1"/>
  <c r="AF110" i="37" s="1"/>
  <c r="B110" i="37" s="1"/>
  <c r="E110" i="37"/>
  <c r="D110" i="37"/>
  <c r="D108" i="37"/>
  <c r="E108" i="37" s="1"/>
  <c r="F108" i="37" s="1"/>
  <c r="G108" i="37" s="1"/>
  <c r="H108" i="37" s="1"/>
  <c r="I108" i="37" s="1"/>
  <c r="J108" i="37" s="1"/>
  <c r="K108" i="37" s="1"/>
  <c r="L108" i="37" s="1"/>
  <c r="M108" i="37" s="1"/>
  <c r="N108" i="37" s="1"/>
  <c r="O108" i="37" s="1"/>
  <c r="P108" i="37" s="1"/>
  <c r="Q108" i="37" s="1"/>
  <c r="R108" i="37" s="1"/>
  <c r="S108" i="37" s="1"/>
  <c r="T108" i="37" s="1"/>
  <c r="U108" i="37" s="1"/>
  <c r="V108" i="37" s="1"/>
  <c r="W108" i="37" s="1"/>
  <c r="X108" i="37" s="1"/>
  <c r="Y108" i="37" s="1"/>
  <c r="Z108" i="37" s="1"/>
  <c r="AA108" i="37" s="1"/>
  <c r="AB108" i="37" s="1"/>
  <c r="AC108" i="37" s="1"/>
  <c r="AD108" i="37" s="1"/>
  <c r="AE108" i="37" s="1"/>
  <c r="AF108" i="37" s="1"/>
  <c r="B108" i="37" s="1"/>
  <c r="D107" i="37"/>
  <c r="E107" i="37" s="1"/>
  <c r="F107" i="37" s="1"/>
  <c r="G107" i="37" s="1"/>
  <c r="H107" i="37" s="1"/>
  <c r="I107" i="37" s="1"/>
  <c r="J107" i="37" s="1"/>
  <c r="K107" i="37" s="1"/>
  <c r="L107" i="37" s="1"/>
  <c r="M107" i="37" s="1"/>
  <c r="N107" i="37" s="1"/>
  <c r="O107" i="37" s="1"/>
  <c r="P107" i="37" s="1"/>
  <c r="Q107" i="37" s="1"/>
  <c r="R107" i="37" s="1"/>
  <c r="S107" i="37" s="1"/>
  <c r="T107" i="37" s="1"/>
  <c r="U107" i="37" s="1"/>
  <c r="V107" i="37" s="1"/>
  <c r="W107" i="37" s="1"/>
  <c r="X107" i="37" s="1"/>
  <c r="Y107" i="37" s="1"/>
  <c r="Z107" i="37" s="1"/>
  <c r="AA107" i="37" s="1"/>
  <c r="AB107" i="37" s="1"/>
  <c r="AC107" i="37" s="1"/>
  <c r="AD107" i="37" s="1"/>
  <c r="AE107" i="37" s="1"/>
  <c r="AF107" i="37" s="1"/>
  <c r="B107" i="37" s="1"/>
  <c r="D106" i="37"/>
  <c r="E106" i="37" s="1"/>
  <c r="F106" i="37" s="1"/>
  <c r="G106" i="37" s="1"/>
  <c r="H106" i="37" s="1"/>
  <c r="I106" i="37" s="1"/>
  <c r="J106" i="37" s="1"/>
  <c r="K106" i="37" s="1"/>
  <c r="L106" i="37" s="1"/>
  <c r="M106" i="37" s="1"/>
  <c r="N106" i="37" s="1"/>
  <c r="O106" i="37" s="1"/>
  <c r="P106" i="37" s="1"/>
  <c r="Q106" i="37" s="1"/>
  <c r="R106" i="37" s="1"/>
  <c r="S106" i="37" s="1"/>
  <c r="T106" i="37" s="1"/>
  <c r="U106" i="37" s="1"/>
  <c r="V106" i="37" s="1"/>
  <c r="W106" i="37" s="1"/>
  <c r="X106" i="37" s="1"/>
  <c r="Y106" i="37" s="1"/>
  <c r="Z106" i="37" s="1"/>
  <c r="AA106" i="37" s="1"/>
  <c r="AB106" i="37" s="1"/>
  <c r="AC106" i="37" s="1"/>
  <c r="AD106" i="37" s="1"/>
  <c r="AE106" i="37" s="1"/>
  <c r="AF106" i="37" s="1"/>
  <c r="B106" i="37" s="1"/>
  <c r="E105" i="37"/>
  <c r="F105" i="37" s="1"/>
  <c r="G105" i="37" s="1"/>
  <c r="H105" i="37" s="1"/>
  <c r="I105" i="37" s="1"/>
  <c r="J105" i="37" s="1"/>
  <c r="K105" i="37" s="1"/>
  <c r="L105" i="37" s="1"/>
  <c r="M105" i="37" s="1"/>
  <c r="N105" i="37" s="1"/>
  <c r="O105" i="37" s="1"/>
  <c r="P105" i="37" s="1"/>
  <c r="Q105" i="37" s="1"/>
  <c r="R105" i="37" s="1"/>
  <c r="S105" i="37" s="1"/>
  <c r="T105" i="37" s="1"/>
  <c r="U105" i="37" s="1"/>
  <c r="V105" i="37" s="1"/>
  <c r="W105" i="37" s="1"/>
  <c r="X105" i="37" s="1"/>
  <c r="Y105" i="37" s="1"/>
  <c r="Z105" i="37" s="1"/>
  <c r="AA105" i="37" s="1"/>
  <c r="AB105" i="37" s="1"/>
  <c r="AC105" i="37" s="1"/>
  <c r="AD105" i="37" s="1"/>
  <c r="AE105" i="37" s="1"/>
  <c r="AF105" i="37" s="1"/>
  <c r="B105" i="37" s="1"/>
  <c r="D105" i="37"/>
  <c r="E104" i="37"/>
  <c r="F104" i="37" s="1"/>
  <c r="D104" i="37"/>
  <c r="D103" i="37"/>
  <c r="AH100" i="37"/>
  <c r="AI100" i="37" s="1"/>
  <c r="AH99" i="37"/>
  <c r="AI99" i="37" s="1"/>
  <c r="AH98" i="37"/>
  <c r="AI98" i="37" s="1"/>
  <c r="AH97" i="37"/>
  <c r="AI97" i="37" s="1"/>
  <c r="AH96" i="37"/>
  <c r="AI96" i="37" s="1"/>
  <c r="AH95" i="37"/>
  <c r="AI95" i="37" s="1"/>
  <c r="AH94" i="37"/>
  <c r="AI94" i="37" s="1"/>
  <c r="C93" i="37"/>
  <c r="AI91" i="37"/>
  <c r="AH91" i="37"/>
  <c r="AI90" i="37"/>
  <c r="AH90" i="37"/>
  <c r="AI89" i="37"/>
  <c r="AH89" i="37"/>
  <c r="AI88" i="37"/>
  <c r="AH88" i="37"/>
  <c r="AI87" i="37"/>
  <c r="AH87" i="37"/>
  <c r="AI86" i="37"/>
  <c r="AH86" i="37"/>
  <c r="AI85" i="37"/>
  <c r="AH85" i="37"/>
  <c r="AI84" i="37"/>
  <c r="AH84" i="37"/>
  <c r="AG82" i="37"/>
  <c r="AI81" i="37"/>
  <c r="AH81" i="37"/>
  <c r="AI80" i="37"/>
  <c r="AH80" i="37"/>
  <c r="AI79" i="37"/>
  <c r="AH79" i="37"/>
  <c r="AI78" i="37"/>
  <c r="AH78" i="37"/>
  <c r="AI77" i="37"/>
  <c r="AH77" i="37"/>
  <c r="AI74" i="37"/>
  <c r="AH74" i="37"/>
  <c r="AI72" i="37"/>
  <c r="AH72" i="37"/>
  <c r="AG72" i="37"/>
  <c r="AI71" i="37"/>
  <c r="AH71" i="37"/>
  <c r="AI70" i="37"/>
  <c r="AH70" i="37"/>
  <c r="AI69" i="37"/>
  <c r="AH69" i="37"/>
  <c r="AG68" i="37"/>
  <c r="AF68" i="37"/>
  <c r="AE5" i="37" s="1"/>
  <c r="AE68" i="37"/>
  <c r="AD5" i="37" s="1"/>
  <c r="AD68" i="37"/>
  <c r="AC5" i="37" s="1"/>
  <c r="AC68" i="37"/>
  <c r="AB5" i="37" s="1"/>
  <c r="AB68" i="37"/>
  <c r="AA68" i="37"/>
  <c r="Z5" i="37" s="1"/>
  <c r="Z68" i="37"/>
  <c r="Y68" i="37"/>
  <c r="X5" i="37" s="1"/>
  <c r="X68" i="37"/>
  <c r="W5" i="37" s="1"/>
  <c r="W68" i="37"/>
  <c r="V5" i="37" s="1"/>
  <c r="V68" i="37"/>
  <c r="U5" i="37" s="1"/>
  <c r="U68" i="37"/>
  <c r="T5" i="37" s="1"/>
  <c r="T68" i="37"/>
  <c r="S68" i="37"/>
  <c r="R5" i="37" s="1"/>
  <c r="R68" i="37"/>
  <c r="Q5" i="37" s="1"/>
  <c r="Q68" i="37"/>
  <c r="P68" i="37"/>
  <c r="O5" i="37" s="1"/>
  <c r="O68" i="37"/>
  <c r="N68" i="37"/>
  <c r="M5" i="37" s="1"/>
  <c r="M68" i="37"/>
  <c r="L5" i="37" s="1"/>
  <c r="L68" i="37"/>
  <c r="K68" i="37"/>
  <c r="J5" i="37" s="1"/>
  <c r="J68" i="37"/>
  <c r="I68" i="37"/>
  <c r="H5" i="37" s="1"/>
  <c r="H68" i="37"/>
  <c r="G5" i="37" s="1"/>
  <c r="G68" i="37"/>
  <c r="F5" i="37" s="1"/>
  <c r="D5" i="37"/>
  <c r="B5" i="37"/>
  <c r="AI67" i="37"/>
  <c r="AH67" i="37"/>
  <c r="AI66" i="37"/>
  <c r="AH66" i="37"/>
  <c r="AI65" i="37"/>
  <c r="AH65" i="37"/>
  <c r="AI64" i="37"/>
  <c r="AH64" i="37"/>
  <c r="AI63" i="37"/>
  <c r="AH63" i="37"/>
  <c r="AI62" i="37"/>
  <c r="AH62" i="37"/>
  <c r="AI61" i="37"/>
  <c r="AH61" i="37"/>
  <c r="AI60" i="37"/>
  <c r="AH60" i="37"/>
  <c r="AI59" i="37"/>
  <c r="AH59" i="37"/>
  <c r="AI58" i="37"/>
  <c r="AH58" i="37"/>
  <c r="AI57" i="37"/>
  <c r="AH57" i="37"/>
  <c r="AG56" i="37"/>
  <c r="AF56" i="37"/>
  <c r="AE56" i="37"/>
  <c r="AD56" i="37"/>
  <c r="AC56" i="37"/>
  <c r="AB56" i="37"/>
  <c r="AA56" i="37"/>
  <c r="Z56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AI55" i="37"/>
  <c r="AH55" i="37"/>
  <c r="AI54" i="37"/>
  <c r="AH54" i="37"/>
  <c r="AI53" i="37"/>
  <c r="AH53" i="37"/>
  <c r="AF52" i="37"/>
  <c r="AE52" i="37"/>
  <c r="AD52" i="37"/>
  <c r="AC52" i="37"/>
  <c r="AB52" i="37"/>
  <c r="AA52" i="37"/>
  <c r="Z52" i="37"/>
  <c r="Y52" i="37"/>
  <c r="X52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AI51" i="37"/>
  <c r="AH51" i="37"/>
  <c r="AG51" i="37"/>
  <c r="AG52" i="37" s="1"/>
  <c r="AI50" i="37"/>
  <c r="AH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G38" i="37"/>
  <c r="AF38" i="37"/>
  <c r="AE38" i="37"/>
  <c r="AD38" i="37"/>
  <c r="AD73" i="37" s="1"/>
  <c r="AC38" i="37"/>
  <c r="AB38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L73" i="37" s="1"/>
  <c r="K38" i="37"/>
  <c r="J38" i="37"/>
  <c r="J73" i="37" s="1"/>
  <c r="I38" i="37"/>
  <c r="H38" i="37"/>
  <c r="G38" i="37"/>
  <c r="F38" i="37"/>
  <c r="F73" i="37" s="1"/>
  <c r="E38" i="37"/>
  <c r="E73" i="37" s="1"/>
  <c r="D38" i="37"/>
  <c r="D73" i="37" s="1"/>
  <c r="C38" i="37"/>
  <c r="C73" i="37" s="1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P5" i="37"/>
  <c r="N5" i="37"/>
  <c r="E5" i="37"/>
  <c r="C5" i="37"/>
  <c r="AG4" i="37"/>
  <c r="K4" i="37"/>
  <c r="B4" i="37"/>
  <c r="AG2" i="37"/>
  <c r="AF37" i="36"/>
  <c r="AE37" i="36"/>
  <c r="AD95" i="36"/>
  <c r="AD37" i="36"/>
  <c r="AC37" i="36"/>
  <c r="C76" i="36"/>
  <c r="C82" i="36" s="1"/>
  <c r="D76" i="36"/>
  <c r="E76" i="36"/>
  <c r="F76" i="36"/>
  <c r="F82" i="36" s="1"/>
  <c r="G76" i="36"/>
  <c r="G82" i="36" s="1"/>
  <c r="H76" i="36"/>
  <c r="H82" i="36" s="1"/>
  <c r="I76" i="36"/>
  <c r="I82" i="36" s="1"/>
  <c r="J76" i="36"/>
  <c r="J82" i="36" s="1"/>
  <c r="K76" i="36"/>
  <c r="K82" i="36" s="1"/>
  <c r="L76" i="36"/>
  <c r="M76" i="36"/>
  <c r="N76" i="36"/>
  <c r="N82" i="36" s="1"/>
  <c r="O76" i="36"/>
  <c r="O82" i="36" s="1"/>
  <c r="P76" i="36"/>
  <c r="P82" i="36" s="1"/>
  <c r="Q76" i="36"/>
  <c r="Q82" i="36" s="1"/>
  <c r="R76" i="36"/>
  <c r="R82" i="36" s="1"/>
  <c r="S76" i="36"/>
  <c r="S82" i="36" s="1"/>
  <c r="T76" i="36"/>
  <c r="U76" i="36"/>
  <c r="V76" i="36"/>
  <c r="V82" i="36" s="1"/>
  <c r="W76" i="36"/>
  <c r="W82" i="36" s="1"/>
  <c r="X76" i="36"/>
  <c r="X82" i="36" s="1"/>
  <c r="Y76" i="36"/>
  <c r="Y82" i="36" s="1"/>
  <c r="Z76" i="36"/>
  <c r="Z82" i="36" s="1"/>
  <c r="AA76" i="36"/>
  <c r="AB76" i="36"/>
  <c r="AC76" i="36"/>
  <c r="AD76" i="36"/>
  <c r="AE76" i="36"/>
  <c r="AF76" i="36"/>
  <c r="C77" i="36"/>
  <c r="D77" i="36"/>
  <c r="E77" i="36"/>
  <c r="F77" i="36"/>
  <c r="G77" i="36"/>
  <c r="H77" i="36"/>
  <c r="I77" i="36"/>
  <c r="J77" i="36"/>
  <c r="K77" i="36"/>
  <c r="L77" i="36"/>
  <c r="L82" i="36" s="1"/>
  <c r="M77" i="36"/>
  <c r="N77" i="36"/>
  <c r="O77" i="36"/>
  <c r="P77" i="36"/>
  <c r="Q77" i="36"/>
  <c r="R77" i="36"/>
  <c r="S77" i="36"/>
  <c r="T77" i="36"/>
  <c r="T82" i="36" s="1"/>
  <c r="U77" i="36"/>
  <c r="V77" i="36"/>
  <c r="W77" i="36"/>
  <c r="X77" i="36"/>
  <c r="Y77" i="36"/>
  <c r="Z77" i="36"/>
  <c r="AA77" i="36"/>
  <c r="AB77" i="36"/>
  <c r="AC77" i="36"/>
  <c r="AD77" i="36"/>
  <c r="AE77" i="36"/>
  <c r="AF77" i="36"/>
  <c r="C78" i="36"/>
  <c r="D78" i="36"/>
  <c r="D82" i="36" s="1"/>
  <c r="E78" i="36"/>
  <c r="F78" i="36"/>
  <c r="G78" i="36"/>
  <c r="H78" i="36"/>
  <c r="I78" i="36"/>
  <c r="J78" i="36"/>
  <c r="K78" i="36"/>
  <c r="L78" i="36"/>
  <c r="M78" i="36"/>
  <c r="N78" i="36"/>
  <c r="O78" i="36"/>
  <c r="P78" i="36"/>
  <c r="Q78" i="36"/>
  <c r="R78" i="36"/>
  <c r="S78" i="36"/>
  <c r="T78" i="36"/>
  <c r="U78" i="36"/>
  <c r="V78" i="36"/>
  <c r="W78" i="36"/>
  <c r="X78" i="36"/>
  <c r="Y78" i="36"/>
  <c r="Z78" i="36"/>
  <c r="AA78" i="36"/>
  <c r="AB78" i="36"/>
  <c r="AC78" i="36"/>
  <c r="AD78" i="36"/>
  <c r="AE78" i="36"/>
  <c r="AF78" i="36"/>
  <c r="C79" i="36"/>
  <c r="D79" i="36"/>
  <c r="E79" i="36"/>
  <c r="E82" i="36" s="1"/>
  <c r="F79" i="36"/>
  <c r="G79" i="36"/>
  <c r="H79" i="36"/>
  <c r="I79" i="36"/>
  <c r="J79" i="36"/>
  <c r="K79" i="36"/>
  <c r="L79" i="36"/>
  <c r="M79" i="36"/>
  <c r="M82" i="36" s="1"/>
  <c r="N79" i="36"/>
  <c r="O79" i="36"/>
  <c r="P79" i="36"/>
  <c r="Q79" i="36"/>
  <c r="R79" i="36"/>
  <c r="S79" i="36"/>
  <c r="T79" i="36"/>
  <c r="U79" i="36"/>
  <c r="U82" i="36" s="1"/>
  <c r="V79" i="36"/>
  <c r="W79" i="36"/>
  <c r="X79" i="36"/>
  <c r="Y79" i="36"/>
  <c r="Z79" i="36"/>
  <c r="AA79" i="36"/>
  <c r="AB79" i="36"/>
  <c r="AC79" i="36"/>
  <c r="AD79" i="36"/>
  <c r="AE79" i="36"/>
  <c r="AF79" i="36"/>
  <c r="C80" i="36"/>
  <c r="D80" i="36"/>
  <c r="E80" i="36"/>
  <c r="F80" i="36"/>
  <c r="G80" i="36"/>
  <c r="H80" i="36"/>
  <c r="I80" i="36"/>
  <c r="J80" i="36"/>
  <c r="K80" i="36"/>
  <c r="L80" i="36"/>
  <c r="M80" i="36"/>
  <c r="N80" i="36"/>
  <c r="O80" i="36"/>
  <c r="P80" i="36"/>
  <c r="Q80" i="36"/>
  <c r="R80" i="36"/>
  <c r="S80" i="36"/>
  <c r="T80" i="36"/>
  <c r="U80" i="36"/>
  <c r="V80" i="36"/>
  <c r="W80" i="36"/>
  <c r="X80" i="36"/>
  <c r="Y80" i="36"/>
  <c r="Z80" i="36"/>
  <c r="AA80" i="36"/>
  <c r="AB80" i="36"/>
  <c r="AC80" i="36"/>
  <c r="AD80" i="36"/>
  <c r="AE80" i="36"/>
  <c r="AF80" i="36"/>
  <c r="B80" i="36"/>
  <c r="B79" i="36"/>
  <c r="B78" i="36"/>
  <c r="B77" i="36"/>
  <c r="B76" i="36"/>
  <c r="B82" i="36" s="1"/>
  <c r="C68" i="36"/>
  <c r="C83" i="36" s="1"/>
  <c r="D68" i="36"/>
  <c r="E68" i="36"/>
  <c r="E83" i="36" s="1"/>
  <c r="F68" i="36"/>
  <c r="F83" i="36" s="1"/>
  <c r="G68" i="36"/>
  <c r="G83" i="36" s="1"/>
  <c r="H68" i="36"/>
  <c r="I68" i="36"/>
  <c r="J68" i="36"/>
  <c r="I5" i="36" s="1"/>
  <c r="K68" i="36"/>
  <c r="K83" i="36" s="1"/>
  <c r="L68" i="36"/>
  <c r="M68" i="36"/>
  <c r="M83" i="36" s="1"/>
  <c r="N68" i="36"/>
  <c r="N83" i="36" s="1"/>
  <c r="O68" i="36"/>
  <c r="O83" i="36" s="1"/>
  <c r="P68" i="36"/>
  <c r="Q68" i="36"/>
  <c r="R68" i="36"/>
  <c r="Q5" i="36" s="1"/>
  <c r="S68" i="36"/>
  <c r="S83" i="36" s="1"/>
  <c r="T68" i="36"/>
  <c r="U68" i="36"/>
  <c r="U83" i="36" s="1"/>
  <c r="V68" i="36"/>
  <c r="V83" i="36" s="1"/>
  <c r="W68" i="36"/>
  <c r="W83" i="36" s="1"/>
  <c r="X68" i="36"/>
  <c r="Y68" i="36"/>
  <c r="Z68" i="36"/>
  <c r="Y5" i="36" s="1"/>
  <c r="AA68" i="36"/>
  <c r="AB68" i="36"/>
  <c r="AC68" i="36"/>
  <c r="AD68" i="36"/>
  <c r="AC5" i="36" s="1"/>
  <c r="AE68" i="36"/>
  <c r="AF68" i="36"/>
  <c r="B68" i="36"/>
  <c r="B83" i="36" s="1"/>
  <c r="Y56" i="36"/>
  <c r="Y37" i="36"/>
  <c r="X37" i="36"/>
  <c r="W37" i="36"/>
  <c r="V37" i="36"/>
  <c r="U37" i="36"/>
  <c r="R37" i="36"/>
  <c r="Q37" i="36"/>
  <c r="P37" i="36"/>
  <c r="AK3" i="36"/>
  <c r="O37" i="36"/>
  <c r="N37" i="36"/>
  <c r="M37" i="36"/>
  <c r="L37" i="36"/>
  <c r="K95" i="36"/>
  <c r="K37" i="36"/>
  <c r="J95" i="36"/>
  <c r="J37" i="36"/>
  <c r="I95" i="36"/>
  <c r="I37" i="36"/>
  <c r="H95" i="36"/>
  <c r="H37" i="36"/>
  <c r="G37" i="36"/>
  <c r="F95" i="36"/>
  <c r="F37" i="36"/>
  <c r="AH101" i="36"/>
  <c r="AI101" i="36" s="1"/>
  <c r="E95" i="36"/>
  <c r="E37" i="36"/>
  <c r="D37" i="36"/>
  <c r="C37" i="36"/>
  <c r="AF240" i="36"/>
  <c r="AE240" i="36"/>
  <c r="AD240" i="36"/>
  <c r="AC240" i="36"/>
  <c r="AB240" i="36"/>
  <c r="AA240" i="36"/>
  <c r="Z240" i="36"/>
  <c r="Y240" i="36"/>
  <c r="X240" i="36"/>
  <c r="W240" i="36"/>
  <c r="V240" i="36"/>
  <c r="U240" i="36"/>
  <c r="T240" i="36"/>
  <c r="S240" i="36"/>
  <c r="R240" i="36"/>
  <c r="Q240" i="36"/>
  <c r="P240" i="36"/>
  <c r="O240" i="36"/>
  <c r="N240" i="36"/>
  <c r="M240" i="36"/>
  <c r="L240" i="36"/>
  <c r="K240" i="36"/>
  <c r="J240" i="36"/>
  <c r="I240" i="36"/>
  <c r="H240" i="36"/>
  <c r="G240" i="36"/>
  <c r="F240" i="36"/>
  <c r="E240" i="36"/>
  <c r="D240" i="36"/>
  <c r="C240" i="36"/>
  <c r="B240" i="36"/>
  <c r="A240" i="36"/>
  <c r="AF239" i="36"/>
  <c r="AE239" i="36"/>
  <c r="AD239" i="36"/>
  <c r="AC239" i="36"/>
  <c r="AB239" i="36"/>
  <c r="AA239" i="36"/>
  <c r="Z239" i="36"/>
  <c r="Y239" i="36"/>
  <c r="X239" i="36"/>
  <c r="W239" i="36"/>
  <c r="V239" i="36"/>
  <c r="U239" i="36"/>
  <c r="T239" i="36"/>
  <c r="S239" i="36"/>
  <c r="R239" i="36"/>
  <c r="Q239" i="36"/>
  <c r="P239" i="36"/>
  <c r="O239" i="36"/>
  <c r="N239" i="36"/>
  <c r="M239" i="36"/>
  <c r="L239" i="36"/>
  <c r="K239" i="36"/>
  <c r="J239" i="36"/>
  <c r="I239" i="36"/>
  <c r="H239" i="36"/>
  <c r="G239" i="36"/>
  <c r="F239" i="36"/>
  <c r="E239" i="36"/>
  <c r="D239" i="36"/>
  <c r="C239" i="36"/>
  <c r="B239" i="36"/>
  <c r="A239" i="36"/>
  <c r="AF238" i="36"/>
  <c r="AE238" i="36"/>
  <c r="AD238" i="36"/>
  <c r="AC238" i="36"/>
  <c r="AB238" i="36"/>
  <c r="AA238" i="36"/>
  <c r="Z238" i="36"/>
  <c r="Y238" i="36"/>
  <c r="X238" i="36"/>
  <c r="W238" i="36"/>
  <c r="V238" i="36"/>
  <c r="U238" i="36"/>
  <c r="T238" i="36"/>
  <c r="S238" i="36"/>
  <c r="R238" i="36"/>
  <c r="Q238" i="36"/>
  <c r="P238" i="36"/>
  <c r="O238" i="36"/>
  <c r="N238" i="36"/>
  <c r="M238" i="36"/>
  <c r="L238" i="36"/>
  <c r="K238" i="36"/>
  <c r="J238" i="36"/>
  <c r="I238" i="36"/>
  <c r="H238" i="36"/>
  <c r="G238" i="36"/>
  <c r="F238" i="36"/>
  <c r="E238" i="36"/>
  <c r="D238" i="36"/>
  <c r="C238" i="36"/>
  <c r="B238" i="36"/>
  <c r="A238" i="36"/>
  <c r="AF237" i="36"/>
  <c r="AE237" i="36"/>
  <c r="AD237" i="36"/>
  <c r="AC237" i="36"/>
  <c r="AB237" i="36"/>
  <c r="AA237" i="36"/>
  <c r="Z237" i="36"/>
  <c r="Y237" i="36"/>
  <c r="X237" i="36"/>
  <c r="W237" i="36"/>
  <c r="V237" i="36"/>
  <c r="U237" i="36"/>
  <c r="T237" i="36"/>
  <c r="S237" i="36"/>
  <c r="R237" i="36"/>
  <c r="Q237" i="36"/>
  <c r="P237" i="36"/>
  <c r="O237" i="36"/>
  <c r="N237" i="36"/>
  <c r="M237" i="36"/>
  <c r="L237" i="36"/>
  <c r="K237" i="36"/>
  <c r="J237" i="36"/>
  <c r="I237" i="36"/>
  <c r="H237" i="36"/>
  <c r="G237" i="36"/>
  <c r="F237" i="36"/>
  <c r="E237" i="36"/>
  <c r="D237" i="36"/>
  <c r="C237" i="36"/>
  <c r="B237" i="36"/>
  <c r="A237" i="36"/>
  <c r="B236" i="36"/>
  <c r="S211" i="36"/>
  <c r="AG201" i="36"/>
  <c r="C201" i="36"/>
  <c r="D200" i="36"/>
  <c r="E200" i="36" s="1"/>
  <c r="D236" i="36" s="1"/>
  <c r="D199" i="36"/>
  <c r="E199" i="36" s="1"/>
  <c r="F199" i="36" s="1"/>
  <c r="G199" i="36" s="1"/>
  <c r="H199" i="36" s="1"/>
  <c r="I199" i="36" s="1"/>
  <c r="J199" i="36" s="1"/>
  <c r="K199" i="36" s="1"/>
  <c r="L199" i="36" s="1"/>
  <c r="M199" i="36" s="1"/>
  <c r="N199" i="36" s="1"/>
  <c r="O199" i="36" s="1"/>
  <c r="P199" i="36" s="1"/>
  <c r="Q199" i="36" s="1"/>
  <c r="R199" i="36" s="1"/>
  <c r="S199" i="36" s="1"/>
  <c r="T199" i="36" s="1"/>
  <c r="U199" i="36" s="1"/>
  <c r="V199" i="36" s="1"/>
  <c r="W199" i="36" s="1"/>
  <c r="X199" i="36" s="1"/>
  <c r="Y199" i="36" s="1"/>
  <c r="Z199" i="36" s="1"/>
  <c r="AA199" i="36" s="1"/>
  <c r="AB199" i="36" s="1"/>
  <c r="AC199" i="36" s="1"/>
  <c r="AD199" i="36" s="1"/>
  <c r="AE199" i="36" s="1"/>
  <c r="AF199" i="36" s="1"/>
  <c r="B199" i="36" s="1"/>
  <c r="D198" i="36"/>
  <c r="E198" i="36" s="1"/>
  <c r="F198" i="36" s="1"/>
  <c r="G198" i="36" s="1"/>
  <c r="H198" i="36" s="1"/>
  <c r="I198" i="36" s="1"/>
  <c r="J198" i="36" s="1"/>
  <c r="K198" i="36" s="1"/>
  <c r="L198" i="36" s="1"/>
  <c r="M198" i="36" s="1"/>
  <c r="N198" i="36" s="1"/>
  <c r="O198" i="36" s="1"/>
  <c r="P198" i="36" s="1"/>
  <c r="Q198" i="36" s="1"/>
  <c r="R198" i="36" s="1"/>
  <c r="S198" i="36" s="1"/>
  <c r="T198" i="36" s="1"/>
  <c r="U198" i="36" s="1"/>
  <c r="V198" i="36" s="1"/>
  <c r="W198" i="36" s="1"/>
  <c r="X198" i="36" s="1"/>
  <c r="Y198" i="36" s="1"/>
  <c r="Z198" i="36" s="1"/>
  <c r="AA198" i="36" s="1"/>
  <c r="AB198" i="36" s="1"/>
  <c r="AC198" i="36" s="1"/>
  <c r="AD198" i="36" s="1"/>
  <c r="AE198" i="36" s="1"/>
  <c r="AF198" i="36" s="1"/>
  <c r="B198" i="36" s="1"/>
  <c r="D197" i="36"/>
  <c r="E197" i="36" s="1"/>
  <c r="F197" i="36" s="1"/>
  <c r="G197" i="36" s="1"/>
  <c r="H197" i="36" s="1"/>
  <c r="I197" i="36" s="1"/>
  <c r="J197" i="36" s="1"/>
  <c r="K197" i="36" s="1"/>
  <c r="L197" i="36" s="1"/>
  <c r="M197" i="36" s="1"/>
  <c r="N197" i="36" s="1"/>
  <c r="O197" i="36" s="1"/>
  <c r="P197" i="36" s="1"/>
  <c r="Q197" i="36" s="1"/>
  <c r="R197" i="36" s="1"/>
  <c r="S197" i="36" s="1"/>
  <c r="T197" i="36" s="1"/>
  <c r="U197" i="36" s="1"/>
  <c r="V197" i="36" s="1"/>
  <c r="W197" i="36" s="1"/>
  <c r="X197" i="36" s="1"/>
  <c r="Y197" i="36" s="1"/>
  <c r="Z197" i="36" s="1"/>
  <c r="AA197" i="36" s="1"/>
  <c r="AB197" i="36" s="1"/>
  <c r="AC197" i="36" s="1"/>
  <c r="AD197" i="36" s="1"/>
  <c r="AE197" i="36" s="1"/>
  <c r="AF197" i="36" s="1"/>
  <c r="B197" i="36" s="1"/>
  <c r="D196" i="36"/>
  <c r="E196" i="36" s="1"/>
  <c r="F196" i="36" s="1"/>
  <c r="G196" i="36" s="1"/>
  <c r="H196" i="36" s="1"/>
  <c r="I196" i="36" s="1"/>
  <c r="J196" i="36" s="1"/>
  <c r="K196" i="36" s="1"/>
  <c r="L196" i="36" s="1"/>
  <c r="M196" i="36" s="1"/>
  <c r="N196" i="36" s="1"/>
  <c r="O196" i="36" s="1"/>
  <c r="P196" i="36" s="1"/>
  <c r="Q196" i="36" s="1"/>
  <c r="R196" i="36" s="1"/>
  <c r="S196" i="36" s="1"/>
  <c r="T196" i="36" s="1"/>
  <c r="U196" i="36" s="1"/>
  <c r="V196" i="36" s="1"/>
  <c r="W196" i="36" s="1"/>
  <c r="X196" i="36" s="1"/>
  <c r="Y196" i="36" s="1"/>
  <c r="Z196" i="36" s="1"/>
  <c r="AA196" i="36" s="1"/>
  <c r="AB196" i="36" s="1"/>
  <c r="AC196" i="36" s="1"/>
  <c r="AD196" i="36" s="1"/>
  <c r="AE196" i="36" s="1"/>
  <c r="AF196" i="36" s="1"/>
  <c r="B196" i="36" s="1"/>
  <c r="D195" i="36"/>
  <c r="E195" i="36" s="1"/>
  <c r="F195" i="36" s="1"/>
  <c r="AG193" i="36"/>
  <c r="C193" i="36"/>
  <c r="D192" i="36"/>
  <c r="E192" i="36" s="1"/>
  <c r="F192" i="36" s="1"/>
  <c r="G192" i="36" s="1"/>
  <c r="H192" i="36" s="1"/>
  <c r="I192" i="36" s="1"/>
  <c r="J192" i="36" s="1"/>
  <c r="K192" i="36" s="1"/>
  <c r="L192" i="36" s="1"/>
  <c r="M192" i="36" s="1"/>
  <c r="N192" i="36" s="1"/>
  <c r="O192" i="36" s="1"/>
  <c r="P192" i="36" s="1"/>
  <c r="Q192" i="36" s="1"/>
  <c r="R192" i="36" s="1"/>
  <c r="S192" i="36" s="1"/>
  <c r="T192" i="36" s="1"/>
  <c r="U192" i="36" s="1"/>
  <c r="V192" i="36" s="1"/>
  <c r="W192" i="36" s="1"/>
  <c r="X192" i="36" s="1"/>
  <c r="Y192" i="36" s="1"/>
  <c r="Z192" i="36" s="1"/>
  <c r="AA192" i="36" s="1"/>
  <c r="AB192" i="36" s="1"/>
  <c r="AC192" i="36" s="1"/>
  <c r="AD192" i="36" s="1"/>
  <c r="AE192" i="36" s="1"/>
  <c r="AF192" i="36" s="1"/>
  <c r="B192" i="36" s="1"/>
  <c r="D191" i="36"/>
  <c r="E191" i="36" s="1"/>
  <c r="F191" i="36" s="1"/>
  <c r="G191" i="36" s="1"/>
  <c r="H191" i="36" s="1"/>
  <c r="I191" i="36" s="1"/>
  <c r="J191" i="36" s="1"/>
  <c r="K191" i="36" s="1"/>
  <c r="L191" i="36" s="1"/>
  <c r="M191" i="36" s="1"/>
  <c r="N191" i="36" s="1"/>
  <c r="O191" i="36" s="1"/>
  <c r="P191" i="36" s="1"/>
  <c r="Q191" i="36" s="1"/>
  <c r="R191" i="36" s="1"/>
  <c r="S191" i="36" s="1"/>
  <c r="T191" i="36" s="1"/>
  <c r="U191" i="36" s="1"/>
  <c r="V191" i="36" s="1"/>
  <c r="W191" i="36" s="1"/>
  <c r="X191" i="36" s="1"/>
  <c r="Y191" i="36" s="1"/>
  <c r="Z191" i="36" s="1"/>
  <c r="AA191" i="36" s="1"/>
  <c r="AB191" i="36" s="1"/>
  <c r="AC191" i="36" s="1"/>
  <c r="AD191" i="36" s="1"/>
  <c r="AE191" i="36" s="1"/>
  <c r="AF191" i="36" s="1"/>
  <c r="B191" i="36" s="1"/>
  <c r="D190" i="36"/>
  <c r="E190" i="36" s="1"/>
  <c r="F190" i="36" s="1"/>
  <c r="G190" i="36" s="1"/>
  <c r="H190" i="36" s="1"/>
  <c r="I190" i="36" s="1"/>
  <c r="J190" i="36" s="1"/>
  <c r="K190" i="36" s="1"/>
  <c r="L190" i="36" s="1"/>
  <c r="M190" i="36" s="1"/>
  <c r="N190" i="36" s="1"/>
  <c r="O190" i="36" s="1"/>
  <c r="P190" i="36" s="1"/>
  <c r="Q190" i="36" s="1"/>
  <c r="R190" i="36" s="1"/>
  <c r="S190" i="36" s="1"/>
  <c r="T190" i="36" s="1"/>
  <c r="U190" i="36" s="1"/>
  <c r="V190" i="36" s="1"/>
  <c r="W190" i="36" s="1"/>
  <c r="X190" i="36" s="1"/>
  <c r="Y190" i="36" s="1"/>
  <c r="Z190" i="36" s="1"/>
  <c r="AA190" i="36" s="1"/>
  <c r="AB190" i="36" s="1"/>
  <c r="AC190" i="36" s="1"/>
  <c r="AD190" i="36" s="1"/>
  <c r="AE190" i="36" s="1"/>
  <c r="AF190" i="36" s="1"/>
  <c r="B190" i="36" s="1"/>
  <c r="D189" i="36"/>
  <c r="E189" i="36" s="1"/>
  <c r="F189" i="36" s="1"/>
  <c r="G189" i="36" s="1"/>
  <c r="H189" i="36" s="1"/>
  <c r="I189" i="36" s="1"/>
  <c r="J189" i="36" s="1"/>
  <c r="K189" i="36" s="1"/>
  <c r="L189" i="36" s="1"/>
  <c r="M189" i="36" s="1"/>
  <c r="N189" i="36" s="1"/>
  <c r="O189" i="36" s="1"/>
  <c r="P189" i="36" s="1"/>
  <c r="Q189" i="36" s="1"/>
  <c r="R189" i="36" s="1"/>
  <c r="S189" i="36" s="1"/>
  <c r="T189" i="36" s="1"/>
  <c r="U189" i="36" s="1"/>
  <c r="V189" i="36" s="1"/>
  <c r="W189" i="36" s="1"/>
  <c r="X189" i="36" s="1"/>
  <c r="Y189" i="36" s="1"/>
  <c r="Z189" i="36" s="1"/>
  <c r="AA189" i="36" s="1"/>
  <c r="AB189" i="36" s="1"/>
  <c r="AC189" i="36" s="1"/>
  <c r="AD189" i="36" s="1"/>
  <c r="AE189" i="36" s="1"/>
  <c r="AF189" i="36" s="1"/>
  <c r="B189" i="36" s="1"/>
  <c r="D188" i="36"/>
  <c r="E188" i="36" s="1"/>
  <c r="F188" i="36" s="1"/>
  <c r="G188" i="36" s="1"/>
  <c r="H188" i="36" s="1"/>
  <c r="I188" i="36" s="1"/>
  <c r="J188" i="36" s="1"/>
  <c r="K188" i="36" s="1"/>
  <c r="L188" i="36" s="1"/>
  <c r="M188" i="36" s="1"/>
  <c r="N188" i="36" s="1"/>
  <c r="O188" i="36" s="1"/>
  <c r="P188" i="36" s="1"/>
  <c r="Q188" i="36" s="1"/>
  <c r="R188" i="36" s="1"/>
  <c r="S188" i="36" s="1"/>
  <c r="T188" i="36" s="1"/>
  <c r="U188" i="36" s="1"/>
  <c r="V188" i="36" s="1"/>
  <c r="W188" i="36" s="1"/>
  <c r="X188" i="36" s="1"/>
  <c r="Y188" i="36" s="1"/>
  <c r="Z188" i="36" s="1"/>
  <c r="AA188" i="36" s="1"/>
  <c r="AB188" i="36" s="1"/>
  <c r="AC188" i="36" s="1"/>
  <c r="AD188" i="36" s="1"/>
  <c r="AE188" i="36" s="1"/>
  <c r="AF188" i="36" s="1"/>
  <c r="B188" i="36" s="1"/>
  <c r="D187" i="36"/>
  <c r="E187" i="36" s="1"/>
  <c r="F187" i="36" s="1"/>
  <c r="G187" i="36" s="1"/>
  <c r="H187" i="36" s="1"/>
  <c r="I187" i="36" s="1"/>
  <c r="J187" i="36" s="1"/>
  <c r="K187" i="36" s="1"/>
  <c r="L187" i="36" s="1"/>
  <c r="M187" i="36" s="1"/>
  <c r="N187" i="36" s="1"/>
  <c r="O187" i="36" s="1"/>
  <c r="P187" i="36" s="1"/>
  <c r="Q187" i="36" s="1"/>
  <c r="R187" i="36" s="1"/>
  <c r="S187" i="36" s="1"/>
  <c r="T187" i="36" s="1"/>
  <c r="U187" i="36" s="1"/>
  <c r="V187" i="36" s="1"/>
  <c r="W187" i="36" s="1"/>
  <c r="X187" i="36" s="1"/>
  <c r="Y187" i="36" s="1"/>
  <c r="Z187" i="36" s="1"/>
  <c r="AA187" i="36" s="1"/>
  <c r="AB187" i="36" s="1"/>
  <c r="AC187" i="36" s="1"/>
  <c r="AD187" i="36" s="1"/>
  <c r="AE187" i="36" s="1"/>
  <c r="AF187" i="36" s="1"/>
  <c r="B187" i="36" s="1"/>
  <c r="D186" i="36"/>
  <c r="E186" i="36" s="1"/>
  <c r="F186" i="36" s="1"/>
  <c r="G186" i="36" s="1"/>
  <c r="H186" i="36" s="1"/>
  <c r="I186" i="36" s="1"/>
  <c r="J186" i="36" s="1"/>
  <c r="K186" i="36" s="1"/>
  <c r="L186" i="36" s="1"/>
  <c r="M186" i="36" s="1"/>
  <c r="N186" i="36" s="1"/>
  <c r="O186" i="36" s="1"/>
  <c r="P186" i="36" s="1"/>
  <c r="Q186" i="36" s="1"/>
  <c r="R186" i="36" s="1"/>
  <c r="S186" i="36" s="1"/>
  <c r="T186" i="36" s="1"/>
  <c r="U186" i="36" s="1"/>
  <c r="V186" i="36" s="1"/>
  <c r="W186" i="36" s="1"/>
  <c r="X186" i="36" s="1"/>
  <c r="Y186" i="36" s="1"/>
  <c r="Z186" i="36" s="1"/>
  <c r="AA186" i="36" s="1"/>
  <c r="AB186" i="36" s="1"/>
  <c r="AC186" i="36" s="1"/>
  <c r="AD186" i="36" s="1"/>
  <c r="AE186" i="36" s="1"/>
  <c r="AF186" i="36" s="1"/>
  <c r="B186" i="36" s="1"/>
  <c r="D185" i="36"/>
  <c r="E185" i="36" s="1"/>
  <c r="F185" i="36" s="1"/>
  <c r="G185" i="36" s="1"/>
  <c r="H185" i="36" s="1"/>
  <c r="I185" i="36" s="1"/>
  <c r="J185" i="36" s="1"/>
  <c r="K185" i="36" s="1"/>
  <c r="L185" i="36" s="1"/>
  <c r="M185" i="36" s="1"/>
  <c r="N185" i="36" s="1"/>
  <c r="O185" i="36" s="1"/>
  <c r="P185" i="36" s="1"/>
  <c r="Q185" i="36" s="1"/>
  <c r="R185" i="36" s="1"/>
  <c r="S185" i="36" s="1"/>
  <c r="T185" i="36" s="1"/>
  <c r="U185" i="36" s="1"/>
  <c r="V185" i="36" s="1"/>
  <c r="W185" i="36" s="1"/>
  <c r="X185" i="36" s="1"/>
  <c r="Y185" i="36" s="1"/>
  <c r="Z185" i="36" s="1"/>
  <c r="AA185" i="36" s="1"/>
  <c r="AB185" i="36" s="1"/>
  <c r="AC185" i="36" s="1"/>
  <c r="AD185" i="36" s="1"/>
  <c r="AE185" i="36" s="1"/>
  <c r="AF185" i="36" s="1"/>
  <c r="B185" i="36" s="1"/>
  <c r="D184" i="36"/>
  <c r="E184" i="36" s="1"/>
  <c r="F184" i="36" s="1"/>
  <c r="G184" i="36" s="1"/>
  <c r="H184" i="36" s="1"/>
  <c r="I184" i="36" s="1"/>
  <c r="J184" i="36" s="1"/>
  <c r="K184" i="36" s="1"/>
  <c r="L184" i="36" s="1"/>
  <c r="M184" i="36" s="1"/>
  <c r="N184" i="36" s="1"/>
  <c r="O184" i="36" s="1"/>
  <c r="P184" i="36" s="1"/>
  <c r="Q184" i="36" s="1"/>
  <c r="R184" i="36" s="1"/>
  <c r="S184" i="36" s="1"/>
  <c r="T184" i="36" s="1"/>
  <c r="U184" i="36" s="1"/>
  <c r="V184" i="36" s="1"/>
  <c r="W184" i="36" s="1"/>
  <c r="X184" i="36" s="1"/>
  <c r="Y184" i="36" s="1"/>
  <c r="Z184" i="36" s="1"/>
  <c r="AA184" i="36" s="1"/>
  <c r="AB184" i="36" s="1"/>
  <c r="AC184" i="36" s="1"/>
  <c r="AD184" i="36" s="1"/>
  <c r="AE184" i="36" s="1"/>
  <c r="AF184" i="36" s="1"/>
  <c r="B184" i="36" s="1"/>
  <c r="E183" i="36"/>
  <c r="F183" i="36" s="1"/>
  <c r="G183" i="36" s="1"/>
  <c r="H183" i="36" s="1"/>
  <c r="I183" i="36" s="1"/>
  <c r="J183" i="36" s="1"/>
  <c r="K183" i="36" s="1"/>
  <c r="L183" i="36" s="1"/>
  <c r="M183" i="36" s="1"/>
  <c r="N183" i="36" s="1"/>
  <c r="O183" i="36" s="1"/>
  <c r="P183" i="36" s="1"/>
  <c r="Q183" i="36" s="1"/>
  <c r="R183" i="36" s="1"/>
  <c r="S183" i="36" s="1"/>
  <c r="T183" i="36" s="1"/>
  <c r="U183" i="36" s="1"/>
  <c r="V183" i="36" s="1"/>
  <c r="W183" i="36" s="1"/>
  <c r="X183" i="36" s="1"/>
  <c r="Y183" i="36" s="1"/>
  <c r="Z183" i="36" s="1"/>
  <c r="AA183" i="36" s="1"/>
  <c r="AB183" i="36" s="1"/>
  <c r="AC183" i="36" s="1"/>
  <c r="AD183" i="36" s="1"/>
  <c r="AE183" i="36" s="1"/>
  <c r="AF183" i="36" s="1"/>
  <c r="B183" i="36" s="1"/>
  <c r="D183" i="36"/>
  <c r="D182" i="36"/>
  <c r="E182" i="36" s="1"/>
  <c r="F182" i="36" s="1"/>
  <c r="G182" i="36" s="1"/>
  <c r="H182" i="36" s="1"/>
  <c r="I182" i="36" s="1"/>
  <c r="J182" i="36" s="1"/>
  <c r="K182" i="36" s="1"/>
  <c r="L182" i="36" s="1"/>
  <c r="M182" i="36" s="1"/>
  <c r="N182" i="36" s="1"/>
  <c r="O182" i="36" s="1"/>
  <c r="P182" i="36" s="1"/>
  <c r="Q182" i="36" s="1"/>
  <c r="R182" i="36" s="1"/>
  <c r="S182" i="36" s="1"/>
  <c r="T182" i="36" s="1"/>
  <c r="U182" i="36" s="1"/>
  <c r="V182" i="36" s="1"/>
  <c r="W182" i="36" s="1"/>
  <c r="X182" i="36" s="1"/>
  <c r="Y182" i="36" s="1"/>
  <c r="Z182" i="36" s="1"/>
  <c r="AA182" i="36" s="1"/>
  <c r="AB182" i="36" s="1"/>
  <c r="AC182" i="36" s="1"/>
  <c r="AD182" i="36" s="1"/>
  <c r="AE182" i="36" s="1"/>
  <c r="AF182" i="36" s="1"/>
  <c r="B182" i="36" s="1"/>
  <c r="E181" i="36"/>
  <c r="F181" i="36" s="1"/>
  <c r="G181" i="36" s="1"/>
  <c r="H181" i="36" s="1"/>
  <c r="I181" i="36" s="1"/>
  <c r="J181" i="36" s="1"/>
  <c r="K181" i="36" s="1"/>
  <c r="L181" i="36" s="1"/>
  <c r="M181" i="36" s="1"/>
  <c r="N181" i="36" s="1"/>
  <c r="O181" i="36" s="1"/>
  <c r="P181" i="36" s="1"/>
  <c r="Q181" i="36" s="1"/>
  <c r="R181" i="36" s="1"/>
  <c r="S181" i="36" s="1"/>
  <c r="T181" i="36" s="1"/>
  <c r="U181" i="36" s="1"/>
  <c r="V181" i="36" s="1"/>
  <c r="W181" i="36" s="1"/>
  <c r="X181" i="36" s="1"/>
  <c r="Y181" i="36" s="1"/>
  <c r="Z181" i="36" s="1"/>
  <c r="AA181" i="36" s="1"/>
  <c r="AB181" i="36" s="1"/>
  <c r="AC181" i="36" s="1"/>
  <c r="AD181" i="36" s="1"/>
  <c r="AE181" i="36" s="1"/>
  <c r="AF181" i="36" s="1"/>
  <c r="B181" i="36" s="1"/>
  <c r="D181" i="36"/>
  <c r="D180" i="36"/>
  <c r="E180" i="36" s="1"/>
  <c r="F180" i="36" s="1"/>
  <c r="G180" i="36" s="1"/>
  <c r="H180" i="36" s="1"/>
  <c r="I180" i="36" s="1"/>
  <c r="J180" i="36" s="1"/>
  <c r="K180" i="36" s="1"/>
  <c r="L180" i="36" s="1"/>
  <c r="M180" i="36" s="1"/>
  <c r="N180" i="36" s="1"/>
  <c r="O180" i="36" s="1"/>
  <c r="P180" i="36" s="1"/>
  <c r="Q180" i="36" s="1"/>
  <c r="R180" i="36" s="1"/>
  <c r="S180" i="36" s="1"/>
  <c r="T180" i="36" s="1"/>
  <c r="U180" i="36" s="1"/>
  <c r="V180" i="36" s="1"/>
  <c r="W180" i="36" s="1"/>
  <c r="X180" i="36" s="1"/>
  <c r="Y180" i="36" s="1"/>
  <c r="Z180" i="36" s="1"/>
  <c r="AA180" i="36" s="1"/>
  <c r="AB180" i="36" s="1"/>
  <c r="AC180" i="36" s="1"/>
  <c r="AD180" i="36" s="1"/>
  <c r="AE180" i="36" s="1"/>
  <c r="AF180" i="36" s="1"/>
  <c r="B180" i="36" s="1"/>
  <c r="D178" i="36"/>
  <c r="E178" i="36" s="1"/>
  <c r="F178" i="36" s="1"/>
  <c r="G178" i="36" s="1"/>
  <c r="H178" i="36" s="1"/>
  <c r="I178" i="36" s="1"/>
  <c r="J178" i="36" s="1"/>
  <c r="K178" i="36" s="1"/>
  <c r="L178" i="36" s="1"/>
  <c r="M178" i="36" s="1"/>
  <c r="N178" i="36" s="1"/>
  <c r="O178" i="36" s="1"/>
  <c r="P178" i="36" s="1"/>
  <c r="Q178" i="36" s="1"/>
  <c r="R178" i="36" s="1"/>
  <c r="S178" i="36" s="1"/>
  <c r="T178" i="36" s="1"/>
  <c r="U178" i="36" s="1"/>
  <c r="V178" i="36" s="1"/>
  <c r="W178" i="36" s="1"/>
  <c r="X178" i="36" s="1"/>
  <c r="Y178" i="36" s="1"/>
  <c r="Z178" i="36" s="1"/>
  <c r="AA178" i="36" s="1"/>
  <c r="AB178" i="36" s="1"/>
  <c r="AC178" i="36" s="1"/>
  <c r="AD178" i="36" s="1"/>
  <c r="AE178" i="36" s="1"/>
  <c r="AF178" i="36" s="1"/>
  <c r="B178" i="36" s="1"/>
  <c r="D177" i="36"/>
  <c r="E177" i="36" s="1"/>
  <c r="F177" i="36" s="1"/>
  <c r="G177" i="36" s="1"/>
  <c r="H177" i="36" s="1"/>
  <c r="I177" i="36" s="1"/>
  <c r="J177" i="36" s="1"/>
  <c r="K177" i="36" s="1"/>
  <c r="L177" i="36" s="1"/>
  <c r="M177" i="36" s="1"/>
  <c r="N177" i="36" s="1"/>
  <c r="O177" i="36" s="1"/>
  <c r="P177" i="36" s="1"/>
  <c r="Q177" i="36" s="1"/>
  <c r="R177" i="36" s="1"/>
  <c r="S177" i="36" s="1"/>
  <c r="T177" i="36" s="1"/>
  <c r="U177" i="36" s="1"/>
  <c r="V177" i="36" s="1"/>
  <c r="W177" i="36" s="1"/>
  <c r="X177" i="36" s="1"/>
  <c r="Y177" i="36" s="1"/>
  <c r="Z177" i="36" s="1"/>
  <c r="AA177" i="36" s="1"/>
  <c r="AB177" i="36" s="1"/>
  <c r="AC177" i="36" s="1"/>
  <c r="AD177" i="36" s="1"/>
  <c r="AE177" i="36" s="1"/>
  <c r="AF177" i="36" s="1"/>
  <c r="B177" i="36" s="1"/>
  <c r="D176" i="36"/>
  <c r="E176" i="36" s="1"/>
  <c r="F176" i="36" s="1"/>
  <c r="G176" i="36" s="1"/>
  <c r="H176" i="36" s="1"/>
  <c r="I176" i="36" s="1"/>
  <c r="J176" i="36" s="1"/>
  <c r="K176" i="36" s="1"/>
  <c r="L176" i="36" s="1"/>
  <c r="M176" i="36" s="1"/>
  <c r="N176" i="36" s="1"/>
  <c r="O176" i="36" s="1"/>
  <c r="P176" i="36" s="1"/>
  <c r="Q176" i="36" s="1"/>
  <c r="R176" i="36" s="1"/>
  <c r="S176" i="36" s="1"/>
  <c r="T176" i="36" s="1"/>
  <c r="U176" i="36" s="1"/>
  <c r="V176" i="36" s="1"/>
  <c r="W176" i="36" s="1"/>
  <c r="X176" i="36" s="1"/>
  <c r="Y176" i="36" s="1"/>
  <c r="Z176" i="36" s="1"/>
  <c r="AA176" i="36" s="1"/>
  <c r="AB176" i="36" s="1"/>
  <c r="AC176" i="36" s="1"/>
  <c r="AD176" i="36" s="1"/>
  <c r="AE176" i="36" s="1"/>
  <c r="AF176" i="36" s="1"/>
  <c r="B176" i="36" s="1"/>
  <c r="E175" i="36"/>
  <c r="F175" i="36" s="1"/>
  <c r="G175" i="36" s="1"/>
  <c r="H175" i="36" s="1"/>
  <c r="I175" i="36" s="1"/>
  <c r="J175" i="36" s="1"/>
  <c r="K175" i="36" s="1"/>
  <c r="L175" i="36" s="1"/>
  <c r="M175" i="36" s="1"/>
  <c r="N175" i="36" s="1"/>
  <c r="O175" i="36" s="1"/>
  <c r="P175" i="36" s="1"/>
  <c r="Q175" i="36" s="1"/>
  <c r="R175" i="36" s="1"/>
  <c r="S175" i="36" s="1"/>
  <c r="T175" i="36" s="1"/>
  <c r="U175" i="36" s="1"/>
  <c r="V175" i="36" s="1"/>
  <c r="W175" i="36" s="1"/>
  <c r="X175" i="36" s="1"/>
  <c r="Y175" i="36" s="1"/>
  <c r="Z175" i="36" s="1"/>
  <c r="AA175" i="36" s="1"/>
  <c r="AB175" i="36" s="1"/>
  <c r="AC175" i="36" s="1"/>
  <c r="AD175" i="36" s="1"/>
  <c r="AE175" i="36" s="1"/>
  <c r="AF175" i="36" s="1"/>
  <c r="B175" i="36" s="1"/>
  <c r="D175" i="36"/>
  <c r="D174" i="36"/>
  <c r="E174" i="36" s="1"/>
  <c r="F174" i="36" s="1"/>
  <c r="G174" i="36" s="1"/>
  <c r="H174" i="36" s="1"/>
  <c r="I174" i="36" s="1"/>
  <c r="J174" i="36" s="1"/>
  <c r="K174" i="36" s="1"/>
  <c r="L174" i="36" s="1"/>
  <c r="M174" i="36" s="1"/>
  <c r="N174" i="36" s="1"/>
  <c r="O174" i="36" s="1"/>
  <c r="P174" i="36" s="1"/>
  <c r="Q174" i="36" s="1"/>
  <c r="R174" i="36" s="1"/>
  <c r="S174" i="36" s="1"/>
  <c r="T174" i="36" s="1"/>
  <c r="U174" i="36" s="1"/>
  <c r="V174" i="36" s="1"/>
  <c r="W174" i="36" s="1"/>
  <c r="X174" i="36" s="1"/>
  <c r="Y174" i="36" s="1"/>
  <c r="Z174" i="36" s="1"/>
  <c r="AA174" i="36" s="1"/>
  <c r="AB174" i="36" s="1"/>
  <c r="AC174" i="36" s="1"/>
  <c r="AD174" i="36" s="1"/>
  <c r="AE174" i="36" s="1"/>
  <c r="AF174" i="36" s="1"/>
  <c r="B174" i="36" s="1"/>
  <c r="O173" i="36"/>
  <c r="P173" i="36" s="1"/>
  <c r="Q173" i="36" s="1"/>
  <c r="R173" i="36" s="1"/>
  <c r="S173" i="36" s="1"/>
  <c r="T173" i="36" s="1"/>
  <c r="U173" i="36" s="1"/>
  <c r="V173" i="36" s="1"/>
  <c r="W173" i="36" s="1"/>
  <c r="X173" i="36" s="1"/>
  <c r="Y173" i="36" s="1"/>
  <c r="Z173" i="36" s="1"/>
  <c r="AA173" i="36" s="1"/>
  <c r="AB173" i="36" s="1"/>
  <c r="AC173" i="36" s="1"/>
  <c r="AD173" i="36" s="1"/>
  <c r="AE173" i="36" s="1"/>
  <c r="AF173" i="36" s="1"/>
  <c r="B173" i="36" s="1"/>
  <c r="F173" i="36"/>
  <c r="G173" i="36" s="1"/>
  <c r="H173" i="36" s="1"/>
  <c r="I173" i="36" s="1"/>
  <c r="J173" i="36" s="1"/>
  <c r="K173" i="36" s="1"/>
  <c r="L173" i="36" s="1"/>
  <c r="M173" i="36" s="1"/>
  <c r="N173" i="36" s="1"/>
  <c r="D173" i="36"/>
  <c r="E173" i="36" s="1"/>
  <c r="D172" i="36"/>
  <c r="E172" i="36" s="1"/>
  <c r="F172" i="36" s="1"/>
  <c r="G172" i="36" s="1"/>
  <c r="H172" i="36" s="1"/>
  <c r="I172" i="36" s="1"/>
  <c r="J172" i="36" s="1"/>
  <c r="K172" i="36" s="1"/>
  <c r="L172" i="36" s="1"/>
  <c r="M172" i="36" s="1"/>
  <c r="N172" i="36" s="1"/>
  <c r="O172" i="36" s="1"/>
  <c r="P172" i="36" s="1"/>
  <c r="Q172" i="36" s="1"/>
  <c r="R172" i="36" s="1"/>
  <c r="S172" i="36" s="1"/>
  <c r="T172" i="36" s="1"/>
  <c r="U172" i="36" s="1"/>
  <c r="V172" i="36" s="1"/>
  <c r="W172" i="36" s="1"/>
  <c r="X172" i="36" s="1"/>
  <c r="Y172" i="36" s="1"/>
  <c r="Z172" i="36" s="1"/>
  <c r="AA172" i="36" s="1"/>
  <c r="AB172" i="36" s="1"/>
  <c r="AC172" i="36" s="1"/>
  <c r="AD172" i="36" s="1"/>
  <c r="AE172" i="36" s="1"/>
  <c r="AF172" i="36" s="1"/>
  <c r="B172" i="36" s="1"/>
  <c r="E171" i="36"/>
  <c r="F171" i="36" s="1"/>
  <c r="G171" i="36" s="1"/>
  <c r="H171" i="36" s="1"/>
  <c r="I171" i="36" s="1"/>
  <c r="J171" i="36" s="1"/>
  <c r="K171" i="36" s="1"/>
  <c r="L171" i="36" s="1"/>
  <c r="M171" i="36" s="1"/>
  <c r="N171" i="36" s="1"/>
  <c r="O171" i="36" s="1"/>
  <c r="P171" i="36" s="1"/>
  <c r="Q171" i="36" s="1"/>
  <c r="R171" i="36" s="1"/>
  <c r="S171" i="36" s="1"/>
  <c r="T171" i="36" s="1"/>
  <c r="U171" i="36" s="1"/>
  <c r="V171" i="36" s="1"/>
  <c r="W171" i="36" s="1"/>
  <c r="X171" i="36" s="1"/>
  <c r="Y171" i="36" s="1"/>
  <c r="Z171" i="36" s="1"/>
  <c r="AA171" i="36" s="1"/>
  <c r="AB171" i="36" s="1"/>
  <c r="AC171" i="36" s="1"/>
  <c r="AD171" i="36" s="1"/>
  <c r="AE171" i="36" s="1"/>
  <c r="AF171" i="36" s="1"/>
  <c r="B171" i="36" s="1"/>
  <c r="D171" i="36"/>
  <c r="D169" i="36"/>
  <c r="E169" i="36" s="1"/>
  <c r="F169" i="36" s="1"/>
  <c r="G169" i="36" s="1"/>
  <c r="H169" i="36" s="1"/>
  <c r="I169" i="36" s="1"/>
  <c r="J169" i="36" s="1"/>
  <c r="K169" i="36" s="1"/>
  <c r="L169" i="36" s="1"/>
  <c r="M169" i="36" s="1"/>
  <c r="N169" i="36" s="1"/>
  <c r="O169" i="36" s="1"/>
  <c r="P169" i="36" s="1"/>
  <c r="Q169" i="36" s="1"/>
  <c r="R169" i="36" s="1"/>
  <c r="S169" i="36" s="1"/>
  <c r="T169" i="36" s="1"/>
  <c r="U169" i="36" s="1"/>
  <c r="V169" i="36" s="1"/>
  <c r="W169" i="36" s="1"/>
  <c r="X169" i="36" s="1"/>
  <c r="Y169" i="36" s="1"/>
  <c r="Z169" i="36" s="1"/>
  <c r="AA169" i="36" s="1"/>
  <c r="AB169" i="36" s="1"/>
  <c r="AC169" i="36" s="1"/>
  <c r="AD169" i="36" s="1"/>
  <c r="AE169" i="36" s="1"/>
  <c r="AF169" i="36" s="1"/>
  <c r="B169" i="36" s="1"/>
  <c r="D168" i="36"/>
  <c r="E168" i="36" s="1"/>
  <c r="F168" i="36" s="1"/>
  <c r="G168" i="36" s="1"/>
  <c r="H168" i="36" s="1"/>
  <c r="I168" i="36" s="1"/>
  <c r="J168" i="36" s="1"/>
  <c r="K168" i="36" s="1"/>
  <c r="L168" i="36" s="1"/>
  <c r="M168" i="36" s="1"/>
  <c r="N168" i="36" s="1"/>
  <c r="O168" i="36" s="1"/>
  <c r="P168" i="36" s="1"/>
  <c r="Q168" i="36" s="1"/>
  <c r="R168" i="36" s="1"/>
  <c r="S168" i="36" s="1"/>
  <c r="T168" i="36" s="1"/>
  <c r="U168" i="36" s="1"/>
  <c r="V168" i="36" s="1"/>
  <c r="W168" i="36" s="1"/>
  <c r="X168" i="36" s="1"/>
  <c r="Y168" i="36" s="1"/>
  <c r="Z168" i="36" s="1"/>
  <c r="AA168" i="36" s="1"/>
  <c r="AB168" i="36" s="1"/>
  <c r="AC168" i="36" s="1"/>
  <c r="AD168" i="36" s="1"/>
  <c r="AE168" i="36" s="1"/>
  <c r="AF168" i="36" s="1"/>
  <c r="B168" i="36" s="1"/>
  <c r="AF167" i="36"/>
  <c r="B167" i="36" s="1"/>
  <c r="D167" i="36"/>
  <c r="E167" i="36" s="1"/>
  <c r="F167" i="36" s="1"/>
  <c r="G167" i="36" s="1"/>
  <c r="H167" i="36" s="1"/>
  <c r="I167" i="36" s="1"/>
  <c r="J167" i="36" s="1"/>
  <c r="K167" i="36" s="1"/>
  <c r="L167" i="36" s="1"/>
  <c r="M167" i="36" s="1"/>
  <c r="N167" i="36" s="1"/>
  <c r="O167" i="36" s="1"/>
  <c r="P167" i="36" s="1"/>
  <c r="Q167" i="36" s="1"/>
  <c r="R167" i="36" s="1"/>
  <c r="S167" i="36" s="1"/>
  <c r="T167" i="36" s="1"/>
  <c r="U167" i="36" s="1"/>
  <c r="V167" i="36" s="1"/>
  <c r="W167" i="36" s="1"/>
  <c r="X167" i="36" s="1"/>
  <c r="Y167" i="36" s="1"/>
  <c r="Z167" i="36" s="1"/>
  <c r="AA167" i="36" s="1"/>
  <c r="AB167" i="36" s="1"/>
  <c r="AC167" i="36" s="1"/>
  <c r="AD167" i="36" s="1"/>
  <c r="AE167" i="36" s="1"/>
  <c r="D166" i="36"/>
  <c r="E166" i="36" s="1"/>
  <c r="F166" i="36" s="1"/>
  <c r="G166" i="36" s="1"/>
  <c r="H166" i="36" s="1"/>
  <c r="I166" i="36" s="1"/>
  <c r="J166" i="36" s="1"/>
  <c r="K166" i="36" s="1"/>
  <c r="L166" i="36" s="1"/>
  <c r="M166" i="36" s="1"/>
  <c r="N166" i="36" s="1"/>
  <c r="O166" i="36" s="1"/>
  <c r="P166" i="36" s="1"/>
  <c r="Q166" i="36" s="1"/>
  <c r="R166" i="36" s="1"/>
  <c r="S166" i="36" s="1"/>
  <c r="T166" i="36" s="1"/>
  <c r="U166" i="36" s="1"/>
  <c r="V166" i="36" s="1"/>
  <c r="W166" i="36" s="1"/>
  <c r="X166" i="36" s="1"/>
  <c r="Y166" i="36" s="1"/>
  <c r="Z166" i="36" s="1"/>
  <c r="AA166" i="36" s="1"/>
  <c r="AB166" i="36" s="1"/>
  <c r="AC166" i="36" s="1"/>
  <c r="AD166" i="36" s="1"/>
  <c r="AE166" i="36" s="1"/>
  <c r="AF166" i="36" s="1"/>
  <c r="B166" i="36" s="1"/>
  <c r="H165" i="36"/>
  <c r="I165" i="36" s="1"/>
  <c r="J165" i="36" s="1"/>
  <c r="K165" i="36" s="1"/>
  <c r="L165" i="36" s="1"/>
  <c r="M165" i="36" s="1"/>
  <c r="N165" i="36" s="1"/>
  <c r="O165" i="36" s="1"/>
  <c r="P165" i="36" s="1"/>
  <c r="Q165" i="36" s="1"/>
  <c r="R165" i="36" s="1"/>
  <c r="S165" i="36" s="1"/>
  <c r="T165" i="36" s="1"/>
  <c r="U165" i="36" s="1"/>
  <c r="V165" i="36" s="1"/>
  <c r="W165" i="36" s="1"/>
  <c r="X165" i="36" s="1"/>
  <c r="Y165" i="36" s="1"/>
  <c r="Z165" i="36" s="1"/>
  <c r="AA165" i="36" s="1"/>
  <c r="AB165" i="36" s="1"/>
  <c r="AC165" i="36" s="1"/>
  <c r="AD165" i="36" s="1"/>
  <c r="AE165" i="36" s="1"/>
  <c r="AF165" i="36" s="1"/>
  <c r="B165" i="36" s="1"/>
  <c r="D165" i="36"/>
  <c r="E165" i="36" s="1"/>
  <c r="F165" i="36" s="1"/>
  <c r="G165" i="36" s="1"/>
  <c r="D164" i="36"/>
  <c r="E164" i="36" s="1"/>
  <c r="F164" i="36" s="1"/>
  <c r="G164" i="36" s="1"/>
  <c r="H164" i="36" s="1"/>
  <c r="I164" i="36" s="1"/>
  <c r="J164" i="36" s="1"/>
  <c r="K164" i="36" s="1"/>
  <c r="L164" i="36" s="1"/>
  <c r="M164" i="36" s="1"/>
  <c r="N164" i="36" s="1"/>
  <c r="O164" i="36" s="1"/>
  <c r="P164" i="36" s="1"/>
  <c r="Q164" i="36" s="1"/>
  <c r="R164" i="36" s="1"/>
  <c r="S164" i="36" s="1"/>
  <c r="T164" i="36" s="1"/>
  <c r="U164" i="36" s="1"/>
  <c r="V164" i="36" s="1"/>
  <c r="W164" i="36" s="1"/>
  <c r="X164" i="36" s="1"/>
  <c r="Y164" i="36" s="1"/>
  <c r="Z164" i="36" s="1"/>
  <c r="AA164" i="36" s="1"/>
  <c r="AB164" i="36" s="1"/>
  <c r="AC164" i="36" s="1"/>
  <c r="AD164" i="36" s="1"/>
  <c r="AE164" i="36" s="1"/>
  <c r="AF164" i="36" s="1"/>
  <c r="B164" i="36" s="1"/>
  <c r="F163" i="36"/>
  <c r="G163" i="36" s="1"/>
  <c r="H163" i="36" s="1"/>
  <c r="I163" i="36" s="1"/>
  <c r="J163" i="36" s="1"/>
  <c r="K163" i="36" s="1"/>
  <c r="L163" i="36" s="1"/>
  <c r="M163" i="36" s="1"/>
  <c r="N163" i="36" s="1"/>
  <c r="O163" i="36" s="1"/>
  <c r="P163" i="36" s="1"/>
  <c r="Q163" i="36" s="1"/>
  <c r="R163" i="36" s="1"/>
  <c r="S163" i="36" s="1"/>
  <c r="T163" i="36" s="1"/>
  <c r="U163" i="36" s="1"/>
  <c r="V163" i="36" s="1"/>
  <c r="W163" i="36" s="1"/>
  <c r="X163" i="36" s="1"/>
  <c r="Y163" i="36" s="1"/>
  <c r="Z163" i="36" s="1"/>
  <c r="AA163" i="36" s="1"/>
  <c r="AB163" i="36" s="1"/>
  <c r="AC163" i="36" s="1"/>
  <c r="AD163" i="36" s="1"/>
  <c r="AE163" i="36" s="1"/>
  <c r="AF163" i="36" s="1"/>
  <c r="B163" i="36" s="1"/>
  <c r="D163" i="36"/>
  <c r="E163" i="36" s="1"/>
  <c r="J162" i="36"/>
  <c r="K162" i="36" s="1"/>
  <c r="L162" i="36" s="1"/>
  <c r="M162" i="36" s="1"/>
  <c r="N162" i="36" s="1"/>
  <c r="O162" i="36" s="1"/>
  <c r="P162" i="36" s="1"/>
  <c r="Q162" i="36" s="1"/>
  <c r="R162" i="36" s="1"/>
  <c r="S162" i="36" s="1"/>
  <c r="T162" i="36" s="1"/>
  <c r="U162" i="36" s="1"/>
  <c r="V162" i="36" s="1"/>
  <c r="W162" i="36" s="1"/>
  <c r="X162" i="36" s="1"/>
  <c r="Y162" i="36" s="1"/>
  <c r="Z162" i="36" s="1"/>
  <c r="AA162" i="36" s="1"/>
  <c r="AB162" i="36" s="1"/>
  <c r="AC162" i="36" s="1"/>
  <c r="AD162" i="36" s="1"/>
  <c r="AE162" i="36" s="1"/>
  <c r="AF162" i="36" s="1"/>
  <c r="B162" i="36" s="1"/>
  <c r="D162" i="36"/>
  <c r="E162" i="36" s="1"/>
  <c r="F162" i="36" s="1"/>
  <c r="G162" i="36" s="1"/>
  <c r="H162" i="36" s="1"/>
  <c r="I162" i="36" s="1"/>
  <c r="D161" i="36"/>
  <c r="E161" i="36" s="1"/>
  <c r="F161" i="36" s="1"/>
  <c r="G161" i="36" s="1"/>
  <c r="H161" i="36" s="1"/>
  <c r="I161" i="36" s="1"/>
  <c r="J161" i="36" s="1"/>
  <c r="K161" i="36" s="1"/>
  <c r="L161" i="36" s="1"/>
  <c r="M161" i="36" s="1"/>
  <c r="N161" i="36" s="1"/>
  <c r="O161" i="36" s="1"/>
  <c r="P161" i="36" s="1"/>
  <c r="Q161" i="36" s="1"/>
  <c r="R161" i="36" s="1"/>
  <c r="S161" i="36" s="1"/>
  <c r="T161" i="36" s="1"/>
  <c r="U161" i="36" s="1"/>
  <c r="V161" i="36" s="1"/>
  <c r="W161" i="36" s="1"/>
  <c r="X161" i="36" s="1"/>
  <c r="Y161" i="36" s="1"/>
  <c r="Z161" i="36" s="1"/>
  <c r="AA161" i="36" s="1"/>
  <c r="AB161" i="36" s="1"/>
  <c r="AC161" i="36" s="1"/>
  <c r="AD161" i="36" s="1"/>
  <c r="AE161" i="36" s="1"/>
  <c r="AF161" i="36" s="1"/>
  <c r="B161" i="36" s="1"/>
  <c r="D160" i="36"/>
  <c r="E160" i="36" s="1"/>
  <c r="F160" i="36" s="1"/>
  <c r="G160" i="36" s="1"/>
  <c r="H160" i="36" s="1"/>
  <c r="I160" i="36" s="1"/>
  <c r="J160" i="36" s="1"/>
  <c r="K160" i="36" s="1"/>
  <c r="L160" i="36" s="1"/>
  <c r="M160" i="36" s="1"/>
  <c r="N160" i="36" s="1"/>
  <c r="O160" i="36" s="1"/>
  <c r="P160" i="36" s="1"/>
  <c r="Q160" i="36" s="1"/>
  <c r="R160" i="36" s="1"/>
  <c r="S160" i="36" s="1"/>
  <c r="T160" i="36" s="1"/>
  <c r="U160" i="36" s="1"/>
  <c r="V160" i="36" s="1"/>
  <c r="W160" i="36" s="1"/>
  <c r="X160" i="36" s="1"/>
  <c r="Y160" i="36" s="1"/>
  <c r="Z160" i="36" s="1"/>
  <c r="AA160" i="36" s="1"/>
  <c r="AB160" i="36" s="1"/>
  <c r="AC160" i="36" s="1"/>
  <c r="AD160" i="36" s="1"/>
  <c r="AE160" i="36" s="1"/>
  <c r="AF160" i="36" s="1"/>
  <c r="B160" i="36" s="1"/>
  <c r="D159" i="36"/>
  <c r="E159" i="36" s="1"/>
  <c r="F159" i="36" s="1"/>
  <c r="G159" i="36" s="1"/>
  <c r="H159" i="36" s="1"/>
  <c r="I159" i="36" s="1"/>
  <c r="J159" i="36" s="1"/>
  <c r="K159" i="36" s="1"/>
  <c r="L159" i="36" s="1"/>
  <c r="M159" i="36" s="1"/>
  <c r="N159" i="36" s="1"/>
  <c r="O159" i="36" s="1"/>
  <c r="P159" i="36" s="1"/>
  <c r="Q159" i="36" s="1"/>
  <c r="R159" i="36" s="1"/>
  <c r="S159" i="36" s="1"/>
  <c r="T159" i="36" s="1"/>
  <c r="U159" i="36" s="1"/>
  <c r="V159" i="36" s="1"/>
  <c r="W159" i="36" s="1"/>
  <c r="X159" i="36" s="1"/>
  <c r="Y159" i="36" s="1"/>
  <c r="Z159" i="36" s="1"/>
  <c r="AA159" i="36" s="1"/>
  <c r="AB159" i="36" s="1"/>
  <c r="AC159" i="36" s="1"/>
  <c r="AD159" i="36" s="1"/>
  <c r="AE159" i="36" s="1"/>
  <c r="AF159" i="36" s="1"/>
  <c r="B159" i="36" s="1"/>
  <c r="H158" i="36"/>
  <c r="I158" i="36" s="1"/>
  <c r="J158" i="36" s="1"/>
  <c r="K158" i="36" s="1"/>
  <c r="L158" i="36" s="1"/>
  <c r="M158" i="36" s="1"/>
  <c r="N158" i="36" s="1"/>
  <c r="O158" i="36" s="1"/>
  <c r="P158" i="36" s="1"/>
  <c r="Q158" i="36" s="1"/>
  <c r="R158" i="36" s="1"/>
  <c r="S158" i="36" s="1"/>
  <c r="T158" i="36" s="1"/>
  <c r="U158" i="36" s="1"/>
  <c r="V158" i="36" s="1"/>
  <c r="W158" i="36" s="1"/>
  <c r="X158" i="36" s="1"/>
  <c r="Y158" i="36" s="1"/>
  <c r="Z158" i="36" s="1"/>
  <c r="AA158" i="36" s="1"/>
  <c r="AB158" i="36" s="1"/>
  <c r="AC158" i="36" s="1"/>
  <c r="AD158" i="36" s="1"/>
  <c r="AE158" i="36" s="1"/>
  <c r="AF158" i="36" s="1"/>
  <c r="B158" i="36" s="1"/>
  <c r="D158" i="36"/>
  <c r="E158" i="36" s="1"/>
  <c r="F158" i="36" s="1"/>
  <c r="G158" i="36" s="1"/>
  <c r="P157" i="36"/>
  <c r="Q157" i="36" s="1"/>
  <c r="R157" i="36" s="1"/>
  <c r="S157" i="36" s="1"/>
  <c r="T157" i="36" s="1"/>
  <c r="U157" i="36" s="1"/>
  <c r="V157" i="36" s="1"/>
  <c r="W157" i="36" s="1"/>
  <c r="X157" i="36" s="1"/>
  <c r="Y157" i="36" s="1"/>
  <c r="Z157" i="36" s="1"/>
  <c r="AA157" i="36" s="1"/>
  <c r="AB157" i="36" s="1"/>
  <c r="AC157" i="36" s="1"/>
  <c r="AD157" i="36" s="1"/>
  <c r="AE157" i="36" s="1"/>
  <c r="AF157" i="36" s="1"/>
  <c r="B157" i="36" s="1"/>
  <c r="H157" i="36"/>
  <c r="I157" i="36" s="1"/>
  <c r="J157" i="36" s="1"/>
  <c r="K157" i="36" s="1"/>
  <c r="L157" i="36" s="1"/>
  <c r="M157" i="36" s="1"/>
  <c r="N157" i="36" s="1"/>
  <c r="O157" i="36" s="1"/>
  <c r="D157" i="36"/>
  <c r="E157" i="36" s="1"/>
  <c r="F157" i="36" s="1"/>
  <c r="G157" i="36" s="1"/>
  <c r="E155" i="36"/>
  <c r="F155" i="36" s="1"/>
  <c r="G155" i="36" s="1"/>
  <c r="H155" i="36" s="1"/>
  <c r="I155" i="36" s="1"/>
  <c r="J155" i="36" s="1"/>
  <c r="K155" i="36" s="1"/>
  <c r="L155" i="36" s="1"/>
  <c r="M155" i="36" s="1"/>
  <c r="N155" i="36" s="1"/>
  <c r="O155" i="36" s="1"/>
  <c r="P155" i="36" s="1"/>
  <c r="Q155" i="36" s="1"/>
  <c r="R155" i="36" s="1"/>
  <c r="S155" i="36" s="1"/>
  <c r="T155" i="36" s="1"/>
  <c r="U155" i="36" s="1"/>
  <c r="V155" i="36" s="1"/>
  <c r="W155" i="36" s="1"/>
  <c r="X155" i="36" s="1"/>
  <c r="Y155" i="36" s="1"/>
  <c r="Z155" i="36" s="1"/>
  <c r="AA155" i="36" s="1"/>
  <c r="AB155" i="36" s="1"/>
  <c r="AC155" i="36" s="1"/>
  <c r="AD155" i="36" s="1"/>
  <c r="AE155" i="36" s="1"/>
  <c r="AF155" i="36" s="1"/>
  <c r="B155" i="36" s="1"/>
  <c r="D155" i="36"/>
  <c r="F154" i="36"/>
  <c r="G154" i="36" s="1"/>
  <c r="H154" i="36" s="1"/>
  <c r="I154" i="36" s="1"/>
  <c r="J154" i="36" s="1"/>
  <c r="K154" i="36" s="1"/>
  <c r="L154" i="36" s="1"/>
  <c r="M154" i="36" s="1"/>
  <c r="N154" i="36" s="1"/>
  <c r="O154" i="36" s="1"/>
  <c r="P154" i="36" s="1"/>
  <c r="Q154" i="36" s="1"/>
  <c r="R154" i="36" s="1"/>
  <c r="S154" i="36" s="1"/>
  <c r="T154" i="36" s="1"/>
  <c r="U154" i="36" s="1"/>
  <c r="V154" i="36" s="1"/>
  <c r="W154" i="36" s="1"/>
  <c r="X154" i="36" s="1"/>
  <c r="Y154" i="36" s="1"/>
  <c r="Z154" i="36" s="1"/>
  <c r="AA154" i="36" s="1"/>
  <c r="AB154" i="36" s="1"/>
  <c r="AC154" i="36" s="1"/>
  <c r="AD154" i="36" s="1"/>
  <c r="AE154" i="36" s="1"/>
  <c r="AF154" i="36" s="1"/>
  <c r="B154" i="36" s="1"/>
  <c r="D154" i="36"/>
  <c r="E154" i="36" s="1"/>
  <c r="I153" i="36"/>
  <c r="J153" i="36" s="1"/>
  <c r="K153" i="36" s="1"/>
  <c r="L153" i="36" s="1"/>
  <c r="M153" i="36" s="1"/>
  <c r="N153" i="36" s="1"/>
  <c r="O153" i="36" s="1"/>
  <c r="P153" i="36" s="1"/>
  <c r="Q153" i="36" s="1"/>
  <c r="R153" i="36" s="1"/>
  <c r="S153" i="36" s="1"/>
  <c r="T153" i="36" s="1"/>
  <c r="U153" i="36" s="1"/>
  <c r="V153" i="36" s="1"/>
  <c r="W153" i="36" s="1"/>
  <c r="X153" i="36" s="1"/>
  <c r="Y153" i="36" s="1"/>
  <c r="Z153" i="36" s="1"/>
  <c r="AA153" i="36" s="1"/>
  <c r="AB153" i="36" s="1"/>
  <c r="AC153" i="36" s="1"/>
  <c r="AD153" i="36" s="1"/>
  <c r="AE153" i="36" s="1"/>
  <c r="AF153" i="36" s="1"/>
  <c r="B153" i="36" s="1"/>
  <c r="D153" i="36"/>
  <c r="E153" i="36" s="1"/>
  <c r="F153" i="36" s="1"/>
  <c r="G153" i="36" s="1"/>
  <c r="H153" i="36" s="1"/>
  <c r="D152" i="36"/>
  <c r="E152" i="36" s="1"/>
  <c r="F152" i="36" s="1"/>
  <c r="G152" i="36" s="1"/>
  <c r="H152" i="36" s="1"/>
  <c r="I152" i="36" s="1"/>
  <c r="J152" i="36" s="1"/>
  <c r="K152" i="36" s="1"/>
  <c r="L152" i="36" s="1"/>
  <c r="M152" i="36" s="1"/>
  <c r="N152" i="36" s="1"/>
  <c r="O152" i="36" s="1"/>
  <c r="P152" i="36" s="1"/>
  <c r="Q152" i="36" s="1"/>
  <c r="R152" i="36" s="1"/>
  <c r="S152" i="36" s="1"/>
  <c r="T152" i="36" s="1"/>
  <c r="U152" i="36" s="1"/>
  <c r="V152" i="36" s="1"/>
  <c r="W152" i="36" s="1"/>
  <c r="X152" i="36" s="1"/>
  <c r="Y152" i="36" s="1"/>
  <c r="Z152" i="36" s="1"/>
  <c r="AA152" i="36" s="1"/>
  <c r="AB152" i="36" s="1"/>
  <c r="AC152" i="36" s="1"/>
  <c r="AD152" i="36" s="1"/>
  <c r="AE152" i="36" s="1"/>
  <c r="AF152" i="36" s="1"/>
  <c r="B152" i="36" s="1"/>
  <c r="D150" i="36"/>
  <c r="E150" i="36" s="1"/>
  <c r="F150" i="36" s="1"/>
  <c r="G150" i="36" s="1"/>
  <c r="H150" i="36" s="1"/>
  <c r="I150" i="36" s="1"/>
  <c r="J150" i="36" s="1"/>
  <c r="K150" i="36" s="1"/>
  <c r="L150" i="36" s="1"/>
  <c r="M150" i="36" s="1"/>
  <c r="N150" i="36" s="1"/>
  <c r="O150" i="36" s="1"/>
  <c r="P150" i="36" s="1"/>
  <c r="Q150" i="36" s="1"/>
  <c r="R150" i="36" s="1"/>
  <c r="S150" i="36" s="1"/>
  <c r="T150" i="36" s="1"/>
  <c r="U150" i="36" s="1"/>
  <c r="V150" i="36" s="1"/>
  <c r="W150" i="36" s="1"/>
  <c r="X150" i="36" s="1"/>
  <c r="Y150" i="36" s="1"/>
  <c r="Z150" i="36" s="1"/>
  <c r="AA150" i="36" s="1"/>
  <c r="AB150" i="36" s="1"/>
  <c r="AC150" i="36" s="1"/>
  <c r="AD150" i="36" s="1"/>
  <c r="AE150" i="36" s="1"/>
  <c r="AF150" i="36" s="1"/>
  <c r="B150" i="36" s="1"/>
  <c r="D149" i="36"/>
  <c r="E149" i="36" s="1"/>
  <c r="F149" i="36" s="1"/>
  <c r="G149" i="36" s="1"/>
  <c r="H149" i="36" s="1"/>
  <c r="I149" i="36" s="1"/>
  <c r="J149" i="36" s="1"/>
  <c r="K149" i="36" s="1"/>
  <c r="L149" i="36" s="1"/>
  <c r="M149" i="36" s="1"/>
  <c r="N149" i="36" s="1"/>
  <c r="O149" i="36" s="1"/>
  <c r="P149" i="36" s="1"/>
  <c r="Q149" i="36" s="1"/>
  <c r="R149" i="36" s="1"/>
  <c r="S149" i="36" s="1"/>
  <c r="T149" i="36" s="1"/>
  <c r="U149" i="36" s="1"/>
  <c r="V149" i="36" s="1"/>
  <c r="W149" i="36" s="1"/>
  <c r="X149" i="36" s="1"/>
  <c r="Y149" i="36" s="1"/>
  <c r="Z149" i="36" s="1"/>
  <c r="AA149" i="36" s="1"/>
  <c r="AB149" i="36" s="1"/>
  <c r="AC149" i="36" s="1"/>
  <c r="AD149" i="36" s="1"/>
  <c r="AE149" i="36" s="1"/>
  <c r="AF149" i="36" s="1"/>
  <c r="B149" i="36" s="1"/>
  <c r="D147" i="36"/>
  <c r="E147" i="36" s="1"/>
  <c r="F147" i="36" s="1"/>
  <c r="G147" i="36" s="1"/>
  <c r="H147" i="36" s="1"/>
  <c r="I147" i="36" s="1"/>
  <c r="J147" i="36" s="1"/>
  <c r="K147" i="36" s="1"/>
  <c r="L147" i="36" s="1"/>
  <c r="M147" i="36" s="1"/>
  <c r="N147" i="36" s="1"/>
  <c r="O147" i="36" s="1"/>
  <c r="P147" i="36" s="1"/>
  <c r="Q147" i="36" s="1"/>
  <c r="R147" i="36" s="1"/>
  <c r="S147" i="36" s="1"/>
  <c r="T147" i="36" s="1"/>
  <c r="U147" i="36" s="1"/>
  <c r="V147" i="36" s="1"/>
  <c r="W147" i="36" s="1"/>
  <c r="X147" i="36" s="1"/>
  <c r="Y147" i="36" s="1"/>
  <c r="Z147" i="36" s="1"/>
  <c r="AA147" i="36" s="1"/>
  <c r="AB147" i="36" s="1"/>
  <c r="AC147" i="36" s="1"/>
  <c r="AD147" i="36" s="1"/>
  <c r="AE147" i="36" s="1"/>
  <c r="AF147" i="36" s="1"/>
  <c r="B147" i="36" s="1"/>
  <c r="D146" i="36"/>
  <c r="E146" i="36" s="1"/>
  <c r="F146" i="36" s="1"/>
  <c r="G146" i="36" s="1"/>
  <c r="H146" i="36" s="1"/>
  <c r="I146" i="36" s="1"/>
  <c r="J146" i="36" s="1"/>
  <c r="K146" i="36" s="1"/>
  <c r="L146" i="36" s="1"/>
  <c r="M146" i="36" s="1"/>
  <c r="N146" i="36" s="1"/>
  <c r="O146" i="36" s="1"/>
  <c r="P146" i="36" s="1"/>
  <c r="Q146" i="36" s="1"/>
  <c r="R146" i="36" s="1"/>
  <c r="S146" i="36" s="1"/>
  <c r="T146" i="36" s="1"/>
  <c r="U146" i="36" s="1"/>
  <c r="V146" i="36" s="1"/>
  <c r="W146" i="36" s="1"/>
  <c r="X146" i="36" s="1"/>
  <c r="Y146" i="36" s="1"/>
  <c r="Z146" i="36" s="1"/>
  <c r="AA146" i="36" s="1"/>
  <c r="AB146" i="36" s="1"/>
  <c r="AC146" i="36" s="1"/>
  <c r="AD146" i="36" s="1"/>
  <c r="AE146" i="36" s="1"/>
  <c r="AF146" i="36" s="1"/>
  <c r="B146" i="36" s="1"/>
  <c r="E145" i="36"/>
  <c r="F145" i="36" s="1"/>
  <c r="G145" i="36" s="1"/>
  <c r="H145" i="36" s="1"/>
  <c r="I145" i="36" s="1"/>
  <c r="J145" i="36" s="1"/>
  <c r="K145" i="36" s="1"/>
  <c r="L145" i="36" s="1"/>
  <c r="M145" i="36" s="1"/>
  <c r="N145" i="36" s="1"/>
  <c r="O145" i="36" s="1"/>
  <c r="P145" i="36" s="1"/>
  <c r="Q145" i="36" s="1"/>
  <c r="R145" i="36" s="1"/>
  <c r="S145" i="36" s="1"/>
  <c r="T145" i="36" s="1"/>
  <c r="U145" i="36" s="1"/>
  <c r="V145" i="36" s="1"/>
  <c r="W145" i="36" s="1"/>
  <c r="X145" i="36" s="1"/>
  <c r="Y145" i="36" s="1"/>
  <c r="Z145" i="36" s="1"/>
  <c r="AA145" i="36" s="1"/>
  <c r="AB145" i="36" s="1"/>
  <c r="AC145" i="36" s="1"/>
  <c r="AD145" i="36" s="1"/>
  <c r="AE145" i="36" s="1"/>
  <c r="AF145" i="36" s="1"/>
  <c r="B145" i="36" s="1"/>
  <c r="D145" i="36"/>
  <c r="H144" i="36"/>
  <c r="I144" i="36" s="1"/>
  <c r="J144" i="36" s="1"/>
  <c r="K144" i="36" s="1"/>
  <c r="L144" i="36" s="1"/>
  <c r="M144" i="36" s="1"/>
  <c r="N144" i="36" s="1"/>
  <c r="O144" i="36" s="1"/>
  <c r="P144" i="36" s="1"/>
  <c r="Q144" i="36" s="1"/>
  <c r="R144" i="36" s="1"/>
  <c r="S144" i="36" s="1"/>
  <c r="T144" i="36" s="1"/>
  <c r="U144" i="36" s="1"/>
  <c r="V144" i="36" s="1"/>
  <c r="W144" i="36" s="1"/>
  <c r="X144" i="36" s="1"/>
  <c r="Y144" i="36" s="1"/>
  <c r="Z144" i="36" s="1"/>
  <c r="AA144" i="36" s="1"/>
  <c r="AB144" i="36" s="1"/>
  <c r="AC144" i="36" s="1"/>
  <c r="AD144" i="36" s="1"/>
  <c r="AE144" i="36" s="1"/>
  <c r="AF144" i="36" s="1"/>
  <c r="B144" i="36" s="1"/>
  <c r="E144" i="36"/>
  <c r="F144" i="36" s="1"/>
  <c r="G144" i="36" s="1"/>
  <c r="D144" i="36"/>
  <c r="Q143" i="36"/>
  <c r="R143" i="36" s="1"/>
  <c r="S143" i="36" s="1"/>
  <c r="T143" i="36" s="1"/>
  <c r="U143" i="36" s="1"/>
  <c r="V143" i="36" s="1"/>
  <c r="W143" i="36" s="1"/>
  <c r="X143" i="36" s="1"/>
  <c r="Y143" i="36" s="1"/>
  <c r="Z143" i="36" s="1"/>
  <c r="AA143" i="36" s="1"/>
  <c r="AB143" i="36" s="1"/>
  <c r="AC143" i="36" s="1"/>
  <c r="AD143" i="36" s="1"/>
  <c r="AE143" i="36" s="1"/>
  <c r="AF143" i="36" s="1"/>
  <c r="D143" i="36"/>
  <c r="E143" i="36" s="1"/>
  <c r="F143" i="36" s="1"/>
  <c r="G143" i="36" s="1"/>
  <c r="H143" i="36" s="1"/>
  <c r="I143" i="36" s="1"/>
  <c r="J143" i="36" s="1"/>
  <c r="K143" i="36" s="1"/>
  <c r="L143" i="36" s="1"/>
  <c r="M143" i="36" s="1"/>
  <c r="N143" i="36" s="1"/>
  <c r="O143" i="36" s="1"/>
  <c r="P143" i="36" s="1"/>
  <c r="B143" i="36"/>
  <c r="D142" i="36"/>
  <c r="E142" i="36" s="1"/>
  <c r="F142" i="36" s="1"/>
  <c r="G142" i="36" s="1"/>
  <c r="H142" i="36" s="1"/>
  <c r="I142" i="36" s="1"/>
  <c r="J142" i="36" s="1"/>
  <c r="K142" i="36" s="1"/>
  <c r="L142" i="36" s="1"/>
  <c r="M142" i="36" s="1"/>
  <c r="N142" i="36" s="1"/>
  <c r="O142" i="36" s="1"/>
  <c r="P142" i="36" s="1"/>
  <c r="Q142" i="36" s="1"/>
  <c r="R142" i="36" s="1"/>
  <c r="S142" i="36" s="1"/>
  <c r="T142" i="36" s="1"/>
  <c r="U142" i="36" s="1"/>
  <c r="V142" i="36" s="1"/>
  <c r="W142" i="36" s="1"/>
  <c r="X142" i="36" s="1"/>
  <c r="Y142" i="36" s="1"/>
  <c r="Z142" i="36" s="1"/>
  <c r="AA142" i="36" s="1"/>
  <c r="AB142" i="36" s="1"/>
  <c r="AC142" i="36" s="1"/>
  <c r="AD142" i="36" s="1"/>
  <c r="AE142" i="36" s="1"/>
  <c r="AF142" i="36" s="1"/>
  <c r="B142" i="36" s="1"/>
  <c r="D141" i="36"/>
  <c r="E141" i="36" s="1"/>
  <c r="F141" i="36" s="1"/>
  <c r="G141" i="36" s="1"/>
  <c r="H141" i="36" s="1"/>
  <c r="I141" i="36" s="1"/>
  <c r="J141" i="36" s="1"/>
  <c r="K141" i="36" s="1"/>
  <c r="L141" i="36" s="1"/>
  <c r="M141" i="36" s="1"/>
  <c r="N141" i="36" s="1"/>
  <c r="O141" i="36" s="1"/>
  <c r="P141" i="36" s="1"/>
  <c r="Q141" i="36" s="1"/>
  <c r="R141" i="36" s="1"/>
  <c r="S141" i="36" s="1"/>
  <c r="T141" i="36" s="1"/>
  <c r="U141" i="36" s="1"/>
  <c r="V141" i="36" s="1"/>
  <c r="W141" i="36" s="1"/>
  <c r="X141" i="36" s="1"/>
  <c r="Y141" i="36" s="1"/>
  <c r="Z141" i="36" s="1"/>
  <c r="AA141" i="36" s="1"/>
  <c r="AB141" i="36" s="1"/>
  <c r="AC141" i="36" s="1"/>
  <c r="AD141" i="36" s="1"/>
  <c r="AE141" i="36" s="1"/>
  <c r="AF141" i="36" s="1"/>
  <c r="B141" i="36" s="1"/>
  <c r="E139" i="36"/>
  <c r="F139" i="36" s="1"/>
  <c r="G139" i="36" s="1"/>
  <c r="H139" i="36" s="1"/>
  <c r="I139" i="36" s="1"/>
  <c r="J139" i="36" s="1"/>
  <c r="K139" i="36" s="1"/>
  <c r="L139" i="36" s="1"/>
  <c r="M139" i="36" s="1"/>
  <c r="N139" i="36" s="1"/>
  <c r="O139" i="36" s="1"/>
  <c r="P139" i="36" s="1"/>
  <c r="Q139" i="36" s="1"/>
  <c r="R139" i="36" s="1"/>
  <c r="S139" i="36" s="1"/>
  <c r="T139" i="36" s="1"/>
  <c r="U139" i="36" s="1"/>
  <c r="V139" i="36" s="1"/>
  <c r="W139" i="36" s="1"/>
  <c r="X139" i="36" s="1"/>
  <c r="Y139" i="36" s="1"/>
  <c r="Z139" i="36" s="1"/>
  <c r="AA139" i="36" s="1"/>
  <c r="AB139" i="36" s="1"/>
  <c r="AC139" i="36" s="1"/>
  <c r="AD139" i="36" s="1"/>
  <c r="AE139" i="36" s="1"/>
  <c r="AF139" i="36" s="1"/>
  <c r="B139" i="36" s="1"/>
  <c r="D139" i="36"/>
  <c r="D138" i="36"/>
  <c r="E138" i="36" s="1"/>
  <c r="F138" i="36" s="1"/>
  <c r="G138" i="36" s="1"/>
  <c r="H138" i="36" s="1"/>
  <c r="I138" i="36" s="1"/>
  <c r="J138" i="36" s="1"/>
  <c r="K138" i="36" s="1"/>
  <c r="L138" i="36" s="1"/>
  <c r="M138" i="36" s="1"/>
  <c r="N138" i="36" s="1"/>
  <c r="O138" i="36" s="1"/>
  <c r="P138" i="36" s="1"/>
  <c r="Q138" i="36" s="1"/>
  <c r="R138" i="36" s="1"/>
  <c r="S138" i="36" s="1"/>
  <c r="T138" i="36" s="1"/>
  <c r="U138" i="36" s="1"/>
  <c r="V138" i="36" s="1"/>
  <c r="W138" i="36" s="1"/>
  <c r="X138" i="36" s="1"/>
  <c r="Y138" i="36" s="1"/>
  <c r="Z138" i="36" s="1"/>
  <c r="AA138" i="36" s="1"/>
  <c r="AB138" i="36" s="1"/>
  <c r="AC138" i="36" s="1"/>
  <c r="AD138" i="36" s="1"/>
  <c r="AE138" i="36" s="1"/>
  <c r="AF138" i="36" s="1"/>
  <c r="B138" i="36" s="1"/>
  <c r="D137" i="36"/>
  <c r="E137" i="36" s="1"/>
  <c r="F137" i="36" s="1"/>
  <c r="G137" i="36" s="1"/>
  <c r="H137" i="36" s="1"/>
  <c r="I137" i="36" s="1"/>
  <c r="J137" i="36" s="1"/>
  <c r="K137" i="36" s="1"/>
  <c r="L137" i="36" s="1"/>
  <c r="M137" i="36" s="1"/>
  <c r="N137" i="36" s="1"/>
  <c r="O137" i="36" s="1"/>
  <c r="P137" i="36" s="1"/>
  <c r="Q137" i="36" s="1"/>
  <c r="R137" i="36" s="1"/>
  <c r="S137" i="36" s="1"/>
  <c r="T137" i="36" s="1"/>
  <c r="U137" i="36" s="1"/>
  <c r="V137" i="36" s="1"/>
  <c r="W137" i="36" s="1"/>
  <c r="X137" i="36" s="1"/>
  <c r="Y137" i="36" s="1"/>
  <c r="Z137" i="36" s="1"/>
  <c r="AA137" i="36" s="1"/>
  <c r="AB137" i="36" s="1"/>
  <c r="AC137" i="36" s="1"/>
  <c r="AD137" i="36" s="1"/>
  <c r="AE137" i="36" s="1"/>
  <c r="AF137" i="36" s="1"/>
  <c r="B137" i="36" s="1"/>
  <c r="D136" i="36"/>
  <c r="E136" i="36" s="1"/>
  <c r="F136" i="36" s="1"/>
  <c r="G136" i="36" s="1"/>
  <c r="H136" i="36" s="1"/>
  <c r="I136" i="36" s="1"/>
  <c r="J136" i="36" s="1"/>
  <c r="K136" i="36" s="1"/>
  <c r="L136" i="36" s="1"/>
  <c r="M136" i="36" s="1"/>
  <c r="N136" i="36" s="1"/>
  <c r="O136" i="36" s="1"/>
  <c r="P136" i="36" s="1"/>
  <c r="Q136" i="36" s="1"/>
  <c r="R136" i="36" s="1"/>
  <c r="S136" i="36" s="1"/>
  <c r="T136" i="36" s="1"/>
  <c r="U136" i="36" s="1"/>
  <c r="V136" i="36" s="1"/>
  <c r="W136" i="36" s="1"/>
  <c r="X136" i="36" s="1"/>
  <c r="Y136" i="36" s="1"/>
  <c r="Z136" i="36" s="1"/>
  <c r="AA136" i="36" s="1"/>
  <c r="AB136" i="36" s="1"/>
  <c r="AC136" i="36" s="1"/>
  <c r="AD136" i="36" s="1"/>
  <c r="AE136" i="36" s="1"/>
  <c r="AF136" i="36" s="1"/>
  <c r="B136" i="36" s="1"/>
  <c r="Q135" i="36"/>
  <c r="R135" i="36" s="1"/>
  <c r="S135" i="36" s="1"/>
  <c r="T135" i="36" s="1"/>
  <c r="U135" i="36" s="1"/>
  <c r="V135" i="36" s="1"/>
  <c r="W135" i="36" s="1"/>
  <c r="X135" i="36" s="1"/>
  <c r="Y135" i="36" s="1"/>
  <c r="Z135" i="36" s="1"/>
  <c r="AA135" i="36" s="1"/>
  <c r="AB135" i="36" s="1"/>
  <c r="AC135" i="36" s="1"/>
  <c r="AD135" i="36" s="1"/>
  <c r="AE135" i="36" s="1"/>
  <c r="AF135" i="36" s="1"/>
  <c r="B135" i="36" s="1"/>
  <c r="E135" i="36"/>
  <c r="F135" i="36" s="1"/>
  <c r="G135" i="36" s="1"/>
  <c r="H135" i="36" s="1"/>
  <c r="I135" i="36" s="1"/>
  <c r="J135" i="36" s="1"/>
  <c r="K135" i="36" s="1"/>
  <c r="L135" i="36" s="1"/>
  <c r="M135" i="36" s="1"/>
  <c r="N135" i="36" s="1"/>
  <c r="O135" i="36" s="1"/>
  <c r="P135" i="36" s="1"/>
  <c r="D135" i="36"/>
  <c r="K134" i="36"/>
  <c r="L134" i="36" s="1"/>
  <c r="M134" i="36" s="1"/>
  <c r="N134" i="36" s="1"/>
  <c r="O134" i="36" s="1"/>
  <c r="P134" i="36" s="1"/>
  <c r="Q134" i="36" s="1"/>
  <c r="R134" i="36" s="1"/>
  <c r="S134" i="36" s="1"/>
  <c r="T134" i="36" s="1"/>
  <c r="U134" i="36" s="1"/>
  <c r="V134" i="36" s="1"/>
  <c r="W134" i="36" s="1"/>
  <c r="X134" i="36" s="1"/>
  <c r="Y134" i="36" s="1"/>
  <c r="Z134" i="36" s="1"/>
  <c r="AA134" i="36" s="1"/>
  <c r="AB134" i="36" s="1"/>
  <c r="AC134" i="36" s="1"/>
  <c r="AD134" i="36" s="1"/>
  <c r="AE134" i="36" s="1"/>
  <c r="AF134" i="36" s="1"/>
  <c r="B134" i="36" s="1"/>
  <c r="D134" i="36"/>
  <c r="E134" i="36" s="1"/>
  <c r="F134" i="36" s="1"/>
  <c r="G134" i="36" s="1"/>
  <c r="H134" i="36" s="1"/>
  <c r="I134" i="36" s="1"/>
  <c r="J134" i="36" s="1"/>
  <c r="D133" i="36"/>
  <c r="E133" i="36" s="1"/>
  <c r="F133" i="36" s="1"/>
  <c r="G133" i="36" s="1"/>
  <c r="H133" i="36" s="1"/>
  <c r="I133" i="36" s="1"/>
  <c r="J133" i="36" s="1"/>
  <c r="K133" i="36" s="1"/>
  <c r="L133" i="36" s="1"/>
  <c r="M133" i="36" s="1"/>
  <c r="N133" i="36" s="1"/>
  <c r="O133" i="36" s="1"/>
  <c r="P133" i="36" s="1"/>
  <c r="Q133" i="36" s="1"/>
  <c r="R133" i="36" s="1"/>
  <c r="S133" i="36" s="1"/>
  <c r="T133" i="36" s="1"/>
  <c r="U133" i="36" s="1"/>
  <c r="V133" i="36" s="1"/>
  <c r="W133" i="36" s="1"/>
  <c r="X133" i="36" s="1"/>
  <c r="Y133" i="36" s="1"/>
  <c r="Z133" i="36" s="1"/>
  <c r="AA133" i="36" s="1"/>
  <c r="AB133" i="36" s="1"/>
  <c r="AC133" i="36" s="1"/>
  <c r="AD133" i="36" s="1"/>
  <c r="AE133" i="36" s="1"/>
  <c r="AF133" i="36" s="1"/>
  <c r="B133" i="36" s="1"/>
  <c r="F132" i="36"/>
  <c r="G132" i="36" s="1"/>
  <c r="H132" i="36" s="1"/>
  <c r="I132" i="36" s="1"/>
  <c r="J132" i="36" s="1"/>
  <c r="K132" i="36" s="1"/>
  <c r="L132" i="36" s="1"/>
  <c r="M132" i="36" s="1"/>
  <c r="N132" i="36" s="1"/>
  <c r="O132" i="36" s="1"/>
  <c r="P132" i="36" s="1"/>
  <c r="Q132" i="36" s="1"/>
  <c r="R132" i="36" s="1"/>
  <c r="S132" i="36" s="1"/>
  <c r="T132" i="36" s="1"/>
  <c r="U132" i="36" s="1"/>
  <c r="V132" i="36" s="1"/>
  <c r="W132" i="36" s="1"/>
  <c r="X132" i="36" s="1"/>
  <c r="Y132" i="36" s="1"/>
  <c r="Z132" i="36" s="1"/>
  <c r="AA132" i="36" s="1"/>
  <c r="AB132" i="36" s="1"/>
  <c r="AC132" i="36" s="1"/>
  <c r="AD132" i="36" s="1"/>
  <c r="AE132" i="36" s="1"/>
  <c r="AF132" i="36" s="1"/>
  <c r="B132" i="36" s="1"/>
  <c r="E132" i="36"/>
  <c r="D132" i="36"/>
  <c r="D130" i="36"/>
  <c r="E130" i="36" s="1"/>
  <c r="F130" i="36" s="1"/>
  <c r="G130" i="36" s="1"/>
  <c r="H130" i="36" s="1"/>
  <c r="I130" i="36" s="1"/>
  <c r="J130" i="36" s="1"/>
  <c r="K130" i="36" s="1"/>
  <c r="L130" i="36" s="1"/>
  <c r="M130" i="36" s="1"/>
  <c r="N130" i="36" s="1"/>
  <c r="O130" i="36" s="1"/>
  <c r="P130" i="36" s="1"/>
  <c r="Q130" i="36" s="1"/>
  <c r="R130" i="36" s="1"/>
  <c r="S130" i="36" s="1"/>
  <c r="T130" i="36" s="1"/>
  <c r="U130" i="36" s="1"/>
  <c r="V130" i="36" s="1"/>
  <c r="W130" i="36" s="1"/>
  <c r="X130" i="36" s="1"/>
  <c r="Y130" i="36" s="1"/>
  <c r="Z130" i="36" s="1"/>
  <c r="AA130" i="36" s="1"/>
  <c r="AB130" i="36" s="1"/>
  <c r="AC130" i="36" s="1"/>
  <c r="AD130" i="36" s="1"/>
  <c r="AE130" i="36" s="1"/>
  <c r="AF130" i="36" s="1"/>
  <c r="B130" i="36" s="1"/>
  <c r="D129" i="36"/>
  <c r="E129" i="36" s="1"/>
  <c r="F129" i="36" s="1"/>
  <c r="G129" i="36" s="1"/>
  <c r="H129" i="36" s="1"/>
  <c r="I129" i="36" s="1"/>
  <c r="J129" i="36" s="1"/>
  <c r="K129" i="36" s="1"/>
  <c r="L129" i="36" s="1"/>
  <c r="M129" i="36" s="1"/>
  <c r="N129" i="36" s="1"/>
  <c r="O129" i="36" s="1"/>
  <c r="P129" i="36" s="1"/>
  <c r="Q129" i="36" s="1"/>
  <c r="R129" i="36" s="1"/>
  <c r="S129" i="36" s="1"/>
  <c r="T129" i="36" s="1"/>
  <c r="U129" i="36" s="1"/>
  <c r="V129" i="36" s="1"/>
  <c r="W129" i="36" s="1"/>
  <c r="X129" i="36" s="1"/>
  <c r="Y129" i="36" s="1"/>
  <c r="Z129" i="36" s="1"/>
  <c r="AA129" i="36" s="1"/>
  <c r="AB129" i="36" s="1"/>
  <c r="AC129" i="36" s="1"/>
  <c r="AD129" i="36" s="1"/>
  <c r="AE129" i="36" s="1"/>
  <c r="AF129" i="36" s="1"/>
  <c r="B129" i="36" s="1"/>
  <c r="D128" i="36"/>
  <c r="E128" i="36" s="1"/>
  <c r="F128" i="36" s="1"/>
  <c r="G128" i="36" s="1"/>
  <c r="H128" i="36" s="1"/>
  <c r="I128" i="36" s="1"/>
  <c r="J128" i="36" s="1"/>
  <c r="K128" i="36" s="1"/>
  <c r="L128" i="36" s="1"/>
  <c r="M128" i="36" s="1"/>
  <c r="N128" i="36" s="1"/>
  <c r="O128" i="36" s="1"/>
  <c r="P128" i="36" s="1"/>
  <c r="Q128" i="36" s="1"/>
  <c r="R128" i="36" s="1"/>
  <c r="S128" i="36" s="1"/>
  <c r="T128" i="36" s="1"/>
  <c r="U128" i="36" s="1"/>
  <c r="V128" i="36" s="1"/>
  <c r="W128" i="36" s="1"/>
  <c r="X128" i="36" s="1"/>
  <c r="Y128" i="36" s="1"/>
  <c r="Z128" i="36" s="1"/>
  <c r="AA128" i="36" s="1"/>
  <c r="AB128" i="36" s="1"/>
  <c r="AC128" i="36" s="1"/>
  <c r="AD128" i="36" s="1"/>
  <c r="AE128" i="36" s="1"/>
  <c r="AF128" i="36" s="1"/>
  <c r="B128" i="36" s="1"/>
  <c r="D127" i="36"/>
  <c r="E127" i="36" s="1"/>
  <c r="F127" i="36" s="1"/>
  <c r="G127" i="36" s="1"/>
  <c r="H127" i="36" s="1"/>
  <c r="I127" i="36" s="1"/>
  <c r="J127" i="36" s="1"/>
  <c r="K127" i="36" s="1"/>
  <c r="L127" i="36" s="1"/>
  <c r="M127" i="36" s="1"/>
  <c r="N127" i="36" s="1"/>
  <c r="O127" i="36" s="1"/>
  <c r="P127" i="36" s="1"/>
  <c r="Q127" i="36" s="1"/>
  <c r="R127" i="36" s="1"/>
  <c r="S127" i="36" s="1"/>
  <c r="T127" i="36" s="1"/>
  <c r="U127" i="36" s="1"/>
  <c r="V127" i="36" s="1"/>
  <c r="W127" i="36" s="1"/>
  <c r="X127" i="36" s="1"/>
  <c r="Y127" i="36" s="1"/>
  <c r="Z127" i="36" s="1"/>
  <c r="AA127" i="36" s="1"/>
  <c r="AB127" i="36" s="1"/>
  <c r="AC127" i="36" s="1"/>
  <c r="AD127" i="36" s="1"/>
  <c r="AE127" i="36" s="1"/>
  <c r="AF127" i="36" s="1"/>
  <c r="B127" i="36" s="1"/>
  <c r="K126" i="36"/>
  <c r="L126" i="36" s="1"/>
  <c r="M126" i="36" s="1"/>
  <c r="N126" i="36" s="1"/>
  <c r="O126" i="36" s="1"/>
  <c r="P126" i="36" s="1"/>
  <c r="Q126" i="36" s="1"/>
  <c r="R126" i="36" s="1"/>
  <c r="S126" i="36" s="1"/>
  <c r="T126" i="36" s="1"/>
  <c r="U126" i="36" s="1"/>
  <c r="V126" i="36" s="1"/>
  <c r="W126" i="36" s="1"/>
  <c r="X126" i="36" s="1"/>
  <c r="Y126" i="36" s="1"/>
  <c r="Z126" i="36" s="1"/>
  <c r="AA126" i="36" s="1"/>
  <c r="AB126" i="36" s="1"/>
  <c r="AC126" i="36" s="1"/>
  <c r="AD126" i="36" s="1"/>
  <c r="AE126" i="36" s="1"/>
  <c r="AF126" i="36" s="1"/>
  <c r="B126" i="36" s="1"/>
  <c r="J126" i="36"/>
  <c r="F126" i="36"/>
  <c r="G126" i="36" s="1"/>
  <c r="H126" i="36" s="1"/>
  <c r="E126" i="36"/>
  <c r="D126" i="36"/>
  <c r="D125" i="36"/>
  <c r="E125" i="36" s="1"/>
  <c r="F125" i="36" s="1"/>
  <c r="G125" i="36" s="1"/>
  <c r="H125" i="36" s="1"/>
  <c r="I125" i="36" s="1"/>
  <c r="J125" i="36" s="1"/>
  <c r="K125" i="36" s="1"/>
  <c r="L125" i="36" s="1"/>
  <c r="M125" i="36" s="1"/>
  <c r="N125" i="36" s="1"/>
  <c r="O125" i="36" s="1"/>
  <c r="P125" i="36" s="1"/>
  <c r="Q125" i="36" s="1"/>
  <c r="R125" i="36" s="1"/>
  <c r="S125" i="36" s="1"/>
  <c r="T125" i="36" s="1"/>
  <c r="U125" i="36" s="1"/>
  <c r="V125" i="36" s="1"/>
  <c r="W125" i="36" s="1"/>
  <c r="X125" i="36" s="1"/>
  <c r="Y125" i="36" s="1"/>
  <c r="Z125" i="36" s="1"/>
  <c r="AA125" i="36" s="1"/>
  <c r="AB125" i="36" s="1"/>
  <c r="AC125" i="36" s="1"/>
  <c r="AD125" i="36" s="1"/>
  <c r="AE125" i="36" s="1"/>
  <c r="AF125" i="36" s="1"/>
  <c r="B125" i="36" s="1"/>
  <c r="E124" i="36"/>
  <c r="F124" i="36" s="1"/>
  <c r="G124" i="36" s="1"/>
  <c r="H124" i="36" s="1"/>
  <c r="I124" i="36" s="1"/>
  <c r="J124" i="36" s="1"/>
  <c r="K124" i="36" s="1"/>
  <c r="L124" i="36" s="1"/>
  <c r="M124" i="36" s="1"/>
  <c r="N124" i="36" s="1"/>
  <c r="O124" i="36" s="1"/>
  <c r="P124" i="36" s="1"/>
  <c r="Q124" i="36" s="1"/>
  <c r="R124" i="36" s="1"/>
  <c r="S124" i="36" s="1"/>
  <c r="T124" i="36" s="1"/>
  <c r="U124" i="36" s="1"/>
  <c r="V124" i="36" s="1"/>
  <c r="W124" i="36" s="1"/>
  <c r="X124" i="36" s="1"/>
  <c r="Y124" i="36" s="1"/>
  <c r="Z124" i="36" s="1"/>
  <c r="AA124" i="36" s="1"/>
  <c r="AB124" i="36" s="1"/>
  <c r="AC124" i="36" s="1"/>
  <c r="AD124" i="36" s="1"/>
  <c r="AE124" i="36" s="1"/>
  <c r="AF124" i="36" s="1"/>
  <c r="B124" i="36" s="1"/>
  <c r="D124" i="36"/>
  <c r="D123" i="36"/>
  <c r="E123" i="36" s="1"/>
  <c r="F123" i="36" s="1"/>
  <c r="G123" i="36" s="1"/>
  <c r="H123" i="36" s="1"/>
  <c r="I123" i="36" s="1"/>
  <c r="J123" i="36" s="1"/>
  <c r="K123" i="36" s="1"/>
  <c r="L123" i="36" s="1"/>
  <c r="M123" i="36" s="1"/>
  <c r="N123" i="36" s="1"/>
  <c r="O123" i="36" s="1"/>
  <c r="P123" i="36" s="1"/>
  <c r="Q123" i="36" s="1"/>
  <c r="R123" i="36" s="1"/>
  <c r="S123" i="36" s="1"/>
  <c r="T123" i="36" s="1"/>
  <c r="U123" i="36" s="1"/>
  <c r="V123" i="36" s="1"/>
  <c r="W123" i="36" s="1"/>
  <c r="X123" i="36" s="1"/>
  <c r="Y123" i="36" s="1"/>
  <c r="Z123" i="36" s="1"/>
  <c r="AA123" i="36" s="1"/>
  <c r="AB123" i="36" s="1"/>
  <c r="AC123" i="36" s="1"/>
  <c r="AD123" i="36" s="1"/>
  <c r="AE123" i="36" s="1"/>
  <c r="AF123" i="36" s="1"/>
  <c r="B123" i="36" s="1"/>
  <c r="E122" i="36"/>
  <c r="F122" i="36" s="1"/>
  <c r="G122" i="36" s="1"/>
  <c r="H122" i="36" s="1"/>
  <c r="I122" i="36" s="1"/>
  <c r="J122" i="36" s="1"/>
  <c r="K122" i="36" s="1"/>
  <c r="L122" i="36" s="1"/>
  <c r="M122" i="36" s="1"/>
  <c r="N122" i="36" s="1"/>
  <c r="O122" i="36" s="1"/>
  <c r="P122" i="36" s="1"/>
  <c r="Q122" i="36" s="1"/>
  <c r="R122" i="36" s="1"/>
  <c r="S122" i="36" s="1"/>
  <c r="T122" i="36" s="1"/>
  <c r="U122" i="36" s="1"/>
  <c r="V122" i="36" s="1"/>
  <c r="W122" i="36" s="1"/>
  <c r="X122" i="36" s="1"/>
  <c r="Y122" i="36" s="1"/>
  <c r="Z122" i="36" s="1"/>
  <c r="AA122" i="36" s="1"/>
  <c r="AB122" i="36" s="1"/>
  <c r="AC122" i="36" s="1"/>
  <c r="AD122" i="36" s="1"/>
  <c r="AE122" i="36" s="1"/>
  <c r="AF122" i="36" s="1"/>
  <c r="B122" i="36" s="1"/>
  <c r="D122" i="36"/>
  <c r="D121" i="36"/>
  <c r="E121" i="36" s="1"/>
  <c r="F121" i="36" s="1"/>
  <c r="G121" i="36" s="1"/>
  <c r="H121" i="36" s="1"/>
  <c r="I121" i="36" s="1"/>
  <c r="J121" i="36" s="1"/>
  <c r="K121" i="36" s="1"/>
  <c r="L121" i="36" s="1"/>
  <c r="M121" i="36" s="1"/>
  <c r="N121" i="36" s="1"/>
  <c r="O121" i="36" s="1"/>
  <c r="P121" i="36" s="1"/>
  <c r="Q121" i="36" s="1"/>
  <c r="R121" i="36" s="1"/>
  <c r="S121" i="36" s="1"/>
  <c r="T121" i="36" s="1"/>
  <c r="U121" i="36" s="1"/>
  <c r="V121" i="36" s="1"/>
  <c r="W121" i="36" s="1"/>
  <c r="X121" i="36" s="1"/>
  <c r="Y121" i="36" s="1"/>
  <c r="Z121" i="36" s="1"/>
  <c r="AA121" i="36" s="1"/>
  <c r="AB121" i="36" s="1"/>
  <c r="AC121" i="36" s="1"/>
  <c r="AD121" i="36" s="1"/>
  <c r="AE121" i="36" s="1"/>
  <c r="AF121" i="36" s="1"/>
  <c r="B121" i="36" s="1"/>
  <c r="E120" i="36"/>
  <c r="F120" i="36" s="1"/>
  <c r="G120" i="36" s="1"/>
  <c r="H120" i="36" s="1"/>
  <c r="I120" i="36" s="1"/>
  <c r="J120" i="36" s="1"/>
  <c r="K120" i="36" s="1"/>
  <c r="L120" i="36" s="1"/>
  <c r="M120" i="36" s="1"/>
  <c r="N120" i="36" s="1"/>
  <c r="O120" i="36" s="1"/>
  <c r="P120" i="36" s="1"/>
  <c r="Q120" i="36" s="1"/>
  <c r="R120" i="36" s="1"/>
  <c r="S120" i="36" s="1"/>
  <c r="T120" i="36" s="1"/>
  <c r="U120" i="36" s="1"/>
  <c r="V120" i="36" s="1"/>
  <c r="W120" i="36" s="1"/>
  <c r="X120" i="36" s="1"/>
  <c r="Y120" i="36" s="1"/>
  <c r="Z120" i="36" s="1"/>
  <c r="AA120" i="36" s="1"/>
  <c r="AB120" i="36" s="1"/>
  <c r="AC120" i="36" s="1"/>
  <c r="AD120" i="36" s="1"/>
  <c r="AE120" i="36" s="1"/>
  <c r="AF120" i="36" s="1"/>
  <c r="B120" i="36" s="1"/>
  <c r="D120" i="36"/>
  <c r="D119" i="36"/>
  <c r="E119" i="36" s="1"/>
  <c r="F119" i="36" s="1"/>
  <c r="G119" i="36" s="1"/>
  <c r="H119" i="36" s="1"/>
  <c r="I119" i="36" s="1"/>
  <c r="J119" i="36" s="1"/>
  <c r="K119" i="36" s="1"/>
  <c r="L119" i="36" s="1"/>
  <c r="M119" i="36" s="1"/>
  <c r="N119" i="36" s="1"/>
  <c r="O119" i="36" s="1"/>
  <c r="P119" i="36" s="1"/>
  <c r="Q119" i="36" s="1"/>
  <c r="R119" i="36" s="1"/>
  <c r="S119" i="36" s="1"/>
  <c r="T119" i="36" s="1"/>
  <c r="U119" i="36" s="1"/>
  <c r="V119" i="36" s="1"/>
  <c r="W119" i="36" s="1"/>
  <c r="X119" i="36" s="1"/>
  <c r="Y119" i="36" s="1"/>
  <c r="Z119" i="36" s="1"/>
  <c r="AA119" i="36" s="1"/>
  <c r="AB119" i="36" s="1"/>
  <c r="AC119" i="36" s="1"/>
  <c r="AD119" i="36" s="1"/>
  <c r="AE119" i="36" s="1"/>
  <c r="AF119" i="36" s="1"/>
  <c r="B119" i="36" s="1"/>
  <c r="D118" i="36"/>
  <c r="E118" i="36" s="1"/>
  <c r="F118" i="36" s="1"/>
  <c r="G118" i="36" s="1"/>
  <c r="H118" i="36" s="1"/>
  <c r="I118" i="36" s="1"/>
  <c r="J118" i="36" s="1"/>
  <c r="K118" i="36" s="1"/>
  <c r="L118" i="36" s="1"/>
  <c r="M118" i="36" s="1"/>
  <c r="N118" i="36" s="1"/>
  <c r="O118" i="36" s="1"/>
  <c r="P118" i="36" s="1"/>
  <c r="Q118" i="36" s="1"/>
  <c r="R118" i="36" s="1"/>
  <c r="S118" i="36" s="1"/>
  <c r="T118" i="36" s="1"/>
  <c r="U118" i="36" s="1"/>
  <c r="V118" i="36" s="1"/>
  <c r="W118" i="36" s="1"/>
  <c r="X118" i="36" s="1"/>
  <c r="Y118" i="36" s="1"/>
  <c r="Z118" i="36" s="1"/>
  <c r="AA118" i="36" s="1"/>
  <c r="AB118" i="36" s="1"/>
  <c r="AC118" i="36" s="1"/>
  <c r="AD118" i="36" s="1"/>
  <c r="AE118" i="36" s="1"/>
  <c r="AF118" i="36" s="1"/>
  <c r="B118" i="36" s="1"/>
  <c r="D117" i="36"/>
  <c r="E117" i="36" s="1"/>
  <c r="F117" i="36" s="1"/>
  <c r="G117" i="36" s="1"/>
  <c r="H117" i="36" s="1"/>
  <c r="I117" i="36" s="1"/>
  <c r="J117" i="36" s="1"/>
  <c r="K117" i="36" s="1"/>
  <c r="L117" i="36" s="1"/>
  <c r="M117" i="36" s="1"/>
  <c r="N117" i="36" s="1"/>
  <c r="O117" i="36" s="1"/>
  <c r="P117" i="36" s="1"/>
  <c r="Q117" i="36" s="1"/>
  <c r="R117" i="36" s="1"/>
  <c r="S117" i="36" s="1"/>
  <c r="T117" i="36" s="1"/>
  <c r="U117" i="36" s="1"/>
  <c r="V117" i="36" s="1"/>
  <c r="W117" i="36" s="1"/>
  <c r="X117" i="36" s="1"/>
  <c r="Y117" i="36" s="1"/>
  <c r="Z117" i="36" s="1"/>
  <c r="AA117" i="36" s="1"/>
  <c r="AB117" i="36" s="1"/>
  <c r="AC117" i="36" s="1"/>
  <c r="AD117" i="36" s="1"/>
  <c r="AE117" i="36" s="1"/>
  <c r="AF117" i="36" s="1"/>
  <c r="B117" i="36" s="1"/>
  <c r="D116" i="36"/>
  <c r="E116" i="36" s="1"/>
  <c r="F116" i="36" s="1"/>
  <c r="G116" i="36" s="1"/>
  <c r="H116" i="36" s="1"/>
  <c r="I116" i="36" s="1"/>
  <c r="J116" i="36" s="1"/>
  <c r="K116" i="36" s="1"/>
  <c r="L116" i="36" s="1"/>
  <c r="M116" i="36" s="1"/>
  <c r="N116" i="36" s="1"/>
  <c r="O116" i="36" s="1"/>
  <c r="P116" i="36" s="1"/>
  <c r="Q116" i="36" s="1"/>
  <c r="R116" i="36" s="1"/>
  <c r="S116" i="36" s="1"/>
  <c r="T116" i="36" s="1"/>
  <c r="U116" i="36" s="1"/>
  <c r="V116" i="36" s="1"/>
  <c r="W116" i="36" s="1"/>
  <c r="X116" i="36" s="1"/>
  <c r="Y116" i="36" s="1"/>
  <c r="Z116" i="36" s="1"/>
  <c r="AA116" i="36" s="1"/>
  <c r="AB116" i="36" s="1"/>
  <c r="AC116" i="36" s="1"/>
  <c r="AD116" i="36" s="1"/>
  <c r="AE116" i="36" s="1"/>
  <c r="AF116" i="36" s="1"/>
  <c r="B116" i="36" s="1"/>
  <c r="K115" i="36"/>
  <c r="L115" i="36" s="1"/>
  <c r="M115" i="36" s="1"/>
  <c r="N115" i="36" s="1"/>
  <c r="O115" i="36" s="1"/>
  <c r="P115" i="36" s="1"/>
  <c r="Q115" i="36" s="1"/>
  <c r="R115" i="36" s="1"/>
  <c r="S115" i="36" s="1"/>
  <c r="T115" i="36" s="1"/>
  <c r="U115" i="36" s="1"/>
  <c r="V115" i="36" s="1"/>
  <c r="W115" i="36" s="1"/>
  <c r="X115" i="36" s="1"/>
  <c r="Y115" i="36" s="1"/>
  <c r="Z115" i="36" s="1"/>
  <c r="AA115" i="36" s="1"/>
  <c r="AB115" i="36" s="1"/>
  <c r="AC115" i="36" s="1"/>
  <c r="AD115" i="36" s="1"/>
  <c r="AE115" i="36" s="1"/>
  <c r="AF115" i="36" s="1"/>
  <c r="B115" i="36" s="1"/>
  <c r="D115" i="36"/>
  <c r="E115" i="36" s="1"/>
  <c r="F115" i="36" s="1"/>
  <c r="G115" i="36" s="1"/>
  <c r="H115" i="36" s="1"/>
  <c r="I115" i="36" s="1"/>
  <c r="D114" i="36"/>
  <c r="E114" i="36" s="1"/>
  <c r="F114" i="36" s="1"/>
  <c r="G114" i="36" s="1"/>
  <c r="H114" i="36" s="1"/>
  <c r="I114" i="36" s="1"/>
  <c r="J114" i="36" s="1"/>
  <c r="K114" i="36" s="1"/>
  <c r="L114" i="36" s="1"/>
  <c r="M114" i="36" s="1"/>
  <c r="N114" i="36" s="1"/>
  <c r="O114" i="36" s="1"/>
  <c r="P114" i="36" s="1"/>
  <c r="Q114" i="36" s="1"/>
  <c r="R114" i="36" s="1"/>
  <c r="S114" i="36" s="1"/>
  <c r="T114" i="36" s="1"/>
  <c r="U114" i="36" s="1"/>
  <c r="V114" i="36" s="1"/>
  <c r="W114" i="36" s="1"/>
  <c r="X114" i="36" s="1"/>
  <c r="Y114" i="36" s="1"/>
  <c r="Z114" i="36" s="1"/>
  <c r="AA114" i="36" s="1"/>
  <c r="AB114" i="36" s="1"/>
  <c r="AC114" i="36" s="1"/>
  <c r="AD114" i="36" s="1"/>
  <c r="AE114" i="36" s="1"/>
  <c r="AF114" i="36" s="1"/>
  <c r="B114" i="36" s="1"/>
  <c r="D113" i="36"/>
  <c r="E113" i="36" s="1"/>
  <c r="F113" i="36" s="1"/>
  <c r="G113" i="36" s="1"/>
  <c r="H113" i="36" s="1"/>
  <c r="I113" i="36" s="1"/>
  <c r="J113" i="36" s="1"/>
  <c r="K113" i="36" s="1"/>
  <c r="L113" i="36" s="1"/>
  <c r="M113" i="36" s="1"/>
  <c r="N113" i="36" s="1"/>
  <c r="O113" i="36" s="1"/>
  <c r="P113" i="36" s="1"/>
  <c r="Q113" i="36" s="1"/>
  <c r="R113" i="36" s="1"/>
  <c r="S113" i="36" s="1"/>
  <c r="T113" i="36" s="1"/>
  <c r="U113" i="36" s="1"/>
  <c r="V113" i="36" s="1"/>
  <c r="W113" i="36" s="1"/>
  <c r="X113" i="36" s="1"/>
  <c r="Y113" i="36" s="1"/>
  <c r="Z113" i="36" s="1"/>
  <c r="AA113" i="36" s="1"/>
  <c r="AB113" i="36" s="1"/>
  <c r="AC113" i="36" s="1"/>
  <c r="AD113" i="36" s="1"/>
  <c r="AE113" i="36" s="1"/>
  <c r="AF113" i="36" s="1"/>
  <c r="B113" i="36" s="1"/>
  <c r="F111" i="36"/>
  <c r="G111" i="36" s="1"/>
  <c r="H111" i="36" s="1"/>
  <c r="I111" i="36" s="1"/>
  <c r="J111" i="36" s="1"/>
  <c r="K111" i="36" s="1"/>
  <c r="L111" i="36" s="1"/>
  <c r="M111" i="36" s="1"/>
  <c r="N111" i="36" s="1"/>
  <c r="O111" i="36" s="1"/>
  <c r="P111" i="36" s="1"/>
  <c r="Q111" i="36" s="1"/>
  <c r="R111" i="36" s="1"/>
  <c r="S111" i="36" s="1"/>
  <c r="T111" i="36" s="1"/>
  <c r="U111" i="36" s="1"/>
  <c r="V111" i="36" s="1"/>
  <c r="W111" i="36" s="1"/>
  <c r="X111" i="36" s="1"/>
  <c r="Y111" i="36" s="1"/>
  <c r="Z111" i="36" s="1"/>
  <c r="AA111" i="36" s="1"/>
  <c r="AB111" i="36" s="1"/>
  <c r="AC111" i="36" s="1"/>
  <c r="AD111" i="36" s="1"/>
  <c r="AE111" i="36" s="1"/>
  <c r="AF111" i="36" s="1"/>
  <c r="B111" i="36" s="1"/>
  <c r="D111" i="36"/>
  <c r="E111" i="36" s="1"/>
  <c r="E110" i="36"/>
  <c r="F110" i="36" s="1"/>
  <c r="G110" i="36" s="1"/>
  <c r="H110" i="36" s="1"/>
  <c r="I110" i="36" s="1"/>
  <c r="J110" i="36" s="1"/>
  <c r="K110" i="36" s="1"/>
  <c r="L110" i="36" s="1"/>
  <c r="M110" i="36" s="1"/>
  <c r="N110" i="36" s="1"/>
  <c r="O110" i="36" s="1"/>
  <c r="P110" i="36" s="1"/>
  <c r="Q110" i="36" s="1"/>
  <c r="R110" i="36" s="1"/>
  <c r="S110" i="36" s="1"/>
  <c r="T110" i="36" s="1"/>
  <c r="U110" i="36" s="1"/>
  <c r="V110" i="36" s="1"/>
  <c r="W110" i="36" s="1"/>
  <c r="X110" i="36" s="1"/>
  <c r="Y110" i="36" s="1"/>
  <c r="Z110" i="36" s="1"/>
  <c r="AA110" i="36" s="1"/>
  <c r="AB110" i="36" s="1"/>
  <c r="AC110" i="36" s="1"/>
  <c r="AD110" i="36" s="1"/>
  <c r="AE110" i="36" s="1"/>
  <c r="AF110" i="36" s="1"/>
  <c r="B110" i="36" s="1"/>
  <c r="D110" i="36"/>
  <c r="D108" i="36"/>
  <c r="E108" i="36" s="1"/>
  <c r="F108" i="36" s="1"/>
  <c r="G108" i="36" s="1"/>
  <c r="H108" i="36" s="1"/>
  <c r="I108" i="36" s="1"/>
  <c r="J108" i="36" s="1"/>
  <c r="K108" i="36" s="1"/>
  <c r="L108" i="36" s="1"/>
  <c r="M108" i="36" s="1"/>
  <c r="N108" i="36" s="1"/>
  <c r="O108" i="36" s="1"/>
  <c r="P108" i="36" s="1"/>
  <c r="Q108" i="36" s="1"/>
  <c r="R108" i="36" s="1"/>
  <c r="S108" i="36" s="1"/>
  <c r="T108" i="36" s="1"/>
  <c r="U108" i="36" s="1"/>
  <c r="V108" i="36" s="1"/>
  <c r="W108" i="36" s="1"/>
  <c r="X108" i="36" s="1"/>
  <c r="Y108" i="36" s="1"/>
  <c r="Z108" i="36" s="1"/>
  <c r="AA108" i="36" s="1"/>
  <c r="AB108" i="36" s="1"/>
  <c r="AC108" i="36" s="1"/>
  <c r="AD108" i="36" s="1"/>
  <c r="AE108" i="36" s="1"/>
  <c r="AF108" i="36" s="1"/>
  <c r="B108" i="36" s="1"/>
  <c r="D107" i="36"/>
  <c r="E107" i="36" s="1"/>
  <c r="F107" i="36" s="1"/>
  <c r="G107" i="36" s="1"/>
  <c r="H107" i="36" s="1"/>
  <c r="I107" i="36" s="1"/>
  <c r="J107" i="36" s="1"/>
  <c r="K107" i="36" s="1"/>
  <c r="L107" i="36" s="1"/>
  <c r="M107" i="36" s="1"/>
  <c r="N107" i="36" s="1"/>
  <c r="O107" i="36" s="1"/>
  <c r="P107" i="36" s="1"/>
  <c r="Q107" i="36" s="1"/>
  <c r="R107" i="36" s="1"/>
  <c r="S107" i="36" s="1"/>
  <c r="T107" i="36" s="1"/>
  <c r="U107" i="36" s="1"/>
  <c r="V107" i="36" s="1"/>
  <c r="W107" i="36" s="1"/>
  <c r="X107" i="36" s="1"/>
  <c r="Y107" i="36" s="1"/>
  <c r="Z107" i="36" s="1"/>
  <c r="AA107" i="36" s="1"/>
  <c r="AB107" i="36" s="1"/>
  <c r="AC107" i="36" s="1"/>
  <c r="AD107" i="36" s="1"/>
  <c r="AE107" i="36" s="1"/>
  <c r="AF107" i="36" s="1"/>
  <c r="B107" i="36" s="1"/>
  <c r="D106" i="36"/>
  <c r="E106" i="36" s="1"/>
  <c r="F106" i="36" s="1"/>
  <c r="G106" i="36" s="1"/>
  <c r="H106" i="36" s="1"/>
  <c r="I106" i="36" s="1"/>
  <c r="J106" i="36" s="1"/>
  <c r="K106" i="36" s="1"/>
  <c r="L106" i="36" s="1"/>
  <c r="M106" i="36" s="1"/>
  <c r="N106" i="36" s="1"/>
  <c r="O106" i="36" s="1"/>
  <c r="P106" i="36" s="1"/>
  <c r="Q106" i="36" s="1"/>
  <c r="R106" i="36" s="1"/>
  <c r="S106" i="36" s="1"/>
  <c r="T106" i="36" s="1"/>
  <c r="U106" i="36" s="1"/>
  <c r="V106" i="36" s="1"/>
  <c r="W106" i="36" s="1"/>
  <c r="X106" i="36" s="1"/>
  <c r="Y106" i="36" s="1"/>
  <c r="Z106" i="36" s="1"/>
  <c r="AA106" i="36" s="1"/>
  <c r="AB106" i="36" s="1"/>
  <c r="AC106" i="36" s="1"/>
  <c r="AD106" i="36" s="1"/>
  <c r="AE106" i="36" s="1"/>
  <c r="AF106" i="36" s="1"/>
  <c r="B106" i="36" s="1"/>
  <c r="D105" i="36"/>
  <c r="E105" i="36" s="1"/>
  <c r="F105" i="36" s="1"/>
  <c r="G105" i="36" s="1"/>
  <c r="H105" i="36" s="1"/>
  <c r="I105" i="36" s="1"/>
  <c r="J105" i="36" s="1"/>
  <c r="K105" i="36" s="1"/>
  <c r="L105" i="36" s="1"/>
  <c r="M105" i="36" s="1"/>
  <c r="N105" i="36" s="1"/>
  <c r="O105" i="36" s="1"/>
  <c r="P105" i="36" s="1"/>
  <c r="Q105" i="36" s="1"/>
  <c r="R105" i="36" s="1"/>
  <c r="S105" i="36" s="1"/>
  <c r="T105" i="36" s="1"/>
  <c r="U105" i="36" s="1"/>
  <c r="V105" i="36" s="1"/>
  <c r="W105" i="36" s="1"/>
  <c r="X105" i="36" s="1"/>
  <c r="Y105" i="36" s="1"/>
  <c r="Z105" i="36" s="1"/>
  <c r="AA105" i="36" s="1"/>
  <c r="AB105" i="36" s="1"/>
  <c r="AC105" i="36" s="1"/>
  <c r="AD105" i="36" s="1"/>
  <c r="AE105" i="36" s="1"/>
  <c r="AF105" i="36" s="1"/>
  <c r="B105" i="36" s="1"/>
  <c r="D104" i="36"/>
  <c r="E104" i="36" s="1"/>
  <c r="E103" i="36"/>
  <c r="F103" i="36" s="1"/>
  <c r="D103" i="36"/>
  <c r="AH100" i="36"/>
  <c r="AI100" i="36" s="1"/>
  <c r="AH99" i="36"/>
  <c r="AI99" i="36" s="1"/>
  <c r="AH98" i="36"/>
  <c r="AI98" i="36" s="1"/>
  <c r="AH97" i="36"/>
  <c r="AI97" i="36" s="1"/>
  <c r="AH96" i="36"/>
  <c r="AI96" i="36" s="1"/>
  <c r="AH95" i="36"/>
  <c r="AI95" i="36" s="1"/>
  <c r="AH94" i="36"/>
  <c r="AI94" i="36" s="1"/>
  <c r="C93" i="36"/>
  <c r="AI91" i="36"/>
  <c r="AH91" i="36"/>
  <c r="AI90" i="36"/>
  <c r="AH90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G82" i="36"/>
  <c r="AI81" i="36"/>
  <c r="AH81" i="36"/>
  <c r="AI74" i="36"/>
  <c r="AH74" i="36"/>
  <c r="AI73" i="36"/>
  <c r="AH73" i="36"/>
  <c r="AI72" i="36"/>
  <c r="AH72" i="36"/>
  <c r="AG72" i="36"/>
  <c r="AI71" i="36"/>
  <c r="AH71" i="36"/>
  <c r="AI70" i="36"/>
  <c r="AH70" i="36"/>
  <c r="AI69" i="36"/>
  <c r="AH69" i="36"/>
  <c r="AG68" i="36"/>
  <c r="AE5" i="36"/>
  <c r="X5" i="36"/>
  <c r="W5" i="36"/>
  <c r="U5" i="36"/>
  <c r="S5" i="36"/>
  <c r="P5" i="36"/>
  <c r="O5" i="36"/>
  <c r="M5" i="36"/>
  <c r="H5" i="36"/>
  <c r="E5" i="36"/>
  <c r="B5" i="36"/>
  <c r="AF5" i="36"/>
  <c r="AI67" i="36"/>
  <c r="AH67" i="36"/>
  <c r="AI66" i="36"/>
  <c r="AH66" i="36"/>
  <c r="AI65" i="36"/>
  <c r="AH65" i="36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G56" i="36"/>
  <c r="AF56" i="36"/>
  <c r="AE56" i="36"/>
  <c r="AD56" i="36"/>
  <c r="AC56" i="36"/>
  <c r="AB56" i="36"/>
  <c r="AA56" i="36"/>
  <c r="Z56" i="36"/>
  <c r="X56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B56" i="36"/>
  <c r="AI55" i="36"/>
  <c r="AH55" i="36"/>
  <c r="AI54" i="36"/>
  <c r="AH54" i="36"/>
  <c r="AI53" i="36"/>
  <c r="AH53" i="36"/>
  <c r="AF52" i="36"/>
  <c r="AE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B52" i="36"/>
  <c r="B75" i="36" s="1"/>
  <c r="AI51" i="36"/>
  <c r="AH51" i="36"/>
  <c r="AG51" i="36"/>
  <c r="AG52" i="36" s="1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B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D5" i="36"/>
  <c r="AB5" i="36"/>
  <c r="AA5" i="36"/>
  <c r="Z5" i="36"/>
  <c r="V5" i="36"/>
  <c r="T5" i="36"/>
  <c r="R5" i="36"/>
  <c r="N5" i="36"/>
  <c r="L5" i="36"/>
  <c r="K5" i="36"/>
  <c r="J5" i="36"/>
  <c r="F5" i="36"/>
  <c r="D5" i="36"/>
  <c r="C5" i="36"/>
  <c r="AG4" i="36"/>
  <c r="K4" i="36"/>
  <c r="B4" i="36"/>
  <c r="AG2" i="36"/>
  <c r="AF37" i="35"/>
  <c r="AE37" i="35"/>
  <c r="AD37" i="35"/>
  <c r="AC37" i="35"/>
  <c r="AB37" i="35"/>
  <c r="AA95" i="35"/>
  <c r="AA37" i="35"/>
  <c r="Z95" i="35"/>
  <c r="Z37" i="35"/>
  <c r="Y95" i="35"/>
  <c r="Y37" i="35"/>
  <c r="X95" i="35"/>
  <c r="X37" i="35"/>
  <c r="W95" i="35"/>
  <c r="W37" i="35"/>
  <c r="V95" i="35"/>
  <c r="V37" i="35"/>
  <c r="U95" i="35"/>
  <c r="U37" i="35"/>
  <c r="T95" i="35"/>
  <c r="T37" i="35"/>
  <c r="S95" i="35"/>
  <c r="S37" i="35"/>
  <c r="R37" i="35"/>
  <c r="Q37" i="35"/>
  <c r="P37" i="35"/>
  <c r="AM48" i="35"/>
  <c r="O37" i="35"/>
  <c r="N37" i="35"/>
  <c r="AL6" i="35"/>
  <c r="AL4" i="35"/>
  <c r="AK6" i="35"/>
  <c r="AK4" i="35"/>
  <c r="M37" i="35"/>
  <c r="L95" i="35"/>
  <c r="L37" i="35"/>
  <c r="K37" i="35"/>
  <c r="J37" i="35"/>
  <c r="H37" i="35"/>
  <c r="I37" i="35"/>
  <c r="G37" i="35"/>
  <c r="F37" i="35"/>
  <c r="E37" i="35"/>
  <c r="D37" i="35"/>
  <c r="C37" i="35"/>
  <c r="B37" i="35"/>
  <c r="B95" i="35"/>
  <c r="B93" i="35"/>
  <c r="B68" i="35"/>
  <c r="B56" i="35"/>
  <c r="B52" i="35"/>
  <c r="B38" i="35"/>
  <c r="AF239" i="35"/>
  <c r="AE239" i="35"/>
  <c r="AD239" i="35"/>
  <c r="AC239" i="35"/>
  <c r="AB239" i="35"/>
  <c r="AA239" i="35"/>
  <c r="Z239" i="35"/>
  <c r="Y239" i="35"/>
  <c r="X239" i="35"/>
  <c r="W239" i="35"/>
  <c r="V239" i="35"/>
  <c r="U239" i="35"/>
  <c r="T239" i="35"/>
  <c r="S239" i="35"/>
  <c r="R239" i="35"/>
  <c r="Q239" i="35"/>
  <c r="P239" i="35"/>
  <c r="O239" i="35"/>
  <c r="N239" i="35"/>
  <c r="M239" i="35"/>
  <c r="L239" i="35"/>
  <c r="K239" i="35"/>
  <c r="J239" i="35"/>
  <c r="I239" i="35"/>
  <c r="H239" i="35"/>
  <c r="G239" i="35"/>
  <c r="F239" i="35"/>
  <c r="E239" i="35"/>
  <c r="D239" i="35"/>
  <c r="C239" i="35"/>
  <c r="B239" i="35"/>
  <c r="A239" i="35"/>
  <c r="AF238" i="35"/>
  <c r="AE238" i="35"/>
  <c r="AD238" i="35"/>
  <c r="AC238" i="35"/>
  <c r="AB238" i="35"/>
  <c r="AA238" i="35"/>
  <c r="Z238" i="35"/>
  <c r="Y238" i="35"/>
  <c r="X238" i="35"/>
  <c r="W238" i="35"/>
  <c r="V238" i="35"/>
  <c r="U238" i="35"/>
  <c r="T238" i="35"/>
  <c r="S238" i="35"/>
  <c r="R238" i="35"/>
  <c r="Q238" i="35"/>
  <c r="P238" i="35"/>
  <c r="O238" i="35"/>
  <c r="N238" i="35"/>
  <c r="M238" i="35"/>
  <c r="L238" i="35"/>
  <c r="K238" i="35"/>
  <c r="J238" i="35"/>
  <c r="I238" i="35"/>
  <c r="H238" i="35"/>
  <c r="G238" i="35"/>
  <c r="F238" i="35"/>
  <c r="E238" i="35"/>
  <c r="D238" i="35"/>
  <c r="C238" i="35"/>
  <c r="B238" i="35"/>
  <c r="A238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B237" i="35"/>
  <c r="A237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C235" i="35"/>
  <c r="B235" i="35"/>
  <c r="S210" i="35"/>
  <c r="AG200" i="35"/>
  <c r="D200" i="35"/>
  <c r="C200" i="35"/>
  <c r="F199" i="35"/>
  <c r="E235" i="35" s="1"/>
  <c r="E199" i="35"/>
  <c r="D235" i="35" s="1"/>
  <c r="D199" i="35"/>
  <c r="D198" i="35"/>
  <c r="E198" i="35" s="1"/>
  <c r="F198" i="35" s="1"/>
  <c r="G198" i="35" s="1"/>
  <c r="H198" i="35" s="1"/>
  <c r="I198" i="35" s="1"/>
  <c r="J198" i="35" s="1"/>
  <c r="K198" i="35" s="1"/>
  <c r="L198" i="35" s="1"/>
  <c r="M198" i="35" s="1"/>
  <c r="N198" i="35" s="1"/>
  <c r="O198" i="35" s="1"/>
  <c r="P198" i="35" s="1"/>
  <c r="Q198" i="35" s="1"/>
  <c r="R198" i="35" s="1"/>
  <c r="S198" i="35" s="1"/>
  <c r="T198" i="35" s="1"/>
  <c r="U198" i="35" s="1"/>
  <c r="V198" i="35" s="1"/>
  <c r="W198" i="35" s="1"/>
  <c r="X198" i="35" s="1"/>
  <c r="Y198" i="35" s="1"/>
  <c r="Z198" i="35" s="1"/>
  <c r="AA198" i="35" s="1"/>
  <c r="AB198" i="35" s="1"/>
  <c r="AC198" i="35" s="1"/>
  <c r="AD198" i="35" s="1"/>
  <c r="AE198" i="35" s="1"/>
  <c r="AF198" i="35" s="1"/>
  <c r="B198" i="35" s="1"/>
  <c r="D197" i="35"/>
  <c r="E197" i="35" s="1"/>
  <c r="F197" i="35" s="1"/>
  <c r="G197" i="35" s="1"/>
  <c r="H197" i="35" s="1"/>
  <c r="I197" i="35" s="1"/>
  <c r="J197" i="35" s="1"/>
  <c r="K197" i="35" s="1"/>
  <c r="L197" i="35" s="1"/>
  <c r="M197" i="35" s="1"/>
  <c r="N197" i="35" s="1"/>
  <c r="O197" i="35" s="1"/>
  <c r="P197" i="35" s="1"/>
  <c r="Q197" i="35" s="1"/>
  <c r="R197" i="35" s="1"/>
  <c r="S197" i="35" s="1"/>
  <c r="T197" i="35" s="1"/>
  <c r="U197" i="35" s="1"/>
  <c r="V197" i="35" s="1"/>
  <c r="W197" i="35" s="1"/>
  <c r="X197" i="35" s="1"/>
  <c r="Y197" i="35" s="1"/>
  <c r="Z197" i="35" s="1"/>
  <c r="AA197" i="35" s="1"/>
  <c r="AB197" i="35" s="1"/>
  <c r="AC197" i="35" s="1"/>
  <c r="AD197" i="35" s="1"/>
  <c r="AE197" i="35" s="1"/>
  <c r="AF197" i="35" s="1"/>
  <c r="B197" i="35" s="1"/>
  <c r="E196" i="35"/>
  <c r="F196" i="35" s="1"/>
  <c r="G196" i="35" s="1"/>
  <c r="H196" i="35" s="1"/>
  <c r="I196" i="35" s="1"/>
  <c r="J196" i="35" s="1"/>
  <c r="K196" i="35" s="1"/>
  <c r="L196" i="35" s="1"/>
  <c r="M196" i="35" s="1"/>
  <c r="N196" i="35" s="1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Y196" i="35" s="1"/>
  <c r="Z196" i="35" s="1"/>
  <c r="AA196" i="35" s="1"/>
  <c r="AB196" i="35" s="1"/>
  <c r="AC196" i="35" s="1"/>
  <c r="AD196" i="35" s="1"/>
  <c r="AE196" i="35" s="1"/>
  <c r="AF196" i="35" s="1"/>
  <c r="B196" i="35" s="1"/>
  <c r="D196" i="35"/>
  <c r="K195" i="35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AD195" i="35" s="1"/>
  <c r="AE195" i="35" s="1"/>
  <c r="AF195" i="35" s="1"/>
  <c r="B195" i="35" s="1"/>
  <c r="E195" i="35"/>
  <c r="F195" i="35" s="1"/>
  <c r="G195" i="35" s="1"/>
  <c r="H195" i="35" s="1"/>
  <c r="I195" i="35" s="1"/>
  <c r="J195" i="35" s="1"/>
  <c r="D195" i="35"/>
  <c r="D194" i="35"/>
  <c r="E194" i="35" s="1"/>
  <c r="AG192" i="35"/>
  <c r="C192" i="35"/>
  <c r="R191" i="35"/>
  <c r="S191" i="35" s="1"/>
  <c r="T191" i="35" s="1"/>
  <c r="U191" i="35" s="1"/>
  <c r="V191" i="35" s="1"/>
  <c r="W191" i="35" s="1"/>
  <c r="X191" i="35" s="1"/>
  <c r="Y191" i="35" s="1"/>
  <c r="Z191" i="35" s="1"/>
  <c r="AA191" i="35" s="1"/>
  <c r="AB191" i="35" s="1"/>
  <c r="AC191" i="35" s="1"/>
  <c r="AD191" i="35" s="1"/>
  <c r="AE191" i="35" s="1"/>
  <c r="AF191" i="35" s="1"/>
  <c r="B191" i="35" s="1"/>
  <c r="E191" i="35"/>
  <c r="F191" i="35" s="1"/>
  <c r="G191" i="35" s="1"/>
  <c r="H191" i="35" s="1"/>
  <c r="I191" i="35" s="1"/>
  <c r="J191" i="35" s="1"/>
  <c r="K191" i="35" s="1"/>
  <c r="L191" i="35" s="1"/>
  <c r="M191" i="35" s="1"/>
  <c r="N191" i="35" s="1"/>
  <c r="O191" i="35" s="1"/>
  <c r="P191" i="35" s="1"/>
  <c r="Q191" i="35" s="1"/>
  <c r="D191" i="35"/>
  <c r="G190" i="35"/>
  <c r="H190" i="35" s="1"/>
  <c r="I190" i="35" s="1"/>
  <c r="J190" i="35" s="1"/>
  <c r="K190" i="35" s="1"/>
  <c r="L190" i="35" s="1"/>
  <c r="M190" i="35" s="1"/>
  <c r="N190" i="35" s="1"/>
  <c r="O190" i="35" s="1"/>
  <c r="P190" i="35" s="1"/>
  <c r="Q190" i="35" s="1"/>
  <c r="R190" i="35" s="1"/>
  <c r="S190" i="35" s="1"/>
  <c r="T190" i="35" s="1"/>
  <c r="U190" i="35" s="1"/>
  <c r="V190" i="35" s="1"/>
  <c r="W190" i="35" s="1"/>
  <c r="X190" i="35" s="1"/>
  <c r="Y190" i="35" s="1"/>
  <c r="Z190" i="35" s="1"/>
  <c r="AA190" i="35" s="1"/>
  <c r="AB190" i="35" s="1"/>
  <c r="AC190" i="35" s="1"/>
  <c r="AD190" i="35" s="1"/>
  <c r="AE190" i="35" s="1"/>
  <c r="AF190" i="35" s="1"/>
  <c r="B190" i="35" s="1"/>
  <c r="E190" i="35"/>
  <c r="F190" i="35" s="1"/>
  <c r="D190" i="35"/>
  <c r="AC189" i="35"/>
  <c r="AD189" i="35" s="1"/>
  <c r="AE189" i="35" s="1"/>
  <c r="AF189" i="35" s="1"/>
  <c r="B189" i="35" s="1"/>
  <c r="P189" i="35"/>
  <c r="Q189" i="35" s="1"/>
  <c r="R189" i="35" s="1"/>
  <c r="S189" i="35" s="1"/>
  <c r="T189" i="35" s="1"/>
  <c r="U189" i="35" s="1"/>
  <c r="V189" i="35" s="1"/>
  <c r="W189" i="35" s="1"/>
  <c r="X189" i="35" s="1"/>
  <c r="Y189" i="35" s="1"/>
  <c r="Z189" i="35" s="1"/>
  <c r="AA189" i="35" s="1"/>
  <c r="AB189" i="35" s="1"/>
  <c r="E189" i="35"/>
  <c r="F189" i="35" s="1"/>
  <c r="G189" i="35" s="1"/>
  <c r="H189" i="35" s="1"/>
  <c r="I189" i="35" s="1"/>
  <c r="J189" i="35" s="1"/>
  <c r="K189" i="35" s="1"/>
  <c r="L189" i="35" s="1"/>
  <c r="M189" i="35" s="1"/>
  <c r="N189" i="35" s="1"/>
  <c r="O189" i="35" s="1"/>
  <c r="D189" i="35"/>
  <c r="I188" i="35"/>
  <c r="J188" i="35" s="1"/>
  <c r="K188" i="35" s="1"/>
  <c r="L188" i="35" s="1"/>
  <c r="M188" i="35" s="1"/>
  <c r="N188" i="35" s="1"/>
  <c r="O188" i="35" s="1"/>
  <c r="P188" i="35" s="1"/>
  <c r="Q188" i="35" s="1"/>
  <c r="R188" i="35" s="1"/>
  <c r="S188" i="35" s="1"/>
  <c r="T188" i="35" s="1"/>
  <c r="U188" i="35" s="1"/>
  <c r="V188" i="35" s="1"/>
  <c r="W188" i="35" s="1"/>
  <c r="X188" i="35" s="1"/>
  <c r="Y188" i="35" s="1"/>
  <c r="Z188" i="35" s="1"/>
  <c r="AA188" i="35" s="1"/>
  <c r="AB188" i="35" s="1"/>
  <c r="AC188" i="35" s="1"/>
  <c r="AD188" i="35" s="1"/>
  <c r="AE188" i="35" s="1"/>
  <c r="AF188" i="35" s="1"/>
  <c r="B188" i="35" s="1"/>
  <c r="F188" i="35"/>
  <c r="G188" i="35" s="1"/>
  <c r="H188" i="35" s="1"/>
  <c r="D188" i="35"/>
  <c r="E188" i="35" s="1"/>
  <c r="Z187" i="35"/>
  <c r="AA187" i="35" s="1"/>
  <c r="AB187" i="35" s="1"/>
  <c r="AC187" i="35" s="1"/>
  <c r="AD187" i="35" s="1"/>
  <c r="AE187" i="35" s="1"/>
  <c r="AF187" i="35" s="1"/>
  <c r="B187" i="35" s="1"/>
  <c r="M187" i="35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D187" i="35"/>
  <c r="E187" i="35" s="1"/>
  <c r="F187" i="35" s="1"/>
  <c r="G187" i="35" s="1"/>
  <c r="H187" i="35" s="1"/>
  <c r="I187" i="35" s="1"/>
  <c r="J187" i="35" s="1"/>
  <c r="K187" i="35" s="1"/>
  <c r="L187" i="35" s="1"/>
  <c r="M186" i="35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B186" i="35" s="1"/>
  <c r="D186" i="35"/>
  <c r="E186" i="35" s="1"/>
  <c r="F186" i="35" s="1"/>
  <c r="G186" i="35" s="1"/>
  <c r="H186" i="35" s="1"/>
  <c r="I186" i="35" s="1"/>
  <c r="J186" i="35" s="1"/>
  <c r="K186" i="35" s="1"/>
  <c r="L186" i="35" s="1"/>
  <c r="P185" i="35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B185" i="35" s="1"/>
  <c r="G185" i="35"/>
  <c r="H185" i="35" s="1"/>
  <c r="I185" i="35" s="1"/>
  <c r="J185" i="35" s="1"/>
  <c r="K185" i="35" s="1"/>
  <c r="L185" i="35" s="1"/>
  <c r="M185" i="35" s="1"/>
  <c r="N185" i="35" s="1"/>
  <c r="O185" i="35" s="1"/>
  <c r="E185" i="35"/>
  <c r="F185" i="35" s="1"/>
  <c r="D185" i="35"/>
  <c r="E184" i="35"/>
  <c r="F184" i="35" s="1"/>
  <c r="G184" i="35" s="1"/>
  <c r="H184" i="35" s="1"/>
  <c r="I184" i="35" s="1"/>
  <c r="J184" i="35" s="1"/>
  <c r="K184" i="35" s="1"/>
  <c r="L184" i="35" s="1"/>
  <c r="M184" i="35" s="1"/>
  <c r="N184" i="35" s="1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B184" i="35" s="1"/>
  <c r="D184" i="35"/>
  <c r="D183" i="35"/>
  <c r="E183" i="35" s="1"/>
  <c r="F183" i="35" s="1"/>
  <c r="G183" i="35" s="1"/>
  <c r="H183" i="35" s="1"/>
  <c r="I183" i="35" s="1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B183" i="35" s="1"/>
  <c r="D182" i="35"/>
  <c r="E182" i="35" s="1"/>
  <c r="F182" i="35" s="1"/>
  <c r="G182" i="35" s="1"/>
  <c r="H182" i="35" s="1"/>
  <c r="I182" i="35" s="1"/>
  <c r="J182" i="35" s="1"/>
  <c r="K182" i="35" s="1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AB182" i="35" s="1"/>
  <c r="AC182" i="35" s="1"/>
  <c r="AD182" i="35" s="1"/>
  <c r="AE182" i="35" s="1"/>
  <c r="AF182" i="35" s="1"/>
  <c r="B182" i="35" s="1"/>
  <c r="E181" i="35"/>
  <c r="F181" i="35" s="1"/>
  <c r="G181" i="35" s="1"/>
  <c r="H181" i="35" s="1"/>
  <c r="I181" i="35" s="1"/>
  <c r="J181" i="35" s="1"/>
  <c r="K181" i="35" s="1"/>
  <c r="L181" i="35" s="1"/>
  <c r="M181" i="35" s="1"/>
  <c r="N181" i="35" s="1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B181" i="35" s="1"/>
  <c r="D181" i="35"/>
  <c r="M180" i="35"/>
  <c r="N180" i="35" s="1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B180" i="35" s="1"/>
  <c r="G180" i="35"/>
  <c r="H180" i="35" s="1"/>
  <c r="I180" i="35" s="1"/>
  <c r="J180" i="35" s="1"/>
  <c r="K180" i="35" s="1"/>
  <c r="L180" i="35" s="1"/>
  <c r="D180" i="35"/>
  <c r="E180" i="35" s="1"/>
  <c r="F180" i="35" s="1"/>
  <c r="F179" i="35"/>
  <c r="G179" i="35" s="1"/>
  <c r="H179" i="35" s="1"/>
  <c r="I179" i="35" s="1"/>
  <c r="J179" i="35" s="1"/>
  <c r="K179" i="35" s="1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AF179" i="35" s="1"/>
  <c r="B179" i="35" s="1"/>
  <c r="D179" i="35"/>
  <c r="E179" i="35" s="1"/>
  <c r="D177" i="35"/>
  <c r="E177" i="35" s="1"/>
  <c r="F177" i="35" s="1"/>
  <c r="G177" i="35" s="1"/>
  <c r="H177" i="35" s="1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B177" i="35" s="1"/>
  <c r="I176" i="35"/>
  <c r="J176" i="35" s="1"/>
  <c r="K176" i="35" s="1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B176" i="35" s="1"/>
  <c r="F176" i="35"/>
  <c r="G176" i="35" s="1"/>
  <c r="H176" i="35" s="1"/>
  <c r="D176" i="35"/>
  <c r="E176" i="35" s="1"/>
  <c r="G175" i="35"/>
  <c r="H175" i="35" s="1"/>
  <c r="I175" i="35" s="1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B175" i="35" s="1"/>
  <c r="D175" i="35"/>
  <c r="E175" i="35" s="1"/>
  <c r="F175" i="35" s="1"/>
  <c r="E174" i="35"/>
  <c r="F174" i="35" s="1"/>
  <c r="G174" i="35" s="1"/>
  <c r="H174" i="35" s="1"/>
  <c r="I174" i="35" s="1"/>
  <c r="J174" i="35" s="1"/>
  <c r="K174" i="35" s="1"/>
  <c r="L174" i="35" s="1"/>
  <c r="M174" i="35" s="1"/>
  <c r="N174" i="35" s="1"/>
  <c r="O174" i="35" s="1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B174" i="35" s="1"/>
  <c r="D174" i="35"/>
  <c r="L173" i="35"/>
  <c r="M173" i="35" s="1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X173" i="35" s="1"/>
  <c r="Y173" i="35" s="1"/>
  <c r="Z173" i="35" s="1"/>
  <c r="AA173" i="35" s="1"/>
  <c r="AB173" i="35" s="1"/>
  <c r="AC173" i="35" s="1"/>
  <c r="AD173" i="35" s="1"/>
  <c r="AE173" i="35" s="1"/>
  <c r="AF173" i="35" s="1"/>
  <c r="B173" i="35" s="1"/>
  <c r="K173" i="35"/>
  <c r="H173" i="35"/>
  <c r="I173" i="35" s="1"/>
  <c r="J173" i="35" s="1"/>
  <c r="D173" i="35"/>
  <c r="E173" i="35" s="1"/>
  <c r="F173" i="35" s="1"/>
  <c r="G173" i="35" s="1"/>
  <c r="F172" i="35"/>
  <c r="G172" i="35" s="1"/>
  <c r="H172" i="35" s="1"/>
  <c r="I172" i="35" s="1"/>
  <c r="J172" i="35" s="1"/>
  <c r="K172" i="35" s="1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B172" i="35" s="1"/>
  <c r="D172" i="35"/>
  <c r="E172" i="35" s="1"/>
  <c r="H171" i="35"/>
  <c r="I171" i="35" s="1"/>
  <c r="J171" i="35" s="1"/>
  <c r="K171" i="35" s="1"/>
  <c r="L171" i="35" s="1"/>
  <c r="M171" i="35" s="1"/>
  <c r="N171" i="35" s="1"/>
  <c r="O171" i="35" s="1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B171" i="35" s="1"/>
  <c r="G171" i="35"/>
  <c r="D171" i="35"/>
  <c r="E171" i="35" s="1"/>
  <c r="F171" i="35" s="1"/>
  <c r="S170" i="35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B170" i="35" s="1"/>
  <c r="E170" i="35"/>
  <c r="F170" i="35" s="1"/>
  <c r="G170" i="35" s="1"/>
  <c r="H170" i="35" s="1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D170" i="35"/>
  <c r="S168" i="35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B168" i="35" s="1"/>
  <c r="D168" i="35"/>
  <c r="E168" i="35" s="1"/>
  <c r="F168" i="35" s="1"/>
  <c r="G168" i="35" s="1"/>
  <c r="H168" i="35" s="1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D167" i="35"/>
  <c r="E167" i="35" s="1"/>
  <c r="F167" i="35" s="1"/>
  <c r="G167" i="35" s="1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B167" i="35" s="1"/>
  <c r="D166" i="35"/>
  <c r="E166" i="35" s="1"/>
  <c r="F166" i="35" s="1"/>
  <c r="G166" i="35" s="1"/>
  <c r="H166" i="35" s="1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B166" i="35" s="1"/>
  <c r="D165" i="35"/>
  <c r="E165" i="35" s="1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B165" i="35" s="1"/>
  <c r="F164" i="35"/>
  <c r="G164" i="35" s="1"/>
  <c r="H164" i="35" s="1"/>
  <c r="I164" i="35" s="1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B164" i="35" s="1"/>
  <c r="E164" i="35"/>
  <c r="D164" i="35"/>
  <c r="D163" i="35"/>
  <c r="E163" i="35" s="1"/>
  <c r="F163" i="35" s="1"/>
  <c r="G163" i="35" s="1"/>
  <c r="H163" i="35" s="1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B163" i="35" s="1"/>
  <c r="D162" i="35"/>
  <c r="E162" i="35" s="1"/>
  <c r="F162" i="35" s="1"/>
  <c r="G162" i="35" s="1"/>
  <c r="H162" i="35" s="1"/>
  <c r="I162" i="35" s="1"/>
  <c r="J162" i="35" s="1"/>
  <c r="K162" i="35" s="1"/>
  <c r="L162" i="35" s="1"/>
  <c r="M162" i="35" s="1"/>
  <c r="N162" i="35" s="1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B162" i="35" s="1"/>
  <c r="D161" i="35"/>
  <c r="E161" i="35" s="1"/>
  <c r="F161" i="35" s="1"/>
  <c r="G161" i="35" s="1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B161" i="35" s="1"/>
  <c r="AD160" i="35"/>
  <c r="AE160" i="35" s="1"/>
  <c r="AF160" i="35" s="1"/>
  <c r="B160" i="35" s="1"/>
  <c r="E160" i="35"/>
  <c r="F160" i="35" s="1"/>
  <c r="G160" i="35" s="1"/>
  <c r="H160" i="35" s="1"/>
  <c r="I160" i="35" s="1"/>
  <c r="J160" i="35" s="1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D160" i="35"/>
  <c r="N159" i="35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B159" i="35" s="1"/>
  <c r="D159" i="35"/>
  <c r="E159" i="35" s="1"/>
  <c r="F159" i="35" s="1"/>
  <c r="G159" i="35" s="1"/>
  <c r="H159" i="35" s="1"/>
  <c r="I159" i="35" s="1"/>
  <c r="J159" i="35" s="1"/>
  <c r="K159" i="35" s="1"/>
  <c r="L159" i="35" s="1"/>
  <c r="M159" i="35" s="1"/>
  <c r="D158" i="35"/>
  <c r="E158" i="35" s="1"/>
  <c r="F158" i="35" s="1"/>
  <c r="G158" i="35" s="1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B158" i="35" s="1"/>
  <c r="D157" i="35"/>
  <c r="E157" i="35" s="1"/>
  <c r="F157" i="35" s="1"/>
  <c r="G157" i="35" s="1"/>
  <c r="H157" i="35" s="1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B157" i="35" s="1"/>
  <c r="M156" i="35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B156" i="35" s="1"/>
  <c r="F156" i="35"/>
  <c r="G156" i="35" s="1"/>
  <c r="H156" i="35" s="1"/>
  <c r="I156" i="35" s="1"/>
  <c r="J156" i="35" s="1"/>
  <c r="K156" i="35" s="1"/>
  <c r="L156" i="35" s="1"/>
  <c r="E156" i="35"/>
  <c r="D156" i="35"/>
  <c r="D154" i="35"/>
  <c r="E154" i="35" s="1"/>
  <c r="F154" i="35" s="1"/>
  <c r="G154" i="35" s="1"/>
  <c r="H154" i="35" s="1"/>
  <c r="I154" i="35" s="1"/>
  <c r="J154" i="35" s="1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B154" i="35" s="1"/>
  <c r="D153" i="35"/>
  <c r="E153" i="35" s="1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B153" i="35" s="1"/>
  <c r="P152" i="35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B152" i="35" s="1"/>
  <c r="F152" i="35"/>
  <c r="G152" i="35" s="1"/>
  <c r="H152" i="35" s="1"/>
  <c r="I152" i="35" s="1"/>
  <c r="J152" i="35" s="1"/>
  <c r="K152" i="35" s="1"/>
  <c r="L152" i="35" s="1"/>
  <c r="M152" i="35" s="1"/>
  <c r="N152" i="35" s="1"/>
  <c r="O152" i="35" s="1"/>
  <c r="D152" i="35"/>
  <c r="E152" i="35" s="1"/>
  <c r="E151" i="35"/>
  <c r="F151" i="35" s="1"/>
  <c r="G151" i="35" s="1"/>
  <c r="H151" i="35" s="1"/>
  <c r="I151" i="35" s="1"/>
  <c r="J151" i="35" s="1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B151" i="35" s="1"/>
  <c r="D151" i="35"/>
  <c r="N149" i="35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B149" i="35" s="1"/>
  <c r="F149" i="35"/>
  <c r="G149" i="35" s="1"/>
  <c r="H149" i="35" s="1"/>
  <c r="I149" i="35" s="1"/>
  <c r="J149" i="35" s="1"/>
  <c r="K149" i="35" s="1"/>
  <c r="L149" i="35" s="1"/>
  <c r="M149" i="35" s="1"/>
  <c r="D149" i="35"/>
  <c r="E149" i="35" s="1"/>
  <c r="D148" i="35"/>
  <c r="E148" i="35" s="1"/>
  <c r="F148" i="35" s="1"/>
  <c r="G148" i="35" s="1"/>
  <c r="H148" i="35" s="1"/>
  <c r="I148" i="35" s="1"/>
  <c r="J148" i="35" s="1"/>
  <c r="K148" i="35" s="1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B148" i="35" s="1"/>
  <c r="L146" i="35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B146" i="35" s="1"/>
  <c r="D146" i="35"/>
  <c r="E146" i="35" s="1"/>
  <c r="F146" i="35" s="1"/>
  <c r="G146" i="35" s="1"/>
  <c r="H146" i="35" s="1"/>
  <c r="I146" i="35" s="1"/>
  <c r="J146" i="35" s="1"/>
  <c r="K146" i="35" s="1"/>
  <c r="V145" i="35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B145" i="35" s="1"/>
  <c r="F145" i="35"/>
  <c r="G145" i="35" s="1"/>
  <c r="H145" i="35" s="1"/>
  <c r="I145" i="35" s="1"/>
  <c r="J145" i="35" s="1"/>
  <c r="K145" i="35" s="1"/>
  <c r="L145" i="35" s="1"/>
  <c r="M145" i="35" s="1"/>
  <c r="N145" i="35" s="1"/>
  <c r="O145" i="35" s="1"/>
  <c r="P145" i="35" s="1"/>
  <c r="Q145" i="35" s="1"/>
  <c r="R145" i="35" s="1"/>
  <c r="S145" i="35" s="1"/>
  <c r="T145" i="35" s="1"/>
  <c r="U145" i="35" s="1"/>
  <c r="E145" i="35"/>
  <c r="D145" i="35"/>
  <c r="S144" i="35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B144" i="35" s="1"/>
  <c r="I144" i="35"/>
  <c r="J144" i="35" s="1"/>
  <c r="K144" i="35" s="1"/>
  <c r="L144" i="35" s="1"/>
  <c r="M144" i="35" s="1"/>
  <c r="N144" i="35" s="1"/>
  <c r="O144" i="35" s="1"/>
  <c r="P144" i="35" s="1"/>
  <c r="Q144" i="35" s="1"/>
  <c r="R144" i="35" s="1"/>
  <c r="D144" i="35"/>
  <c r="E144" i="35" s="1"/>
  <c r="F144" i="35" s="1"/>
  <c r="G144" i="35" s="1"/>
  <c r="H144" i="35" s="1"/>
  <c r="D143" i="35"/>
  <c r="E143" i="35" s="1"/>
  <c r="F143" i="35" s="1"/>
  <c r="G143" i="35" s="1"/>
  <c r="H143" i="35" s="1"/>
  <c r="I143" i="35" s="1"/>
  <c r="J143" i="35" s="1"/>
  <c r="K143" i="35" s="1"/>
  <c r="L143" i="35" s="1"/>
  <c r="M143" i="35" s="1"/>
  <c r="N143" i="35" s="1"/>
  <c r="O143" i="35" s="1"/>
  <c r="P143" i="35" s="1"/>
  <c r="Q143" i="35" s="1"/>
  <c r="R143" i="35" s="1"/>
  <c r="S143" i="35" s="1"/>
  <c r="T143" i="35" s="1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B143" i="35" s="1"/>
  <c r="F142" i="35"/>
  <c r="G142" i="35" s="1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B142" i="35" s="1"/>
  <c r="E142" i="35"/>
  <c r="D142" i="35"/>
  <c r="G141" i="35"/>
  <c r="H141" i="35" s="1"/>
  <c r="I141" i="35" s="1"/>
  <c r="J141" i="35" s="1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B141" i="35" s="1"/>
  <c r="F141" i="35"/>
  <c r="D141" i="35"/>
  <c r="E141" i="35" s="1"/>
  <c r="D140" i="35"/>
  <c r="E140" i="35" s="1"/>
  <c r="F140" i="35" s="1"/>
  <c r="G140" i="35" s="1"/>
  <c r="H140" i="35" s="1"/>
  <c r="I140" i="35" s="1"/>
  <c r="J140" i="35" s="1"/>
  <c r="K140" i="35" s="1"/>
  <c r="L140" i="35" s="1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B140" i="35" s="1"/>
  <c r="R138" i="35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B138" i="35" s="1"/>
  <c r="D138" i="35"/>
  <c r="E138" i="35" s="1"/>
  <c r="F138" i="35" s="1"/>
  <c r="G138" i="35" s="1"/>
  <c r="H138" i="35" s="1"/>
  <c r="I138" i="35" s="1"/>
  <c r="J138" i="35" s="1"/>
  <c r="K138" i="35" s="1"/>
  <c r="L138" i="35" s="1"/>
  <c r="M138" i="35" s="1"/>
  <c r="N138" i="35" s="1"/>
  <c r="O138" i="35" s="1"/>
  <c r="P138" i="35" s="1"/>
  <c r="Q138" i="35" s="1"/>
  <c r="E137" i="35"/>
  <c r="F137" i="35" s="1"/>
  <c r="G137" i="35" s="1"/>
  <c r="H137" i="35" s="1"/>
  <c r="I137" i="35" s="1"/>
  <c r="J137" i="35" s="1"/>
  <c r="K137" i="35" s="1"/>
  <c r="L137" i="35" s="1"/>
  <c r="M137" i="35" s="1"/>
  <c r="N137" i="35" s="1"/>
  <c r="O137" i="35" s="1"/>
  <c r="P137" i="35" s="1"/>
  <c r="Q137" i="35" s="1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B137" i="35" s="1"/>
  <c r="D137" i="35"/>
  <c r="S136" i="35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B136" i="35" s="1"/>
  <c r="D136" i="35"/>
  <c r="E136" i="35" s="1"/>
  <c r="F136" i="35" s="1"/>
  <c r="G136" i="35" s="1"/>
  <c r="H136" i="35" s="1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E135" i="35"/>
  <c r="F135" i="35" s="1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B135" i="35" s="1"/>
  <c r="D135" i="35"/>
  <c r="D134" i="35"/>
  <c r="E134" i="35" s="1"/>
  <c r="F134" i="35" s="1"/>
  <c r="G134" i="35" s="1"/>
  <c r="H134" i="35" s="1"/>
  <c r="I134" i="35" s="1"/>
  <c r="J134" i="35" s="1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B134" i="35" s="1"/>
  <c r="F133" i="35"/>
  <c r="G133" i="35" s="1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B133" i="35" s="1"/>
  <c r="E133" i="35"/>
  <c r="D133" i="35"/>
  <c r="G132" i="35"/>
  <c r="H132" i="35" s="1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B132" i="35" s="1"/>
  <c r="F132" i="35"/>
  <c r="D132" i="35"/>
  <c r="E132" i="35" s="1"/>
  <c r="L131" i="35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B131" i="35" s="1"/>
  <c r="D131" i="35"/>
  <c r="E131" i="35" s="1"/>
  <c r="F131" i="35" s="1"/>
  <c r="G131" i="35" s="1"/>
  <c r="H131" i="35" s="1"/>
  <c r="I131" i="35" s="1"/>
  <c r="J131" i="35" s="1"/>
  <c r="K131" i="35" s="1"/>
  <c r="H129" i="35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B129" i="35" s="1"/>
  <c r="G129" i="35"/>
  <c r="F129" i="35"/>
  <c r="D129" i="35"/>
  <c r="E129" i="35" s="1"/>
  <c r="F128" i="35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B128" i="35" s="1"/>
  <c r="E128" i="35"/>
  <c r="D128" i="35"/>
  <c r="O127" i="35"/>
  <c r="P127" i="35" s="1"/>
  <c r="Q127" i="35" s="1"/>
  <c r="R127" i="35" s="1"/>
  <c r="S127" i="35" s="1"/>
  <c r="T127" i="35" s="1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N127" i="35"/>
  <c r="D127" i="35"/>
  <c r="E127" i="35" s="1"/>
  <c r="F127" i="35" s="1"/>
  <c r="G127" i="35" s="1"/>
  <c r="H127" i="35" s="1"/>
  <c r="I127" i="35" s="1"/>
  <c r="J127" i="35" s="1"/>
  <c r="K127" i="35" s="1"/>
  <c r="L127" i="35" s="1"/>
  <c r="M127" i="35" s="1"/>
  <c r="B127" i="35"/>
  <c r="G126" i="35"/>
  <c r="H126" i="35" s="1"/>
  <c r="I126" i="35" s="1"/>
  <c r="J126" i="35" s="1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B126" i="35" s="1"/>
  <c r="F126" i="35"/>
  <c r="E126" i="35"/>
  <c r="D126" i="35"/>
  <c r="J125" i="35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B125" i="35" s="1"/>
  <c r="G125" i="35"/>
  <c r="H125" i="35" s="1"/>
  <c r="D125" i="35"/>
  <c r="E125" i="35" s="1"/>
  <c r="F125" i="35" s="1"/>
  <c r="K124" i="35"/>
  <c r="L124" i="35" s="1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B124" i="35" s="1"/>
  <c r="G124" i="35"/>
  <c r="H124" i="35" s="1"/>
  <c r="I124" i="35" s="1"/>
  <c r="J124" i="35" s="1"/>
  <c r="D124" i="35"/>
  <c r="E124" i="35" s="1"/>
  <c r="F124" i="35" s="1"/>
  <c r="M123" i="35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B123" i="35" s="1"/>
  <c r="D123" i="35"/>
  <c r="E123" i="35" s="1"/>
  <c r="F123" i="35" s="1"/>
  <c r="G123" i="35" s="1"/>
  <c r="H123" i="35" s="1"/>
  <c r="I123" i="35" s="1"/>
  <c r="J123" i="35" s="1"/>
  <c r="K123" i="35" s="1"/>
  <c r="L123" i="35" s="1"/>
  <c r="D122" i="35"/>
  <c r="E122" i="35" s="1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B122" i="35" s="1"/>
  <c r="E121" i="35"/>
  <c r="F121" i="35" s="1"/>
  <c r="G121" i="35" s="1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B121" i="35" s="1"/>
  <c r="D121" i="35"/>
  <c r="D120" i="35"/>
  <c r="E120" i="35" s="1"/>
  <c r="F120" i="35" s="1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B120" i="35" s="1"/>
  <c r="Z119" i="35"/>
  <c r="AA119" i="35" s="1"/>
  <c r="AB119" i="35" s="1"/>
  <c r="AC119" i="35" s="1"/>
  <c r="AD119" i="35" s="1"/>
  <c r="AE119" i="35" s="1"/>
  <c r="AF119" i="35" s="1"/>
  <c r="B119" i="35" s="1"/>
  <c r="J119" i="35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E119" i="35"/>
  <c r="F119" i="35" s="1"/>
  <c r="G119" i="35" s="1"/>
  <c r="H119" i="35" s="1"/>
  <c r="I119" i="35" s="1"/>
  <c r="D119" i="35"/>
  <c r="X118" i="35"/>
  <c r="Y118" i="35" s="1"/>
  <c r="Z118" i="35" s="1"/>
  <c r="AA118" i="35" s="1"/>
  <c r="AB118" i="35" s="1"/>
  <c r="AC118" i="35" s="1"/>
  <c r="AD118" i="35" s="1"/>
  <c r="AE118" i="35" s="1"/>
  <c r="AF118" i="35" s="1"/>
  <c r="B118" i="35" s="1"/>
  <c r="H118" i="35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D118" i="35"/>
  <c r="E118" i="35" s="1"/>
  <c r="F118" i="35" s="1"/>
  <c r="G118" i="35" s="1"/>
  <c r="H117" i="35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B117" i="35" s="1"/>
  <c r="E117" i="35"/>
  <c r="F117" i="35" s="1"/>
  <c r="G117" i="35" s="1"/>
  <c r="D117" i="35"/>
  <c r="G116" i="35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B116" i="35" s="1"/>
  <c r="D116" i="35"/>
  <c r="E116" i="35" s="1"/>
  <c r="F116" i="35" s="1"/>
  <c r="D115" i="35"/>
  <c r="E115" i="35" s="1"/>
  <c r="F115" i="35" s="1"/>
  <c r="G115" i="35" s="1"/>
  <c r="H115" i="35" s="1"/>
  <c r="I115" i="35" s="1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B115" i="35" s="1"/>
  <c r="L114" i="35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B114" i="35" s="1"/>
  <c r="K114" i="35"/>
  <c r="G114" i="35"/>
  <c r="H114" i="35" s="1"/>
  <c r="I114" i="35" s="1"/>
  <c r="F114" i="35"/>
  <c r="E114" i="35"/>
  <c r="D114" i="35"/>
  <c r="E113" i="35"/>
  <c r="F113" i="35" s="1"/>
  <c r="G113" i="35" s="1"/>
  <c r="H113" i="35" s="1"/>
  <c r="I113" i="35" s="1"/>
  <c r="J113" i="35" s="1"/>
  <c r="K113" i="35" s="1"/>
  <c r="L113" i="35" s="1"/>
  <c r="M113" i="35" s="1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B113" i="35" s="1"/>
  <c r="D113" i="35"/>
  <c r="E112" i="35"/>
  <c r="F112" i="35" s="1"/>
  <c r="G112" i="35" s="1"/>
  <c r="H112" i="35" s="1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B112" i="35" s="1"/>
  <c r="D112" i="35"/>
  <c r="M110" i="35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B110" i="35" s="1"/>
  <c r="D110" i="35"/>
  <c r="E110" i="35" s="1"/>
  <c r="F110" i="35" s="1"/>
  <c r="G110" i="35" s="1"/>
  <c r="H110" i="35" s="1"/>
  <c r="I110" i="35" s="1"/>
  <c r="J110" i="35" s="1"/>
  <c r="K110" i="35" s="1"/>
  <c r="L110" i="35" s="1"/>
  <c r="G109" i="35"/>
  <c r="H109" i="35" s="1"/>
  <c r="I109" i="35" s="1"/>
  <c r="J109" i="35" s="1"/>
  <c r="K109" i="35" s="1"/>
  <c r="L109" i="35" s="1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B109" i="35" s="1"/>
  <c r="E109" i="35"/>
  <c r="F109" i="35" s="1"/>
  <c r="D109" i="35"/>
  <c r="U107" i="35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B107" i="35" s="1"/>
  <c r="M107" i="35"/>
  <c r="N107" i="35" s="1"/>
  <c r="O107" i="35" s="1"/>
  <c r="P107" i="35" s="1"/>
  <c r="Q107" i="35" s="1"/>
  <c r="R107" i="35" s="1"/>
  <c r="S107" i="35" s="1"/>
  <c r="T107" i="35" s="1"/>
  <c r="E107" i="35"/>
  <c r="F107" i="35" s="1"/>
  <c r="G107" i="35" s="1"/>
  <c r="H107" i="35" s="1"/>
  <c r="I107" i="35" s="1"/>
  <c r="J107" i="35" s="1"/>
  <c r="K107" i="35" s="1"/>
  <c r="L107" i="35" s="1"/>
  <c r="D107" i="35"/>
  <c r="F106" i="35"/>
  <c r="G106" i="35" s="1"/>
  <c r="H106" i="35" s="1"/>
  <c r="I106" i="35" s="1"/>
  <c r="J106" i="35" s="1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B106" i="35" s="1"/>
  <c r="E106" i="35"/>
  <c r="D106" i="35"/>
  <c r="Q105" i="35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B105" i="35" s="1"/>
  <c r="I105" i="35"/>
  <c r="J105" i="35" s="1"/>
  <c r="K105" i="35" s="1"/>
  <c r="L105" i="35" s="1"/>
  <c r="M105" i="35" s="1"/>
  <c r="N105" i="35" s="1"/>
  <c r="O105" i="35" s="1"/>
  <c r="P105" i="35" s="1"/>
  <c r="D105" i="35"/>
  <c r="E105" i="35" s="1"/>
  <c r="F105" i="35" s="1"/>
  <c r="G105" i="35" s="1"/>
  <c r="H105" i="35" s="1"/>
  <c r="D104" i="35"/>
  <c r="E104" i="35" s="1"/>
  <c r="F104" i="35" s="1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B104" i="35" s="1"/>
  <c r="E103" i="35"/>
  <c r="D103" i="35"/>
  <c r="D102" i="35"/>
  <c r="AH100" i="35"/>
  <c r="AI100" i="35" s="1"/>
  <c r="AH99" i="35"/>
  <c r="AI99" i="35" s="1"/>
  <c r="AH98" i="35"/>
  <c r="AI98" i="35" s="1"/>
  <c r="AH97" i="35"/>
  <c r="AI97" i="35" s="1"/>
  <c r="AH96" i="35"/>
  <c r="AI96" i="35" s="1"/>
  <c r="AH95" i="35"/>
  <c r="AI95" i="35" s="1"/>
  <c r="AH94" i="35"/>
  <c r="AI94" i="35" s="1"/>
  <c r="D93" i="35"/>
  <c r="C93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2" i="35"/>
  <c r="AH82" i="35"/>
  <c r="AG82" i="35"/>
  <c r="AI81" i="35"/>
  <c r="AH81" i="35"/>
  <c r="AI80" i="35"/>
  <c r="AH80" i="35"/>
  <c r="AI79" i="35"/>
  <c r="AH79" i="35"/>
  <c r="AI78" i="35"/>
  <c r="AH78" i="35"/>
  <c r="AI77" i="35"/>
  <c r="AH77" i="35"/>
  <c r="AI76" i="35"/>
  <c r="AH76" i="35"/>
  <c r="AI74" i="35"/>
  <c r="AH74" i="35"/>
  <c r="AI73" i="35"/>
  <c r="AH73" i="35"/>
  <c r="AI72" i="35"/>
  <c r="AH72" i="35"/>
  <c r="AG72" i="35"/>
  <c r="AI71" i="35"/>
  <c r="AH71" i="35"/>
  <c r="AI70" i="35"/>
  <c r="AH70" i="35"/>
  <c r="AI69" i="35"/>
  <c r="AH69" i="35"/>
  <c r="AG68" i="35"/>
  <c r="AF68" i="35"/>
  <c r="AE68" i="35"/>
  <c r="AD5" i="35" s="1"/>
  <c r="AD68" i="35"/>
  <c r="AC5" i="35" s="1"/>
  <c r="AC68" i="35"/>
  <c r="AB68" i="35"/>
  <c r="AA5" i="35" s="1"/>
  <c r="AA68" i="35"/>
  <c r="Z5" i="35" s="1"/>
  <c r="Z68" i="35"/>
  <c r="Y5" i="35" s="1"/>
  <c r="Y68" i="35"/>
  <c r="X68" i="35"/>
  <c r="W68" i="35"/>
  <c r="V5" i="35" s="1"/>
  <c r="V68" i="35"/>
  <c r="U68" i="35"/>
  <c r="T5" i="35" s="1"/>
  <c r="T68" i="35"/>
  <c r="S5" i="35" s="1"/>
  <c r="S68" i="35"/>
  <c r="R5" i="35" s="1"/>
  <c r="R68" i="35"/>
  <c r="Q5" i="35" s="1"/>
  <c r="Q68" i="35"/>
  <c r="P5" i="35" s="1"/>
  <c r="P68" i="35"/>
  <c r="O5" i="35" s="1"/>
  <c r="O68" i="35"/>
  <c r="N5" i="35" s="1"/>
  <c r="N68" i="35"/>
  <c r="M68" i="35"/>
  <c r="L5" i="35" s="1"/>
  <c r="L68" i="35"/>
  <c r="K5" i="35" s="1"/>
  <c r="K68" i="35"/>
  <c r="J5" i="35" s="1"/>
  <c r="J68" i="35"/>
  <c r="I68" i="35"/>
  <c r="H68" i="35"/>
  <c r="G68" i="35"/>
  <c r="F5" i="35" s="1"/>
  <c r="F68" i="35"/>
  <c r="F75" i="35" s="1"/>
  <c r="F7" i="35" s="1"/>
  <c r="E68" i="35"/>
  <c r="D68" i="35"/>
  <c r="C5" i="35" s="1"/>
  <c r="C68" i="35"/>
  <c r="B5" i="35" s="1"/>
  <c r="AI67" i="35"/>
  <c r="AH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G56" i="35"/>
  <c r="AF56" i="35"/>
  <c r="AE56" i="35"/>
  <c r="AD56" i="35"/>
  <c r="AC56" i="35"/>
  <c r="AB56" i="35"/>
  <c r="AA56" i="35"/>
  <c r="Z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AI55" i="35"/>
  <c r="AH55" i="35"/>
  <c r="AI54" i="35"/>
  <c r="AH54" i="35"/>
  <c r="AI53" i="35"/>
  <c r="AH53" i="35"/>
  <c r="AF52" i="35"/>
  <c r="AE52" i="35"/>
  <c r="AD52" i="35"/>
  <c r="AC52" i="35"/>
  <c r="AB52" i="35"/>
  <c r="AA52" i="35"/>
  <c r="Z52" i="35"/>
  <c r="Y52" i="35"/>
  <c r="X52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AI51" i="35"/>
  <c r="AH51" i="35"/>
  <c r="AG51" i="35"/>
  <c r="AG52" i="35" s="1"/>
  <c r="AG3" i="35" s="1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G38" i="35"/>
  <c r="AG2" i="35" s="1"/>
  <c r="AG6" i="35" s="1"/>
  <c r="AF38" i="35"/>
  <c r="AE38" i="35"/>
  <c r="AD38" i="35"/>
  <c r="AC38" i="35"/>
  <c r="AB38" i="35"/>
  <c r="AA38" i="35"/>
  <c r="Z38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E38" i="35"/>
  <c r="D38" i="35"/>
  <c r="C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F5" i="35"/>
  <c r="AE5" i="35"/>
  <c r="AB5" i="35"/>
  <c r="X5" i="35"/>
  <c r="W5" i="35"/>
  <c r="U5" i="35"/>
  <c r="M5" i="35"/>
  <c r="I5" i="35"/>
  <c r="H5" i="35"/>
  <c r="G5" i="35"/>
  <c r="D5" i="35"/>
  <c r="AG4" i="35"/>
  <c r="K4" i="35"/>
  <c r="B4" i="35"/>
  <c r="AF37" i="33"/>
  <c r="AE95" i="33"/>
  <c r="AE37" i="33"/>
  <c r="AD37" i="33"/>
  <c r="AC37" i="33"/>
  <c r="AB37" i="33"/>
  <c r="AA37" i="33"/>
  <c r="Z95" i="33"/>
  <c r="Z37" i="33"/>
  <c r="Y95" i="33"/>
  <c r="Y37" i="33"/>
  <c r="X37" i="33"/>
  <c r="W95" i="33"/>
  <c r="W37" i="33"/>
  <c r="V37" i="33"/>
  <c r="U37" i="33"/>
  <c r="T37" i="33"/>
  <c r="S37" i="33"/>
  <c r="O37" i="33"/>
  <c r="N37" i="33"/>
  <c r="M37" i="33"/>
  <c r="L37" i="33"/>
  <c r="K95" i="33"/>
  <c r="K37" i="33"/>
  <c r="J37" i="33"/>
  <c r="I37" i="33"/>
  <c r="H37" i="33"/>
  <c r="G37" i="33"/>
  <c r="AE37" i="31"/>
  <c r="AD37" i="31"/>
  <c r="AC37" i="31"/>
  <c r="D37" i="33"/>
  <c r="C37" i="33"/>
  <c r="B37" i="33"/>
  <c r="B93" i="33"/>
  <c r="B68" i="33"/>
  <c r="AF5" i="33" s="1"/>
  <c r="B56" i="33"/>
  <c r="B52" i="33"/>
  <c r="B38" i="33"/>
  <c r="AF239" i="33"/>
  <c r="AE239" i="33"/>
  <c r="AD239" i="33"/>
  <c r="AC239" i="33"/>
  <c r="AB239" i="33"/>
  <c r="AA239" i="33"/>
  <c r="Z239" i="33"/>
  <c r="Y239" i="33"/>
  <c r="X239" i="33"/>
  <c r="W239" i="33"/>
  <c r="V239" i="33"/>
  <c r="U239" i="33"/>
  <c r="T239" i="33"/>
  <c r="S239" i="33"/>
  <c r="R239" i="33"/>
  <c r="Q239" i="33"/>
  <c r="P239" i="33"/>
  <c r="O239" i="33"/>
  <c r="N239" i="33"/>
  <c r="M239" i="33"/>
  <c r="L239" i="33"/>
  <c r="K239" i="33"/>
  <c r="J239" i="33"/>
  <c r="I239" i="33"/>
  <c r="H239" i="33"/>
  <c r="G239" i="33"/>
  <c r="F239" i="33"/>
  <c r="E239" i="33"/>
  <c r="D239" i="33"/>
  <c r="C239" i="33"/>
  <c r="B239" i="33"/>
  <c r="A239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C235" i="33"/>
  <c r="B235" i="33"/>
  <c r="S210" i="33"/>
  <c r="AG200" i="33"/>
  <c r="C200" i="33"/>
  <c r="F199" i="33"/>
  <c r="E235" i="33" s="1"/>
  <c r="E199" i="33"/>
  <c r="D235" i="33" s="1"/>
  <c r="D199" i="33"/>
  <c r="D198" i="33"/>
  <c r="E198" i="33" s="1"/>
  <c r="F198" i="33" s="1"/>
  <c r="G198" i="33" s="1"/>
  <c r="H198" i="33" s="1"/>
  <c r="I198" i="33" s="1"/>
  <c r="J198" i="33" s="1"/>
  <c r="K198" i="33" s="1"/>
  <c r="L198" i="33" s="1"/>
  <c r="M198" i="33" s="1"/>
  <c r="N198" i="33" s="1"/>
  <c r="O198" i="33" s="1"/>
  <c r="P198" i="33" s="1"/>
  <c r="Q198" i="33" s="1"/>
  <c r="R198" i="33" s="1"/>
  <c r="S198" i="33" s="1"/>
  <c r="T198" i="33" s="1"/>
  <c r="U198" i="33" s="1"/>
  <c r="V198" i="33" s="1"/>
  <c r="W198" i="33" s="1"/>
  <c r="X198" i="33" s="1"/>
  <c r="Y198" i="33" s="1"/>
  <c r="Z198" i="33" s="1"/>
  <c r="AA198" i="33" s="1"/>
  <c r="AB198" i="33" s="1"/>
  <c r="AC198" i="33" s="1"/>
  <c r="AD198" i="33" s="1"/>
  <c r="AE198" i="33" s="1"/>
  <c r="AF198" i="33" s="1"/>
  <c r="B198" i="33" s="1"/>
  <c r="H197" i="33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G197" i="33"/>
  <c r="D197" i="33"/>
  <c r="E197" i="33" s="1"/>
  <c r="F197" i="33" s="1"/>
  <c r="V196" i="33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F196" i="33"/>
  <c r="G196" i="33" s="1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E196" i="33"/>
  <c r="D196" i="33"/>
  <c r="E195" i="33"/>
  <c r="F195" i="33" s="1"/>
  <c r="G195" i="33" s="1"/>
  <c r="H195" i="33" s="1"/>
  <c r="I195" i="33" s="1"/>
  <c r="J195" i="33" s="1"/>
  <c r="K195" i="33" s="1"/>
  <c r="L195" i="33" s="1"/>
  <c r="M195" i="33" s="1"/>
  <c r="N195" i="33" s="1"/>
  <c r="O195" i="33" s="1"/>
  <c r="P195" i="33" s="1"/>
  <c r="Q195" i="33" s="1"/>
  <c r="R195" i="33" s="1"/>
  <c r="S195" i="33" s="1"/>
  <c r="T195" i="33" s="1"/>
  <c r="U195" i="33" s="1"/>
  <c r="V195" i="33" s="1"/>
  <c r="W195" i="33" s="1"/>
  <c r="X195" i="33" s="1"/>
  <c r="Y195" i="33" s="1"/>
  <c r="Z195" i="33" s="1"/>
  <c r="AA195" i="33" s="1"/>
  <c r="AB195" i="33" s="1"/>
  <c r="AC195" i="33" s="1"/>
  <c r="AD195" i="33" s="1"/>
  <c r="AE195" i="33" s="1"/>
  <c r="AF195" i="33" s="1"/>
  <c r="B195" i="33" s="1"/>
  <c r="D195" i="33"/>
  <c r="D200" i="33" s="1"/>
  <c r="D194" i="33"/>
  <c r="E194" i="33" s="1"/>
  <c r="AG192" i="33"/>
  <c r="C192" i="33"/>
  <c r="G191" i="33"/>
  <c r="H191" i="33" s="1"/>
  <c r="I191" i="33" s="1"/>
  <c r="J191" i="33" s="1"/>
  <c r="K191" i="33" s="1"/>
  <c r="L191" i="33" s="1"/>
  <c r="M191" i="33" s="1"/>
  <c r="N191" i="33" s="1"/>
  <c r="O191" i="33" s="1"/>
  <c r="P191" i="33" s="1"/>
  <c r="Q191" i="33" s="1"/>
  <c r="R191" i="33" s="1"/>
  <c r="S191" i="33" s="1"/>
  <c r="T191" i="33" s="1"/>
  <c r="U191" i="33" s="1"/>
  <c r="V191" i="33" s="1"/>
  <c r="W191" i="33" s="1"/>
  <c r="X191" i="33" s="1"/>
  <c r="Y191" i="33" s="1"/>
  <c r="Z191" i="33" s="1"/>
  <c r="AA191" i="33" s="1"/>
  <c r="AB191" i="33" s="1"/>
  <c r="AC191" i="33" s="1"/>
  <c r="AD191" i="33" s="1"/>
  <c r="AE191" i="33" s="1"/>
  <c r="AF191" i="33" s="1"/>
  <c r="B191" i="33" s="1"/>
  <c r="D191" i="33"/>
  <c r="E191" i="33" s="1"/>
  <c r="F191" i="33" s="1"/>
  <c r="E190" i="33"/>
  <c r="F190" i="33" s="1"/>
  <c r="G190" i="33" s="1"/>
  <c r="H190" i="33" s="1"/>
  <c r="I190" i="33" s="1"/>
  <c r="J190" i="33" s="1"/>
  <c r="K190" i="33" s="1"/>
  <c r="L190" i="33" s="1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B190" i="33" s="1"/>
  <c r="D190" i="33"/>
  <c r="AC189" i="33"/>
  <c r="AD189" i="33" s="1"/>
  <c r="AE189" i="33" s="1"/>
  <c r="AF189" i="33" s="1"/>
  <c r="B189" i="33" s="1"/>
  <c r="G189" i="33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U189" i="33" s="1"/>
  <c r="V189" i="33" s="1"/>
  <c r="W189" i="33" s="1"/>
  <c r="X189" i="33" s="1"/>
  <c r="Y189" i="33" s="1"/>
  <c r="Z189" i="33" s="1"/>
  <c r="AA189" i="33" s="1"/>
  <c r="AB189" i="33" s="1"/>
  <c r="E189" i="33"/>
  <c r="F189" i="33" s="1"/>
  <c r="D189" i="33"/>
  <c r="Q188" i="33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E188" i="33"/>
  <c r="F188" i="33" s="1"/>
  <c r="G188" i="33" s="1"/>
  <c r="H188" i="33" s="1"/>
  <c r="I188" i="33" s="1"/>
  <c r="J188" i="33" s="1"/>
  <c r="K188" i="33" s="1"/>
  <c r="L188" i="33" s="1"/>
  <c r="M188" i="33" s="1"/>
  <c r="N188" i="33" s="1"/>
  <c r="O188" i="33" s="1"/>
  <c r="P188" i="33" s="1"/>
  <c r="D188" i="33"/>
  <c r="D187" i="33"/>
  <c r="E187" i="33" s="1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B187" i="33" s="1"/>
  <c r="N186" i="33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E186" i="33"/>
  <c r="F186" i="33" s="1"/>
  <c r="G186" i="33" s="1"/>
  <c r="H186" i="33" s="1"/>
  <c r="I186" i="33" s="1"/>
  <c r="J186" i="33" s="1"/>
  <c r="K186" i="33" s="1"/>
  <c r="L186" i="33" s="1"/>
  <c r="M186" i="33" s="1"/>
  <c r="D186" i="33"/>
  <c r="AC185" i="33"/>
  <c r="AD185" i="33" s="1"/>
  <c r="AE185" i="33" s="1"/>
  <c r="AF185" i="33" s="1"/>
  <c r="B185" i="33" s="1"/>
  <c r="G185" i="33"/>
  <c r="H185" i="33" s="1"/>
  <c r="I185" i="33" s="1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D185" i="33"/>
  <c r="E185" i="33" s="1"/>
  <c r="F185" i="33" s="1"/>
  <c r="E184" i="33"/>
  <c r="F184" i="33" s="1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B184" i="33" s="1"/>
  <c r="D184" i="33"/>
  <c r="H183" i="33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D183" i="33"/>
  <c r="E183" i="33" s="1"/>
  <c r="F183" i="33" s="1"/>
  <c r="G183" i="33" s="1"/>
  <c r="P182" i="33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B182" i="33" s="1"/>
  <c r="F182" i="33"/>
  <c r="G182" i="33" s="1"/>
  <c r="H182" i="33" s="1"/>
  <c r="I182" i="33" s="1"/>
  <c r="J182" i="33" s="1"/>
  <c r="K182" i="33" s="1"/>
  <c r="L182" i="33" s="1"/>
  <c r="M182" i="33" s="1"/>
  <c r="N182" i="33" s="1"/>
  <c r="O182" i="33" s="1"/>
  <c r="E182" i="33"/>
  <c r="D182" i="33"/>
  <c r="AB181" i="33"/>
  <c r="AC181" i="33" s="1"/>
  <c r="AD181" i="33" s="1"/>
  <c r="AE181" i="33" s="1"/>
  <c r="AF181" i="33" s="1"/>
  <c r="B181" i="33" s="1"/>
  <c r="F181" i="33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E181" i="33"/>
  <c r="D181" i="33"/>
  <c r="D180" i="33"/>
  <c r="E180" i="33" s="1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N179" i="33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B179" i="33" s="1"/>
  <c r="F179" i="33"/>
  <c r="G179" i="33" s="1"/>
  <c r="H179" i="33" s="1"/>
  <c r="I179" i="33" s="1"/>
  <c r="J179" i="33" s="1"/>
  <c r="K179" i="33" s="1"/>
  <c r="L179" i="33" s="1"/>
  <c r="M179" i="33" s="1"/>
  <c r="E179" i="33"/>
  <c r="D179" i="33"/>
  <c r="L177" i="33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B177" i="33" s="1"/>
  <c r="G177" i="33"/>
  <c r="H177" i="33" s="1"/>
  <c r="I177" i="33" s="1"/>
  <c r="J177" i="33" s="1"/>
  <c r="K177" i="33" s="1"/>
  <c r="E177" i="33"/>
  <c r="F177" i="33" s="1"/>
  <c r="D177" i="33"/>
  <c r="U176" i="33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J176" i="33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E176" i="33"/>
  <c r="F176" i="33" s="1"/>
  <c r="G176" i="33" s="1"/>
  <c r="H176" i="33" s="1"/>
  <c r="I176" i="33" s="1"/>
  <c r="D176" i="33"/>
  <c r="T175" i="33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I175" i="33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D175" i="33"/>
  <c r="E175" i="33" s="1"/>
  <c r="F175" i="33" s="1"/>
  <c r="G175" i="33" s="1"/>
  <c r="H175" i="33" s="1"/>
  <c r="W174" i="33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G174" i="33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F174" i="33"/>
  <c r="E174" i="33"/>
  <c r="D174" i="33"/>
  <c r="I173" i="33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B173" i="33" s="1"/>
  <c r="D173" i="33"/>
  <c r="E173" i="33" s="1"/>
  <c r="F173" i="33" s="1"/>
  <c r="G173" i="33" s="1"/>
  <c r="H173" i="33" s="1"/>
  <c r="G172" i="33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B172" i="33" s="1"/>
  <c r="F172" i="33"/>
  <c r="E172" i="33"/>
  <c r="D172" i="33"/>
  <c r="F171" i="33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B171" i="33" s="1"/>
  <c r="E171" i="33"/>
  <c r="D171" i="33"/>
  <c r="I170" i="33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B170" i="33" s="1"/>
  <c r="D170" i="33"/>
  <c r="E170" i="33" s="1"/>
  <c r="F170" i="33" s="1"/>
  <c r="G170" i="33" s="1"/>
  <c r="H170" i="33" s="1"/>
  <c r="F168" i="33"/>
  <c r="G168" i="33" s="1"/>
  <c r="H168" i="33" s="1"/>
  <c r="I168" i="33" s="1"/>
  <c r="J168" i="33" s="1"/>
  <c r="K168" i="33" s="1"/>
  <c r="L168" i="33" s="1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B168" i="33" s="1"/>
  <c r="E168" i="33"/>
  <c r="D168" i="33"/>
  <c r="F167" i="33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D167" i="33"/>
  <c r="E167" i="33" s="1"/>
  <c r="D166" i="33"/>
  <c r="E166" i="33" s="1"/>
  <c r="F166" i="33" s="1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B166" i="33" s="1"/>
  <c r="I165" i="33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B165" i="33" s="1"/>
  <c r="H165" i="33"/>
  <c r="D165" i="33"/>
  <c r="E165" i="33" s="1"/>
  <c r="F165" i="33" s="1"/>
  <c r="G165" i="33" s="1"/>
  <c r="G164" i="33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F164" i="33"/>
  <c r="E164" i="33"/>
  <c r="D164" i="33"/>
  <c r="O163" i="33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B163" i="33" s="1"/>
  <c r="D163" i="33"/>
  <c r="E163" i="33" s="1"/>
  <c r="F163" i="33" s="1"/>
  <c r="G163" i="33" s="1"/>
  <c r="H163" i="33" s="1"/>
  <c r="I163" i="33" s="1"/>
  <c r="J163" i="33" s="1"/>
  <c r="K163" i="33" s="1"/>
  <c r="L163" i="33" s="1"/>
  <c r="M163" i="33" s="1"/>
  <c r="N163" i="33" s="1"/>
  <c r="L162" i="33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B162" i="33" s="1"/>
  <c r="F162" i="33"/>
  <c r="G162" i="33" s="1"/>
  <c r="H162" i="33" s="1"/>
  <c r="I162" i="33" s="1"/>
  <c r="J162" i="33" s="1"/>
  <c r="K162" i="33" s="1"/>
  <c r="E162" i="33"/>
  <c r="D162" i="33"/>
  <c r="D161" i="33"/>
  <c r="E161" i="33" s="1"/>
  <c r="F161" i="33" s="1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B161" i="33" s="1"/>
  <c r="H160" i="33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F160" i="33"/>
  <c r="G160" i="33" s="1"/>
  <c r="D160" i="33"/>
  <c r="E160" i="33" s="1"/>
  <c r="E159" i="33"/>
  <c r="F159" i="33" s="1"/>
  <c r="G159" i="33" s="1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D159" i="33"/>
  <c r="R158" i="33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B158" i="33" s="1"/>
  <c r="D158" i="33"/>
  <c r="E158" i="33" s="1"/>
  <c r="F158" i="33" s="1"/>
  <c r="G158" i="33" s="1"/>
  <c r="H158" i="33" s="1"/>
  <c r="I158" i="33" s="1"/>
  <c r="J158" i="33" s="1"/>
  <c r="K158" i="33" s="1"/>
  <c r="L158" i="33" s="1"/>
  <c r="M158" i="33" s="1"/>
  <c r="N158" i="33" s="1"/>
  <c r="O158" i="33" s="1"/>
  <c r="P158" i="33" s="1"/>
  <c r="Q158" i="33" s="1"/>
  <c r="Z157" i="33"/>
  <c r="AA157" i="33" s="1"/>
  <c r="AB157" i="33" s="1"/>
  <c r="AC157" i="33" s="1"/>
  <c r="AD157" i="33" s="1"/>
  <c r="AE157" i="33" s="1"/>
  <c r="AF157" i="33" s="1"/>
  <c r="B157" i="33" s="1"/>
  <c r="F157" i="33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D157" i="33"/>
  <c r="E157" i="33" s="1"/>
  <c r="D156" i="33"/>
  <c r="E156" i="33" s="1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N154" i="33"/>
  <c r="O154" i="33" s="1"/>
  <c r="P154" i="33" s="1"/>
  <c r="Q154" i="33" s="1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B154" i="33" s="1"/>
  <c r="E154" i="33"/>
  <c r="F154" i="33" s="1"/>
  <c r="G154" i="33" s="1"/>
  <c r="H154" i="33" s="1"/>
  <c r="I154" i="33" s="1"/>
  <c r="J154" i="33" s="1"/>
  <c r="K154" i="33" s="1"/>
  <c r="L154" i="33" s="1"/>
  <c r="M154" i="33" s="1"/>
  <c r="D154" i="33"/>
  <c r="P153" i="33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B153" i="33" s="1"/>
  <c r="D153" i="33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D152" i="33"/>
  <c r="E152" i="33" s="1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D151" i="33"/>
  <c r="E151" i="33" s="1"/>
  <c r="F151" i="33" s="1"/>
  <c r="G151" i="33" s="1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F149" i="33"/>
  <c r="G149" i="33" s="1"/>
  <c r="H149" i="33" s="1"/>
  <c r="I149" i="33" s="1"/>
  <c r="J149" i="33" s="1"/>
  <c r="K149" i="33" s="1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B149" i="33" s="1"/>
  <c r="E149" i="33"/>
  <c r="D149" i="33"/>
  <c r="H148" i="33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B148" i="33" s="1"/>
  <c r="D148" i="33"/>
  <c r="E148" i="33" s="1"/>
  <c r="F148" i="33" s="1"/>
  <c r="G148" i="33" s="1"/>
  <c r="L146" i="33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B146" i="33" s="1"/>
  <c r="D146" i="33"/>
  <c r="E146" i="33" s="1"/>
  <c r="F146" i="33" s="1"/>
  <c r="G146" i="33" s="1"/>
  <c r="H146" i="33" s="1"/>
  <c r="I146" i="33" s="1"/>
  <c r="J146" i="33" s="1"/>
  <c r="K146" i="33" s="1"/>
  <c r="D145" i="33"/>
  <c r="E145" i="33" s="1"/>
  <c r="F145" i="33" s="1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B145" i="33" s="1"/>
  <c r="H144" i="33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E144" i="33"/>
  <c r="F144" i="33" s="1"/>
  <c r="G144" i="33" s="1"/>
  <c r="D144" i="33"/>
  <c r="N143" i="33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B143" i="33" s="1"/>
  <c r="F143" i="33"/>
  <c r="G143" i="33" s="1"/>
  <c r="H143" i="33" s="1"/>
  <c r="I143" i="33" s="1"/>
  <c r="J143" i="33" s="1"/>
  <c r="K143" i="33" s="1"/>
  <c r="L143" i="33" s="1"/>
  <c r="M143" i="33" s="1"/>
  <c r="D143" i="33"/>
  <c r="E143" i="33" s="1"/>
  <c r="D142" i="33"/>
  <c r="E142" i="33" s="1"/>
  <c r="F142" i="33" s="1"/>
  <c r="G142" i="33" s="1"/>
  <c r="H142" i="33" s="1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O141" i="33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D141" i="33"/>
  <c r="E141" i="33" s="1"/>
  <c r="F141" i="33" s="1"/>
  <c r="G141" i="33" s="1"/>
  <c r="H141" i="33" s="1"/>
  <c r="I141" i="33" s="1"/>
  <c r="J141" i="33" s="1"/>
  <c r="K141" i="33" s="1"/>
  <c r="L141" i="33" s="1"/>
  <c r="M141" i="33" s="1"/>
  <c r="N141" i="33" s="1"/>
  <c r="E140" i="33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B140" i="33" s="1"/>
  <c r="D140" i="33"/>
  <c r="G138" i="33"/>
  <c r="H138" i="33" s="1"/>
  <c r="I138" i="33" s="1"/>
  <c r="J138" i="33" s="1"/>
  <c r="K138" i="33" s="1"/>
  <c r="L138" i="33" s="1"/>
  <c r="M138" i="33" s="1"/>
  <c r="N138" i="33" s="1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B138" i="33" s="1"/>
  <c r="E138" i="33"/>
  <c r="F138" i="33" s="1"/>
  <c r="D138" i="33"/>
  <c r="D137" i="33"/>
  <c r="E137" i="33" s="1"/>
  <c r="F137" i="33" s="1"/>
  <c r="G137" i="33" s="1"/>
  <c r="H137" i="33" s="1"/>
  <c r="I137" i="33" s="1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D136" i="33"/>
  <c r="E136" i="33" s="1"/>
  <c r="F136" i="33" s="1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F135" i="33"/>
  <c r="G135" i="33" s="1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B135" i="33" s="1"/>
  <c r="E135" i="33"/>
  <c r="D135" i="33"/>
  <c r="D134" i="33"/>
  <c r="E134" i="33" s="1"/>
  <c r="F134" i="33" s="1"/>
  <c r="G134" i="33" s="1"/>
  <c r="H134" i="33" s="1"/>
  <c r="I134" i="33" s="1"/>
  <c r="J134" i="33" s="1"/>
  <c r="K134" i="33" s="1"/>
  <c r="L134" i="33" s="1"/>
  <c r="M134" i="33" s="1"/>
  <c r="N134" i="33" s="1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D133" i="33"/>
  <c r="E133" i="33" s="1"/>
  <c r="F133" i="33" s="1"/>
  <c r="G133" i="33" s="1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B133" i="33" s="1"/>
  <c r="E132" i="33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D132" i="33"/>
  <c r="K131" i="33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B131" i="33" s="1"/>
  <c r="D131" i="33"/>
  <c r="E131" i="33" s="1"/>
  <c r="F131" i="33" s="1"/>
  <c r="G131" i="33" s="1"/>
  <c r="H131" i="33" s="1"/>
  <c r="I131" i="33" s="1"/>
  <c r="J131" i="33" s="1"/>
  <c r="D129" i="33"/>
  <c r="E129" i="33" s="1"/>
  <c r="F129" i="33" s="1"/>
  <c r="G129" i="33" s="1"/>
  <c r="H129" i="33" s="1"/>
  <c r="I129" i="33" s="1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B129" i="33" s="1"/>
  <c r="G128" i="33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E128" i="33"/>
  <c r="F128" i="33" s="1"/>
  <c r="D128" i="33"/>
  <c r="H127" i="33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E127" i="33"/>
  <c r="F127" i="33" s="1"/>
  <c r="G127" i="33" s="1"/>
  <c r="D127" i="33"/>
  <c r="J126" i="33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F126" i="33"/>
  <c r="G126" i="33" s="1"/>
  <c r="H126" i="33" s="1"/>
  <c r="I126" i="33" s="1"/>
  <c r="D126" i="33"/>
  <c r="E126" i="33" s="1"/>
  <c r="AB125" i="33"/>
  <c r="AC125" i="33" s="1"/>
  <c r="AD125" i="33" s="1"/>
  <c r="AE125" i="33" s="1"/>
  <c r="AF125" i="33" s="1"/>
  <c r="B125" i="33" s="1"/>
  <c r="Q125" i="33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L125" i="33"/>
  <c r="M125" i="33" s="1"/>
  <c r="N125" i="33" s="1"/>
  <c r="O125" i="33" s="1"/>
  <c r="P125" i="33" s="1"/>
  <c r="J125" i="33"/>
  <c r="K125" i="33" s="1"/>
  <c r="F125" i="33"/>
  <c r="G125" i="33" s="1"/>
  <c r="H125" i="33" s="1"/>
  <c r="D125" i="33"/>
  <c r="E125" i="33" s="1"/>
  <c r="K124" i="33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E124" i="33"/>
  <c r="F124" i="33" s="1"/>
  <c r="G124" i="33" s="1"/>
  <c r="H124" i="33" s="1"/>
  <c r="I124" i="33" s="1"/>
  <c r="J124" i="33" s="1"/>
  <c r="D124" i="33"/>
  <c r="Q123" i="33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I123" i="33"/>
  <c r="J123" i="33" s="1"/>
  <c r="K123" i="33" s="1"/>
  <c r="L123" i="33" s="1"/>
  <c r="M123" i="33" s="1"/>
  <c r="N123" i="33" s="1"/>
  <c r="O123" i="33" s="1"/>
  <c r="P123" i="33" s="1"/>
  <c r="E123" i="33"/>
  <c r="F123" i="33" s="1"/>
  <c r="G123" i="33" s="1"/>
  <c r="H123" i="33" s="1"/>
  <c r="D123" i="33"/>
  <c r="E122" i="33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D122" i="33"/>
  <c r="U121" i="33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B121" i="33" s="1"/>
  <c r="M121" i="33"/>
  <c r="N121" i="33" s="1"/>
  <c r="O121" i="33" s="1"/>
  <c r="P121" i="33" s="1"/>
  <c r="Q121" i="33" s="1"/>
  <c r="R121" i="33" s="1"/>
  <c r="S121" i="33" s="1"/>
  <c r="T121" i="33" s="1"/>
  <c r="E121" i="33"/>
  <c r="F121" i="33" s="1"/>
  <c r="G121" i="33" s="1"/>
  <c r="H121" i="33" s="1"/>
  <c r="I121" i="33" s="1"/>
  <c r="J121" i="33" s="1"/>
  <c r="K121" i="33" s="1"/>
  <c r="L121" i="33" s="1"/>
  <c r="D121" i="33"/>
  <c r="K120" i="33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B120" i="33" s="1"/>
  <c r="E120" i="33"/>
  <c r="F120" i="33" s="1"/>
  <c r="G120" i="33" s="1"/>
  <c r="H120" i="33" s="1"/>
  <c r="I120" i="33" s="1"/>
  <c r="J120" i="33" s="1"/>
  <c r="D120" i="33"/>
  <c r="K119" i="33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B119" i="33" s="1"/>
  <c r="I119" i="33"/>
  <c r="J119" i="33" s="1"/>
  <c r="E119" i="33"/>
  <c r="F119" i="33" s="1"/>
  <c r="G119" i="33" s="1"/>
  <c r="H119" i="33" s="1"/>
  <c r="D119" i="33"/>
  <c r="G118" i="33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E118" i="33"/>
  <c r="F118" i="33" s="1"/>
  <c r="D118" i="33"/>
  <c r="E117" i="33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D117" i="33"/>
  <c r="E116" i="33"/>
  <c r="F116" i="33" s="1"/>
  <c r="G116" i="33" s="1"/>
  <c r="H116" i="33" s="1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D116" i="33"/>
  <c r="I115" i="33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E115" i="33"/>
  <c r="F115" i="33" s="1"/>
  <c r="G115" i="33" s="1"/>
  <c r="H115" i="33" s="1"/>
  <c r="D115" i="33"/>
  <c r="O114" i="33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B114" i="33" s="1"/>
  <c r="K114" i="33"/>
  <c r="L114" i="33" s="1"/>
  <c r="M114" i="33" s="1"/>
  <c r="N114" i="33" s="1"/>
  <c r="F114" i="33"/>
  <c r="G114" i="33" s="1"/>
  <c r="H114" i="33" s="1"/>
  <c r="I114" i="33" s="1"/>
  <c r="D114" i="33"/>
  <c r="E114" i="33" s="1"/>
  <c r="D113" i="33"/>
  <c r="E113" i="33" s="1"/>
  <c r="F113" i="33" s="1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D112" i="33"/>
  <c r="E112" i="33" s="1"/>
  <c r="F112" i="33" s="1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D110" i="33"/>
  <c r="E110" i="33" s="1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B110" i="33" s="1"/>
  <c r="D109" i="33"/>
  <c r="E109" i="33" s="1"/>
  <c r="F109" i="33" s="1"/>
  <c r="G109" i="33" s="1"/>
  <c r="H109" i="33" s="1"/>
  <c r="I109" i="33" s="1"/>
  <c r="J109" i="33" s="1"/>
  <c r="K109" i="33" s="1"/>
  <c r="L109" i="33" s="1"/>
  <c r="M109" i="33" s="1"/>
  <c r="N109" i="33" s="1"/>
  <c r="O109" i="33" s="1"/>
  <c r="P109" i="33" s="1"/>
  <c r="Q109" i="33" s="1"/>
  <c r="R109" i="33" s="1"/>
  <c r="S109" i="33" s="1"/>
  <c r="T109" i="33" s="1"/>
  <c r="U109" i="33" s="1"/>
  <c r="V109" i="33" s="1"/>
  <c r="W109" i="33" s="1"/>
  <c r="X109" i="33" s="1"/>
  <c r="Y109" i="33" s="1"/>
  <c r="Z109" i="33" s="1"/>
  <c r="AA109" i="33" s="1"/>
  <c r="AB109" i="33" s="1"/>
  <c r="AC109" i="33" s="1"/>
  <c r="AD109" i="33" s="1"/>
  <c r="AE109" i="33" s="1"/>
  <c r="AF109" i="33" s="1"/>
  <c r="B109" i="33" s="1"/>
  <c r="D107" i="33"/>
  <c r="E107" i="33" s="1"/>
  <c r="F107" i="33" s="1"/>
  <c r="G107" i="33" s="1"/>
  <c r="H107" i="33" s="1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B107" i="33" s="1"/>
  <c r="H106" i="33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B106" i="33" s="1"/>
  <c r="F106" i="33"/>
  <c r="G106" i="33" s="1"/>
  <c r="D106" i="33"/>
  <c r="E106" i="33" s="1"/>
  <c r="D105" i="33"/>
  <c r="E105" i="33" s="1"/>
  <c r="F105" i="33" s="1"/>
  <c r="G105" i="33" s="1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D104" i="33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D103" i="33"/>
  <c r="E103" i="33" s="1"/>
  <c r="F102" i="33"/>
  <c r="E102" i="33"/>
  <c r="D102" i="33"/>
  <c r="AH100" i="33"/>
  <c r="AI100" i="33" s="1"/>
  <c r="AH99" i="33"/>
  <c r="AI99" i="33" s="1"/>
  <c r="AH98" i="33"/>
  <c r="AI98" i="33" s="1"/>
  <c r="AH97" i="33"/>
  <c r="AI97" i="33" s="1"/>
  <c r="AH96" i="33"/>
  <c r="AI96" i="33" s="1"/>
  <c r="AH95" i="33"/>
  <c r="AI95" i="33" s="1"/>
  <c r="AH94" i="33"/>
  <c r="AI94" i="33" s="1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2" i="33"/>
  <c r="AH82" i="33"/>
  <c r="AG82" i="33"/>
  <c r="AI81" i="33"/>
  <c r="AH81" i="33"/>
  <c r="AI80" i="33"/>
  <c r="AH80" i="33"/>
  <c r="AI79" i="33"/>
  <c r="AH79" i="33"/>
  <c r="AI78" i="33"/>
  <c r="AH78" i="33"/>
  <c r="AI77" i="33"/>
  <c r="AH77" i="33"/>
  <c r="AI76" i="33"/>
  <c r="AH76" i="33"/>
  <c r="AI74" i="33"/>
  <c r="AH74" i="33"/>
  <c r="AI73" i="33"/>
  <c r="AH73" i="33"/>
  <c r="AI72" i="33"/>
  <c r="AH72" i="33"/>
  <c r="AG72" i="33"/>
  <c r="AI71" i="33"/>
  <c r="AH71" i="33"/>
  <c r="AI70" i="33"/>
  <c r="AH70" i="33"/>
  <c r="AI69" i="33"/>
  <c r="AH69" i="33"/>
  <c r="AG68" i="33"/>
  <c r="AG73" i="33" s="1"/>
  <c r="AF68" i="33"/>
  <c r="AE5" i="33" s="1"/>
  <c r="AE68" i="33"/>
  <c r="AD68" i="33"/>
  <c r="AC68" i="33"/>
  <c r="AB5" i="33" s="1"/>
  <c r="AB68" i="33"/>
  <c r="AA5" i="33" s="1"/>
  <c r="AA68" i="33"/>
  <c r="Z5" i="33" s="1"/>
  <c r="Z68" i="33"/>
  <c r="Y68" i="33"/>
  <c r="X5" i="33" s="1"/>
  <c r="X68" i="33"/>
  <c r="W68" i="33"/>
  <c r="V68" i="33"/>
  <c r="U68" i="33"/>
  <c r="T5" i="33" s="1"/>
  <c r="T68" i="33"/>
  <c r="T75" i="33" s="1"/>
  <c r="S68" i="33"/>
  <c r="R5" i="33" s="1"/>
  <c r="R68" i="33"/>
  <c r="Q68" i="33"/>
  <c r="P5" i="33" s="1"/>
  <c r="P68" i="33"/>
  <c r="P75" i="33" s="1"/>
  <c r="O68" i="33"/>
  <c r="N68" i="33"/>
  <c r="M68" i="33"/>
  <c r="L5" i="33" s="1"/>
  <c r="L68" i="33"/>
  <c r="K68" i="33"/>
  <c r="J68" i="33"/>
  <c r="I5" i="33" s="1"/>
  <c r="I68" i="33"/>
  <c r="H5" i="33" s="1"/>
  <c r="H68" i="33"/>
  <c r="G5" i="33" s="1"/>
  <c r="G68" i="33"/>
  <c r="F68" i="33"/>
  <c r="E68" i="33"/>
  <c r="D5" i="33" s="1"/>
  <c r="D68" i="33"/>
  <c r="C68" i="33"/>
  <c r="B5" i="33" s="1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G4" i="33" s="1"/>
  <c r="AF56" i="33"/>
  <c r="AE56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AI55" i="33"/>
  <c r="AH55" i="33"/>
  <c r="AI54" i="33"/>
  <c r="AH54" i="33"/>
  <c r="AI53" i="33"/>
  <c r="AH53" i="33"/>
  <c r="AG52" i="33"/>
  <c r="AG3" i="33" s="1"/>
  <c r="AG6" i="33" s="1"/>
  <c r="AF52" i="33"/>
  <c r="AE52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AI51" i="33"/>
  <c r="AH51" i="33"/>
  <c r="AG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F38" i="33"/>
  <c r="AE38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D5" i="33"/>
  <c r="Y5" i="33"/>
  <c r="W5" i="33"/>
  <c r="V5" i="33"/>
  <c r="Q5" i="33"/>
  <c r="N5" i="33"/>
  <c r="K5" i="33"/>
  <c r="J5" i="33"/>
  <c r="F5" i="33"/>
  <c r="C5" i="33"/>
  <c r="K4" i="33"/>
  <c r="B4" i="33"/>
  <c r="AG2" i="33"/>
  <c r="AB37" i="31"/>
  <c r="AA37" i="31"/>
  <c r="Y37" i="31"/>
  <c r="Z37" i="31"/>
  <c r="Y95" i="31"/>
  <c r="X37" i="31"/>
  <c r="W37" i="31"/>
  <c r="V37" i="31"/>
  <c r="U37" i="31"/>
  <c r="T37" i="31"/>
  <c r="S95" i="31"/>
  <c r="S37" i="31"/>
  <c r="R95" i="31"/>
  <c r="R37" i="31"/>
  <c r="Q95" i="31"/>
  <c r="Q37" i="31"/>
  <c r="P95" i="31"/>
  <c r="P37" i="31"/>
  <c r="O95" i="31"/>
  <c r="O37" i="31"/>
  <c r="N95" i="31"/>
  <c r="N37" i="31"/>
  <c r="M95" i="31"/>
  <c r="M37" i="31"/>
  <c r="AK6" i="31"/>
  <c r="AL6" i="31"/>
  <c r="AK7" i="31"/>
  <c r="L37" i="31"/>
  <c r="K37" i="31"/>
  <c r="J37" i="31"/>
  <c r="I37" i="31"/>
  <c r="H37" i="31"/>
  <c r="G37" i="31"/>
  <c r="E37" i="31"/>
  <c r="F37" i="31"/>
  <c r="D95" i="31"/>
  <c r="C95" i="31"/>
  <c r="D39" i="31"/>
  <c r="D37" i="31"/>
  <c r="C39" i="31"/>
  <c r="C37" i="31"/>
  <c r="B95" i="31"/>
  <c r="B37" i="31"/>
  <c r="AF239" i="31"/>
  <c r="AE239" i="31"/>
  <c r="AD239" i="31"/>
  <c r="AC239" i="31"/>
  <c r="AB239" i="31"/>
  <c r="AA239" i="31"/>
  <c r="Z239" i="31"/>
  <c r="Y239" i="31"/>
  <c r="X239" i="31"/>
  <c r="W239" i="31"/>
  <c r="V239" i="31"/>
  <c r="U239" i="31"/>
  <c r="T239" i="31"/>
  <c r="S239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A239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B235" i="31"/>
  <c r="S210" i="31"/>
  <c r="AG200" i="31"/>
  <c r="C200" i="31"/>
  <c r="D199" i="31"/>
  <c r="D198" i="31"/>
  <c r="E198" i="31" s="1"/>
  <c r="F198" i="31" s="1"/>
  <c r="G198" i="31" s="1"/>
  <c r="H198" i="31" s="1"/>
  <c r="I198" i="31" s="1"/>
  <c r="J198" i="31" s="1"/>
  <c r="K198" i="31" s="1"/>
  <c r="L198" i="31" s="1"/>
  <c r="M198" i="31" s="1"/>
  <c r="N198" i="31" s="1"/>
  <c r="O198" i="31" s="1"/>
  <c r="P198" i="31" s="1"/>
  <c r="Q198" i="31" s="1"/>
  <c r="R198" i="31" s="1"/>
  <c r="S198" i="31" s="1"/>
  <c r="T198" i="31" s="1"/>
  <c r="U198" i="31" s="1"/>
  <c r="V198" i="31" s="1"/>
  <c r="W198" i="31" s="1"/>
  <c r="X198" i="31" s="1"/>
  <c r="Y198" i="31" s="1"/>
  <c r="Z198" i="31" s="1"/>
  <c r="AA198" i="31" s="1"/>
  <c r="AB198" i="31" s="1"/>
  <c r="AC198" i="31" s="1"/>
  <c r="AD198" i="31" s="1"/>
  <c r="AE198" i="31" s="1"/>
  <c r="AF198" i="31" s="1"/>
  <c r="B198" i="31" s="1"/>
  <c r="D197" i="31"/>
  <c r="E197" i="31" s="1"/>
  <c r="F197" i="31" s="1"/>
  <c r="G197" i="31" s="1"/>
  <c r="H197" i="31" s="1"/>
  <c r="I197" i="31" s="1"/>
  <c r="J197" i="31" s="1"/>
  <c r="K197" i="31" s="1"/>
  <c r="L197" i="31" s="1"/>
  <c r="M197" i="31" s="1"/>
  <c r="N197" i="31" s="1"/>
  <c r="O197" i="31" s="1"/>
  <c r="P197" i="31" s="1"/>
  <c r="Q197" i="31" s="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V196" i="3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B196" i="31" s="1"/>
  <c r="N196" i="31"/>
  <c r="O196" i="31" s="1"/>
  <c r="P196" i="31" s="1"/>
  <c r="Q196" i="31" s="1"/>
  <c r="R196" i="31" s="1"/>
  <c r="S196" i="31" s="1"/>
  <c r="T196" i="31" s="1"/>
  <c r="U196" i="31" s="1"/>
  <c r="F196" i="31"/>
  <c r="G196" i="31" s="1"/>
  <c r="H196" i="31" s="1"/>
  <c r="I196" i="31" s="1"/>
  <c r="J196" i="31" s="1"/>
  <c r="K196" i="31" s="1"/>
  <c r="L196" i="31" s="1"/>
  <c r="M196" i="31" s="1"/>
  <c r="E196" i="31"/>
  <c r="D196" i="31"/>
  <c r="D195" i="31"/>
  <c r="F194" i="31"/>
  <c r="G194" i="31" s="1"/>
  <c r="E194" i="31"/>
  <c r="D194" i="31"/>
  <c r="AG192" i="31"/>
  <c r="C192" i="31"/>
  <c r="D191" i="31"/>
  <c r="E191" i="31" s="1"/>
  <c r="F191" i="31" s="1"/>
  <c r="G191" i="31" s="1"/>
  <c r="H191" i="31" s="1"/>
  <c r="I191" i="31" s="1"/>
  <c r="J191" i="31" s="1"/>
  <c r="K191" i="31" s="1"/>
  <c r="L191" i="31" s="1"/>
  <c r="M191" i="31" s="1"/>
  <c r="N191" i="31" s="1"/>
  <c r="O191" i="31" s="1"/>
  <c r="P191" i="31" s="1"/>
  <c r="Q191" i="31" s="1"/>
  <c r="R191" i="31" s="1"/>
  <c r="S191" i="31" s="1"/>
  <c r="T191" i="31" s="1"/>
  <c r="U191" i="31" s="1"/>
  <c r="V191" i="31" s="1"/>
  <c r="W191" i="31" s="1"/>
  <c r="X191" i="31" s="1"/>
  <c r="Y191" i="31" s="1"/>
  <c r="Z191" i="31" s="1"/>
  <c r="AA191" i="31" s="1"/>
  <c r="AB191" i="31" s="1"/>
  <c r="AC191" i="31" s="1"/>
  <c r="AD191" i="31" s="1"/>
  <c r="AE191" i="31" s="1"/>
  <c r="AF191" i="31" s="1"/>
  <c r="B191" i="31" s="1"/>
  <c r="E190" i="31"/>
  <c r="F190" i="31" s="1"/>
  <c r="G190" i="31" s="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D190" i="31"/>
  <c r="D189" i="31"/>
  <c r="E189" i="31" s="1"/>
  <c r="F189" i="31" s="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B189" i="31" s="1"/>
  <c r="D188" i="31"/>
  <c r="E188" i="31" s="1"/>
  <c r="F188" i="31" s="1"/>
  <c r="G188" i="31" s="1"/>
  <c r="H188" i="31" s="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P187" i="3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B187" i="31" s="1"/>
  <c r="D187" i="31"/>
  <c r="E187" i="31" s="1"/>
  <c r="F187" i="31" s="1"/>
  <c r="G187" i="31" s="1"/>
  <c r="H187" i="31" s="1"/>
  <c r="I187" i="31" s="1"/>
  <c r="J187" i="31" s="1"/>
  <c r="K187" i="31" s="1"/>
  <c r="L187" i="31" s="1"/>
  <c r="M187" i="31" s="1"/>
  <c r="N187" i="31" s="1"/>
  <c r="O187" i="31" s="1"/>
  <c r="F186" i="3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E186" i="31"/>
  <c r="D186" i="31"/>
  <c r="S185" i="3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B185" i="31" s="1"/>
  <c r="P185" i="31"/>
  <c r="Q185" i="31" s="1"/>
  <c r="R185" i="31" s="1"/>
  <c r="D185" i="31"/>
  <c r="E185" i="31" s="1"/>
  <c r="F185" i="31" s="1"/>
  <c r="G185" i="31" s="1"/>
  <c r="H185" i="31" s="1"/>
  <c r="I185" i="31" s="1"/>
  <c r="J185" i="31" s="1"/>
  <c r="K185" i="31" s="1"/>
  <c r="L185" i="31" s="1"/>
  <c r="M185" i="31" s="1"/>
  <c r="N185" i="31" s="1"/>
  <c r="O185" i="31" s="1"/>
  <c r="E184" i="3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B184" i="31" s="1"/>
  <c r="D184" i="31"/>
  <c r="G183" i="3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B183" i="31" s="1"/>
  <c r="E183" i="31"/>
  <c r="F183" i="31" s="1"/>
  <c r="D183" i="31"/>
  <c r="E182" i="31"/>
  <c r="F182" i="31" s="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B182" i="31" s="1"/>
  <c r="D182" i="31"/>
  <c r="Q181" i="3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B181" i="31" s="1"/>
  <c r="D181" i="31"/>
  <c r="E181" i="31" s="1"/>
  <c r="F181" i="31" s="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F180" i="3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E180" i="31"/>
  <c r="D180" i="31"/>
  <c r="F179" i="3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E179" i="31"/>
  <c r="D179" i="31"/>
  <c r="D177" i="31"/>
  <c r="E177" i="31" s="1"/>
  <c r="F177" i="31" s="1"/>
  <c r="G177" i="31" s="1"/>
  <c r="H177" i="31" s="1"/>
  <c r="I177" i="31" s="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B177" i="31" s="1"/>
  <c r="E176" i="31"/>
  <c r="F176" i="31" s="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 s="1"/>
  <c r="D176" i="31"/>
  <c r="H175" i="3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G175" i="31"/>
  <c r="D175" i="31"/>
  <c r="E175" i="31" s="1"/>
  <c r="F175" i="31" s="1"/>
  <c r="E174" i="3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D174" i="31"/>
  <c r="D173" i="31"/>
  <c r="E173" i="31" s="1"/>
  <c r="F173" i="31" s="1"/>
  <c r="G173" i="31" s="1"/>
  <c r="H173" i="31" s="1"/>
  <c r="I173" i="31" s="1"/>
  <c r="J173" i="31" s="1"/>
  <c r="K173" i="31" s="1"/>
  <c r="L173" i="31" s="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D172" i="31"/>
  <c r="E172" i="31" s="1"/>
  <c r="F172" i="31" s="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D171" i="31"/>
  <c r="E171" i="31" s="1"/>
  <c r="F171" i="31" s="1"/>
  <c r="G171" i="31" s="1"/>
  <c r="H171" i="31" s="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E170" i="3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D170" i="31"/>
  <c r="D168" i="3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B168" i="31" s="1"/>
  <c r="D167" i="31"/>
  <c r="E167" i="31" s="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L166" i="3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G166" i="31"/>
  <c r="H166" i="31" s="1"/>
  <c r="I166" i="31" s="1"/>
  <c r="J166" i="31" s="1"/>
  <c r="K166" i="31" s="1"/>
  <c r="E166" i="31"/>
  <c r="F166" i="31" s="1"/>
  <c r="D166" i="31"/>
  <c r="E165" i="31"/>
  <c r="F165" i="31" s="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D165" i="31"/>
  <c r="F164" i="3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D164" i="31"/>
  <c r="E164" i="31" s="1"/>
  <c r="G163" i="3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B163" i="31" s="1"/>
  <c r="D163" i="31"/>
  <c r="E163" i="31" s="1"/>
  <c r="F163" i="31" s="1"/>
  <c r="G162" i="3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F162" i="31"/>
  <c r="E162" i="31"/>
  <c r="D162" i="31"/>
  <c r="E161" i="3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D161" i="31"/>
  <c r="J160" i="3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D160" i="31"/>
  <c r="E160" i="31" s="1"/>
  <c r="F160" i="31" s="1"/>
  <c r="G160" i="31" s="1"/>
  <c r="H160" i="31" s="1"/>
  <c r="I160" i="31" s="1"/>
  <c r="T159" i="3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H159" i="3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D159" i="31"/>
  <c r="E159" i="31" s="1"/>
  <c r="F159" i="31" s="1"/>
  <c r="G159" i="31" s="1"/>
  <c r="F158" i="3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B158" i="31" s="1"/>
  <c r="E158" i="31"/>
  <c r="D158" i="31"/>
  <c r="D157" i="31"/>
  <c r="E157" i="31" s="1"/>
  <c r="F157" i="31" s="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W156" i="3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F156" i="3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D156" i="31"/>
  <c r="E156" i="31" s="1"/>
  <c r="P154" i="3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B154" i="31" s="1"/>
  <c r="E154" i="31"/>
  <c r="F154" i="31" s="1"/>
  <c r="G154" i="31" s="1"/>
  <c r="H154" i="31" s="1"/>
  <c r="I154" i="31" s="1"/>
  <c r="J154" i="31" s="1"/>
  <c r="K154" i="31" s="1"/>
  <c r="L154" i="31" s="1"/>
  <c r="M154" i="31" s="1"/>
  <c r="N154" i="31" s="1"/>
  <c r="O154" i="31" s="1"/>
  <c r="D154" i="31"/>
  <c r="G153" i="31"/>
  <c r="H153" i="31" s="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X153" i="31" s="1"/>
  <c r="Y153" i="31" s="1"/>
  <c r="Z153" i="31" s="1"/>
  <c r="AA153" i="31" s="1"/>
  <c r="AB153" i="31" s="1"/>
  <c r="AC153" i="31" s="1"/>
  <c r="AD153" i="31" s="1"/>
  <c r="AE153" i="31" s="1"/>
  <c r="AF153" i="31" s="1"/>
  <c r="B153" i="31" s="1"/>
  <c r="F153" i="31"/>
  <c r="E153" i="31"/>
  <c r="D153" i="31"/>
  <c r="E152" i="3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B152" i="31" s="1"/>
  <c r="D152" i="31"/>
  <c r="S151" i="3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B151" i="31" s="1"/>
  <c r="F151" i="3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D151" i="31"/>
  <c r="E151" i="31" s="1"/>
  <c r="E149" i="31"/>
  <c r="F149" i="31" s="1"/>
  <c r="G149" i="31" s="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B149" i="31" s="1"/>
  <c r="D149" i="31"/>
  <c r="O148" i="3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F148" i="31"/>
  <c r="G148" i="31" s="1"/>
  <c r="H148" i="31" s="1"/>
  <c r="I148" i="31" s="1"/>
  <c r="J148" i="31" s="1"/>
  <c r="K148" i="31" s="1"/>
  <c r="L148" i="31" s="1"/>
  <c r="M148" i="31" s="1"/>
  <c r="N148" i="31" s="1"/>
  <c r="D148" i="31"/>
  <c r="E148" i="31" s="1"/>
  <c r="D146" i="31"/>
  <c r="E146" i="31" s="1"/>
  <c r="F146" i="31" s="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B146" i="31" s="1"/>
  <c r="G145" i="3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B145" i="31" s="1"/>
  <c r="D145" i="31"/>
  <c r="E145" i="31" s="1"/>
  <c r="F145" i="31" s="1"/>
  <c r="AC144" i="31"/>
  <c r="AD144" i="31" s="1"/>
  <c r="AE144" i="31" s="1"/>
  <c r="AF144" i="31" s="1"/>
  <c r="B144" i="31" s="1"/>
  <c r="G144" i="31"/>
  <c r="H144" i="31" s="1"/>
  <c r="I144" i="31" s="1"/>
  <c r="J144" i="31" s="1"/>
  <c r="K144" i="31" s="1"/>
  <c r="L144" i="31" s="1"/>
  <c r="M144" i="31" s="1"/>
  <c r="N144" i="31" s="1"/>
  <c r="O144" i="31" s="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E144" i="31"/>
  <c r="F144" i="31" s="1"/>
  <c r="D144" i="31"/>
  <c r="E143" i="3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B143" i="31" s="1"/>
  <c r="D143" i="31"/>
  <c r="D142" i="31"/>
  <c r="E142" i="31" s="1"/>
  <c r="F142" i="31" s="1"/>
  <c r="G142" i="31" s="1"/>
  <c r="H142" i="31" s="1"/>
  <c r="I142" i="31" s="1"/>
  <c r="J142" i="31" s="1"/>
  <c r="K142" i="31" s="1"/>
  <c r="L142" i="31" s="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B142" i="31" s="1"/>
  <c r="G141" i="3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D141" i="31"/>
  <c r="E141" i="31" s="1"/>
  <c r="F141" i="31" s="1"/>
  <c r="E140" i="3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D140" i="31"/>
  <c r="E138" i="31"/>
  <c r="F138" i="31" s="1"/>
  <c r="G138" i="31" s="1"/>
  <c r="H138" i="31" s="1"/>
  <c r="I138" i="31" s="1"/>
  <c r="J138" i="31" s="1"/>
  <c r="K138" i="31" s="1"/>
  <c r="L138" i="31" s="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B138" i="31" s="1"/>
  <c r="D138" i="31"/>
  <c r="D137" i="3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B137" i="31" s="1"/>
  <c r="I136" i="3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D136" i="31"/>
  <c r="E136" i="31" s="1"/>
  <c r="F136" i="31" s="1"/>
  <c r="G136" i="31" s="1"/>
  <c r="H136" i="31" s="1"/>
  <c r="O135" i="3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F135" i="31"/>
  <c r="G135" i="31" s="1"/>
  <c r="H135" i="31" s="1"/>
  <c r="I135" i="31" s="1"/>
  <c r="J135" i="31" s="1"/>
  <c r="K135" i="31" s="1"/>
  <c r="L135" i="31" s="1"/>
  <c r="M135" i="31" s="1"/>
  <c r="N135" i="31" s="1"/>
  <c r="E135" i="31"/>
  <c r="D135" i="31"/>
  <c r="E134" i="3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D134" i="31"/>
  <c r="D133" i="31"/>
  <c r="E133" i="31" s="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F132" i="31"/>
  <c r="G132" i="31" s="1"/>
  <c r="H132" i="31" s="1"/>
  <c r="I132" i="31" s="1"/>
  <c r="J132" i="31" s="1"/>
  <c r="K132" i="31" s="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D132" i="31"/>
  <c r="E132" i="31" s="1"/>
  <c r="F131" i="3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B131" i="31" s="1"/>
  <c r="D131" i="31"/>
  <c r="E131" i="31" s="1"/>
  <c r="I129" i="31"/>
  <c r="J129" i="31" s="1"/>
  <c r="K129" i="31" s="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B129" i="31" s="1"/>
  <c r="D129" i="31"/>
  <c r="E129" i="31" s="1"/>
  <c r="F129" i="31" s="1"/>
  <c r="G129" i="31" s="1"/>
  <c r="H129" i="31" s="1"/>
  <c r="G128" i="3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B128" i="31" s="1"/>
  <c r="D128" i="31"/>
  <c r="E128" i="31" s="1"/>
  <c r="F128" i="31" s="1"/>
  <c r="M127" i="3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H127" i="31"/>
  <c r="I127" i="31" s="1"/>
  <c r="J127" i="31" s="1"/>
  <c r="K127" i="31" s="1"/>
  <c r="L127" i="31" s="1"/>
  <c r="E127" i="31"/>
  <c r="F127" i="31" s="1"/>
  <c r="G127" i="31" s="1"/>
  <c r="D127" i="31"/>
  <c r="D126" i="3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J125" i="3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E125" i="31"/>
  <c r="F125" i="31" s="1"/>
  <c r="G125" i="31" s="1"/>
  <c r="H125" i="31" s="1"/>
  <c r="D125" i="31"/>
  <c r="D124" i="3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Q123" i="3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B123" i="31" s="1"/>
  <c r="D123" i="31"/>
  <c r="E123" i="31" s="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G122" i="3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F122" i="31"/>
  <c r="E122" i="31"/>
  <c r="D122" i="31"/>
  <c r="H121" i="3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D121" i="31"/>
  <c r="E121" i="31" s="1"/>
  <c r="F121" i="31" s="1"/>
  <c r="G121" i="31" s="1"/>
  <c r="F120" i="3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B120" i="31" s="1"/>
  <c r="D120" i="31"/>
  <c r="E120" i="31" s="1"/>
  <c r="E119" i="3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D119" i="31"/>
  <c r="G118" i="3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F118" i="31"/>
  <c r="E118" i="31"/>
  <c r="D118" i="31"/>
  <c r="L117" i="3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F117" i="31"/>
  <c r="G117" i="31" s="1"/>
  <c r="H117" i="31" s="1"/>
  <c r="I117" i="31" s="1"/>
  <c r="J117" i="31" s="1"/>
  <c r="K117" i="31" s="1"/>
  <c r="E117" i="31"/>
  <c r="D117" i="31"/>
  <c r="D116" i="3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E115" i="31"/>
  <c r="F115" i="31" s="1"/>
  <c r="G115" i="31" s="1"/>
  <c r="H115" i="31" s="1"/>
  <c r="I115" i="31" s="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D115" i="31"/>
  <c r="K114" i="3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D114" i="31"/>
  <c r="E114" i="31" s="1"/>
  <c r="F114" i="31" s="1"/>
  <c r="G114" i="31" s="1"/>
  <c r="H114" i="31" s="1"/>
  <c r="I114" i="31" s="1"/>
  <c r="D113" i="31"/>
  <c r="E113" i="31" s="1"/>
  <c r="F113" i="31" s="1"/>
  <c r="G113" i="31" s="1"/>
  <c r="H113" i="31" s="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F112" i="3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B112" i="31" s="1"/>
  <c r="E112" i="31"/>
  <c r="D112" i="31"/>
  <c r="D110" i="31"/>
  <c r="E110" i="31" s="1"/>
  <c r="F110" i="31" s="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B110" i="31" s="1"/>
  <c r="D109" i="31"/>
  <c r="E109" i="31" s="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B109" i="31" s="1"/>
  <c r="D107" i="31"/>
  <c r="E107" i="31" s="1"/>
  <c r="F107" i="31" s="1"/>
  <c r="G107" i="31" s="1"/>
  <c r="H107" i="31" s="1"/>
  <c r="I107" i="31" s="1"/>
  <c r="J107" i="31" s="1"/>
  <c r="K107" i="31" s="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B107" i="31" s="1"/>
  <c r="F106" i="3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E106" i="31"/>
  <c r="D106" i="3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F104" i="3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D104" i="31"/>
  <c r="E104" i="31" s="1"/>
  <c r="E103" i="31"/>
  <c r="D103" i="31"/>
  <c r="F102" i="31"/>
  <c r="E102" i="31"/>
  <c r="D102" i="31"/>
  <c r="AH100" i="31"/>
  <c r="AI100" i="31" s="1"/>
  <c r="AH99" i="31"/>
  <c r="AI99" i="31" s="1"/>
  <c r="AH98" i="31"/>
  <c r="AI98" i="31" s="1"/>
  <c r="AH97" i="31"/>
  <c r="AI97" i="31" s="1"/>
  <c r="AH96" i="31"/>
  <c r="AI96" i="31" s="1"/>
  <c r="AH95" i="31"/>
  <c r="AI95" i="31" s="1"/>
  <c r="AH94" i="31"/>
  <c r="AI94" i="31" s="1"/>
  <c r="D93" i="31"/>
  <c r="C93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2" i="31"/>
  <c r="AH82" i="31"/>
  <c r="AG82" i="31"/>
  <c r="AI81" i="31"/>
  <c r="AH81" i="31"/>
  <c r="AI80" i="31"/>
  <c r="AH80" i="31"/>
  <c r="AI79" i="31"/>
  <c r="AH79" i="31"/>
  <c r="AI78" i="31"/>
  <c r="AH78" i="31"/>
  <c r="AI77" i="31"/>
  <c r="AH77" i="31"/>
  <c r="AI76" i="31"/>
  <c r="AH76" i="31"/>
  <c r="AI74" i="31"/>
  <c r="AH74" i="31"/>
  <c r="AI73" i="31"/>
  <c r="AH73" i="31"/>
  <c r="AI72" i="31"/>
  <c r="AH72" i="31"/>
  <c r="AG72" i="31"/>
  <c r="AI71" i="31"/>
  <c r="AH71" i="31"/>
  <c r="AI70" i="31"/>
  <c r="AH70" i="31"/>
  <c r="AI69" i="31"/>
  <c r="AH69" i="31"/>
  <c r="AG68" i="31"/>
  <c r="AF68" i="31"/>
  <c r="AE5" i="31" s="1"/>
  <c r="AE68" i="31"/>
  <c r="AD5" i="31" s="1"/>
  <c r="AD68" i="31"/>
  <c r="AC68" i="31"/>
  <c r="AB68" i="31"/>
  <c r="AA5" i="31" s="1"/>
  <c r="AA68" i="31"/>
  <c r="Z68" i="31"/>
  <c r="Y5" i="31" s="1"/>
  <c r="Y68" i="31"/>
  <c r="X5" i="31" s="1"/>
  <c r="X68" i="31"/>
  <c r="W5" i="31" s="1"/>
  <c r="W68" i="31"/>
  <c r="V68" i="31"/>
  <c r="U68" i="31"/>
  <c r="T5" i="31" s="1"/>
  <c r="T68" i="31"/>
  <c r="S68" i="31"/>
  <c r="R5" i="31" s="1"/>
  <c r="R68" i="31"/>
  <c r="Q5" i="31" s="1"/>
  <c r="Q68" i="31"/>
  <c r="P68" i="31"/>
  <c r="O5" i="31" s="1"/>
  <c r="O68" i="31"/>
  <c r="N5" i="31" s="1"/>
  <c r="N68" i="31"/>
  <c r="M5" i="31" s="1"/>
  <c r="M68" i="31"/>
  <c r="L68" i="31"/>
  <c r="K5" i="31" s="1"/>
  <c r="K68" i="31"/>
  <c r="J5" i="31" s="1"/>
  <c r="J68" i="31"/>
  <c r="I5" i="31" s="1"/>
  <c r="I68" i="31"/>
  <c r="H5" i="31" s="1"/>
  <c r="H68" i="31"/>
  <c r="G5" i="31" s="1"/>
  <c r="G68" i="31"/>
  <c r="F5" i="31" s="1"/>
  <c r="F68" i="31"/>
  <c r="E68" i="31"/>
  <c r="D68" i="31"/>
  <c r="C5" i="31" s="1"/>
  <c r="C68" i="3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G56" i="31"/>
  <c r="AF56" i="31"/>
  <c r="AE56" i="31"/>
  <c r="AD56" i="31"/>
  <c r="AD75" i="31" s="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I55" i="31"/>
  <c r="AH55" i="31"/>
  <c r="AI54" i="31"/>
  <c r="AH54" i="31"/>
  <c r="AI53" i="31"/>
  <c r="AH53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I51" i="31"/>
  <c r="AH51" i="31"/>
  <c r="AG51" i="31"/>
  <c r="AG52" i="31" s="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G38" i="31"/>
  <c r="AG2" i="31" s="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F5" i="31"/>
  <c r="AC5" i="31"/>
  <c r="AB5" i="31"/>
  <c r="V5" i="31"/>
  <c r="U5" i="31"/>
  <c r="E5" i="31"/>
  <c r="AG4" i="31"/>
  <c r="K4" i="31"/>
  <c r="B4" i="31"/>
  <c r="AF95" i="29"/>
  <c r="AF37" i="29"/>
  <c r="AE95" i="29"/>
  <c r="AE37" i="29"/>
  <c r="AD95" i="29"/>
  <c r="AD37" i="29"/>
  <c r="AC95" i="29"/>
  <c r="AC37" i="29"/>
  <c r="AB95" i="29"/>
  <c r="AB37" i="29"/>
  <c r="AA95" i="29"/>
  <c r="AA37" i="29"/>
  <c r="Y37" i="29"/>
  <c r="X37" i="29"/>
  <c r="V95" i="29"/>
  <c r="V37" i="29"/>
  <c r="W37" i="29"/>
  <c r="U95" i="29"/>
  <c r="U37" i="29"/>
  <c r="T95" i="29"/>
  <c r="T39" i="29"/>
  <c r="T37" i="29"/>
  <c r="S95" i="29"/>
  <c r="S39" i="29"/>
  <c r="S37" i="29"/>
  <c r="R95" i="29"/>
  <c r="R39" i="29"/>
  <c r="R37" i="29"/>
  <c r="E4" i="35"/>
  <c r="E4" i="36"/>
  <c r="E4" i="33"/>
  <c r="E4" i="37"/>
  <c r="E4" i="31"/>
  <c r="AF215" i="40" l="1"/>
  <c r="N83" i="40"/>
  <c r="S7" i="40"/>
  <c r="K83" i="40"/>
  <c r="K7" i="40"/>
  <c r="J83" i="40"/>
  <c r="J7" i="40"/>
  <c r="Y215" i="40"/>
  <c r="G7" i="40"/>
  <c r="F83" i="40"/>
  <c r="X215" i="40"/>
  <c r="C7" i="40"/>
  <c r="U215" i="40"/>
  <c r="E201" i="40"/>
  <c r="F195" i="40"/>
  <c r="AE215" i="40"/>
  <c r="M83" i="40"/>
  <c r="M7" i="40"/>
  <c r="E93" i="40"/>
  <c r="AA215" i="40"/>
  <c r="I7" i="40"/>
  <c r="I83" i="40"/>
  <c r="W215" i="40"/>
  <c r="E83" i="40"/>
  <c r="E7" i="40"/>
  <c r="AT215" i="40"/>
  <c r="AB83" i="40"/>
  <c r="AB7" i="40"/>
  <c r="AD215" i="40"/>
  <c r="L83" i="40"/>
  <c r="L7" i="40"/>
  <c r="B210" i="40"/>
  <c r="T215" i="40"/>
  <c r="B7" i="40"/>
  <c r="B83" i="40"/>
  <c r="AI75" i="40"/>
  <c r="AH75" i="40"/>
  <c r="E193" i="40"/>
  <c r="F103" i="40"/>
  <c r="AL215" i="40"/>
  <c r="T83" i="40"/>
  <c r="T7" i="40"/>
  <c r="C210" i="40"/>
  <c r="AU215" i="40"/>
  <c r="AC83" i="40"/>
  <c r="AC7" i="40"/>
  <c r="AQ215" i="40"/>
  <c r="Y7" i="40"/>
  <c r="Y83" i="40"/>
  <c r="G236" i="40"/>
  <c r="I200" i="40"/>
  <c r="AM215" i="40"/>
  <c r="U83" i="40"/>
  <c r="U7" i="40"/>
  <c r="F93" i="40"/>
  <c r="G104" i="40"/>
  <c r="AI215" i="40"/>
  <c r="Q7" i="40"/>
  <c r="Q83" i="40"/>
  <c r="V215" i="40"/>
  <c r="D83" i="40"/>
  <c r="D7" i="40"/>
  <c r="AE83" i="38"/>
  <c r="AC83" i="38"/>
  <c r="Y83" i="38"/>
  <c r="X7" i="38"/>
  <c r="W83" i="38"/>
  <c r="AN215" i="38"/>
  <c r="AK215" i="38"/>
  <c r="U7" i="38"/>
  <c r="U83" i="38"/>
  <c r="S7" i="38"/>
  <c r="Q7" i="38"/>
  <c r="P83" i="38"/>
  <c r="AH215" i="38"/>
  <c r="O7" i="38"/>
  <c r="N7" i="38"/>
  <c r="AF215" i="38"/>
  <c r="M7" i="38"/>
  <c r="K83" i="38"/>
  <c r="K7" i="38"/>
  <c r="J83" i="38"/>
  <c r="I83" i="38"/>
  <c r="I7" i="38"/>
  <c r="H83" i="38"/>
  <c r="H7" i="38"/>
  <c r="C210" i="38"/>
  <c r="G83" i="38"/>
  <c r="Y215" i="38"/>
  <c r="F7" i="38"/>
  <c r="F83" i="38"/>
  <c r="E7" i="38"/>
  <c r="E83" i="38"/>
  <c r="C83" i="38"/>
  <c r="C7" i="38"/>
  <c r="M83" i="38"/>
  <c r="AG215" i="38"/>
  <c r="Y7" i="38"/>
  <c r="AO215" i="38"/>
  <c r="AD7" i="38"/>
  <c r="AF83" i="38"/>
  <c r="AD83" i="38"/>
  <c r="V7" i="38"/>
  <c r="AF7" i="38"/>
  <c r="AA7" i="38"/>
  <c r="AA83" i="38"/>
  <c r="B83" i="38"/>
  <c r="AI73" i="38"/>
  <c r="AH73" i="38"/>
  <c r="V215" i="38"/>
  <c r="D83" i="38"/>
  <c r="D7" i="38"/>
  <c r="E193" i="38"/>
  <c r="F103" i="38"/>
  <c r="AL215" i="38"/>
  <c r="T7" i="38"/>
  <c r="T83" i="38"/>
  <c r="H104" i="38"/>
  <c r="AD215" i="38"/>
  <c r="L7" i="38"/>
  <c r="L83" i="38"/>
  <c r="B210" i="38"/>
  <c r="AR215" i="38"/>
  <c r="Z7" i="38"/>
  <c r="Z83" i="38"/>
  <c r="E236" i="38"/>
  <c r="G200" i="38"/>
  <c r="AJ215" i="38"/>
  <c r="R83" i="38"/>
  <c r="R7" i="38"/>
  <c r="H195" i="38"/>
  <c r="T215" i="38"/>
  <c r="AH75" i="38"/>
  <c r="AI75" i="38"/>
  <c r="B7" i="38"/>
  <c r="F201" i="38"/>
  <c r="AT215" i="38"/>
  <c r="AB7" i="38"/>
  <c r="AB83" i="38"/>
  <c r="F93" i="38"/>
  <c r="AF73" i="37"/>
  <c r="AE73" i="37"/>
  <c r="AC73" i="37"/>
  <c r="AB73" i="37"/>
  <c r="AB75" i="37"/>
  <c r="AA73" i="37"/>
  <c r="Z73" i="37"/>
  <c r="Y73" i="37"/>
  <c r="X73" i="37"/>
  <c r="W73" i="37"/>
  <c r="V73" i="37"/>
  <c r="U73" i="37"/>
  <c r="T73" i="37"/>
  <c r="T75" i="37"/>
  <c r="AL215" i="37" s="1"/>
  <c r="S73" i="37"/>
  <c r="R73" i="37"/>
  <c r="Q73" i="37"/>
  <c r="P73" i="37"/>
  <c r="O73" i="37"/>
  <c r="N73" i="37"/>
  <c r="M73" i="37"/>
  <c r="L75" i="37"/>
  <c r="K73" i="37"/>
  <c r="I73" i="37"/>
  <c r="AH56" i="37"/>
  <c r="H73" i="37"/>
  <c r="G73" i="37"/>
  <c r="AI38" i="37"/>
  <c r="D75" i="37"/>
  <c r="D7" i="37" s="1"/>
  <c r="AH52" i="37"/>
  <c r="B75" i="37"/>
  <c r="T215" i="37" s="1"/>
  <c r="S5" i="37"/>
  <c r="F75" i="37"/>
  <c r="X215" i="37" s="1"/>
  <c r="N75" i="37"/>
  <c r="AF215" i="37" s="1"/>
  <c r="V75" i="37"/>
  <c r="V7" i="37" s="1"/>
  <c r="AD75" i="37"/>
  <c r="AD7" i="37" s="1"/>
  <c r="G75" i="37"/>
  <c r="Y215" i="37" s="1"/>
  <c r="O75" i="37"/>
  <c r="AG215" i="37" s="1"/>
  <c r="W75" i="37"/>
  <c r="AO215" i="37" s="1"/>
  <c r="AE75" i="37"/>
  <c r="AE7" i="37" s="1"/>
  <c r="H75" i="37"/>
  <c r="Z215" i="37" s="1"/>
  <c r="P75" i="37"/>
  <c r="AH215" i="37" s="1"/>
  <c r="X75" i="37"/>
  <c r="X83" i="37" s="1"/>
  <c r="AF75" i="37"/>
  <c r="AF7" i="37" s="1"/>
  <c r="K5" i="37"/>
  <c r="I75" i="37"/>
  <c r="I7" i="37" s="1"/>
  <c r="Q75" i="37"/>
  <c r="AI215" i="37" s="1"/>
  <c r="Y75" i="37"/>
  <c r="AQ215" i="37" s="1"/>
  <c r="J75" i="37"/>
  <c r="AB215" i="37" s="1"/>
  <c r="Z75" i="37"/>
  <c r="Z7" i="37" s="1"/>
  <c r="AA5" i="37"/>
  <c r="B82" i="37"/>
  <c r="AH76" i="37"/>
  <c r="AI82" i="37"/>
  <c r="AH82" i="37"/>
  <c r="B83" i="37"/>
  <c r="H4" i="37"/>
  <c r="AG3" i="37"/>
  <c r="AG6" i="37" s="1"/>
  <c r="AG73" i="37"/>
  <c r="D83" i="37"/>
  <c r="AD215" i="37"/>
  <c r="L7" i="37"/>
  <c r="L83" i="37"/>
  <c r="AT215" i="37"/>
  <c r="AB83" i="37"/>
  <c r="AB7" i="37"/>
  <c r="AP215" i="37"/>
  <c r="AX215" i="37"/>
  <c r="AG75" i="37"/>
  <c r="AG83" i="37" s="1"/>
  <c r="J7" i="37"/>
  <c r="J83" i="37"/>
  <c r="G104" i="37"/>
  <c r="AI52" i="37"/>
  <c r="AI56" i="37"/>
  <c r="AI68" i="37"/>
  <c r="C75" i="37"/>
  <c r="K75" i="37"/>
  <c r="S75" i="37"/>
  <c r="AA75" i="37"/>
  <c r="AH68" i="37"/>
  <c r="AF5" i="37"/>
  <c r="R75" i="37"/>
  <c r="I5" i="37"/>
  <c r="Y5" i="37"/>
  <c r="AH38" i="37"/>
  <c r="E75" i="37"/>
  <c r="M75" i="37"/>
  <c r="U75" i="37"/>
  <c r="AC75" i="37"/>
  <c r="D193" i="37"/>
  <c r="E103" i="37"/>
  <c r="D93" i="37"/>
  <c r="S212" i="37"/>
  <c r="D212" i="37"/>
  <c r="D201" i="37"/>
  <c r="E195" i="37"/>
  <c r="F200" i="37"/>
  <c r="AF82" i="36"/>
  <c r="AE82" i="36"/>
  <c r="AE83" i="36" s="1"/>
  <c r="AD82" i="36"/>
  <c r="AD83" i="36" s="1"/>
  <c r="AC82" i="36"/>
  <c r="AC83" i="36" s="1"/>
  <c r="T83" i="36"/>
  <c r="L83" i="36"/>
  <c r="D83" i="36"/>
  <c r="AG3" i="36"/>
  <c r="AG6" i="36" s="1"/>
  <c r="AG73" i="36"/>
  <c r="Y83" i="36"/>
  <c r="Q83" i="36"/>
  <c r="I83" i="36"/>
  <c r="AF83" i="36"/>
  <c r="X83" i="36"/>
  <c r="P83" i="36"/>
  <c r="H83" i="36"/>
  <c r="C236" i="36"/>
  <c r="Z83" i="36"/>
  <c r="R83" i="36"/>
  <c r="J83" i="36"/>
  <c r="D93" i="36"/>
  <c r="AA82" i="36"/>
  <c r="D201" i="36"/>
  <c r="AB82" i="36"/>
  <c r="AB83" i="36" s="1"/>
  <c r="AD75" i="36"/>
  <c r="AV215" i="36" s="1"/>
  <c r="AE75" i="36"/>
  <c r="AW215" i="36" s="1"/>
  <c r="AI78" i="36"/>
  <c r="AI77" i="36"/>
  <c r="AB75" i="36"/>
  <c r="AB7" i="36" s="1"/>
  <c r="AI76" i="36"/>
  <c r="AH79" i="36"/>
  <c r="AI79" i="36"/>
  <c r="AA83" i="36"/>
  <c r="AI80" i="36"/>
  <c r="AA75" i="36"/>
  <c r="AS215" i="36" s="1"/>
  <c r="AH76" i="36"/>
  <c r="AH80" i="36"/>
  <c r="AH77" i="36"/>
  <c r="AH78" i="36"/>
  <c r="Z75" i="36"/>
  <c r="W75" i="36"/>
  <c r="AO215" i="36" s="1"/>
  <c r="V75" i="36"/>
  <c r="T75" i="36"/>
  <c r="S75" i="36"/>
  <c r="AK215" i="36" s="1"/>
  <c r="Q75" i="36"/>
  <c r="AI215" i="36" s="1"/>
  <c r="N75" i="36"/>
  <c r="AF215" i="36" s="1"/>
  <c r="R75" i="36"/>
  <c r="AJ215" i="36" s="1"/>
  <c r="O75" i="36"/>
  <c r="O7" i="36" s="1"/>
  <c r="AI52" i="36"/>
  <c r="J75" i="36"/>
  <c r="AB215" i="36" s="1"/>
  <c r="K75" i="36"/>
  <c r="AC215" i="36" s="1"/>
  <c r="D75" i="36"/>
  <c r="V215" i="36" s="1"/>
  <c r="L75" i="36"/>
  <c r="AD215" i="36" s="1"/>
  <c r="E75" i="36"/>
  <c r="F75" i="36"/>
  <c r="F7" i="36" s="1"/>
  <c r="G75" i="36"/>
  <c r="G7" i="36" s="1"/>
  <c r="H75" i="36"/>
  <c r="Z215" i="36" s="1"/>
  <c r="AI38" i="36"/>
  <c r="AI56" i="36"/>
  <c r="C75" i="36"/>
  <c r="U215" i="36" s="1"/>
  <c r="H4" i="36"/>
  <c r="AR215" i="36"/>
  <c r="Z7" i="36"/>
  <c r="AL215" i="36"/>
  <c r="T7" i="36"/>
  <c r="AN215" i="36"/>
  <c r="V7" i="36"/>
  <c r="AH38" i="36"/>
  <c r="M75" i="36"/>
  <c r="AC75" i="36"/>
  <c r="X75" i="36"/>
  <c r="AG75" i="36"/>
  <c r="AG83" i="36" s="1"/>
  <c r="U75" i="36"/>
  <c r="AF75" i="36"/>
  <c r="Q7" i="36"/>
  <c r="P75" i="36"/>
  <c r="Y75" i="36"/>
  <c r="S212" i="36"/>
  <c r="D212" i="36"/>
  <c r="I75" i="36"/>
  <c r="AH52" i="36"/>
  <c r="AH56" i="36"/>
  <c r="AH68" i="36"/>
  <c r="AT215" i="36"/>
  <c r="G5" i="36"/>
  <c r="AI68" i="36"/>
  <c r="F104" i="36"/>
  <c r="E93" i="36"/>
  <c r="G103" i="36"/>
  <c r="D193" i="36"/>
  <c r="E193" i="36"/>
  <c r="G195" i="36"/>
  <c r="E201" i="36"/>
  <c r="F200" i="36"/>
  <c r="F201" i="36" s="1"/>
  <c r="AD75" i="35"/>
  <c r="AC75" i="35"/>
  <c r="AA75" i="35"/>
  <c r="Z75" i="35"/>
  <c r="Z83" i="35" s="1"/>
  <c r="V75" i="35"/>
  <c r="U75" i="35"/>
  <c r="T75" i="35"/>
  <c r="R75" i="35"/>
  <c r="N75" i="35"/>
  <c r="M75" i="35"/>
  <c r="M7" i="35" s="1"/>
  <c r="K75" i="35"/>
  <c r="AC214" i="35" s="1"/>
  <c r="J75" i="35"/>
  <c r="AB214" i="35" s="1"/>
  <c r="E5" i="35"/>
  <c r="E75" i="35"/>
  <c r="W214" i="35" s="1"/>
  <c r="AI56" i="35"/>
  <c r="AI52" i="35"/>
  <c r="D75" i="35"/>
  <c r="V214" i="35" s="1"/>
  <c r="AI68" i="35"/>
  <c r="AH52" i="35"/>
  <c r="B75" i="35"/>
  <c r="B83" i="35" s="1"/>
  <c r="H4" i="35"/>
  <c r="AL214" i="35"/>
  <c r="T7" i="35"/>
  <c r="T83" i="35"/>
  <c r="AS214" i="35"/>
  <c r="AA7" i="35"/>
  <c r="AA83" i="35"/>
  <c r="AM214" i="35"/>
  <c r="U83" i="35"/>
  <c r="AU214" i="35"/>
  <c r="AC83" i="35"/>
  <c r="X214" i="35"/>
  <c r="F83" i="35"/>
  <c r="AF214" i="35"/>
  <c r="N83" i="35"/>
  <c r="AN214" i="35"/>
  <c r="V83" i="35"/>
  <c r="AV214" i="35"/>
  <c r="AD83" i="35"/>
  <c r="N7" i="35"/>
  <c r="AB75" i="35"/>
  <c r="U7" i="35"/>
  <c r="H75" i="35"/>
  <c r="P75" i="35"/>
  <c r="X75" i="35"/>
  <c r="AF75" i="35"/>
  <c r="C75" i="35"/>
  <c r="V7" i="35"/>
  <c r="I75" i="35"/>
  <c r="Q75" i="35"/>
  <c r="Y75" i="35"/>
  <c r="AG75" i="35"/>
  <c r="AC7" i="35"/>
  <c r="AI38" i="35"/>
  <c r="B7" i="35"/>
  <c r="AJ214" i="35"/>
  <c r="R7" i="35"/>
  <c r="AR214" i="35"/>
  <c r="Z7" i="35"/>
  <c r="J83" i="35"/>
  <c r="E93" i="35"/>
  <c r="F103" i="35"/>
  <c r="AD7" i="35"/>
  <c r="AH56" i="35"/>
  <c r="L75" i="35"/>
  <c r="S75" i="35"/>
  <c r="R83" i="35"/>
  <c r="AH38" i="35"/>
  <c r="AG73" i="35"/>
  <c r="AG83" i="35" s="1"/>
  <c r="D192" i="35"/>
  <c r="E102" i="35"/>
  <c r="G75" i="35"/>
  <c r="O75" i="35"/>
  <c r="W75" i="35"/>
  <c r="AE75" i="35"/>
  <c r="S211" i="35"/>
  <c r="D211" i="35"/>
  <c r="AH68" i="35"/>
  <c r="E200" i="35"/>
  <c r="F194" i="35"/>
  <c r="G199" i="35"/>
  <c r="AF75" i="33"/>
  <c r="AE75" i="33"/>
  <c r="AD75" i="33"/>
  <c r="AB75" i="33"/>
  <c r="AA75" i="33"/>
  <c r="AS214" i="33" s="1"/>
  <c r="Z75" i="33"/>
  <c r="W75" i="33"/>
  <c r="V75" i="33"/>
  <c r="S5" i="33"/>
  <c r="S75" i="33"/>
  <c r="X75" i="33"/>
  <c r="X7" i="33" s="1"/>
  <c r="R75" i="33"/>
  <c r="O5" i="33"/>
  <c r="O75" i="33"/>
  <c r="N75" i="33"/>
  <c r="L75" i="33"/>
  <c r="K75" i="33"/>
  <c r="K7" i="33" s="1"/>
  <c r="J75" i="33"/>
  <c r="J7" i="33" s="1"/>
  <c r="H75" i="33"/>
  <c r="H7" i="33" s="1"/>
  <c r="AH56" i="33"/>
  <c r="AH52" i="33"/>
  <c r="G75" i="33"/>
  <c r="G7" i="33" s="1"/>
  <c r="F75" i="33"/>
  <c r="X214" i="33" s="1"/>
  <c r="AE75" i="31"/>
  <c r="AE7" i="31" s="1"/>
  <c r="AI52" i="33"/>
  <c r="AI56" i="33"/>
  <c r="D75" i="33"/>
  <c r="V214" i="33" s="1"/>
  <c r="AH38" i="33"/>
  <c r="C75" i="33"/>
  <c r="C7" i="33" s="1"/>
  <c r="B75" i="33"/>
  <c r="B83" i="33" s="1"/>
  <c r="AI38" i="33"/>
  <c r="H4" i="33"/>
  <c r="AD214" i="33"/>
  <c r="L83" i="33"/>
  <c r="L7" i="33"/>
  <c r="AT214" i="33"/>
  <c r="AB83" i="33"/>
  <c r="AB7" i="33"/>
  <c r="F103" i="33"/>
  <c r="E93" i="33"/>
  <c r="AF214" i="33"/>
  <c r="N83" i="33"/>
  <c r="N7" i="33"/>
  <c r="AN214" i="33"/>
  <c r="V83" i="33"/>
  <c r="V7" i="33"/>
  <c r="AV214" i="33"/>
  <c r="AD83" i="33"/>
  <c r="AD7" i="33"/>
  <c r="AG214" i="33"/>
  <c r="O83" i="33"/>
  <c r="O7" i="33"/>
  <c r="AO214" i="33"/>
  <c r="W83" i="33"/>
  <c r="W7" i="33"/>
  <c r="AW214" i="33"/>
  <c r="AE83" i="33"/>
  <c r="AE7" i="33"/>
  <c r="Z214" i="33"/>
  <c r="H83" i="33"/>
  <c r="AH214" i="33"/>
  <c r="P7" i="33"/>
  <c r="P83" i="33"/>
  <c r="AP214" i="33"/>
  <c r="AX214" i="33"/>
  <c r="AF7" i="33"/>
  <c r="AF83" i="33"/>
  <c r="D83" i="33"/>
  <c r="AL214" i="33"/>
  <c r="T83" i="33"/>
  <c r="T7" i="33"/>
  <c r="AB214" i="33"/>
  <c r="AJ214" i="33"/>
  <c r="R7" i="33"/>
  <c r="R83" i="33"/>
  <c r="AR214" i="33"/>
  <c r="Z7" i="33"/>
  <c r="Z83" i="33"/>
  <c r="AC214" i="33"/>
  <c r="K83" i="33"/>
  <c r="AK214" i="33"/>
  <c r="S83" i="33"/>
  <c r="S7" i="33"/>
  <c r="AC5" i="33"/>
  <c r="Y75" i="33"/>
  <c r="E5" i="33"/>
  <c r="Q75" i="33"/>
  <c r="AH68" i="33"/>
  <c r="M5" i="33"/>
  <c r="I75" i="33"/>
  <c r="AG75" i="33"/>
  <c r="AG83" i="33" s="1"/>
  <c r="AI68" i="33"/>
  <c r="S211" i="33"/>
  <c r="D211" i="33"/>
  <c r="U5" i="33"/>
  <c r="D192" i="33"/>
  <c r="E75" i="33"/>
  <c r="M75" i="33"/>
  <c r="U75" i="33"/>
  <c r="AC75" i="33"/>
  <c r="E192" i="33"/>
  <c r="D93" i="33"/>
  <c r="G102" i="33"/>
  <c r="E200" i="33"/>
  <c r="F194" i="33"/>
  <c r="G199" i="33"/>
  <c r="AA75" i="31"/>
  <c r="Z5" i="31"/>
  <c r="Y75" i="31"/>
  <c r="W75" i="31"/>
  <c r="V75" i="31"/>
  <c r="Z75" i="31"/>
  <c r="U75" i="31"/>
  <c r="T75" i="31"/>
  <c r="M75" i="31"/>
  <c r="R75" i="31"/>
  <c r="Q75" i="31"/>
  <c r="P5" i="31"/>
  <c r="S75" i="31"/>
  <c r="O75" i="31"/>
  <c r="N75" i="31"/>
  <c r="N83" i="31" s="1"/>
  <c r="L5" i="31"/>
  <c r="K75" i="31"/>
  <c r="AC214" i="31" s="1"/>
  <c r="J75" i="31"/>
  <c r="J7" i="31" s="1"/>
  <c r="I75" i="31"/>
  <c r="AA214" i="31" s="1"/>
  <c r="E75" i="31"/>
  <c r="W214" i="31" s="1"/>
  <c r="G75" i="31"/>
  <c r="Y214" i="31" s="1"/>
  <c r="D5" i="31"/>
  <c r="AI68" i="31"/>
  <c r="F75" i="31"/>
  <c r="F7" i="31" s="1"/>
  <c r="AI56" i="31"/>
  <c r="AI52" i="31"/>
  <c r="AI38" i="31"/>
  <c r="B5" i="31"/>
  <c r="C75" i="31"/>
  <c r="H4" i="31"/>
  <c r="G83" i="31"/>
  <c r="G7" i="31"/>
  <c r="AW214" i="31"/>
  <c r="AN214" i="31"/>
  <c r="V7" i="31"/>
  <c r="V83" i="31"/>
  <c r="AG214" i="31"/>
  <c r="O83" i="31"/>
  <c r="O7" i="31"/>
  <c r="AO214" i="31"/>
  <c r="W83" i="31"/>
  <c r="W7" i="31"/>
  <c r="AV214" i="31"/>
  <c r="AD83" i="31"/>
  <c r="AD7" i="31"/>
  <c r="AM214" i="31"/>
  <c r="U7" i="31"/>
  <c r="U83" i="31"/>
  <c r="AJ214" i="31"/>
  <c r="R7" i="31"/>
  <c r="R83" i="31"/>
  <c r="AR214" i="31"/>
  <c r="Z83" i="31"/>
  <c r="Z7" i="31"/>
  <c r="AI214" i="31"/>
  <c r="Q83" i="31"/>
  <c r="Q7" i="31"/>
  <c r="AQ214" i="31"/>
  <c r="Y83" i="31"/>
  <c r="Y7" i="31"/>
  <c r="U214" i="31"/>
  <c r="C83" i="31"/>
  <c r="C7" i="31"/>
  <c r="AS214" i="31"/>
  <c r="AA7" i="31"/>
  <c r="AA83" i="31"/>
  <c r="E7" i="31"/>
  <c r="E83" i="31"/>
  <c r="AE214" i="31"/>
  <c r="M7" i="31"/>
  <c r="M83" i="31"/>
  <c r="AG6" i="31"/>
  <c r="AK214" i="31"/>
  <c r="S7" i="31"/>
  <c r="S83" i="31"/>
  <c r="AG3" i="31"/>
  <c r="AG75" i="31"/>
  <c r="AG73" i="31"/>
  <c r="AL214" i="31"/>
  <c r="T83" i="31"/>
  <c r="T7" i="31"/>
  <c r="AH38" i="31"/>
  <c r="AC75" i="31"/>
  <c r="L75" i="31"/>
  <c r="AF75" i="31"/>
  <c r="D75" i="31"/>
  <c r="AB75" i="31"/>
  <c r="H75" i="31"/>
  <c r="P75" i="31"/>
  <c r="X75" i="31"/>
  <c r="S5" i="31"/>
  <c r="AH52" i="31"/>
  <c r="AH56" i="31"/>
  <c r="AH68" i="31"/>
  <c r="AG83" i="31"/>
  <c r="F103" i="31"/>
  <c r="S211" i="31"/>
  <c r="D211" i="31"/>
  <c r="D192" i="31"/>
  <c r="E192" i="31"/>
  <c r="F192" i="31"/>
  <c r="G102" i="31"/>
  <c r="H194" i="31"/>
  <c r="D200" i="31"/>
  <c r="E195" i="31"/>
  <c r="C235" i="31"/>
  <c r="E199" i="31"/>
  <c r="H236" i="40" l="1"/>
  <c r="J200" i="40"/>
  <c r="AH83" i="40"/>
  <c r="AI83" i="40"/>
  <c r="A7" i="40"/>
  <c r="H104" i="40"/>
  <c r="K6" i="40"/>
  <c r="F193" i="40"/>
  <c r="G103" i="40"/>
  <c r="F201" i="40"/>
  <c r="G195" i="40"/>
  <c r="K6" i="38"/>
  <c r="A7" i="38"/>
  <c r="F193" i="38"/>
  <c r="G103" i="38"/>
  <c r="AI83" i="38"/>
  <c r="AH83" i="38"/>
  <c r="H200" i="38"/>
  <c r="F236" i="38"/>
  <c r="G93" i="38"/>
  <c r="G201" i="38"/>
  <c r="H93" i="38"/>
  <c r="I104" i="38"/>
  <c r="I195" i="38"/>
  <c r="AF83" i="37"/>
  <c r="AE83" i="37"/>
  <c r="AW215" i="37"/>
  <c r="AV215" i="37"/>
  <c r="AD83" i="37"/>
  <c r="Z83" i="37"/>
  <c r="AR215" i="37"/>
  <c r="Y83" i="37"/>
  <c r="Y7" i="37"/>
  <c r="AN215" i="37"/>
  <c r="V83" i="37"/>
  <c r="T83" i="37"/>
  <c r="T7" i="37"/>
  <c r="P7" i="37"/>
  <c r="P83" i="37"/>
  <c r="N7" i="37"/>
  <c r="N83" i="37"/>
  <c r="AI73" i="37"/>
  <c r="V215" i="37"/>
  <c r="B7" i="37"/>
  <c r="I83" i="37"/>
  <c r="AA215" i="37"/>
  <c r="H7" i="37"/>
  <c r="H83" i="37"/>
  <c r="AH73" i="37"/>
  <c r="G7" i="37"/>
  <c r="G83" i="37"/>
  <c r="B210" i="37"/>
  <c r="F83" i="37"/>
  <c r="F7" i="37"/>
  <c r="W7" i="37"/>
  <c r="C210" i="37"/>
  <c r="W83" i="37"/>
  <c r="AH75" i="37"/>
  <c r="Q83" i="37"/>
  <c r="Q7" i="37"/>
  <c r="O7" i="37"/>
  <c r="X7" i="37"/>
  <c r="O83" i="37"/>
  <c r="G200" i="37"/>
  <c r="E236" i="37"/>
  <c r="E193" i="37"/>
  <c r="F103" i="37"/>
  <c r="E201" i="37"/>
  <c r="F195" i="37"/>
  <c r="AJ215" i="37"/>
  <c r="R7" i="37"/>
  <c r="R83" i="37"/>
  <c r="AU215" i="37"/>
  <c r="AC83" i="37"/>
  <c r="AC7" i="37"/>
  <c r="AM215" i="37"/>
  <c r="U83" i="37"/>
  <c r="U7" i="37"/>
  <c r="H104" i="37"/>
  <c r="AE215" i="37"/>
  <c r="M83" i="37"/>
  <c r="M7" i="37"/>
  <c r="AS215" i="37"/>
  <c r="AA7" i="37"/>
  <c r="AA83" i="37"/>
  <c r="AI75" i="37"/>
  <c r="E93" i="37"/>
  <c r="W215" i="37"/>
  <c r="E83" i="37"/>
  <c r="E7" i="37"/>
  <c r="AK215" i="37"/>
  <c r="S7" i="37"/>
  <c r="S83" i="37"/>
  <c r="AC215" i="37"/>
  <c r="K7" i="37"/>
  <c r="K83" i="37"/>
  <c r="U215" i="37"/>
  <c r="C7" i="37"/>
  <c r="C83" i="37"/>
  <c r="AE7" i="36"/>
  <c r="AD7" i="36"/>
  <c r="AI82" i="36"/>
  <c r="AH82" i="36"/>
  <c r="S7" i="36"/>
  <c r="AA7" i="36"/>
  <c r="N7" i="36"/>
  <c r="W7" i="36"/>
  <c r="R7" i="36"/>
  <c r="AG215" i="36"/>
  <c r="L7" i="36"/>
  <c r="K7" i="36"/>
  <c r="B210" i="36"/>
  <c r="Y215" i="36"/>
  <c r="X215" i="36"/>
  <c r="E7" i="36"/>
  <c r="W215" i="36"/>
  <c r="J7" i="36"/>
  <c r="C210" i="36"/>
  <c r="D7" i="36"/>
  <c r="H7" i="36"/>
  <c r="C7" i="36"/>
  <c r="G104" i="36"/>
  <c r="G193" i="36" s="1"/>
  <c r="F93" i="36"/>
  <c r="H195" i="36"/>
  <c r="T215" i="36"/>
  <c r="AI75" i="36"/>
  <c r="B7" i="36"/>
  <c r="AH75" i="36"/>
  <c r="AQ215" i="36"/>
  <c r="Y7" i="36"/>
  <c r="AU215" i="36"/>
  <c r="AC7" i="36"/>
  <c r="AH215" i="36"/>
  <c r="P7" i="36"/>
  <c r="AE215" i="36"/>
  <c r="M7" i="36"/>
  <c r="AP215" i="36"/>
  <c r="X7" i="36"/>
  <c r="H103" i="36"/>
  <c r="AA215" i="36"/>
  <c r="I7" i="36"/>
  <c r="AX215" i="36"/>
  <c r="AF7" i="36"/>
  <c r="E236" i="36"/>
  <c r="G200" i="36"/>
  <c r="G201" i="36" s="1"/>
  <c r="F193" i="36"/>
  <c r="AM215" i="36"/>
  <c r="U7" i="36"/>
  <c r="M83" i="35"/>
  <c r="AE214" i="35"/>
  <c r="K83" i="35"/>
  <c r="K7" i="35"/>
  <c r="J7" i="35"/>
  <c r="E7" i="35"/>
  <c r="E83" i="35"/>
  <c r="D83" i="35"/>
  <c r="D7" i="35"/>
  <c r="T214" i="35"/>
  <c r="AI75" i="35"/>
  <c r="G194" i="35"/>
  <c r="F200" i="35"/>
  <c r="E192" i="35"/>
  <c r="F102" i="35"/>
  <c r="U214" i="35"/>
  <c r="C7" i="35"/>
  <c r="C83" i="35"/>
  <c r="AX214" i="35"/>
  <c r="AF83" i="35"/>
  <c r="AF7" i="35"/>
  <c r="F93" i="35"/>
  <c r="G103" i="35"/>
  <c r="AP214" i="35"/>
  <c r="X83" i="35"/>
  <c r="X7" i="35"/>
  <c r="Y214" i="35"/>
  <c r="C209" i="35"/>
  <c r="B209" i="35"/>
  <c r="G83" i="35"/>
  <c r="G7" i="35"/>
  <c r="AQ214" i="35"/>
  <c r="Y83" i="35"/>
  <c r="Y7" i="35"/>
  <c r="AH214" i="35"/>
  <c r="P83" i="35"/>
  <c r="P7" i="35"/>
  <c r="AW214" i="35"/>
  <c r="AE83" i="35"/>
  <c r="AE7" i="35"/>
  <c r="AI214" i="35"/>
  <c r="Q83" i="35"/>
  <c r="Q7" i="35"/>
  <c r="Z214" i="35"/>
  <c r="H83" i="35"/>
  <c r="H7" i="35"/>
  <c r="AD214" i="35"/>
  <c r="L7" i="35"/>
  <c r="L83" i="35"/>
  <c r="AO214" i="35"/>
  <c r="W83" i="35"/>
  <c r="W7" i="35"/>
  <c r="AK214" i="35"/>
  <c r="S7" i="35"/>
  <c r="S83" i="35"/>
  <c r="AH75" i="35"/>
  <c r="AA214" i="35"/>
  <c r="I83" i="35"/>
  <c r="I7" i="35"/>
  <c r="F235" i="35"/>
  <c r="H199" i="35"/>
  <c r="AG214" i="35"/>
  <c r="O83" i="35"/>
  <c r="O7" i="35"/>
  <c r="AT214" i="35"/>
  <c r="AB7" i="35"/>
  <c r="AB83" i="35"/>
  <c r="AA7" i="33"/>
  <c r="AA83" i="33"/>
  <c r="X83" i="33"/>
  <c r="AE83" i="31"/>
  <c r="J83" i="33"/>
  <c r="F7" i="33"/>
  <c r="F83" i="33"/>
  <c r="G83" i="33"/>
  <c r="Y214" i="33"/>
  <c r="U214" i="33"/>
  <c r="T214" i="33"/>
  <c r="D7" i="33"/>
  <c r="C83" i="33"/>
  <c r="B7" i="33"/>
  <c r="G103" i="33"/>
  <c r="F93" i="33"/>
  <c r="G192" i="33"/>
  <c r="H102" i="33"/>
  <c r="W214" i="33"/>
  <c r="E83" i="33"/>
  <c r="E7" i="33"/>
  <c r="F192" i="33"/>
  <c r="AI214" i="33"/>
  <c r="Q7" i="33"/>
  <c r="Q83" i="33"/>
  <c r="AH75" i="33"/>
  <c r="AA214" i="33"/>
  <c r="I7" i="33"/>
  <c r="I83" i="33"/>
  <c r="C209" i="33"/>
  <c r="AU214" i="33"/>
  <c r="AC83" i="33"/>
  <c r="AC7" i="33"/>
  <c r="AQ214" i="33"/>
  <c r="Y7" i="33"/>
  <c r="Y83" i="33"/>
  <c r="AI75" i="33"/>
  <c r="F235" i="33"/>
  <c r="H199" i="33"/>
  <c r="AM214" i="33"/>
  <c r="U83" i="33"/>
  <c r="U7" i="33"/>
  <c r="G194" i="33"/>
  <c r="F200" i="33"/>
  <c r="AE214" i="33"/>
  <c r="M83" i="33"/>
  <c r="M7" i="33"/>
  <c r="B209" i="33"/>
  <c r="N7" i="31"/>
  <c r="AF214" i="31"/>
  <c r="K7" i="31"/>
  <c r="K83" i="31"/>
  <c r="J83" i="31"/>
  <c r="AB214" i="31"/>
  <c r="I7" i="31"/>
  <c r="I83" i="31"/>
  <c r="C209" i="31"/>
  <c r="K6" i="31" s="1"/>
  <c r="B209" i="31"/>
  <c r="F83" i="31"/>
  <c r="X214" i="31"/>
  <c r="AT214" i="31"/>
  <c r="AB83" i="31"/>
  <c r="AB7" i="31"/>
  <c r="F195" i="31"/>
  <c r="E200" i="31"/>
  <c r="AX214" i="31"/>
  <c r="AF83" i="31"/>
  <c r="AF7" i="31"/>
  <c r="AU214" i="31"/>
  <c r="AC7" i="31"/>
  <c r="AC83" i="31"/>
  <c r="D235" i="31"/>
  <c r="F199" i="31"/>
  <c r="V214" i="31"/>
  <c r="D83" i="31"/>
  <c r="D7" i="31"/>
  <c r="AD214" i="31"/>
  <c r="L83" i="31"/>
  <c r="L7" i="31"/>
  <c r="I194" i="31"/>
  <c r="G103" i="31"/>
  <c r="F93" i="31"/>
  <c r="AP214" i="31"/>
  <c r="X83" i="31"/>
  <c r="X7" i="31"/>
  <c r="H102" i="31"/>
  <c r="E93" i="31"/>
  <c r="AH214" i="31"/>
  <c r="P7" i="31"/>
  <c r="P83" i="31"/>
  <c r="T214" i="31"/>
  <c r="AI75" i="31"/>
  <c r="AH75" i="31"/>
  <c r="B7" i="31"/>
  <c r="Z214" i="31"/>
  <c r="H83" i="31"/>
  <c r="H7" i="31"/>
  <c r="I104" i="40" l="1"/>
  <c r="H93" i="40"/>
  <c r="H195" i="40"/>
  <c r="G201" i="40"/>
  <c r="G193" i="40"/>
  <c r="H103" i="40"/>
  <c r="K200" i="40"/>
  <c r="I236" i="40"/>
  <c r="G93" i="40"/>
  <c r="G236" i="38"/>
  <c r="I200" i="38"/>
  <c r="J195" i="38"/>
  <c r="I201" i="38"/>
  <c r="H201" i="38"/>
  <c r="I93" i="38"/>
  <c r="J104" i="38"/>
  <c r="G193" i="38"/>
  <c r="H103" i="38"/>
  <c r="K6" i="37"/>
  <c r="AI83" i="37"/>
  <c r="AH83" i="37"/>
  <c r="A7" i="37"/>
  <c r="G195" i="37"/>
  <c r="F201" i="37"/>
  <c r="F93" i="37"/>
  <c r="F193" i="37"/>
  <c r="G103" i="37"/>
  <c r="I104" i="37"/>
  <c r="F236" i="37"/>
  <c r="H200" i="37"/>
  <c r="K6" i="36"/>
  <c r="AI83" i="36"/>
  <c r="AH83" i="36"/>
  <c r="F236" i="36"/>
  <c r="H200" i="36"/>
  <c r="H201" i="36" s="1"/>
  <c r="H193" i="36"/>
  <c r="I103" i="36"/>
  <c r="I195" i="36"/>
  <c r="H104" i="36"/>
  <c r="G93" i="36"/>
  <c r="A7" i="36"/>
  <c r="K6" i="35"/>
  <c r="A7" i="35"/>
  <c r="AI83" i="35"/>
  <c r="AH83" i="35"/>
  <c r="G235" i="35"/>
  <c r="I199" i="35"/>
  <c r="G93" i="35"/>
  <c r="H103" i="35"/>
  <c r="F192" i="35"/>
  <c r="G102" i="35"/>
  <c r="H194" i="35"/>
  <c r="G200" i="35"/>
  <c r="A7" i="33"/>
  <c r="AH83" i="33"/>
  <c r="K6" i="33"/>
  <c r="AI83" i="33"/>
  <c r="I102" i="33"/>
  <c r="G235" i="33"/>
  <c r="I199" i="33"/>
  <c r="H103" i="33"/>
  <c r="G93" i="33"/>
  <c r="H194" i="33"/>
  <c r="G200" i="33"/>
  <c r="A7" i="31"/>
  <c r="H103" i="31"/>
  <c r="AI83" i="31"/>
  <c r="AH83" i="31"/>
  <c r="H192" i="31"/>
  <c r="I102" i="31"/>
  <c r="J194" i="31"/>
  <c r="E235" i="31"/>
  <c r="G199" i="31"/>
  <c r="G192" i="31"/>
  <c r="G195" i="31"/>
  <c r="F200" i="31"/>
  <c r="J236" i="40" l="1"/>
  <c r="L200" i="40"/>
  <c r="H193" i="40"/>
  <c r="I103" i="40"/>
  <c r="I195" i="40"/>
  <c r="H201" i="40"/>
  <c r="J104" i="40"/>
  <c r="I93" i="40"/>
  <c r="K104" i="38"/>
  <c r="J93" i="38"/>
  <c r="K195" i="38"/>
  <c r="H236" i="38"/>
  <c r="J200" i="38"/>
  <c r="H193" i="38"/>
  <c r="I103" i="38"/>
  <c r="J104" i="37"/>
  <c r="G193" i="37"/>
  <c r="H103" i="37"/>
  <c r="G236" i="37"/>
  <c r="I200" i="37"/>
  <c r="H195" i="37"/>
  <c r="G201" i="37"/>
  <c r="G93" i="37"/>
  <c r="J103" i="36"/>
  <c r="H93" i="36"/>
  <c r="I104" i="36"/>
  <c r="G236" i="36"/>
  <c r="I200" i="36"/>
  <c r="I201" i="36"/>
  <c r="J195" i="36"/>
  <c r="I103" i="35"/>
  <c r="H93" i="35"/>
  <c r="H200" i="35"/>
  <c r="I194" i="35"/>
  <c r="H235" i="35"/>
  <c r="J199" i="35"/>
  <c r="G192" i="35"/>
  <c r="H102" i="35"/>
  <c r="H235" i="33"/>
  <c r="J199" i="33"/>
  <c r="I103" i="33"/>
  <c r="H93" i="33"/>
  <c r="I192" i="33"/>
  <c r="J102" i="33"/>
  <c r="H192" i="33"/>
  <c r="H200" i="33"/>
  <c r="I194" i="33"/>
  <c r="H195" i="31"/>
  <c r="G200" i="31"/>
  <c r="K194" i="31"/>
  <c r="I103" i="31"/>
  <c r="H93" i="31"/>
  <c r="F235" i="31"/>
  <c r="H199" i="31"/>
  <c r="G93" i="31"/>
  <c r="J102" i="31"/>
  <c r="J195" i="40" l="1"/>
  <c r="I201" i="40"/>
  <c r="I193" i="40"/>
  <c r="J103" i="40"/>
  <c r="M200" i="40"/>
  <c r="K236" i="40"/>
  <c r="J93" i="40"/>
  <c r="K104" i="40"/>
  <c r="I236" i="38"/>
  <c r="K200" i="38"/>
  <c r="K201" i="38"/>
  <c r="L195" i="38"/>
  <c r="J201" i="38"/>
  <c r="I193" i="38"/>
  <c r="J103" i="38"/>
  <c r="K93" i="38"/>
  <c r="L104" i="38"/>
  <c r="H201" i="37"/>
  <c r="I195" i="37"/>
  <c r="H93" i="37"/>
  <c r="H236" i="37"/>
  <c r="J200" i="37"/>
  <c r="H193" i="37"/>
  <c r="I103" i="37"/>
  <c r="K104" i="37"/>
  <c r="H236" i="36"/>
  <c r="J200" i="36"/>
  <c r="J201" i="36" s="1"/>
  <c r="I93" i="36"/>
  <c r="J104" i="36"/>
  <c r="J193" i="36" s="1"/>
  <c r="K103" i="36"/>
  <c r="I193" i="36"/>
  <c r="K195" i="36"/>
  <c r="I235" i="35"/>
  <c r="K199" i="35"/>
  <c r="I200" i="35"/>
  <c r="J194" i="35"/>
  <c r="J103" i="35"/>
  <c r="I93" i="35"/>
  <c r="H192" i="35"/>
  <c r="I102" i="35"/>
  <c r="I93" i="33"/>
  <c r="J103" i="33"/>
  <c r="I235" i="33"/>
  <c r="K199" i="33"/>
  <c r="J192" i="33"/>
  <c r="K102" i="33"/>
  <c r="I200" i="33"/>
  <c r="J194" i="33"/>
  <c r="G235" i="31"/>
  <c r="I199" i="31"/>
  <c r="J103" i="31"/>
  <c r="I93" i="31"/>
  <c r="J192" i="31"/>
  <c r="K102" i="31"/>
  <c r="L194" i="31"/>
  <c r="I192" i="31"/>
  <c r="I195" i="31"/>
  <c r="H200" i="31"/>
  <c r="L236" i="40" l="1"/>
  <c r="N200" i="40"/>
  <c r="J193" i="40"/>
  <c r="K103" i="40"/>
  <c r="K93" i="40"/>
  <c r="L104" i="40"/>
  <c r="K195" i="40"/>
  <c r="J201" i="40"/>
  <c r="J193" i="38"/>
  <c r="K103" i="38"/>
  <c r="M195" i="38"/>
  <c r="L200" i="38"/>
  <c r="J236" i="38"/>
  <c r="L93" i="38"/>
  <c r="M104" i="38"/>
  <c r="L104" i="37"/>
  <c r="I193" i="37"/>
  <c r="J103" i="37"/>
  <c r="K200" i="37"/>
  <c r="I236" i="37"/>
  <c r="I201" i="37"/>
  <c r="J195" i="37"/>
  <c r="I93" i="37"/>
  <c r="L103" i="36"/>
  <c r="J93" i="36"/>
  <c r="K104" i="36"/>
  <c r="I236" i="36"/>
  <c r="K200" i="36"/>
  <c r="K201" i="36" s="1"/>
  <c r="L195" i="36"/>
  <c r="I192" i="35"/>
  <c r="J102" i="35"/>
  <c r="J200" i="35"/>
  <c r="K194" i="35"/>
  <c r="K103" i="35"/>
  <c r="J93" i="35"/>
  <c r="J235" i="35"/>
  <c r="L199" i="35"/>
  <c r="L102" i="33"/>
  <c r="J93" i="33"/>
  <c r="K103" i="33"/>
  <c r="J200" i="33"/>
  <c r="K194" i="33"/>
  <c r="J235" i="33"/>
  <c r="L199" i="33"/>
  <c r="K192" i="31"/>
  <c r="L102" i="31"/>
  <c r="M194" i="31"/>
  <c r="J195" i="31"/>
  <c r="I200" i="31"/>
  <c r="K103" i="31"/>
  <c r="J93" i="31"/>
  <c r="H235" i="31"/>
  <c r="J199" i="31"/>
  <c r="M104" i="40" l="1"/>
  <c r="K193" i="40"/>
  <c r="L103" i="40"/>
  <c r="O200" i="40"/>
  <c r="M236" i="40"/>
  <c r="K201" i="40"/>
  <c r="L195" i="40"/>
  <c r="K236" i="38"/>
  <c r="M200" i="38"/>
  <c r="L201" i="38"/>
  <c r="M201" i="38"/>
  <c r="N195" i="38"/>
  <c r="N104" i="38"/>
  <c r="M93" i="38"/>
  <c r="K193" i="38"/>
  <c r="L103" i="38"/>
  <c r="L200" i="37"/>
  <c r="J236" i="37"/>
  <c r="J193" i="37"/>
  <c r="K103" i="37"/>
  <c r="J201" i="37"/>
  <c r="K195" i="37"/>
  <c r="J93" i="37"/>
  <c r="M104" i="37"/>
  <c r="J236" i="36"/>
  <c r="L200" i="36"/>
  <c r="K93" i="36"/>
  <c r="L104" i="36"/>
  <c r="L193" i="36" s="1"/>
  <c r="M103" i="36"/>
  <c r="L201" i="36"/>
  <c r="M195" i="36"/>
  <c r="K193" i="36"/>
  <c r="L103" i="35"/>
  <c r="K93" i="35"/>
  <c r="K200" i="35"/>
  <c r="L194" i="35"/>
  <c r="K235" i="35"/>
  <c r="M199" i="35"/>
  <c r="J192" i="35"/>
  <c r="K102" i="35"/>
  <c r="K93" i="33"/>
  <c r="L103" i="33"/>
  <c r="M199" i="33"/>
  <c r="K235" i="33"/>
  <c r="K200" i="33"/>
  <c r="L194" i="33"/>
  <c r="L192" i="33"/>
  <c r="M102" i="33"/>
  <c r="K192" i="33"/>
  <c r="K199" i="31"/>
  <c r="I235" i="31"/>
  <c r="N194" i="31"/>
  <c r="L192" i="31"/>
  <c r="M102" i="31"/>
  <c r="K195" i="31"/>
  <c r="J200" i="31"/>
  <c r="K93" i="31"/>
  <c r="L103" i="31"/>
  <c r="P200" i="40" l="1"/>
  <c r="N236" i="40"/>
  <c r="L193" i="40"/>
  <c r="M103" i="40"/>
  <c r="M93" i="40"/>
  <c r="N104" i="40"/>
  <c r="L201" i="40"/>
  <c r="M195" i="40"/>
  <c r="L93" i="40"/>
  <c r="O104" i="38"/>
  <c r="O195" i="38"/>
  <c r="L236" i="38"/>
  <c r="N200" i="38"/>
  <c r="N201" i="38" s="1"/>
  <c r="L193" i="38"/>
  <c r="M103" i="38"/>
  <c r="K201" i="37"/>
  <c r="L195" i="37"/>
  <c r="K93" i="37"/>
  <c r="K193" i="37"/>
  <c r="L103" i="37"/>
  <c r="N104" i="37"/>
  <c r="M200" i="37"/>
  <c r="K236" i="37"/>
  <c r="N195" i="36"/>
  <c r="M104" i="36"/>
  <c r="L93" i="36"/>
  <c r="M193" i="36"/>
  <c r="N103" i="36"/>
  <c r="K236" i="36"/>
  <c r="M200" i="36"/>
  <c r="M194" i="35"/>
  <c r="L200" i="35"/>
  <c r="K192" i="35"/>
  <c r="L102" i="35"/>
  <c r="L235" i="35"/>
  <c r="N199" i="35"/>
  <c r="L93" i="35"/>
  <c r="M103" i="35"/>
  <c r="N102" i="33"/>
  <c r="N199" i="33"/>
  <c r="L235" i="33"/>
  <c r="M103" i="33"/>
  <c r="L93" i="33"/>
  <c r="M194" i="33"/>
  <c r="L200" i="33"/>
  <c r="L195" i="31"/>
  <c r="K200" i="31"/>
  <c r="N102" i="31"/>
  <c r="O194" i="31"/>
  <c r="L93" i="31"/>
  <c r="M103" i="31"/>
  <c r="J235" i="31"/>
  <c r="L199" i="31"/>
  <c r="M201" i="40" l="1"/>
  <c r="N195" i="40"/>
  <c r="N93" i="40"/>
  <c r="O104" i="40"/>
  <c r="M193" i="40"/>
  <c r="N103" i="40"/>
  <c r="O236" i="40"/>
  <c r="Q200" i="40"/>
  <c r="M236" i="38"/>
  <c r="O200" i="38"/>
  <c r="P195" i="38"/>
  <c r="O201" i="38"/>
  <c r="M193" i="38"/>
  <c r="N103" i="38"/>
  <c r="N93" i="38"/>
  <c r="P104" i="38"/>
  <c r="O93" i="38"/>
  <c r="O104" i="37"/>
  <c r="L193" i="37"/>
  <c r="M103" i="37"/>
  <c r="L201" i="37"/>
  <c r="M195" i="37"/>
  <c r="L93" i="37"/>
  <c r="L236" i="37"/>
  <c r="N200" i="37"/>
  <c r="L236" i="36"/>
  <c r="N200" i="36"/>
  <c r="O103" i="36"/>
  <c r="M201" i="36"/>
  <c r="N104" i="36"/>
  <c r="M93" i="36"/>
  <c r="O195" i="36"/>
  <c r="M93" i="35"/>
  <c r="N103" i="35"/>
  <c r="M235" i="35"/>
  <c r="O199" i="35"/>
  <c r="L192" i="35"/>
  <c r="M102" i="35"/>
  <c r="M200" i="35"/>
  <c r="N194" i="35"/>
  <c r="M200" i="33"/>
  <c r="N194" i="33"/>
  <c r="M93" i="33"/>
  <c r="N103" i="33"/>
  <c r="O199" i="33"/>
  <c r="M235" i="33"/>
  <c r="N192" i="33"/>
  <c r="O102" i="33"/>
  <c r="M192" i="33"/>
  <c r="N103" i="31"/>
  <c r="N192" i="31" s="1"/>
  <c r="P194" i="31"/>
  <c r="O102" i="31"/>
  <c r="M192" i="31"/>
  <c r="K235" i="31"/>
  <c r="M199" i="31"/>
  <c r="M195" i="31"/>
  <c r="L200" i="31"/>
  <c r="N193" i="40" l="1"/>
  <c r="O103" i="40"/>
  <c r="N201" i="40"/>
  <c r="O195" i="40"/>
  <c r="P104" i="40"/>
  <c r="O93" i="40"/>
  <c r="P236" i="40"/>
  <c r="R200" i="40"/>
  <c r="Q104" i="38"/>
  <c r="P93" i="38"/>
  <c r="Q195" i="38"/>
  <c r="N236" i="38"/>
  <c r="P200" i="38"/>
  <c r="N193" i="38"/>
  <c r="O103" i="38"/>
  <c r="M201" i="37"/>
  <c r="N195" i="37"/>
  <c r="M93" i="37"/>
  <c r="M193" i="37"/>
  <c r="N103" i="37"/>
  <c r="O200" i="37"/>
  <c r="M236" i="37"/>
  <c r="P104" i="37"/>
  <c r="P195" i="36"/>
  <c r="O104" i="36"/>
  <c r="N93" i="36"/>
  <c r="N193" i="36"/>
  <c r="M236" i="36"/>
  <c r="O200" i="36"/>
  <c r="O193" i="36"/>
  <c r="P103" i="36"/>
  <c r="N201" i="36"/>
  <c r="O194" i="35"/>
  <c r="N200" i="35"/>
  <c r="M192" i="35"/>
  <c r="N102" i="35"/>
  <c r="N235" i="35"/>
  <c r="P199" i="35"/>
  <c r="N93" i="35"/>
  <c r="O103" i="35"/>
  <c r="P102" i="33"/>
  <c r="N235" i="33"/>
  <c r="P199" i="33"/>
  <c r="O103" i="33"/>
  <c r="N93" i="33"/>
  <c r="O194" i="33"/>
  <c r="N200" i="33"/>
  <c r="P102" i="31"/>
  <c r="Q194" i="31"/>
  <c r="N195" i="31"/>
  <c r="M200" i="31"/>
  <c r="O103" i="31"/>
  <c r="N93" i="31"/>
  <c r="L235" i="31"/>
  <c r="N199" i="31"/>
  <c r="M93" i="31"/>
  <c r="Q104" i="40" l="1"/>
  <c r="O193" i="40"/>
  <c r="P103" i="40"/>
  <c r="S200" i="40"/>
  <c r="Q236" i="40"/>
  <c r="O201" i="40"/>
  <c r="P195" i="40"/>
  <c r="O193" i="38"/>
  <c r="P103" i="38"/>
  <c r="O236" i="38"/>
  <c r="Q200" i="38"/>
  <c r="R195" i="38"/>
  <c r="Q201" i="38"/>
  <c r="P201" i="38"/>
  <c r="Q93" i="38"/>
  <c r="R104" i="38"/>
  <c r="N236" i="37"/>
  <c r="P200" i="37"/>
  <c r="N193" i="37"/>
  <c r="O103" i="37"/>
  <c r="O195" i="37"/>
  <c r="N201" i="37"/>
  <c r="N93" i="37"/>
  <c r="Q104" i="37"/>
  <c r="N236" i="36"/>
  <c r="P200" i="36"/>
  <c r="P104" i="36"/>
  <c r="O93" i="36"/>
  <c r="O201" i="36"/>
  <c r="P193" i="36"/>
  <c r="Q103" i="36"/>
  <c r="P201" i="36"/>
  <c r="Q195" i="36"/>
  <c r="O93" i="35"/>
  <c r="P103" i="35"/>
  <c r="O235" i="35"/>
  <c r="Q199" i="35"/>
  <c r="N192" i="35"/>
  <c r="O102" i="35"/>
  <c r="P194" i="35"/>
  <c r="O200" i="35"/>
  <c r="P194" i="33"/>
  <c r="O200" i="33"/>
  <c r="O93" i="33"/>
  <c r="P103" i="33"/>
  <c r="O235" i="33"/>
  <c r="Q199" i="33"/>
  <c r="P192" i="33"/>
  <c r="Q102" i="33"/>
  <c r="O192" i="33"/>
  <c r="O93" i="31"/>
  <c r="P103" i="31"/>
  <c r="O195" i="31"/>
  <c r="N200" i="31"/>
  <c r="R194" i="31"/>
  <c r="P192" i="31"/>
  <c r="Q102" i="31"/>
  <c r="M235" i="31"/>
  <c r="O199" i="31"/>
  <c r="O192" i="31"/>
  <c r="P193" i="40" l="1"/>
  <c r="Q103" i="40"/>
  <c r="R236" i="40"/>
  <c r="T200" i="40"/>
  <c r="Q195" i="40"/>
  <c r="P201" i="40"/>
  <c r="P93" i="40"/>
  <c r="R104" i="40"/>
  <c r="S195" i="38"/>
  <c r="P193" i="38"/>
  <c r="Q103" i="38"/>
  <c r="P236" i="38"/>
  <c r="R200" i="38"/>
  <c r="R93" i="38"/>
  <c r="S104" i="38"/>
  <c r="P195" i="37"/>
  <c r="O201" i="37"/>
  <c r="O93" i="37"/>
  <c r="R104" i="37"/>
  <c r="O193" i="37"/>
  <c r="P103" i="37"/>
  <c r="O236" i="37"/>
  <c r="Q200" i="37"/>
  <c r="R103" i="36"/>
  <c r="P93" i="36"/>
  <c r="Q104" i="36"/>
  <c r="O236" i="36"/>
  <c r="Q200" i="36"/>
  <c r="Q201" i="36" s="1"/>
  <c r="R195" i="36"/>
  <c r="P200" i="35"/>
  <c r="Q194" i="35"/>
  <c r="P235" i="35"/>
  <c r="R199" i="35"/>
  <c r="Q103" i="35"/>
  <c r="P93" i="35"/>
  <c r="O192" i="35"/>
  <c r="P102" i="35"/>
  <c r="R102" i="33"/>
  <c r="P235" i="33"/>
  <c r="R199" i="33"/>
  <c r="Q103" i="33"/>
  <c r="P93" i="33"/>
  <c r="Q194" i="33"/>
  <c r="P200" i="33"/>
  <c r="S194" i="31"/>
  <c r="P195" i="31"/>
  <c r="O200" i="31"/>
  <c r="N235" i="31"/>
  <c r="P199" i="31"/>
  <c r="Q103" i="31"/>
  <c r="P93" i="31"/>
  <c r="R102" i="31"/>
  <c r="Q95" i="29"/>
  <c r="Q39" i="29"/>
  <c r="Q37" i="29"/>
  <c r="P95" i="29"/>
  <c r="P39" i="29"/>
  <c r="P37" i="29"/>
  <c r="O95" i="29"/>
  <c r="O39" i="29"/>
  <c r="O37" i="29"/>
  <c r="M95" i="29"/>
  <c r="M96" i="29"/>
  <c r="N95" i="29"/>
  <c r="N39" i="29"/>
  <c r="N37" i="29"/>
  <c r="M39" i="29"/>
  <c r="M37" i="29"/>
  <c r="R93" i="40" l="1"/>
  <c r="S104" i="40"/>
  <c r="R195" i="40"/>
  <c r="Q201" i="40"/>
  <c r="U200" i="40"/>
  <c r="S236" i="40"/>
  <c r="Q193" i="40"/>
  <c r="R103" i="40"/>
  <c r="Q93" i="40"/>
  <c r="T104" i="38"/>
  <c r="Q236" i="38"/>
  <c r="S200" i="38"/>
  <c r="Q193" i="38"/>
  <c r="R103" i="38"/>
  <c r="S201" i="38"/>
  <c r="T195" i="38"/>
  <c r="R201" i="38"/>
  <c r="P193" i="37"/>
  <c r="Q103" i="37"/>
  <c r="S104" i="37"/>
  <c r="P236" i="37"/>
  <c r="R200" i="37"/>
  <c r="P201" i="37"/>
  <c r="Q195" i="37"/>
  <c r="P93" i="37"/>
  <c r="S195" i="36"/>
  <c r="P236" i="36"/>
  <c r="R200" i="36"/>
  <c r="Q93" i="36"/>
  <c r="R104" i="36"/>
  <c r="R193" i="36" s="1"/>
  <c r="S103" i="36"/>
  <c r="Q193" i="36"/>
  <c r="R103" i="35"/>
  <c r="Q93" i="35"/>
  <c r="P192" i="35"/>
  <c r="Q102" i="35"/>
  <c r="Q235" i="35"/>
  <c r="S199" i="35"/>
  <c r="Q200" i="35"/>
  <c r="R194" i="35"/>
  <c r="R194" i="33"/>
  <c r="Q200" i="33"/>
  <c r="Q93" i="33"/>
  <c r="R103" i="33"/>
  <c r="Q235" i="33"/>
  <c r="S199" i="33"/>
  <c r="R192" i="33"/>
  <c r="S102" i="33"/>
  <c r="Q192" i="33"/>
  <c r="R103" i="31"/>
  <c r="Q93" i="31"/>
  <c r="O235" i="31"/>
  <c r="Q199" i="31"/>
  <c r="Q195" i="31"/>
  <c r="P200" i="31"/>
  <c r="R192" i="31"/>
  <c r="S102" i="31"/>
  <c r="T194" i="31"/>
  <c r="Q192" i="31"/>
  <c r="R193" i="40" l="1"/>
  <c r="S103" i="40"/>
  <c r="T236" i="40"/>
  <c r="V200" i="40"/>
  <c r="S195" i="40"/>
  <c r="R201" i="40"/>
  <c r="S93" i="40"/>
  <c r="T104" i="40"/>
  <c r="U195" i="38"/>
  <c r="R193" i="38"/>
  <c r="S103" i="38"/>
  <c r="T200" i="38"/>
  <c r="R236" i="38"/>
  <c r="T93" i="38"/>
  <c r="U104" i="38"/>
  <c r="S93" i="38"/>
  <c r="Q201" i="37"/>
  <c r="R195" i="37"/>
  <c r="Q93" i="37"/>
  <c r="S200" i="37"/>
  <c r="Q236" i="37"/>
  <c r="T104" i="37"/>
  <c r="Q193" i="37"/>
  <c r="R103" i="37"/>
  <c r="T103" i="36"/>
  <c r="R93" i="36"/>
  <c r="S104" i="36"/>
  <c r="Q236" i="36"/>
  <c r="S200" i="36"/>
  <c r="S201" i="36"/>
  <c r="T195" i="36"/>
  <c r="R201" i="36"/>
  <c r="R200" i="35"/>
  <c r="S194" i="35"/>
  <c r="R235" i="35"/>
  <c r="T199" i="35"/>
  <c r="Q192" i="35"/>
  <c r="R102" i="35"/>
  <c r="S103" i="35"/>
  <c r="R93" i="35"/>
  <c r="T102" i="33"/>
  <c r="R235" i="33"/>
  <c r="T199" i="33"/>
  <c r="S103" i="33"/>
  <c r="R93" i="33"/>
  <c r="R200" i="33"/>
  <c r="S194" i="33"/>
  <c r="T102" i="31"/>
  <c r="R195" i="31"/>
  <c r="Q200" i="31"/>
  <c r="P235" i="31"/>
  <c r="R199" i="31"/>
  <c r="R93" i="31" s="1"/>
  <c r="U194" i="31"/>
  <c r="S103" i="31"/>
  <c r="S201" i="40" l="1"/>
  <c r="T195" i="40"/>
  <c r="W200" i="40"/>
  <c r="U236" i="40"/>
  <c r="S193" i="40"/>
  <c r="T103" i="40"/>
  <c r="T93" i="40"/>
  <c r="U104" i="40"/>
  <c r="S236" i="38"/>
  <c r="U200" i="38"/>
  <c r="S193" i="38"/>
  <c r="T103" i="38"/>
  <c r="U93" i="38"/>
  <c r="V104" i="38"/>
  <c r="U201" i="38"/>
  <c r="V195" i="38"/>
  <c r="T201" i="38"/>
  <c r="R236" i="37"/>
  <c r="T200" i="37"/>
  <c r="U104" i="37"/>
  <c r="R201" i="37"/>
  <c r="S195" i="37"/>
  <c r="R93" i="37"/>
  <c r="R193" i="37"/>
  <c r="S103" i="37"/>
  <c r="R236" i="36"/>
  <c r="T200" i="36"/>
  <c r="U103" i="36"/>
  <c r="T201" i="36"/>
  <c r="U195" i="36"/>
  <c r="S93" i="36"/>
  <c r="T104" i="36"/>
  <c r="S193" i="36"/>
  <c r="R192" i="35"/>
  <c r="S102" i="35"/>
  <c r="T103" i="35"/>
  <c r="S93" i="35"/>
  <c r="S235" i="35"/>
  <c r="U199" i="35"/>
  <c r="S200" i="35"/>
  <c r="T194" i="35"/>
  <c r="S93" i="33"/>
  <c r="T103" i="33"/>
  <c r="S235" i="33"/>
  <c r="U199" i="33"/>
  <c r="S200" i="33"/>
  <c r="T194" i="33"/>
  <c r="T192" i="33"/>
  <c r="U102" i="33"/>
  <c r="S192" i="33"/>
  <c r="V194" i="31"/>
  <c r="S195" i="31"/>
  <c r="R200" i="31"/>
  <c r="T192" i="31"/>
  <c r="U102" i="31"/>
  <c r="S199" i="31"/>
  <c r="Q235" i="31"/>
  <c r="T103" i="31"/>
  <c r="S192" i="31"/>
  <c r="V236" i="40" l="1"/>
  <c r="X200" i="40"/>
  <c r="V104" i="40"/>
  <c r="T193" i="40"/>
  <c r="U103" i="40"/>
  <c r="T201" i="40"/>
  <c r="U195" i="40"/>
  <c r="W104" i="38"/>
  <c r="T193" i="38"/>
  <c r="U103" i="38"/>
  <c r="W195" i="38"/>
  <c r="T236" i="38"/>
  <c r="V200" i="38"/>
  <c r="S201" i="37"/>
  <c r="T195" i="37"/>
  <c r="S93" i="37"/>
  <c r="V104" i="37"/>
  <c r="S236" i="37"/>
  <c r="U200" i="37"/>
  <c r="S193" i="37"/>
  <c r="T103" i="37"/>
  <c r="U104" i="36"/>
  <c r="T93" i="36"/>
  <c r="V195" i="36"/>
  <c r="U201" i="36"/>
  <c r="T193" i="36"/>
  <c r="U193" i="36"/>
  <c r="V103" i="36"/>
  <c r="S236" i="36"/>
  <c r="U200" i="36"/>
  <c r="T235" i="35"/>
  <c r="V199" i="35"/>
  <c r="T93" i="35"/>
  <c r="U103" i="35"/>
  <c r="S192" i="35"/>
  <c r="T102" i="35"/>
  <c r="U194" i="35"/>
  <c r="T200" i="35"/>
  <c r="V102" i="33"/>
  <c r="T200" i="33"/>
  <c r="U194" i="33"/>
  <c r="T235" i="33"/>
  <c r="V199" i="33"/>
  <c r="T93" i="33"/>
  <c r="U103" i="33"/>
  <c r="V102" i="31"/>
  <c r="T195" i="31"/>
  <c r="S200" i="31"/>
  <c r="U103" i="31"/>
  <c r="T93" i="31"/>
  <c r="R235" i="31"/>
  <c r="T199" i="31"/>
  <c r="S93" i="31"/>
  <c r="W194" i="31"/>
  <c r="U201" i="40" l="1"/>
  <c r="V195" i="40"/>
  <c r="U93" i="40"/>
  <c r="W236" i="40"/>
  <c r="Y200" i="40"/>
  <c r="U193" i="40"/>
  <c r="V103" i="40"/>
  <c r="V93" i="40"/>
  <c r="W104" i="40"/>
  <c r="X195" i="38"/>
  <c r="U236" i="38"/>
  <c r="W200" i="38"/>
  <c r="V201" i="38"/>
  <c r="U193" i="38"/>
  <c r="V103" i="38"/>
  <c r="V93" i="38"/>
  <c r="X104" i="38"/>
  <c r="W93" i="38"/>
  <c r="T236" i="37"/>
  <c r="V200" i="37"/>
  <c r="T201" i="37"/>
  <c r="U195" i="37"/>
  <c r="T93" i="37"/>
  <c r="W104" i="37"/>
  <c r="T193" i="37"/>
  <c r="U103" i="37"/>
  <c r="W195" i="36"/>
  <c r="W103" i="36"/>
  <c r="T236" i="36"/>
  <c r="V200" i="36"/>
  <c r="V201" i="36" s="1"/>
  <c r="V104" i="36"/>
  <c r="U93" i="36"/>
  <c r="U200" i="35"/>
  <c r="V194" i="35"/>
  <c r="T192" i="35"/>
  <c r="U102" i="35"/>
  <c r="U93" i="35"/>
  <c r="V103" i="35"/>
  <c r="U235" i="35"/>
  <c r="W199" i="35"/>
  <c r="U93" i="33"/>
  <c r="V103" i="33"/>
  <c r="U200" i="33"/>
  <c r="V194" i="33"/>
  <c r="U235" i="33"/>
  <c r="W199" i="33"/>
  <c r="V192" i="33"/>
  <c r="W102" i="33"/>
  <c r="U192" i="33"/>
  <c r="V103" i="31"/>
  <c r="U195" i="31"/>
  <c r="T200" i="31"/>
  <c r="S235" i="31"/>
  <c r="U199" i="31"/>
  <c r="X194" i="31"/>
  <c r="V192" i="31"/>
  <c r="W102" i="31"/>
  <c r="U192" i="31"/>
  <c r="V193" i="40" l="1"/>
  <c r="W103" i="40"/>
  <c r="X236" i="40"/>
  <c r="Z200" i="40"/>
  <c r="V201" i="40"/>
  <c r="W195" i="40"/>
  <c r="X104" i="40"/>
  <c r="W93" i="40"/>
  <c r="V236" i="38"/>
  <c r="X200" i="38"/>
  <c r="W201" i="38"/>
  <c r="V193" i="38"/>
  <c r="W103" i="38"/>
  <c r="Y104" i="38"/>
  <c r="X93" i="38"/>
  <c r="Y195" i="38"/>
  <c r="X104" i="37"/>
  <c r="U193" i="37"/>
  <c r="V103" i="37"/>
  <c r="V195" i="37"/>
  <c r="U201" i="37"/>
  <c r="U93" i="37"/>
  <c r="W200" i="37"/>
  <c r="U236" i="37"/>
  <c r="W104" i="36"/>
  <c r="V93" i="36"/>
  <c r="W193" i="36"/>
  <c r="X103" i="36"/>
  <c r="V193" i="36"/>
  <c r="U236" i="36"/>
  <c r="W200" i="36"/>
  <c r="X195" i="36"/>
  <c r="V93" i="35"/>
  <c r="W103" i="35"/>
  <c r="U192" i="35"/>
  <c r="V102" i="35"/>
  <c r="W194" i="35"/>
  <c r="V200" i="35"/>
  <c r="V235" i="35"/>
  <c r="X199" i="35"/>
  <c r="X102" i="33"/>
  <c r="V235" i="33"/>
  <c r="X199" i="33"/>
  <c r="W194" i="33"/>
  <c r="V200" i="33"/>
  <c r="W103" i="33"/>
  <c r="V93" i="33"/>
  <c r="Y194" i="31"/>
  <c r="T235" i="31"/>
  <c r="V199" i="31"/>
  <c r="V195" i="31"/>
  <c r="U200" i="31"/>
  <c r="W192" i="31"/>
  <c r="X102" i="31"/>
  <c r="W103" i="31"/>
  <c r="V93" i="31"/>
  <c r="U93" i="31"/>
  <c r="Y104" i="40" l="1"/>
  <c r="X93" i="40"/>
  <c r="X195" i="40"/>
  <c r="W201" i="40"/>
  <c r="AA200" i="40"/>
  <c r="Y236" i="40"/>
  <c r="W193" i="40"/>
  <c r="X103" i="40"/>
  <c r="Z195" i="38"/>
  <c r="Z104" i="38"/>
  <c r="W193" i="38"/>
  <c r="X103" i="38"/>
  <c r="W236" i="38"/>
  <c r="Y200" i="38"/>
  <c r="X201" i="38"/>
  <c r="V236" i="37"/>
  <c r="X200" i="37"/>
  <c r="W195" i="37"/>
  <c r="V201" i="37"/>
  <c r="V93" i="37"/>
  <c r="V193" i="37"/>
  <c r="W103" i="37"/>
  <c r="Y104" i="37"/>
  <c r="Y195" i="36"/>
  <c r="V236" i="36"/>
  <c r="X200" i="36"/>
  <c r="Y103" i="36"/>
  <c r="W201" i="36"/>
  <c r="X104" i="36"/>
  <c r="W93" i="36"/>
  <c r="W235" i="35"/>
  <c r="Y199" i="35"/>
  <c r="X194" i="35"/>
  <c r="W200" i="35"/>
  <c r="V192" i="35"/>
  <c r="W102" i="35"/>
  <c r="W93" i="35"/>
  <c r="X103" i="35"/>
  <c r="X103" i="33"/>
  <c r="W93" i="33"/>
  <c r="X194" i="33"/>
  <c r="W200" i="33"/>
  <c r="W235" i="33"/>
  <c r="Y199" i="33"/>
  <c r="X192" i="33"/>
  <c r="Y102" i="33"/>
  <c r="W192" i="33"/>
  <c r="W195" i="31"/>
  <c r="V200" i="31"/>
  <c r="U235" i="31"/>
  <c r="W199" i="31"/>
  <c r="X192" i="31"/>
  <c r="Y102" i="31"/>
  <c r="Z194" i="31"/>
  <c r="X103" i="31"/>
  <c r="Z236" i="40" l="1"/>
  <c r="AB200" i="40"/>
  <c r="Y195" i="40"/>
  <c r="X201" i="40"/>
  <c r="X193" i="40"/>
  <c r="Y103" i="40"/>
  <c r="Z104" i="40"/>
  <c r="Y93" i="40"/>
  <c r="X236" i="38"/>
  <c r="Z200" i="38"/>
  <c r="X193" i="38"/>
  <c r="Y103" i="38"/>
  <c r="AA104" i="38"/>
  <c r="Z93" i="38"/>
  <c r="Y93" i="38"/>
  <c r="Y201" i="38"/>
  <c r="AA195" i="38"/>
  <c r="Z201" i="38"/>
  <c r="Z104" i="37"/>
  <c r="W193" i="37"/>
  <c r="X103" i="37"/>
  <c r="X195" i="37"/>
  <c r="W201" i="37"/>
  <c r="W93" i="37"/>
  <c r="W236" i="37"/>
  <c r="Y200" i="37"/>
  <c r="X93" i="36"/>
  <c r="Y104" i="36"/>
  <c r="Y193" i="36"/>
  <c r="Z103" i="36"/>
  <c r="X193" i="36"/>
  <c r="W236" i="36"/>
  <c r="Y200" i="36"/>
  <c r="Y201" i="36"/>
  <c r="Z195" i="36"/>
  <c r="X201" i="36"/>
  <c r="W192" i="35"/>
  <c r="X102" i="35"/>
  <c r="Y103" i="35"/>
  <c r="X93" i="35"/>
  <c r="X200" i="35"/>
  <c r="Y194" i="35"/>
  <c r="X235" i="35"/>
  <c r="Z199" i="35"/>
  <c r="Z102" i="33"/>
  <c r="X235" i="33"/>
  <c r="Z199" i="33"/>
  <c r="X200" i="33"/>
  <c r="Y194" i="33"/>
  <c r="Y103" i="33"/>
  <c r="X93" i="33"/>
  <c r="AA194" i="31"/>
  <c r="Z102" i="31"/>
  <c r="V235" i="31"/>
  <c r="X199" i="31"/>
  <c r="Y103" i="31"/>
  <c r="X93" i="31"/>
  <c r="W93" i="31"/>
  <c r="X195" i="31"/>
  <c r="W200" i="31"/>
  <c r="AA104" i="40" l="1"/>
  <c r="Z195" i="40"/>
  <c r="Y201" i="40"/>
  <c r="Y193" i="40"/>
  <c r="Z103" i="40"/>
  <c r="AC200" i="40"/>
  <c r="AA236" i="40"/>
  <c r="AB104" i="38"/>
  <c r="Y193" i="38"/>
  <c r="Z103" i="38"/>
  <c r="Y236" i="38"/>
  <c r="AA200" i="38"/>
  <c r="AA201" i="38"/>
  <c r="AB195" i="38"/>
  <c r="X201" i="37"/>
  <c r="Y195" i="37"/>
  <c r="X93" i="37"/>
  <c r="X193" i="37"/>
  <c r="Y103" i="37"/>
  <c r="AA104" i="37"/>
  <c r="X236" i="37"/>
  <c r="Z200" i="37"/>
  <c r="AA103" i="36"/>
  <c r="Y93" i="36"/>
  <c r="Z104" i="36"/>
  <c r="X236" i="36"/>
  <c r="Z200" i="36"/>
  <c r="Z201" i="36"/>
  <c r="AA195" i="36"/>
  <c r="Y235" i="35"/>
  <c r="AA199" i="35"/>
  <c r="Z103" i="35"/>
  <c r="Y93" i="35"/>
  <c r="X192" i="35"/>
  <c r="Y102" i="35"/>
  <c r="Y200" i="35"/>
  <c r="Z194" i="35"/>
  <c r="Z103" i="33"/>
  <c r="Y93" i="33"/>
  <c r="Z194" i="33"/>
  <c r="Y200" i="33"/>
  <c r="Z192" i="33"/>
  <c r="AA102" i="33"/>
  <c r="Y235" i="33"/>
  <c r="AA199" i="33"/>
  <c r="Y192" i="33"/>
  <c r="Z103" i="31"/>
  <c r="Z192" i="31"/>
  <c r="AA102" i="31"/>
  <c r="Y192" i="31"/>
  <c r="W235" i="31"/>
  <c r="Y199" i="31"/>
  <c r="Y195" i="31"/>
  <c r="X200" i="31"/>
  <c r="AB194" i="31"/>
  <c r="AB236" i="40" l="1"/>
  <c r="AD200" i="40"/>
  <c r="Z193" i="40"/>
  <c r="AA103" i="40"/>
  <c r="AA195" i="40"/>
  <c r="Z201" i="40"/>
  <c r="AA93" i="40"/>
  <c r="AB104" i="40"/>
  <c r="Z93" i="40"/>
  <c r="Z236" i="38"/>
  <c r="AB200" i="38"/>
  <c r="AB201" i="38"/>
  <c r="AC195" i="38"/>
  <c r="Z193" i="38"/>
  <c r="AA103" i="38"/>
  <c r="AB93" i="38"/>
  <c r="AC104" i="38"/>
  <c r="AA93" i="38"/>
  <c r="AB104" i="37"/>
  <c r="Y193" i="37"/>
  <c r="Z103" i="37"/>
  <c r="Z195" i="37"/>
  <c r="Y201" i="37"/>
  <c r="Y93" i="37"/>
  <c r="AA200" i="37"/>
  <c r="Y236" i="37"/>
  <c r="AB195" i="36"/>
  <c r="AA200" i="36"/>
  <c r="Y236" i="36"/>
  <c r="Z93" i="36"/>
  <c r="AA104" i="36"/>
  <c r="AA193" i="36" s="1"/>
  <c r="AB103" i="36"/>
  <c r="Z193" i="36"/>
  <c r="Y192" i="35"/>
  <c r="Z102" i="35"/>
  <c r="Z200" i="35"/>
  <c r="AA194" i="35"/>
  <c r="AA103" i="35"/>
  <c r="Z93" i="35"/>
  <c r="Z235" i="35"/>
  <c r="AB199" i="35"/>
  <c r="Z235" i="33"/>
  <c r="AB199" i="33"/>
  <c r="AB102" i="33"/>
  <c r="Z200" i="33"/>
  <c r="AA194" i="33"/>
  <c r="AA103" i="33"/>
  <c r="Z93" i="33"/>
  <c r="Z195" i="31"/>
  <c r="Y200" i="31"/>
  <c r="X235" i="31"/>
  <c r="Z199" i="31"/>
  <c r="AA192" i="31"/>
  <c r="AB102" i="31"/>
  <c r="AC194" i="31"/>
  <c r="Y93" i="31"/>
  <c r="AA103" i="31"/>
  <c r="AB93" i="40" l="1"/>
  <c r="AC104" i="40"/>
  <c r="AB195" i="40"/>
  <c r="AA201" i="40"/>
  <c r="AA193" i="40"/>
  <c r="AB103" i="40"/>
  <c r="AC236" i="40"/>
  <c r="AE200" i="40"/>
  <c r="AA193" i="38"/>
  <c r="AB103" i="38"/>
  <c r="AD195" i="38"/>
  <c r="AD104" i="38"/>
  <c r="AC93" i="38"/>
  <c r="AA236" i="38"/>
  <c r="AC200" i="38"/>
  <c r="Z201" i="37"/>
  <c r="AA195" i="37"/>
  <c r="Z93" i="37"/>
  <c r="Z193" i="37"/>
  <c r="AA103" i="37"/>
  <c r="Z236" i="37"/>
  <c r="AB200" i="37"/>
  <c r="AC104" i="37"/>
  <c r="AA93" i="36"/>
  <c r="AB104" i="36"/>
  <c r="AB193" i="36"/>
  <c r="AC103" i="36"/>
  <c r="Z236" i="36"/>
  <c r="AB200" i="36"/>
  <c r="AB201" i="36"/>
  <c r="AC195" i="36"/>
  <c r="AA201" i="36"/>
  <c r="AB103" i="35"/>
  <c r="AA93" i="35"/>
  <c r="AA200" i="35"/>
  <c r="AB194" i="35"/>
  <c r="Z192" i="35"/>
  <c r="AA102" i="35"/>
  <c r="AA235" i="35"/>
  <c r="AC199" i="35"/>
  <c r="AA93" i="33"/>
  <c r="AB103" i="33"/>
  <c r="AA200" i="33"/>
  <c r="AB194" i="33"/>
  <c r="AB192" i="33"/>
  <c r="AC102" i="33"/>
  <c r="AA192" i="33"/>
  <c r="AA235" i="33"/>
  <c r="AC199" i="33"/>
  <c r="AC102" i="31"/>
  <c r="AA199" i="31"/>
  <c r="Y235" i="31"/>
  <c r="AD194" i="31"/>
  <c r="Z93" i="31"/>
  <c r="AA93" i="31"/>
  <c r="AB103" i="31"/>
  <c r="AA195" i="31"/>
  <c r="Z200" i="31"/>
  <c r="AD236" i="40" l="1"/>
  <c r="AF200" i="40"/>
  <c r="AB193" i="40"/>
  <c r="AC103" i="40"/>
  <c r="AB201" i="40"/>
  <c r="AC195" i="40"/>
  <c r="AC93" i="40"/>
  <c r="AD104" i="40"/>
  <c r="AB236" i="38"/>
  <c r="AD200" i="38"/>
  <c r="AE104" i="38"/>
  <c r="AD93" i="38"/>
  <c r="AD201" i="38"/>
  <c r="AE195" i="38"/>
  <c r="AC201" i="38"/>
  <c r="AB193" i="38"/>
  <c r="AC103" i="38"/>
  <c r="AA236" i="37"/>
  <c r="AC200" i="37"/>
  <c r="AA193" i="37"/>
  <c r="AB103" i="37"/>
  <c r="AA201" i="37"/>
  <c r="AB195" i="37"/>
  <c r="AA93" i="37"/>
  <c r="AD104" i="37"/>
  <c r="AD195" i="36"/>
  <c r="AA236" i="36"/>
  <c r="AC200" i="36"/>
  <c r="AD103" i="36"/>
  <c r="AC104" i="36"/>
  <c r="AC193" i="36" s="1"/>
  <c r="AB93" i="36"/>
  <c r="AB235" i="35"/>
  <c r="AD199" i="35"/>
  <c r="AA192" i="35"/>
  <c r="AB102" i="35"/>
  <c r="AB200" i="35"/>
  <c r="AC194" i="35"/>
  <c r="AB93" i="35"/>
  <c r="AC103" i="35"/>
  <c r="AD102" i="33"/>
  <c r="AB200" i="33"/>
  <c r="AC194" i="33"/>
  <c r="AB93" i="33"/>
  <c r="AC103" i="33"/>
  <c r="AD199" i="33"/>
  <c r="AB235" i="33"/>
  <c r="AE194" i="31"/>
  <c r="Z235" i="31"/>
  <c r="AB199" i="31"/>
  <c r="AB195" i="31"/>
  <c r="AA200" i="31"/>
  <c r="AC192" i="31"/>
  <c r="AD102" i="31"/>
  <c r="AC103" i="31"/>
  <c r="AB192" i="31"/>
  <c r="AC193" i="40" l="1"/>
  <c r="AD103" i="40"/>
  <c r="AC201" i="40"/>
  <c r="AD195" i="40"/>
  <c r="B200" i="40"/>
  <c r="AF236" i="40" s="1"/>
  <c r="AE236" i="40"/>
  <c r="AD93" i="40"/>
  <c r="AE104" i="40"/>
  <c r="AF195" i="38"/>
  <c r="AC236" i="38"/>
  <c r="AE200" i="38"/>
  <c r="AF104" i="38"/>
  <c r="AE93" i="38"/>
  <c r="AC193" i="38"/>
  <c r="AD103" i="38"/>
  <c r="AB201" i="37"/>
  <c r="AC195" i="37"/>
  <c r="AB93" i="37"/>
  <c r="AB193" i="37"/>
  <c r="AC103" i="37"/>
  <c r="AB236" i="37"/>
  <c r="AD200" i="37"/>
  <c r="AE104" i="37"/>
  <c r="AE103" i="36"/>
  <c r="AD104" i="36"/>
  <c r="AC93" i="36"/>
  <c r="AB236" i="36"/>
  <c r="AD200" i="36"/>
  <c r="AC201" i="36"/>
  <c r="AE195" i="36"/>
  <c r="AC93" i="35"/>
  <c r="AD103" i="35"/>
  <c r="AB192" i="35"/>
  <c r="AC102" i="35"/>
  <c r="AC235" i="35"/>
  <c r="AE199" i="35"/>
  <c r="AD194" i="35"/>
  <c r="AC200" i="35"/>
  <c r="AC235" i="33"/>
  <c r="AE199" i="33"/>
  <c r="AE102" i="33"/>
  <c r="AC93" i="33"/>
  <c r="AD103" i="33"/>
  <c r="AC200" i="33"/>
  <c r="AD194" i="33"/>
  <c r="AC192" i="33"/>
  <c r="AE102" i="31"/>
  <c r="AA235" i="31"/>
  <c r="AC199" i="31"/>
  <c r="AC93" i="31"/>
  <c r="AD103" i="31"/>
  <c r="AC195" i="31"/>
  <c r="AB200" i="31"/>
  <c r="AB93" i="31"/>
  <c r="AF194" i="31"/>
  <c r="AD201" i="40" l="1"/>
  <c r="AE195" i="40"/>
  <c r="AD193" i="40"/>
  <c r="AE103" i="40"/>
  <c r="AF104" i="40"/>
  <c r="AE93" i="40"/>
  <c r="AD193" i="38"/>
  <c r="AE103" i="38"/>
  <c r="AD236" i="38"/>
  <c r="AF200" i="38"/>
  <c r="AE201" i="38"/>
  <c r="AF201" i="38"/>
  <c r="B195" i="38"/>
  <c r="AC236" i="37"/>
  <c r="AE200" i="37"/>
  <c r="AC193" i="37"/>
  <c r="AD103" i="37"/>
  <c r="AC201" i="37"/>
  <c r="AD195" i="37"/>
  <c r="AC93" i="37"/>
  <c r="AF104" i="37"/>
  <c r="AF195" i="36"/>
  <c r="AC236" i="36"/>
  <c r="AE200" i="36"/>
  <c r="AE104" i="36"/>
  <c r="AD93" i="36"/>
  <c r="AE193" i="36"/>
  <c r="AF103" i="36"/>
  <c r="AD201" i="36"/>
  <c r="AD193" i="36"/>
  <c r="AE194" i="35"/>
  <c r="AD200" i="35"/>
  <c r="AD235" i="35"/>
  <c r="AF199" i="35"/>
  <c r="AC192" i="35"/>
  <c r="AD102" i="35"/>
  <c r="AD93" i="35"/>
  <c r="AE103" i="35"/>
  <c r="AD93" i="33"/>
  <c r="AE103" i="33"/>
  <c r="AE194" i="33"/>
  <c r="AD200" i="33"/>
  <c r="AE192" i="33"/>
  <c r="AF102" i="33"/>
  <c r="AD192" i="33"/>
  <c r="AD235" i="33"/>
  <c r="AF199" i="33"/>
  <c r="AE103" i="31"/>
  <c r="AB235" i="31"/>
  <c r="AD199" i="31"/>
  <c r="B194" i="31"/>
  <c r="AE192" i="31"/>
  <c r="AF102" i="31"/>
  <c r="AD195" i="31"/>
  <c r="AC200" i="31"/>
  <c r="AD192" i="31"/>
  <c r="B104" i="40" l="1"/>
  <c r="AE193" i="40"/>
  <c r="AF103" i="40"/>
  <c r="AE201" i="40"/>
  <c r="AF195" i="40"/>
  <c r="AE236" i="38"/>
  <c r="B200" i="38"/>
  <c r="AF236" i="38" s="1"/>
  <c r="AF93" i="38"/>
  <c r="AE193" i="38"/>
  <c r="AF103" i="38"/>
  <c r="B201" i="38"/>
  <c r="AE195" i="37"/>
  <c r="AD201" i="37"/>
  <c r="AD93" i="37"/>
  <c r="AD193" i="37"/>
  <c r="AE103" i="37"/>
  <c r="B104" i="37"/>
  <c r="AD236" i="37"/>
  <c r="AF200" i="37"/>
  <c r="B103" i="36"/>
  <c r="AF104" i="36"/>
  <c r="AE93" i="36"/>
  <c r="AD236" i="36"/>
  <c r="AF200" i="36"/>
  <c r="AE201" i="36"/>
  <c r="AF201" i="36"/>
  <c r="B195" i="36"/>
  <c r="AD192" i="35"/>
  <c r="AE102" i="35"/>
  <c r="AE93" i="35"/>
  <c r="AF103" i="35"/>
  <c r="AE235" i="35"/>
  <c r="B199" i="35"/>
  <c r="AF235" i="35" s="1"/>
  <c r="AF194" i="35"/>
  <c r="AE200" i="35"/>
  <c r="B102" i="33"/>
  <c r="AF194" i="33"/>
  <c r="AE200" i="33"/>
  <c r="AF103" i="33"/>
  <c r="AE93" i="33"/>
  <c r="AE235" i="33"/>
  <c r="B199" i="33"/>
  <c r="AF235" i="33" s="1"/>
  <c r="B102" i="31"/>
  <c r="AC235" i="31"/>
  <c r="AE199" i="31"/>
  <c r="AE93" i="31"/>
  <c r="AF103" i="31"/>
  <c r="AE195" i="31"/>
  <c r="AD200" i="31"/>
  <c r="AD93" i="31"/>
  <c r="AF193" i="40" l="1"/>
  <c r="B103" i="40"/>
  <c r="B193" i="40" s="1"/>
  <c r="AF201" i="40"/>
  <c r="B195" i="40"/>
  <c r="B201" i="40" s="1"/>
  <c r="AF93" i="40"/>
  <c r="AI93" i="38"/>
  <c r="AH93" i="38"/>
  <c r="AF193" i="38"/>
  <c r="B193" i="38"/>
  <c r="AE193" i="37"/>
  <c r="AF103" i="37"/>
  <c r="B200" i="37"/>
  <c r="AF236" i="37" s="1"/>
  <c r="AE236" i="37"/>
  <c r="AF195" i="37"/>
  <c r="AE201" i="37"/>
  <c r="AE93" i="37"/>
  <c r="AE236" i="36"/>
  <c r="B200" i="36"/>
  <c r="AF236" i="36" s="1"/>
  <c r="AF93" i="36"/>
  <c r="B104" i="36"/>
  <c r="B93" i="36" s="1"/>
  <c r="B201" i="36"/>
  <c r="AF193" i="36"/>
  <c r="AF200" i="35"/>
  <c r="B194" i="35"/>
  <c r="B200" i="35" s="1"/>
  <c r="AF93" i="35"/>
  <c r="B103" i="35"/>
  <c r="AE192" i="35"/>
  <c r="AF102" i="35"/>
  <c r="B103" i="33"/>
  <c r="AF93" i="33"/>
  <c r="AF200" i="33"/>
  <c r="B194" i="33"/>
  <c r="B200" i="33" s="1"/>
  <c r="B192" i="33"/>
  <c r="AF192" i="33"/>
  <c r="AF195" i="31"/>
  <c r="AE200" i="31"/>
  <c r="B103" i="31"/>
  <c r="B192" i="31"/>
  <c r="AD235" i="31"/>
  <c r="AF199" i="31"/>
  <c r="AF93" i="31" s="1"/>
  <c r="AF192" i="31"/>
  <c r="AH93" i="40" l="1"/>
  <c r="AI93" i="40"/>
  <c r="B93" i="40"/>
  <c r="AF201" i="37"/>
  <c r="B195" i="37"/>
  <c r="AF93" i="37"/>
  <c r="AF193" i="37"/>
  <c r="B103" i="37"/>
  <c r="B193" i="37" s="1"/>
  <c r="AI93" i="36"/>
  <c r="AH93" i="36"/>
  <c r="B193" i="36"/>
  <c r="AF192" i="35"/>
  <c r="B102" i="35"/>
  <c r="B192" i="35" s="1"/>
  <c r="AI93" i="35"/>
  <c r="AH93" i="35"/>
  <c r="AH93" i="33"/>
  <c r="AI93" i="33"/>
  <c r="AH93" i="31"/>
  <c r="AI93" i="31"/>
  <c r="B199" i="31"/>
  <c r="AF235" i="31" s="1"/>
  <c r="AE235" i="31"/>
  <c r="B195" i="31"/>
  <c r="B200" i="31" s="1"/>
  <c r="AF200" i="31"/>
  <c r="AH93" i="37" l="1"/>
  <c r="AI93" i="37"/>
  <c r="B201" i="37"/>
  <c r="L96" i="29" l="1"/>
  <c r="L95" i="29"/>
  <c r="L39" i="29"/>
  <c r="L37" i="29"/>
  <c r="K37" i="29"/>
  <c r="J95" i="29"/>
  <c r="J37" i="29"/>
  <c r="I95" i="29"/>
  <c r="I37" i="29"/>
  <c r="H95" i="29"/>
  <c r="H37" i="29"/>
  <c r="G95" i="29"/>
  <c r="G37" i="29"/>
  <c r="AI37" i="29" s="1"/>
  <c r="F95" i="29"/>
  <c r="F37" i="29"/>
  <c r="E95" i="29"/>
  <c r="E37" i="29"/>
  <c r="D95" i="29"/>
  <c r="D37" i="29"/>
  <c r="AF239" i="29"/>
  <c r="AE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A239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C235" i="29"/>
  <c r="B235" i="29"/>
  <c r="S210" i="29"/>
  <c r="AG200" i="29"/>
  <c r="C200" i="29"/>
  <c r="E199" i="29"/>
  <c r="F199" i="29" s="1"/>
  <c r="E235" i="29" s="1"/>
  <c r="D199" i="29"/>
  <c r="D198" i="29"/>
  <c r="E198" i="29" s="1"/>
  <c r="F198" i="29" s="1"/>
  <c r="G198" i="29" s="1"/>
  <c r="H198" i="29" s="1"/>
  <c r="I198" i="29" s="1"/>
  <c r="J198" i="29" s="1"/>
  <c r="K198" i="29" s="1"/>
  <c r="L198" i="29" s="1"/>
  <c r="M198" i="29" s="1"/>
  <c r="N198" i="29" s="1"/>
  <c r="O198" i="29" s="1"/>
  <c r="P198" i="29" s="1"/>
  <c r="Q198" i="29" s="1"/>
  <c r="R198" i="29" s="1"/>
  <c r="S198" i="29" s="1"/>
  <c r="T198" i="29" s="1"/>
  <c r="U198" i="29" s="1"/>
  <c r="V198" i="29" s="1"/>
  <c r="W198" i="29" s="1"/>
  <c r="X198" i="29" s="1"/>
  <c r="Y198" i="29" s="1"/>
  <c r="Z198" i="29" s="1"/>
  <c r="AA198" i="29" s="1"/>
  <c r="AB198" i="29" s="1"/>
  <c r="AC198" i="29" s="1"/>
  <c r="AD198" i="29" s="1"/>
  <c r="AE198" i="29" s="1"/>
  <c r="AF198" i="29" s="1"/>
  <c r="B198" i="29" s="1"/>
  <c r="L197" i="29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B197" i="29" s="1"/>
  <c r="D197" i="29"/>
  <c r="E197" i="29" s="1"/>
  <c r="F197" i="29" s="1"/>
  <c r="G197" i="29" s="1"/>
  <c r="H197" i="29" s="1"/>
  <c r="I197" i="29" s="1"/>
  <c r="J197" i="29" s="1"/>
  <c r="K197" i="29" s="1"/>
  <c r="D196" i="29"/>
  <c r="E196" i="29" s="1"/>
  <c r="F196" i="29" s="1"/>
  <c r="G196" i="29" s="1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B196" i="29" s="1"/>
  <c r="D195" i="29"/>
  <c r="E195" i="29" s="1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B195" i="29" s="1"/>
  <c r="E194" i="29"/>
  <c r="F194" i="29" s="1"/>
  <c r="D194" i="29"/>
  <c r="AG192" i="29"/>
  <c r="C192" i="29"/>
  <c r="D191" i="29"/>
  <c r="E191" i="29" s="1"/>
  <c r="F191" i="29" s="1"/>
  <c r="G191" i="29" s="1"/>
  <c r="H191" i="29" s="1"/>
  <c r="I191" i="29" s="1"/>
  <c r="J191" i="29" s="1"/>
  <c r="K191" i="29" s="1"/>
  <c r="L191" i="29" s="1"/>
  <c r="M191" i="29" s="1"/>
  <c r="N191" i="29" s="1"/>
  <c r="O191" i="29" s="1"/>
  <c r="P191" i="29" s="1"/>
  <c r="Q191" i="29" s="1"/>
  <c r="R191" i="29" s="1"/>
  <c r="S191" i="29" s="1"/>
  <c r="T191" i="29" s="1"/>
  <c r="U191" i="29" s="1"/>
  <c r="V191" i="29" s="1"/>
  <c r="W191" i="29" s="1"/>
  <c r="X191" i="29" s="1"/>
  <c r="Y191" i="29" s="1"/>
  <c r="Z191" i="29" s="1"/>
  <c r="AA191" i="29" s="1"/>
  <c r="AB191" i="29" s="1"/>
  <c r="AC191" i="29" s="1"/>
  <c r="AD191" i="29" s="1"/>
  <c r="AE191" i="29" s="1"/>
  <c r="AF191" i="29" s="1"/>
  <c r="B191" i="29" s="1"/>
  <c r="D190" i="29"/>
  <c r="E190" i="29" s="1"/>
  <c r="F190" i="29" s="1"/>
  <c r="G190" i="29" s="1"/>
  <c r="H190" i="29" s="1"/>
  <c r="I190" i="29" s="1"/>
  <c r="J190" i="29" s="1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B190" i="29" s="1"/>
  <c r="E189" i="29"/>
  <c r="F189" i="29" s="1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B189" i="29" s="1"/>
  <c r="D189" i="29"/>
  <c r="D188" i="29"/>
  <c r="E188" i="29" s="1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B188" i="29" s="1"/>
  <c r="D187" i="29"/>
  <c r="E187" i="29" s="1"/>
  <c r="F187" i="29" s="1"/>
  <c r="G187" i="29" s="1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B187" i="29" s="1"/>
  <c r="D186" i="29"/>
  <c r="E186" i="29" s="1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P186" i="29" s="1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B186" i="29" s="1"/>
  <c r="E185" i="29"/>
  <c r="F185" i="29" s="1"/>
  <c r="G185" i="29" s="1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B185" i="29" s="1"/>
  <c r="D185" i="29"/>
  <c r="D184" i="29"/>
  <c r="E184" i="29" s="1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B184" i="29" s="1"/>
  <c r="R183" i="29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B183" i="29" s="1"/>
  <c r="J183" i="29"/>
  <c r="K183" i="29" s="1"/>
  <c r="L183" i="29" s="1"/>
  <c r="M183" i="29" s="1"/>
  <c r="N183" i="29" s="1"/>
  <c r="O183" i="29" s="1"/>
  <c r="P183" i="29" s="1"/>
  <c r="Q183" i="29" s="1"/>
  <c r="D183" i="29"/>
  <c r="E183" i="29" s="1"/>
  <c r="F183" i="29" s="1"/>
  <c r="G183" i="29" s="1"/>
  <c r="H183" i="29" s="1"/>
  <c r="I183" i="29" s="1"/>
  <c r="E182" i="29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B182" i="29" s="1"/>
  <c r="D182" i="29"/>
  <c r="E181" i="29"/>
  <c r="F181" i="29" s="1"/>
  <c r="G181" i="29" s="1"/>
  <c r="H181" i="29" s="1"/>
  <c r="I181" i="29" s="1"/>
  <c r="J181" i="29" s="1"/>
  <c r="K181" i="29" s="1"/>
  <c r="L181" i="29" s="1"/>
  <c r="M181" i="29" s="1"/>
  <c r="N181" i="29" s="1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B181" i="29" s="1"/>
  <c r="D181" i="29"/>
  <c r="D180" i="29"/>
  <c r="E180" i="29" s="1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B180" i="29" s="1"/>
  <c r="D179" i="29"/>
  <c r="E179" i="29" s="1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B179" i="29" s="1"/>
  <c r="D177" i="29"/>
  <c r="E177" i="29" s="1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B177" i="29" s="1"/>
  <c r="D176" i="29"/>
  <c r="E176" i="29" s="1"/>
  <c r="F176" i="29" s="1"/>
  <c r="G176" i="29" s="1"/>
  <c r="H176" i="29" s="1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B176" i="29" s="1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B175" i="29" s="1"/>
  <c r="D174" i="29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B174" i="29" s="1"/>
  <c r="D173" i="29"/>
  <c r="E173" i="29" s="1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B173" i="29" s="1"/>
  <c r="R172" i="29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B172" i="29" s="1"/>
  <c r="D172" i="29"/>
  <c r="E172" i="29" s="1"/>
  <c r="F172" i="29" s="1"/>
  <c r="G172" i="29" s="1"/>
  <c r="H172" i="29" s="1"/>
  <c r="I172" i="29" s="1"/>
  <c r="J172" i="29" s="1"/>
  <c r="K172" i="29" s="1"/>
  <c r="L172" i="29" s="1"/>
  <c r="M172" i="29" s="1"/>
  <c r="N172" i="29" s="1"/>
  <c r="O172" i="29" s="1"/>
  <c r="P172" i="29" s="1"/>
  <c r="Q172" i="29" s="1"/>
  <c r="D171" i="29"/>
  <c r="E171" i="29" s="1"/>
  <c r="F171" i="29" s="1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B171" i="29" s="1"/>
  <c r="D170" i="29"/>
  <c r="E170" i="29" s="1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B170" i="29" s="1"/>
  <c r="D168" i="29"/>
  <c r="E168" i="29" s="1"/>
  <c r="F168" i="29" s="1"/>
  <c r="G168" i="29" s="1"/>
  <c r="H168" i="29" s="1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B168" i="29" s="1"/>
  <c r="L167" i="29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B167" i="29" s="1"/>
  <c r="D167" i="29"/>
  <c r="E167" i="29" s="1"/>
  <c r="F167" i="29" s="1"/>
  <c r="G167" i="29" s="1"/>
  <c r="H167" i="29" s="1"/>
  <c r="I167" i="29" s="1"/>
  <c r="J167" i="29" s="1"/>
  <c r="K167" i="29" s="1"/>
  <c r="E166" i="29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B166" i="29" s="1"/>
  <c r="D166" i="29"/>
  <c r="D165" i="29"/>
  <c r="E165" i="29" s="1"/>
  <c r="F165" i="29" s="1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B165" i="29" s="1"/>
  <c r="K164" i="29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B164" i="29" s="1"/>
  <c r="H164" i="29"/>
  <c r="I164" i="29" s="1"/>
  <c r="J164" i="29" s="1"/>
  <c r="D164" i="29"/>
  <c r="E164" i="29" s="1"/>
  <c r="F164" i="29" s="1"/>
  <c r="G164" i="29" s="1"/>
  <c r="F163" i="29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B163" i="29" s="1"/>
  <c r="D163" i="29"/>
  <c r="E163" i="29" s="1"/>
  <c r="D162" i="29"/>
  <c r="E162" i="29" s="1"/>
  <c r="F162" i="29" s="1"/>
  <c r="G162" i="29" s="1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B162" i="29" s="1"/>
  <c r="E161" i="29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B161" i="29" s="1"/>
  <c r="D161" i="29"/>
  <c r="D160" i="29"/>
  <c r="E160" i="29" s="1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B160" i="29" s="1"/>
  <c r="D159" i="29"/>
  <c r="E159" i="29" s="1"/>
  <c r="F159" i="29" s="1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B159" i="29" s="1"/>
  <c r="D158" i="29"/>
  <c r="E158" i="29" s="1"/>
  <c r="F158" i="29" s="1"/>
  <c r="G158" i="29" s="1"/>
  <c r="H158" i="29" s="1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B158" i="29" s="1"/>
  <c r="E157" i="29"/>
  <c r="F157" i="29" s="1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B157" i="29" s="1"/>
  <c r="D157" i="29"/>
  <c r="D156" i="29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B156" i="29" s="1"/>
  <c r="D154" i="29"/>
  <c r="E154" i="29" s="1"/>
  <c r="F154" i="29" s="1"/>
  <c r="G154" i="29" s="1"/>
  <c r="H154" i="29" s="1"/>
  <c r="I154" i="29" s="1"/>
  <c r="J154" i="29" s="1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B154" i="29" s="1"/>
  <c r="D153" i="29"/>
  <c r="E153" i="29" s="1"/>
  <c r="F153" i="29" s="1"/>
  <c r="G153" i="29" s="1"/>
  <c r="H153" i="29" s="1"/>
  <c r="I153" i="29" s="1"/>
  <c r="J153" i="29" s="1"/>
  <c r="K153" i="29" s="1"/>
  <c r="L153" i="29" s="1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B153" i="29" s="1"/>
  <c r="D152" i="29"/>
  <c r="E152" i="29" s="1"/>
  <c r="F152" i="29" s="1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Z152" i="29" s="1"/>
  <c r="AA152" i="29" s="1"/>
  <c r="AB152" i="29" s="1"/>
  <c r="AC152" i="29" s="1"/>
  <c r="AD152" i="29" s="1"/>
  <c r="AE152" i="29" s="1"/>
  <c r="AF152" i="29" s="1"/>
  <c r="B152" i="29" s="1"/>
  <c r="D151" i="29"/>
  <c r="E151" i="29" s="1"/>
  <c r="F151" i="29" s="1"/>
  <c r="G151" i="29" s="1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B151" i="29" s="1"/>
  <c r="D149" i="29"/>
  <c r="E149" i="29" s="1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B149" i="29" s="1"/>
  <c r="D148" i="29"/>
  <c r="E148" i="29" s="1"/>
  <c r="F148" i="29" s="1"/>
  <c r="G148" i="29" s="1"/>
  <c r="H148" i="29" s="1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B148" i="29" s="1"/>
  <c r="H146" i="29"/>
  <c r="I146" i="29" s="1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B146" i="29" s="1"/>
  <c r="D146" i="29"/>
  <c r="E146" i="29" s="1"/>
  <c r="F146" i="29" s="1"/>
  <c r="G146" i="29" s="1"/>
  <c r="D145" i="29"/>
  <c r="E145" i="29" s="1"/>
  <c r="F145" i="29" s="1"/>
  <c r="G145" i="29" s="1"/>
  <c r="H145" i="29" s="1"/>
  <c r="I145" i="29" s="1"/>
  <c r="J145" i="29" s="1"/>
  <c r="K145" i="29" s="1"/>
  <c r="L145" i="29" s="1"/>
  <c r="M145" i="29" s="1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B145" i="29" s="1"/>
  <c r="L144" i="29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B144" i="29" s="1"/>
  <c r="D144" i="29"/>
  <c r="E144" i="29" s="1"/>
  <c r="F144" i="29" s="1"/>
  <c r="G144" i="29" s="1"/>
  <c r="H144" i="29" s="1"/>
  <c r="I144" i="29" s="1"/>
  <c r="J144" i="29" s="1"/>
  <c r="K144" i="29" s="1"/>
  <c r="D143" i="29"/>
  <c r="E143" i="29" s="1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P143" i="29" s="1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B143" i="29" s="1"/>
  <c r="D142" i="29"/>
  <c r="E142" i="29" s="1"/>
  <c r="F142" i="29" s="1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B142" i="29" s="1"/>
  <c r="D141" i="29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B141" i="29" s="1"/>
  <c r="D140" i="29"/>
  <c r="E140" i="29" s="1"/>
  <c r="F140" i="29" s="1"/>
  <c r="G140" i="29" s="1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B140" i="29" s="1"/>
  <c r="D138" i="29"/>
  <c r="E138" i="29" s="1"/>
  <c r="F138" i="29" s="1"/>
  <c r="G138" i="29" s="1"/>
  <c r="H138" i="29" s="1"/>
  <c r="I138" i="29" s="1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B138" i="29" s="1"/>
  <c r="D137" i="29"/>
  <c r="E137" i="29" s="1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B137" i="29" s="1"/>
  <c r="D136" i="29"/>
  <c r="E136" i="29" s="1"/>
  <c r="F136" i="29" s="1"/>
  <c r="G136" i="29" s="1"/>
  <c r="H136" i="29" s="1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B136" i="29" s="1"/>
  <c r="E135" i="29"/>
  <c r="F135" i="29" s="1"/>
  <c r="G135" i="29" s="1"/>
  <c r="H135" i="29" s="1"/>
  <c r="I135" i="29" s="1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B135" i="29" s="1"/>
  <c r="D135" i="29"/>
  <c r="D134" i="29"/>
  <c r="E134" i="29" s="1"/>
  <c r="F134" i="29" s="1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B134" i="29" s="1"/>
  <c r="D133" i="29"/>
  <c r="E133" i="29" s="1"/>
  <c r="F133" i="29" s="1"/>
  <c r="G133" i="29" s="1"/>
  <c r="H133" i="29" s="1"/>
  <c r="I133" i="29" s="1"/>
  <c r="J133" i="29" s="1"/>
  <c r="K133" i="29" s="1"/>
  <c r="L133" i="29" s="1"/>
  <c r="M133" i="29" s="1"/>
  <c r="N133" i="29" s="1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B133" i="29" s="1"/>
  <c r="D132" i="29"/>
  <c r="E132" i="29" s="1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B132" i="29" s="1"/>
  <c r="D131" i="29"/>
  <c r="E131" i="29" s="1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B131" i="29" s="1"/>
  <c r="D129" i="29"/>
  <c r="E129" i="29" s="1"/>
  <c r="F129" i="29" s="1"/>
  <c r="G129" i="29" s="1"/>
  <c r="H129" i="29" s="1"/>
  <c r="I129" i="29" s="1"/>
  <c r="J129" i="29" s="1"/>
  <c r="K129" i="29" s="1"/>
  <c r="L129" i="29" s="1"/>
  <c r="M129" i="29" s="1"/>
  <c r="N129" i="29" s="1"/>
  <c r="O129" i="29" s="1"/>
  <c r="P129" i="29" s="1"/>
  <c r="Q129" i="29" s="1"/>
  <c r="R129" i="29" s="1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B129" i="29" s="1"/>
  <c r="D128" i="29"/>
  <c r="E128" i="29" s="1"/>
  <c r="F128" i="29" s="1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B128" i="29" s="1"/>
  <c r="D127" i="29"/>
  <c r="E127" i="29" s="1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B127" i="29" s="1"/>
  <c r="E126" i="29"/>
  <c r="F126" i="29" s="1"/>
  <c r="G126" i="29" s="1"/>
  <c r="H126" i="29" s="1"/>
  <c r="I126" i="29" s="1"/>
  <c r="J126" i="29" s="1"/>
  <c r="K126" i="29" s="1"/>
  <c r="L126" i="29" s="1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B126" i="29" s="1"/>
  <c r="D126" i="29"/>
  <c r="J125" i="29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B125" i="29" s="1"/>
  <c r="D125" i="29"/>
  <c r="E125" i="29" s="1"/>
  <c r="F125" i="29" s="1"/>
  <c r="G125" i="29" s="1"/>
  <c r="H125" i="29" s="1"/>
  <c r="D124" i="29"/>
  <c r="E124" i="29" s="1"/>
  <c r="F124" i="29" s="1"/>
  <c r="G124" i="29" s="1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B124" i="29" s="1"/>
  <c r="D123" i="29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B123" i="29" s="1"/>
  <c r="J122" i="29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B122" i="29" s="1"/>
  <c r="D122" i="29"/>
  <c r="E122" i="29" s="1"/>
  <c r="F122" i="29" s="1"/>
  <c r="G122" i="29" s="1"/>
  <c r="H122" i="29" s="1"/>
  <c r="I122" i="29" s="1"/>
  <c r="D121" i="29"/>
  <c r="E121" i="29" s="1"/>
  <c r="F121" i="29" s="1"/>
  <c r="G121" i="29" s="1"/>
  <c r="H121" i="29" s="1"/>
  <c r="I121" i="29" s="1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B121" i="29" s="1"/>
  <c r="D120" i="29"/>
  <c r="E120" i="29" s="1"/>
  <c r="F120" i="29" s="1"/>
  <c r="G120" i="29" s="1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B120" i="29" s="1"/>
  <c r="D119" i="29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B119" i="29" s="1"/>
  <c r="D118" i="29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B118" i="29" s="1"/>
  <c r="D117" i="29"/>
  <c r="E117" i="29" s="1"/>
  <c r="F117" i="29" s="1"/>
  <c r="G117" i="29" s="1"/>
  <c r="H117" i="29" s="1"/>
  <c r="I117" i="29" s="1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B117" i="29" s="1"/>
  <c r="D116" i="29"/>
  <c r="E116" i="29" s="1"/>
  <c r="F116" i="29" s="1"/>
  <c r="G116" i="29" s="1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B116" i="29" s="1"/>
  <c r="D115" i="29"/>
  <c r="E115" i="29" s="1"/>
  <c r="F115" i="29" s="1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B115" i="29" s="1"/>
  <c r="K114" i="29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B114" i="29" s="1"/>
  <c r="D114" i="29"/>
  <c r="E114" i="29" s="1"/>
  <c r="F114" i="29" s="1"/>
  <c r="G114" i="29" s="1"/>
  <c r="H114" i="29" s="1"/>
  <c r="I114" i="29" s="1"/>
  <c r="D113" i="29"/>
  <c r="E113" i="29" s="1"/>
  <c r="F113" i="29" s="1"/>
  <c r="G113" i="29" s="1"/>
  <c r="H113" i="29" s="1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B113" i="29" s="1"/>
  <c r="D112" i="29"/>
  <c r="E112" i="29" s="1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B112" i="29" s="1"/>
  <c r="D110" i="29"/>
  <c r="E110" i="29" s="1"/>
  <c r="F110" i="29" s="1"/>
  <c r="G110" i="29" s="1"/>
  <c r="H110" i="29" s="1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B110" i="29" s="1"/>
  <c r="D109" i="29"/>
  <c r="E109" i="29" s="1"/>
  <c r="F109" i="29" s="1"/>
  <c r="G109" i="29" s="1"/>
  <c r="H109" i="29" s="1"/>
  <c r="I109" i="29" s="1"/>
  <c r="J109" i="29" s="1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B109" i="29" s="1"/>
  <c r="D107" i="29"/>
  <c r="E107" i="29" s="1"/>
  <c r="F107" i="29" s="1"/>
  <c r="G107" i="29" s="1"/>
  <c r="H107" i="29" s="1"/>
  <c r="I107" i="29" s="1"/>
  <c r="J107" i="29" s="1"/>
  <c r="K107" i="29" s="1"/>
  <c r="L107" i="29" s="1"/>
  <c r="M107" i="29" s="1"/>
  <c r="N107" i="29" s="1"/>
  <c r="O107" i="29" s="1"/>
  <c r="P107" i="29" s="1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B107" i="29" s="1"/>
  <c r="D106" i="29"/>
  <c r="E106" i="29" s="1"/>
  <c r="F106" i="29" s="1"/>
  <c r="G106" i="29" s="1"/>
  <c r="H106" i="29" s="1"/>
  <c r="I106" i="29" s="1"/>
  <c r="J106" i="29" s="1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B106" i="29" s="1"/>
  <c r="D105" i="29"/>
  <c r="E105" i="29" s="1"/>
  <c r="F105" i="29" s="1"/>
  <c r="G105" i="29" s="1"/>
  <c r="H105" i="29" s="1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B105" i="29" s="1"/>
  <c r="D104" i="29"/>
  <c r="E104" i="29" s="1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B104" i="29" s="1"/>
  <c r="D103" i="29"/>
  <c r="E103" i="29" s="1"/>
  <c r="D102" i="29"/>
  <c r="AH100" i="29"/>
  <c r="AI100" i="29" s="1"/>
  <c r="AH99" i="29"/>
  <c r="AI99" i="29" s="1"/>
  <c r="AH98" i="29"/>
  <c r="AI98" i="29" s="1"/>
  <c r="AH97" i="29"/>
  <c r="AI97" i="29" s="1"/>
  <c r="AH96" i="29"/>
  <c r="AI96" i="29" s="1"/>
  <c r="AH95" i="29"/>
  <c r="AI95" i="29" s="1"/>
  <c r="AH94" i="29"/>
  <c r="AI94" i="29" s="1"/>
  <c r="C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I82" i="29"/>
  <c r="AH82" i="29"/>
  <c r="AG82" i="29"/>
  <c r="AI81" i="29"/>
  <c r="AH81" i="29"/>
  <c r="AI80" i="29"/>
  <c r="AH80" i="29"/>
  <c r="AI79" i="29"/>
  <c r="AH79" i="29"/>
  <c r="AI78" i="29"/>
  <c r="AH78" i="29"/>
  <c r="AI77" i="29"/>
  <c r="AH77" i="29"/>
  <c r="AI76" i="29"/>
  <c r="AH76" i="29"/>
  <c r="AI74" i="29"/>
  <c r="AH74" i="29"/>
  <c r="AI73" i="29"/>
  <c r="AH73" i="29"/>
  <c r="AI72" i="29"/>
  <c r="AH72" i="29"/>
  <c r="AG72" i="29"/>
  <c r="AI71" i="29"/>
  <c r="AH71" i="29"/>
  <c r="AI70" i="29"/>
  <c r="AH70" i="29"/>
  <c r="AI69" i="29"/>
  <c r="AH69" i="29"/>
  <c r="AG68" i="29"/>
  <c r="AF68" i="29"/>
  <c r="AE68" i="29"/>
  <c r="AD5" i="29" s="1"/>
  <c r="AD68" i="29"/>
  <c r="AC5" i="29" s="1"/>
  <c r="AC68" i="29"/>
  <c r="AB5" i="29" s="1"/>
  <c r="AB68" i="29"/>
  <c r="AA5" i="29" s="1"/>
  <c r="AA68" i="29"/>
  <c r="Z5" i="29" s="1"/>
  <c r="Z68" i="29"/>
  <c r="Y68" i="29"/>
  <c r="X68" i="29"/>
  <c r="W68" i="29"/>
  <c r="V68" i="29"/>
  <c r="U68" i="29"/>
  <c r="T5" i="29" s="1"/>
  <c r="T68" i="29"/>
  <c r="S5" i="29" s="1"/>
  <c r="S68" i="29"/>
  <c r="R5" i="29" s="1"/>
  <c r="R68" i="29"/>
  <c r="Q68" i="29"/>
  <c r="P68" i="29"/>
  <c r="O5" i="29" s="1"/>
  <c r="O68" i="29"/>
  <c r="N68" i="29"/>
  <c r="M68" i="29"/>
  <c r="L5" i="29" s="1"/>
  <c r="L68" i="29"/>
  <c r="K5" i="29" s="1"/>
  <c r="K68" i="29"/>
  <c r="J5" i="29" s="1"/>
  <c r="J68" i="29"/>
  <c r="I5" i="29" s="1"/>
  <c r="I68" i="29"/>
  <c r="H5" i="29" s="1"/>
  <c r="H68" i="29"/>
  <c r="G5" i="29" s="1"/>
  <c r="G68" i="29"/>
  <c r="F5" i="29" s="1"/>
  <c r="F68" i="29"/>
  <c r="E5" i="29" s="1"/>
  <c r="E68" i="29"/>
  <c r="D5" i="29" s="1"/>
  <c r="D68" i="29"/>
  <c r="C5" i="29" s="1"/>
  <c r="C68" i="29"/>
  <c r="B5" i="29" s="1"/>
  <c r="B68" i="29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AI55" i="29"/>
  <c r="AH55" i="29"/>
  <c r="AI54" i="29"/>
  <c r="AH54" i="29"/>
  <c r="AI53" i="29"/>
  <c r="AH53" i="29"/>
  <c r="AG52" i="29"/>
  <c r="AG3" i="29" s="1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AI51" i="29"/>
  <c r="AH51" i="29"/>
  <c r="AG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G2" i="29" s="1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F5" i="29"/>
  <c r="AE5" i="29"/>
  <c r="Y5" i="29"/>
  <c r="X5" i="29"/>
  <c r="W5" i="29"/>
  <c r="V5" i="29"/>
  <c r="U5" i="29"/>
  <c r="Q5" i="29"/>
  <c r="P5" i="29"/>
  <c r="N5" i="29"/>
  <c r="M5" i="29"/>
  <c r="AG4" i="29"/>
  <c r="K4" i="29"/>
  <c r="B4" i="29"/>
  <c r="Y37" i="28"/>
  <c r="X37" i="28"/>
  <c r="W37" i="28"/>
  <c r="V37" i="28"/>
  <c r="T37" i="28"/>
  <c r="U37" i="28"/>
  <c r="E4" i="29"/>
  <c r="AE75" i="29" l="1"/>
  <c r="AE7" i="29" s="1"/>
  <c r="D235" i="29"/>
  <c r="AF75" i="29"/>
  <c r="AF83" i="29" s="1"/>
  <c r="AH37" i="29"/>
  <c r="Z75" i="29"/>
  <c r="AR214" i="29" s="1"/>
  <c r="AB75" i="29"/>
  <c r="Y75" i="29"/>
  <c r="AQ214" i="29" s="1"/>
  <c r="X75" i="29"/>
  <c r="X83" i="29" s="1"/>
  <c r="W75" i="29"/>
  <c r="W7" i="29" s="1"/>
  <c r="U75" i="29"/>
  <c r="U7" i="29" s="1"/>
  <c r="R75" i="29"/>
  <c r="R7" i="29" s="1"/>
  <c r="Q75" i="29"/>
  <c r="Q83" i="29" s="1"/>
  <c r="P75" i="29"/>
  <c r="P83" i="29" s="1"/>
  <c r="O75" i="29"/>
  <c r="O83" i="29" s="1"/>
  <c r="N75" i="29"/>
  <c r="K75" i="29"/>
  <c r="AC214" i="29" s="1"/>
  <c r="J75" i="29"/>
  <c r="J83" i="29" s="1"/>
  <c r="I75" i="29"/>
  <c r="AA214" i="29" s="1"/>
  <c r="H75" i="29"/>
  <c r="Z214" i="29" s="1"/>
  <c r="AH56" i="29"/>
  <c r="G75" i="29"/>
  <c r="G7" i="29" s="1"/>
  <c r="AH52" i="29"/>
  <c r="AI56" i="29"/>
  <c r="AI52" i="29"/>
  <c r="B75" i="29"/>
  <c r="B83" i="29" s="1"/>
  <c r="H4" i="29"/>
  <c r="I7" i="29"/>
  <c r="D192" i="29"/>
  <c r="E102" i="29"/>
  <c r="L75" i="29"/>
  <c r="AX214" i="29"/>
  <c r="AF7" i="29"/>
  <c r="AH68" i="29"/>
  <c r="M75" i="29"/>
  <c r="AA75" i="29"/>
  <c r="H83" i="29"/>
  <c r="D93" i="29"/>
  <c r="AW214" i="29"/>
  <c r="AE83" i="29"/>
  <c r="AI68" i="29"/>
  <c r="C75" i="29"/>
  <c r="E93" i="29"/>
  <c r="D75" i="29"/>
  <c r="AC75" i="29"/>
  <c r="F103" i="29"/>
  <c r="S211" i="29"/>
  <c r="D211" i="29"/>
  <c r="AG6" i="29"/>
  <c r="AG73" i="29"/>
  <c r="AG83" i="29" s="1"/>
  <c r="E75" i="29"/>
  <c r="S75" i="29"/>
  <c r="AG75" i="29"/>
  <c r="AM214" i="29"/>
  <c r="U83" i="29"/>
  <c r="AI38" i="29"/>
  <c r="AH38" i="29"/>
  <c r="F75" i="29"/>
  <c r="V75" i="29"/>
  <c r="AD75" i="29"/>
  <c r="T75" i="29"/>
  <c r="E200" i="29"/>
  <c r="G194" i="29"/>
  <c r="F200" i="29"/>
  <c r="G199" i="29"/>
  <c r="D200" i="29"/>
  <c r="Y83" i="29" l="1"/>
  <c r="Y7" i="29"/>
  <c r="Z83" i="29"/>
  <c r="Z7" i="29"/>
  <c r="AO214" i="29"/>
  <c r="W83" i="29"/>
  <c r="Y214" i="29"/>
  <c r="P7" i="29"/>
  <c r="H7" i="29"/>
  <c r="I83" i="29"/>
  <c r="AT214" i="29"/>
  <c r="AB7" i="29"/>
  <c r="AB83" i="29"/>
  <c r="X7" i="29"/>
  <c r="AP214" i="29"/>
  <c r="K83" i="29"/>
  <c r="K7" i="29"/>
  <c r="AB214" i="29"/>
  <c r="J7" i="29"/>
  <c r="R83" i="29"/>
  <c r="AJ214" i="29"/>
  <c r="AI214" i="29"/>
  <c r="Q7" i="29"/>
  <c r="AH214" i="29"/>
  <c r="O7" i="29"/>
  <c r="AG214" i="29"/>
  <c r="G83" i="29"/>
  <c r="B209" i="29"/>
  <c r="AH75" i="29"/>
  <c r="T214" i="29"/>
  <c r="B7" i="29"/>
  <c r="V214" i="29"/>
  <c r="D7" i="29"/>
  <c r="D83" i="29"/>
  <c r="U214" i="29"/>
  <c r="C7" i="29"/>
  <c r="C83" i="29"/>
  <c r="AE214" i="29"/>
  <c r="M83" i="29"/>
  <c r="M7" i="29"/>
  <c r="C209" i="29"/>
  <c r="K6" i="29" s="1"/>
  <c r="W214" i="29"/>
  <c r="E83" i="29"/>
  <c r="E7" i="29"/>
  <c r="E192" i="29"/>
  <c r="F102" i="29"/>
  <c r="AU214" i="29"/>
  <c r="AC83" i="29"/>
  <c r="AC7" i="29"/>
  <c r="AI75" i="29"/>
  <c r="AL214" i="29"/>
  <c r="T83" i="29"/>
  <c r="T7" i="29"/>
  <c r="AS214" i="29"/>
  <c r="AA7" i="29"/>
  <c r="AA83" i="29"/>
  <c r="AN214" i="29"/>
  <c r="V83" i="29"/>
  <c r="V7" i="29"/>
  <c r="AV214" i="29"/>
  <c r="AD83" i="29"/>
  <c r="AD7" i="29"/>
  <c r="AF214" i="29"/>
  <c r="N83" i="29"/>
  <c r="N7" i="29"/>
  <c r="G103" i="29"/>
  <c r="F93" i="29"/>
  <c r="AD214" i="29"/>
  <c r="L83" i="29"/>
  <c r="L7" i="29"/>
  <c r="G200" i="29"/>
  <c r="H194" i="29"/>
  <c r="F235" i="29"/>
  <c r="H199" i="29"/>
  <c r="X214" i="29"/>
  <c r="F83" i="29"/>
  <c r="F7" i="29"/>
  <c r="AK214" i="29"/>
  <c r="S7" i="29"/>
  <c r="S83" i="29"/>
  <c r="A7" i="29" l="1"/>
  <c r="AI83" i="29"/>
  <c r="I194" i="29"/>
  <c r="H200" i="29"/>
  <c r="H103" i="29"/>
  <c r="G93" i="29"/>
  <c r="AH83" i="29"/>
  <c r="G235" i="29"/>
  <c r="I199" i="29"/>
  <c r="F192" i="29"/>
  <c r="G102" i="29"/>
  <c r="I200" i="29" l="1"/>
  <c r="J194" i="29"/>
  <c r="I103" i="29"/>
  <c r="H93" i="29"/>
  <c r="G192" i="29"/>
  <c r="H102" i="29"/>
  <c r="H235" i="29"/>
  <c r="J199" i="29"/>
  <c r="H192" i="29" l="1"/>
  <c r="I102" i="29"/>
  <c r="J103" i="29"/>
  <c r="I93" i="29"/>
  <c r="J200" i="29"/>
  <c r="K194" i="29"/>
  <c r="K199" i="29"/>
  <c r="I235" i="29"/>
  <c r="J235" i="29" l="1"/>
  <c r="L199" i="29"/>
  <c r="K200" i="29"/>
  <c r="L194" i="29"/>
  <c r="K103" i="29"/>
  <c r="J93" i="29"/>
  <c r="I192" i="29"/>
  <c r="J102" i="29"/>
  <c r="L200" i="29" l="1"/>
  <c r="M194" i="29"/>
  <c r="K93" i="29"/>
  <c r="L103" i="29"/>
  <c r="M199" i="29"/>
  <c r="K235" i="29"/>
  <c r="J192" i="29"/>
  <c r="K102" i="29"/>
  <c r="L235" i="29" l="1"/>
  <c r="N199" i="29"/>
  <c r="L93" i="29"/>
  <c r="M103" i="29"/>
  <c r="K192" i="29"/>
  <c r="L102" i="29"/>
  <c r="M200" i="29"/>
  <c r="N194" i="29"/>
  <c r="L192" i="29" l="1"/>
  <c r="M102" i="29"/>
  <c r="O194" i="29"/>
  <c r="N200" i="29"/>
  <c r="M93" i="29"/>
  <c r="N103" i="29"/>
  <c r="M235" i="29"/>
  <c r="O199" i="29"/>
  <c r="O200" i="29" l="1"/>
  <c r="P194" i="29"/>
  <c r="M192" i="29"/>
  <c r="N102" i="29"/>
  <c r="N235" i="29"/>
  <c r="P199" i="29"/>
  <c r="O103" i="29"/>
  <c r="N93" i="29"/>
  <c r="P103" i="29" l="1"/>
  <c r="O93" i="29"/>
  <c r="O235" i="29"/>
  <c r="Q199" i="29"/>
  <c r="N192" i="29"/>
  <c r="O102" i="29"/>
  <c r="Q194" i="29"/>
  <c r="P200" i="29"/>
  <c r="Q200" i="29" l="1"/>
  <c r="R194" i="29"/>
  <c r="O192" i="29"/>
  <c r="P102" i="29"/>
  <c r="P235" i="29"/>
  <c r="R199" i="29"/>
  <c r="Q103" i="29"/>
  <c r="P93" i="29"/>
  <c r="R103" i="29" l="1"/>
  <c r="Q93" i="29"/>
  <c r="S199" i="29"/>
  <c r="Q235" i="29"/>
  <c r="P192" i="29"/>
  <c r="Q102" i="29"/>
  <c r="R200" i="29"/>
  <c r="S194" i="29"/>
  <c r="S37" i="28"/>
  <c r="R37" i="28"/>
  <c r="Q37" i="28"/>
  <c r="P37" i="28"/>
  <c r="O37" i="28"/>
  <c r="N37" i="28"/>
  <c r="M37" i="28"/>
  <c r="L95" i="28"/>
  <c r="L37" i="28"/>
  <c r="K37" i="28"/>
  <c r="J95" i="28"/>
  <c r="J37" i="28"/>
  <c r="I95" i="28"/>
  <c r="I37" i="28"/>
  <c r="H95" i="28"/>
  <c r="H37" i="28"/>
  <c r="G95" i="28"/>
  <c r="AH95" i="28" s="1"/>
  <c r="AI95" i="28" s="1"/>
  <c r="G37" i="28"/>
  <c r="F95" i="28"/>
  <c r="E52" i="28"/>
  <c r="E56" i="28"/>
  <c r="E68" i="28"/>
  <c r="F37" i="28"/>
  <c r="E95" i="28"/>
  <c r="E37" i="28"/>
  <c r="AI37" i="28" s="1"/>
  <c r="D95" i="28"/>
  <c r="D37" i="28"/>
  <c r="C95" i="28"/>
  <c r="C37" i="28"/>
  <c r="B95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E239" i="28"/>
  <c r="D239" i="28"/>
  <c r="C239" i="28"/>
  <c r="B239" i="28"/>
  <c r="A239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C235" i="28"/>
  <c r="B235" i="28"/>
  <c r="S210" i="28"/>
  <c r="AG200" i="28"/>
  <c r="C200" i="28"/>
  <c r="D199" i="28"/>
  <c r="E199" i="28" s="1"/>
  <c r="D198" i="28"/>
  <c r="E198" i="28" s="1"/>
  <c r="F198" i="28" s="1"/>
  <c r="G198" i="28" s="1"/>
  <c r="H198" i="28" s="1"/>
  <c r="I198" i="28" s="1"/>
  <c r="J198" i="28" s="1"/>
  <c r="K198" i="28" s="1"/>
  <c r="L198" i="28" s="1"/>
  <c r="M198" i="28" s="1"/>
  <c r="N198" i="28" s="1"/>
  <c r="O198" i="28" s="1"/>
  <c r="P198" i="28" s="1"/>
  <c r="Q198" i="28" s="1"/>
  <c r="R198" i="28" s="1"/>
  <c r="S198" i="28" s="1"/>
  <c r="T198" i="28" s="1"/>
  <c r="U198" i="28" s="1"/>
  <c r="V198" i="28" s="1"/>
  <c r="W198" i="28" s="1"/>
  <c r="X198" i="28" s="1"/>
  <c r="Y198" i="28" s="1"/>
  <c r="Z198" i="28" s="1"/>
  <c r="AA198" i="28" s="1"/>
  <c r="AB198" i="28" s="1"/>
  <c r="AC198" i="28" s="1"/>
  <c r="AD198" i="28" s="1"/>
  <c r="AE198" i="28" s="1"/>
  <c r="AF198" i="28" s="1"/>
  <c r="B198" i="28" s="1"/>
  <c r="H197" i="28"/>
  <c r="I197" i="28" s="1"/>
  <c r="J197" i="28" s="1"/>
  <c r="K197" i="28" s="1"/>
  <c r="L197" i="28" s="1"/>
  <c r="M197" i="28" s="1"/>
  <c r="N197" i="28" s="1"/>
  <c r="O197" i="28" s="1"/>
  <c r="P197" i="28" s="1"/>
  <c r="Q197" i="28" s="1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B197" i="28" s="1"/>
  <c r="D197" i="28"/>
  <c r="E197" i="28" s="1"/>
  <c r="F197" i="28" s="1"/>
  <c r="G197" i="28" s="1"/>
  <c r="D196" i="28"/>
  <c r="E196" i="28" s="1"/>
  <c r="F196" i="28" s="1"/>
  <c r="G196" i="28" s="1"/>
  <c r="H196" i="28" s="1"/>
  <c r="I196" i="28" s="1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B196" i="28" s="1"/>
  <c r="D195" i="28"/>
  <c r="E195" i="28" s="1"/>
  <c r="F195" i="28" s="1"/>
  <c r="G195" i="28" s="1"/>
  <c r="H195" i="28" s="1"/>
  <c r="I195" i="28" s="1"/>
  <c r="J195" i="28" s="1"/>
  <c r="K195" i="28" s="1"/>
  <c r="L195" i="28" s="1"/>
  <c r="M195" i="28" s="1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B195" i="28" s="1"/>
  <c r="D194" i="28"/>
  <c r="AG192" i="28"/>
  <c r="C192" i="28"/>
  <c r="G191" i="28"/>
  <c r="H191" i="28" s="1"/>
  <c r="I191" i="28" s="1"/>
  <c r="J191" i="28" s="1"/>
  <c r="K191" i="28" s="1"/>
  <c r="L191" i="28" s="1"/>
  <c r="M191" i="28" s="1"/>
  <c r="N191" i="28" s="1"/>
  <c r="O191" i="28" s="1"/>
  <c r="P191" i="28" s="1"/>
  <c r="Q191" i="28" s="1"/>
  <c r="R191" i="28" s="1"/>
  <c r="S191" i="28" s="1"/>
  <c r="T191" i="28" s="1"/>
  <c r="U191" i="28" s="1"/>
  <c r="V191" i="28" s="1"/>
  <c r="W191" i="28" s="1"/>
  <c r="X191" i="28" s="1"/>
  <c r="Y191" i="28" s="1"/>
  <c r="Z191" i="28" s="1"/>
  <c r="AA191" i="28" s="1"/>
  <c r="AB191" i="28" s="1"/>
  <c r="AC191" i="28" s="1"/>
  <c r="AD191" i="28" s="1"/>
  <c r="AE191" i="28" s="1"/>
  <c r="AF191" i="28" s="1"/>
  <c r="B191" i="28" s="1"/>
  <c r="D191" i="28"/>
  <c r="E191" i="28" s="1"/>
  <c r="F191" i="28" s="1"/>
  <c r="D190" i="28"/>
  <c r="E190" i="28" s="1"/>
  <c r="F190" i="28" s="1"/>
  <c r="G190" i="28" s="1"/>
  <c r="H190" i="28" s="1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B190" i="28" s="1"/>
  <c r="D189" i="28"/>
  <c r="E189" i="28" s="1"/>
  <c r="F189" i="28" s="1"/>
  <c r="G189" i="28" s="1"/>
  <c r="H189" i="28" s="1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B189" i="28" s="1"/>
  <c r="D188" i="28"/>
  <c r="E188" i="28" s="1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B188" i="28" s="1"/>
  <c r="D187" i="28"/>
  <c r="E187" i="28" s="1"/>
  <c r="F187" i="28" s="1"/>
  <c r="G187" i="28" s="1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B187" i="28" s="1"/>
  <c r="D186" i="28"/>
  <c r="E186" i="28" s="1"/>
  <c r="F186" i="28" s="1"/>
  <c r="G186" i="28" s="1"/>
  <c r="H186" i="28" s="1"/>
  <c r="I186" i="28" s="1"/>
  <c r="J186" i="28" s="1"/>
  <c r="K186" i="28" s="1"/>
  <c r="L186" i="28" s="1"/>
  <c r="M186" i="28" s="1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B186" i="28" s="1"/>
  <c r="D185" i="28"/>
  <c r="E185" i="28" s="1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B185" i="28" s="1"/>
  <c r="D184" i="28"/>
  <c r="E184" i="28" s="1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B184" i="28" s="1"/>
  <c r="D183" i="28"/>
  <c r="E183" i="28" s="1"/>
  <c r="F183" i="28" s="1"/>
  <c r="G183" i="28" s="1"/>
  <c r="H183" i="28" s="1"/>
  <c r="I183" i="28" s="1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B183" i="28" s="1"/>
  <c r="D182" i="28"/>
  <c r="E182" i="28" s="1"/>
  <c r="F182" i="28" s="1"/>
  <c r="G182" i="28" s="1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B182" i="28" s="1"/>
  <c r="E181" i="28"/>
  <c r="F181" i="28" s="1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B181" i="28" s="1"/>
  <c r="D181" i="28"/>
  <c r="D180" i="28"/>
  <c r="E180" i="28" s="1"/>
  <c r="F180" i="28" s="1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B180" i="28" s="1"/>
  <c r="E179" i="28"/>
  <c r="F179" i="28" s="1"/>
  <c r="G179" i="28" s="1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B179" i="28" s="1"/>
  <c r="D179" i="28"/>
  <c r="D177" i="28"/>
  <c r="E177" i="28" s="1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B177" i="28" s="1"/>
  <c r="D176" i="28"/>
  <c r="E176" i="28" s="1"/>
  <c r="F176" i="28" s="1"/>
  <c r="G176" i="28" s="1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B176" i="28" s="1"/>
  <c r="G175" i="28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B175" i="28" s="1"/>
  <c r="D175" i="28"/>
  <c r="E175" i="28" s="1"/>
  <c r="F175" i="28" s="1"/>
  <c r="D174" i="28"/>
  <c r="E174" i="28" s="1"/>
  <c r="F174" i="28" s="1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B174" i="28" s="1"/>
  <c r="D173" i="28"/>
  <c r="E173" i="28" s="1"/>
  <c r="F173" i="28" s="1"/>
  <c r="G173" i="28" s="1"/>
  <c r="H173" i="28" s="1"/>
  <c r="I173" i="28" s="1"/>
  <c r="J173" i="28" s="1"/>
  <c r="K173" i="28" s="1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B173" i="28" s="1"/>
  <c r="P172" i="28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B172" i="28" s="1"/>
  <c r="D172" i="28"/>
  <c r="E172" i="28" s="1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D171" i="28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B171" i="28" s="1"/>
  <c r="D170" i="28"/>
  <c r="E170" i="28" s="1"/>
  <c r="F170" i="28" s="1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V170" i="28" s="1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B170" i="28" s="1"/>
  <c r="E168" i="28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B168" i="28" s="1"/>
  <c r="D168" i="28"/>
  <c r="E167" i="28"/>
  <c r="F167" i="28" s="1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B167" i="28" s="1"/>
  <c r="D167" i="28"/>
  <c r="E166" i="28"/>
  <c r="F166" i="28" s="1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B166" i="28" s="1"/>
  <c r="D166" i="28"/>
  <c r="G165" i="28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B165" i="28" s="1"/>
  <c r="E165" i="28"/>
  <c r="F165" i="28" s="1"/>
  <c r="D165" i="28"/>
  <c r="E164" i="28"/>
  <c r="F164" i="28" s="1"/>
  <c r="G164" i="28" s="1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S164" i="28" s="1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B164" i="28" s="1"/>
  <c r="D164" i="28"/>
  <c r="D163" i="28"/>
  <c r="E163" i="28" s="1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Q163" i="28" s="1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B163" i="28" s="1"/>
  <c r="K162" i="28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B162" i="28" s="1"/>
  <c r="E162" i="28"/>
  <c r="F162" i="28" s="1"/>
  <c r="G162" i="28" s="1"/>
  <c r="H162" i="28" s="1"/>
  <c r="I162" i="28" s="1"/>
  <c r="J162" i="28" s="1"/>
  <c r="D162" i="28"/>
  <c r="D161" i="28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B161" i="28" s="1"/>
  <c r="E160" i="28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B160" i="28" s="1"/>
  <c r="D160" i="28"/>
  <c r="E159" i="28"/>
  <c r="F159" i="28" s="1"/>
  <c r="G159" i="28" s="1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B159" i="28" s="1"/>
  <c r="D159" i="28"/>
  <c r="E158" i="28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B158" i="28" s="1"/>
  <c r="D158" i="28"/>
  <c r="D157" i="28"/>
  <c r="E157" i="28" s="1"/>
  <c r="F157" i="28" s="1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B157" i="28" s="1"/>
  <c r="L156" i="28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B156" i="28" s="1"/>
  <c r="E156" i="28"/>
  <c r="F156" i="28" s="1"/>
  <c r="G156" i="28" s="1"/>
  <c r="H156" i="28" s="1"/>
  <c r="I156" i="28" s="1"/>
  <c r="J156" i="28" s="1"/>
  <c r="K156" i="28" s="1"/>
  <c r="D156" i="28"/>
  <c r="Q154" i="28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B154" i="28" s="1"/>
  <c r="D154" i="28"/>
  <c r="E154" i="28" s="1"/>
  <c r="F154" i="28" s="1"/>
  <c r="G154" i="28" s="1"/>
  <c r="H154" i="28" s="1"/>
  <c r="I154" i="28" s="1"/>
  <c r="J154" i="28" s="1"/>
  <c r="K154" i="28" s="1"/>
  <c r="L154" i="28" s="1"/>
  <c r="M154" i="28" s="1"/>
  <c r="N154" i="28" s="1"/>
  <c r="O154" i="28" s="1"/>
  <c r="P154" i="28" s="1"/>
  <c r="D153" i="28"/>
  <c r="E153" i="28" s="1"/>
  <c r="F153" i="28" s="1"/>
  <c r="G153" i="28" s="1"/>
  <c r="H153" i="28" s="1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B153" i="28" s="1"/>
  <c r="M152" i="28"/>
  <c r="N152" i="28" s="1"/>
  <c r="O152" i="28" s="1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B152" i="28" s="1"/>
  <c r="E152" i="28"/>
  <c r="F152" i="28" s="1"/>
  <c r="G152" i="28" s="1"/>
  <c r="H152" i="28" s="1"/>
  <c r="I152" i="28" s="1"/>
  <c r="J152" i="28" s="1"/>
  <c r="K152" i="28" s="1"/>
  <c r="L152" i="28" s="1"/>
  <c r="D152" i="28"/>
  <c r="F151" i="28"/>
  <c r="G151" i="28" s="1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B151" i="28" s="1"/>
  <c r="D151" i="28"/>
  <c r="E151" i="28" s="1"/>
  <c r="I149" i="28"/>
  <c r="J149" i="28" s="1"/>
  <c r="K149" i="28" s="1"/>
  <c r="L149" i="28" s="1"/>
  <c r="M149" i="28" s="1"/>
  <c r="N149" i="28" s="1"/>
  <c r="O149" i="28" s="1"/>
  <c r="P149" i="28" s="1"/>
  <c r="Q149" i="28" s="1"/>
  <c r="R149" i="28" s="1"/>
  <c r="S149" i="28" s="1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B149" i="28" s="1"/>
  <c r="D149" i="28"/>
  <c r="E149" i="28" s="1"/>
  <c r="F149" i="28" s="1"/>
  <c r="G149" i="28" s="1"/>
  <c r="H149" i="28" s="1"/>
  <c r="K148" i="28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B148" i="28" s="1"/>
  <c r="D148" i="28"/>
  <c r="E148" i="28" s="1"/>
  <c r="F148" i="28" s="1"/>
  <c r="G148" i="28" s="1"/>
  <c r="H148" i="28" s="1"/>
  <c r="I148" i="28" s="1"/>
  <c r="J148" i="28" s="1"/>
  <c r="D146" i="28"/>
  <c r="E146" i="28" s="1"/>
  <c r="F146" i="28" s="1"/>
  <c r="G146" i="28" s="1"/>
  <c r="H146" i="28" s="1"/>
  <c r="I146" i="28" s="1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B146" i="28" s="1"/>
  <c r="D145" i="28"/>
  <c r="E145" i="28" s="1"/>
  <c r="F145" i="28" s="1"/>
  <c r="G145" i="28" s="1"/>
  <c r="H145" i="28" s="1"/>
  <c r="I145" i="28" s="1"/>
  <c r="J145" i="28" s="1"/>
  <c r="K145" i="28" s="1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B145" i="28" s="1"/>
  <c r="D144" i="28"/>
  <c r="E144" i="28" s="1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B144" i="28" s="1"/>
  <c r="X143" i="28"/>
  <c r="Y143" i="28" s="1"/>
  <c r="Z143" i="28" s="1"/>
  <c r="AA143" i="28" s="1"/>
  <c r="AB143" i="28" s="1"/>
  <c r="AC143" i="28" s="1"/>
  <c r="AD143" i="28" s="1"/>
  <c r="AE143" i="28" s="1"/>
  <c r="AF143" i="28" s="1"/>
  <c r="B143" i="28" s="1"/>
  <c r="E143" i="28"/>
  <c r="F143" i="28" s="1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D143" i="28"/>
  <c r="D142" i="28"/>
  <c r="E142" i="28" s="1"/>
  <c r="F142" i="28" s="1"/>
  <c r="G142" i="28" s="1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B142" i="28" s="1"/>
  <c r="D141" i="28"/>
  <c r="E141" i="28" s="1"/>
  <c r="F141" i="28" s="1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B141" i="28" s="1"/>
  <c r="D140" i="28"/>
  <c r="E140" i="28" s="1"/>
  <c r="F140" i="28" s="1"/>
  <c r="G140" i="28" s="1"/>
  <c r="H140" i="28" s="1"/>
  <c r="I140" i="28" s="1"/>
  <c r="J140" i="28" s="1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B140" i="28" s="1"/>
  <c r="L138" i="28"/>
  <c r="M138" i="28" s="1"/>
  <c r="N138" i="28" s="1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B138" i="28" s="1"/>
  <c r="E138" i="28"/>
  <c r="F138" i="28" s="1"/>
  <c r="G138" i="28" s="1"/>
  <c r="H138" i="28" s="1"/>
  <c r="I138" i="28" s="1"/>
  <c r="J138" i="28" s="1"/>
  <c r="K138" i="28" s="1"/>
  <c r="D138" i="28"/>
  <c r="D137" i="28"/>
  <c r="E137" i="28" s="1"/>
  <c r="F137" i="28" s="1"/>
  <c r="G137" i="28" s="1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B137" i="28" s="1"/>
  <c r="D136" i="28"/>
  <c r="E136" i="28" s="1"/>
  <c r="F136" i="28" s="1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B136" i="28" s="1"/>
  <c r="L135" i="28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B135" i="28" s="1"/>
  <c r="F135" i="28"/>
  <c r="G135" i="28" s="1"/>
  <c r="H135" i="28" s="1"/>
  <c r="I135" i="28" s="1"/>
  <c r="J135" i="28" s="1"/>
  <c r="K135" i="28" s="1"/>
  <c r="D135" i="28"/>
  <c r="E135" i="28" s="1"/>
  <c r="D134" i="28"/>
  <c r="E134" i="28" s="1"/>
  <c r="F134" i="28" s="1"/>
  <c r="G134" i="28" s="1"/>
  <c r="H134" i="28" s="1"/>
  <c r="I134" i="28" s="1"/>
  <c r="J134" i="28" s="1"/>
  <c r="K134" i="28" s="1"/>
  <c r="L134" i="28" s="1"/>
  <c r="M134" i="28" s="1"/>
  <c r="N134" i="28" s="1"/>
  <c r="O134" i="28" s="1"/>
  <c r="P134" i="28" s="1"/>
  <c r="Q134" i="28" s="1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B134" i="28" s="1"/>
  <c r="H133" i="28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B133" i="28" s="1"/>
  <c r="D133" i="28"/>
  <c r="E133" i="28" s="1"/>
  <c r="F133" i="28" s="1"/>
  <c r="G133" i="28" s="1"/>
  <c r="F132" i="28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B132" i="28" s="1"/>
  <c r="D132" i="28"/>
  <c r="E132" i="28" s="1"/>
  <c r="H131" i="28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B131" i="28" s="1"/>
  <c r="D131" i="28"/>
  <c r="E131" i="28" s="1"/>
  <c r="F131" i="28" s="1"/>
  <c r="G131" i="28" s="1"/>
  <c r="F129" i="28"/>
  <c r="G129" i="28" s="1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B129" i="28" s="1"/>
  <c r="D129" i="28"/>
  <c r="E129" i="28" s="1"/>
  <c r="J128" i="28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B128" i="28" s="1"/>
  <c r="D128" i="28"/>
  <c r="E128" i="28" s="1"/>
  <c r="F128" i="28" s="1"/>
  <c r="G128" i="28" s="1"/>
  <c r="H128" i="28" s="1"/>
  <c r="I128" i="28" s="1"/>
  <c r="R127" i="28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B127" i="28" s="1"/>
  <c r="N127" i="28"/>
  <c r="O127" i="28" s="1"/>
  <c r="P127" i="28" s="1"/>
  <c r="Q127" i="28" s="1"/>
  <c r="H127" i="28"/>
  <c r="I127" i="28" s="1"/>
  <c r="J127" i="28" s="1"/>
  <c r="K127" i="28" s="1"/>
  <c r="L127" i="28" s="1"/>
  <c r="M127" i="28" s="1"/>
  <c r="D127" i="28"/>
  <c r="E127" i="28" s="1"/>
  <c r="F127" i="28" s="1"/>
  <c r="G127" i="28" s="1"/>
  <c r="D126" i="28"/>
  <c r="E126" i="28" s="1"/>
  <c r="F126" i="28" s="1"/>
  <c r="G126" i="28" s="1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B126" i="28" s="1"/>
  <c r="J125" i="28"/>
  <c r="K125" i="28" s="1"/>
  <c r="L125" i="28" s="1"/>
  <c r="M125" i="28" s="1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B125" i="28" s="1"/>
  <c r="D125" i="28"/>
  <c r="E125" i="28" s="1"/>
  <c r="F125" i="28" s="1"/>
  <c r="G125" i="28" s="1"/>
  <c r="H125" i="28" s="1"/>
  <c r="D124" i="28"/>
  <c r="E124" i="28" s="1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B124" i="28" s="1"/>
  <c r="D123" i="28"/>
  <c r="E123" i="28" s="1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B123" i="28" s="1"/>
  <c r="E122" i="28"/>
  <c r="F122" i="28" s="1"/>
  <c r="G122" i="28" s="1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B122" i="28" s="1"/>
  <c r="D122" i="28"/>
  <c r="E121" i="28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B121" i="28" s="1"/>
  <c r="D121" i="28"/>
  <c r="G120" i="28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B120" i="28" s="1"/>
  <c r="D120" i="28"/>
  <c r="E120" i="28" s="1"/>
  <c r="F120" i="28" s="1"/>
  <c r="D119" i="28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O119" i="28" s="1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B119" i="28" s="1"/>
  <c r="D118" i="28"/>
  <c r="E118" i="28" s="1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B118" i="28" s="1"/>
  <c r="E117" i="28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B117" i="28" s="1"/>
  <c r="D117" i="28"/>
  <c r="D116" i="28"/>
  <c r="E116" i="28" s="1"/>
  <c r="F116" i="28" s="1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B116" i="28" s="1"/>
  <c r="D115" i="28"/>
  <c r="E115" i="28" s="1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B115" i="28" s="1"/>
  <c r="K114" i="28"/>
  <c r="L114" i="28" s="1"/>
  <c r="M114" i="28" s="1"/>
  <c r="N114" i="28" s="1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B114" i="28" s="1"/>
  <c r="D114" i="28"/>
  <c r="E114" i="28" s="1"/>
  <c r="F114" i="28" s="1"/>
  <c r="G114" i="28" s="1"/>
  <c r="H114" i="28" s="1"/>
  <c r="I114" i="28" s="1"/>
  <c r="E113" i="28"/>
  <c r="F113" i="28" s="1"/>
  <c r="G113" i="28" s="1"/>
  <c r="H113" i="28" s="1"/>
  <c r="I113" i="28" s="1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B113" i="28" s="1"/>
  <c r="D113" i="28"/>
  <c r="E112" i="28"/>
  <c r="F112" i="28" s="1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B112" i="28" s="1"/>
  <c r="D112" i="28"/>
  <c r="F110" i="28"/>
  <c r="G110" i="28" s="1"/>
  <c r="H110" i="28" s="1"/>
  <c r="I110" i="28" s="1"/>
  <c r="J110" i="28" s="1"/>
  <c r="K110" i="28" s="1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B110" i="28" s="1"/>
  <c r="D110" i="28"/>
  <c r="E110" i="28" s="1"/>
  <c r="D109" i="28"/>
  <c r="E109" i="28" s="1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B109" i="28" s="1"/>
  <c r="D107" i="28"/>
  <c r="E107" i="28" s="1"/>
  <c r="F107" i="28" s="1"/>
  <c r="G107" i="28" s="1"/>
  <c r="H107" i="28" s="1"/>
  <c r="I107" i="28" s="1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B107" i="28" s="1"/>
  <c r="D106" i="28"/>
  <c r="E106" i="28" s="1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B106" i="28" s="1"/>
  <c r="H105" i="28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B105" i="28" s="1"/>
  <c r="F105" i="28"/>
  <c r="G105" i="28" s="1"/>
  <c r="D105" i="28"/>
  <c r="E105" i="28" s="1"/>
  <c r="F104" i="28"/>
  <c r="G104" i="28" s="1"/>
  <c r="H104" i="28" s="1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B104" i="28" s="1"/>
  <c r="D104" i="28"/>
  <c r="E104" i="28" s="1"/>
  <c r="E103" i="28"/>
  <c r="F103" i="28" s="1"/>
  <c r="D103" i="28"/>
  <c r="E102" i="28"/>
  <c r="D102" i="28"/>
  <c r="AH100" i="28"/>
  <c r="AI100" i="28" s="1"/>
  <c r="AH99" i="28"/>
  <c r="AI99" i="28" s="1"/>
  <c r="AH98" i="28"/>
  <c r="AI98" i="28" s="1"/>
  <c r="AH97" i="28"/>
  <c r="AI97" i="28" s="1"/>
  <c r="AH96" i="28"/>
  <c r="AI96" i="28" s="1"/>
  <c r="AH94" i="28"/>
  <c r="AI94" i="28" s="1"/>
  <c r="C93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2" i="28"/>
  <c r="AH82" i="28"/>
  <c r="AG82" i="28"/>
  <c r="AI81" i="28"/>
  <c r="AH81" i="28"/>
  <c r="AI80" i="28"/>
  <c r="AH80" i="28"/>
  <c r="AI79" i="28"/>
  <c r="AH79" i="28"/>
  <c r="AI78" i="28"/>
  <c r="AH78" i="28"/>
  <c r="AI77" i="28"/>
  <c r="AH77" i="28"/>
  <c r="AI76" i="28"/>
  <c r="AH76" i="28"/>
  <c r="AI74" i="28"/>
  <c r="AH74" i="28"/>
  <c r="AI73" i="28"/>
  <c r="AH73" i="28"/>
  <c r="AI72" i="28"/>
  <c r="AH72" i="28"/>
  <c r="AG72" i="28"/>
  <c r="AI71" i="28"/>
  <c r="AH71" i="28"/>
  <c r="AI70" i="28"/>
  <c r="AH70" i="28"/>
  <c r="AI69" i="28"/>
  <c r="AH69" i="28"/>
  <c r="AG68" i="28"/>
  <c r="AF68" i="28"/>
  <c r="AE5" i="28" s="1"/>
  <c r="AE68" i="28"/>
  <c r="AD5" i="28" s="1"/>
  <c r="AD68" i="28"/>
  <c r="AC5" i="28" s="1"/>
  <c r="AC68" i="28"/>
  <c r="AB5" i="28" s="1"/>
  <c r="AB68" i="28"/>
  <c r="AA5" i="28" s="1"/>
  <c r="AA68" i="28"/>
  <c r="Z68" i="28"/>
  <c r="Y5" i="28" s="1"/>
  <c r="Y68" i="28"/>
  <c r="X68" i="28"/>
  <c r="W5" i="28" s="1"/>
  <c r="W68" i="28"/>
  <c r="V5" i="28" s="1"/>
  <c r="V68" i="28"/>
  <c r="U5" i="28" s="1"/>
  <c r="U68" i="28"/>
  <c r="T68" i="28"/>
  <c r="S68" i="28"/>
  <c r="S75" i="28" s="1"/>
  <c r="R68" i="28"/>
  <c r="Q5" i="28" s="1"/>
  <c r="Q68" i="28"/>
  <c r="P5" i="28" s="1"/>
  <c r="P68" i="28"/>
  <c r="O5" i="28" s="1"/>
  <c r="O68" i="28"/>
  <c r="N5" i="28" s="1"/>
  <c r="N68" i="28"/>
  <c r="M5" i="28" s="1"/>
  <c r="M68" i="28"/>
  <c r="L68" i="28"/>
  <c r="K5" i="28" s="1"/>
  <c r="K68" i="28"/>
  <c r="J5" i="28" s="1"/>
  <c r="J68" i="28"/>
  <c r="I68" i="28"/>
  <c r="H68" i="28"/>
  <c r="G5" i="28" s="1"/>
  <c r="G68" i="28"/>
  <c r="F5" i="28" s="1"/>
  <c r="F68" i="28"/>
  <c r="E5" i="28" s="1"/>
  <c r="D5" i="28"/>
  <c r="D68" i="28"/>
  <c r="C5" i="28" s="1"/>
  <c r="C68" i="28"/>
  <c r="B5" i="28" s="1"/>
  <c r="B68" i="28"/>
  <c r="AF5" i="28" s="1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G4" i="28" s="1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D56" i="28"/>
  <c r="C56" i="28"/>
  <c r="B56" i="28"/>
  <c r="AI55" i="28"/>
  <c r="AH55" i="28"/>
  <c r="AI54" i="28"/>
  <c r="AH54" i="28"/>
  <c r="AI53" i="28"/>
  <c r="AH53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D52" i="28"/>
  <c r="C52" i="28"/>
  <c r="B52" i="28"/>
  <c r="AI51" i="28"/>
  <c r="AH51" i="28"/>
  <c r="AG51" i="28"/>
  <c r="AG52" i="28" s="1"/>
  <c r="AG3" i="28" s="1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X5" i="28"/>
  <c r="T5" i="28"/>
  <c r="S5" i="28"/>
  <c r="L5" i="28"/>
  <c r="I5" i="28"/>
  <c r="H5" i="28"/>
  <c r="K4" i="28"/>
  <c r="B4" i="28"/>
  <c r="AG2" i="28"/>
  <c r="AF95" i="27"/>
  <c r="AF37" i="27"/>
  <c r="AE95" i="27"/>
  <c r="AE37" i="27"/>
  <c r="AD95" i="27"/>
  <c r="AD37" i="27"/>
  <c r="AC95" i="27"/>
  <c r="AC37" i="27"/>
  <c r="AB95" i="27"/>
  <c r="AB37" i="27"/>
  <c r="AA37" i="27"/>
  <c r="Z37" i="27"/>
  <c r="Y37" i="27"/>
  <c r="X37" i="27"/>
  <c r="W37" i="27"/>
  <c r="V37" i="27"/>
  <c r="T37" i="27"/>
  <c r="S37" i="27"/>
  <c r="R59" i="27"/>
  <c r="Q59" i="27"/>
  <c r="R95" i="27"/>
  <c r="Q95" i="27"/>
  <c r="R37" i="27"/>
  <c r="Q37" i="27"/>
  <c r="P95" i="27"/>
  <c r="P37" i="27"/>
  <c r="O95" i="27"/>
  <c r="L95" i="27"/>
  <c r="M95" i="27"/>
  <c r="N95" i="27"/>
  <c r="O37" i="27"/>
  <c r="M37" i="27"/>
  <c r="N37" i="27"/>
  <c r="L37" i="27"/>
  <c r="K95" i="27"/>
  <c r="K37" i="27"/>
  <c r="J95" i="27"/>
  <c r="J37" i="27"/>
  <c r="I95" i="27"/>
  <c r="I37" i="27"/>
  <c r="H95" i="27"/>
  <c r="H37" i="27"/>
  <c r="G95" i="27"/>
  <c r="G37" i="27"/>
  <c r="F95" i="27"/>
  <c r="F37" i="27"/>
  <c r="E95" i="27"/>
  <c r="E37" i="27"/>
  <c r="D95" i="27"/>
  <c r="D37" i="27"/>
  <c r="C95" i="27"/>
  <c r="C37" i="27"/>
  <c r="B95" i="27"/>
  <c r="B37" i="27"/>
  <c r="B93" i="27"/>
  <c r="B68" i="27"/>
  <c r="B56" i="27"/>
  <c r="B52" i="27"/>
  <c r="B38" i="27"/>
  <c r="AF239" i="27"/>
  <c r="AE239" i="27"/>
  <c r="AD239" i="27"/>
  <c r="AC239" i="27"/>
  <c r="AB239" i="27"/>
  <c r="AA239" i="27"/>
  <c r="Z239" i="27"/>
  <c r="Y239" i="27"/>
  <c r="X239" i="27"/>
  <c r="W239" i="27"/>
  <c r="V239" i="27"/>
  <c r="U239" i="27"/>
  <c r="T239" i="27"/>
  <c r="S239" i="27"/>
  <c r="R239" i="27"/>
  <c r="Q239" i="27"/>
  <c r="P239" i="27"/>
  <c r="O239" i="27"/>
  <c r="N239" i="27"/>
  <c r="M239" i="27"/>
  <c r="L239" i="27"/>
  <c r="K239" i="27"/>
  <c r="J239" i="27"/>
  <c r="I239" i="27"/>
  <c r="H239" i="27"/>
  <c r="G239" i="27"/>
  <c r="F239" i="27"/>
  <c r="E239" i="27"/>
  <c r="D239" i="27"/>
  <c r="C239" i="27"/>
  <c r="B239" i="27"/>
  <c r="A239" i="27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B235" i="27"/>
  <c r="S210" i="27"/>
  <c r="AG200" i="27"/>
  <c r="C200" i="27"/>
  <c r="D199" i="27"/>
  <c r="C235" i="27" s="1"/>
  <c r="H198" i="27"/>
  <c r="I198" i="27" s="1"/>
  <c r="J198" i="27" s="1"/>
  <c r="K198" i="27" s="1"/>
  <c r="L198" i="27" s="1"/>
  <c r="M198" i="27" s="1"/>
  <c r="N198" i="27" s="1"/>
  <c r="O198" i="27" s="1"/>
  <c r="P198" i="27" s="1"/>
  <c r="Q198" i="27" s="1"/>
  <c r="R198" i="27" s="1"/>
  <c r="S198" i="27" s="1"/>
  <c r="T198" i="27" s="1"/>
  <c r="U198" i="27" s="1"/>
  <c r="V198" i="27" s="1"/>
  <c r="W198" i="27" s="1"/>
  <c r="X198" i="27" s="1"/>
  <c r="Y198" i="27" s="1"/>
  <c r="Z198" i="27" s="1"/>
  <c r="AA198" i="27" s="1"/>
  <c r="AB198" i="27" s="1"/>
  <c r="AC198" i="27" s="1"/>
  <c r="AD198" i="27" s="1"/>
  <c r="AE198" i="27" s="1"/>
  <c r="AF198" i="27" s="1"/>
  <c r="B198" i="27" s="1"/>
  <c r="F198" i="27"/>
  <c r="G198" i="27" s="1"/>
  <c r="E198" i="27"/>
  <c r="D198" i="27"/>
  <c r="M197" i="27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B197" i="27" s="1"/>
  <c r="E197" i="27"/>
  <c r="F197" i="27" s="1"/>
  <c r="G197" i="27" s="1"/>
  <c r="H197" i="27" s="1"/>
  <c r="I197" i="27" s="1"/>
  <c r="J197" i="27" s="1"/>
  <c r="K197" i="27" s="1"/>
  <c r="L197" i="27" s="1"/>
  <c r="D197" i="27"/>
  <c r="D196" i="27"/>
  <c r="J195" i="27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B195" i="27" s="1"/>
  <c r="I195" i="27"/>
  <c r="H195" i="27"/>
  <c r="G195" i="27"/>
  <c r="F195" i="27"/>
  <c r="E195" i="27"/>
  <c r="D195" i="27"/>
  <c r="F194" i="27"/>
  <c r="E194" i="27"/>
  <c r="D194" i="27"/>
  <c r="AG192" i="27"/>
  <c r="C192" i="27"/>
  <c r="G191" i="27"/>
  <c r="H191" i="27" s="1"/>
  <c r="I191" i="27" s="1"/>
  <c r="J191" i="27" s="1"/>
  <c r="K191" i="27" s="1"/>
  <c r="L191" i="27" s="1"/>
  <c r="M191" i="27" s="1"/>
  <c r="N191" i="27" s="1"/>
  <c r="O191" i="27" s="1"/>
  <c r="P191" i="27" s="1"/>
  <c r="Q191" i="27" s="1"/>
  <c r="R191" i="27" s="1"/>
  <c r="S191" i="27" s="1"/>
  <c r="T191" i="27" s="1"/>
  <c r="U191" i="27" s="1"/>
  <c r="V191" i="27" s="1"/>
  <c r="W191" i="27" s="1"/>
  <c r="X191" i="27" s="1"/>
  <c r="Y191" i="27" s="1"/>
  <c r="Z191" i="27" s="1"/>
  <c r="AA191" i="27" s="1"/>
  <c r="AB191" i="27" s="1"/>
  <c r="AC191" i="27" s="1"/>
  <c r="AD191" i="27" s="1"/>
  <c r="AE191" i="27" s="1"/>
  <c r="AF191" i="27" s="1"/>
  <c r="B191" i="27" s="1"/>
  <c r="F191" i="27"/>
  <c r="D191" i="27"/>
  <c r="E191" i="27" s="1"/>
  <c r="L190" i="27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B190" i="27" s="1"/>
  <c r="D190" i="27"/>
  <c r="E190" i="27" s="1"/>
  <c r="F190" i="27" s="1"/>
  <c r="G190" i="27" s="1"/>
  <c r="H190" i="27" s="1"/>
  <c r="I190" i="27" s="1"/>
  <c r="J190" i="27" s="1"/>
  <c r="K190" i="27" s="1"/>
  <c r="R189" i="27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B189" i="27" s="1"/>
  <c r="H189" i="27"/>
  <c r="I189" i="27" s="1"/>
  <c r="J189" i="27" s="1"/>
  <c r="K189" i="27" s="1"/>
  <c r="L189" i="27" s="1"/>
  <c r="M189" i="27" s="1"/>
  <c r="N189" i="27" s="1"/>
  <c r="O189" i="27" s="1"/>
  <c r="P189" i="27" s="1"/>
  <c r="Q189" i="27" s="1"/>
  <c r="D189" i="27"/>
  <c r="E189" i="27" s="1"/>
  <c r="F189" i="27" s="1"/>
  <c r="G189" i="27" s="1"/>
  <c r="W188" i="27"/>
  <c r="X188" i="27" s="1"/>
  <c r="Y188" i="27" s="1"/>
  <c r="Z188" i="27" s="1"/>
  <c r="AA188" i="27" s="1"/>
  <c r="AB188" i="27" s="1"/>
  <c r="AC188" i="27" s="1"/>
  <c r="AD188" i="27" s="1"/>
  <c r="AE188" i="27" s="1"/>
  <c r="AF188" i="27" s="1"/>
  <c r="B188" i="27" s="1"/>
  <c r="N188" i="27"/>
  <c r="O188" i="27" s="1"/>
  <c r="P188" i="27" s="1"/>
  <c r="Q188" i="27" s="1"/>
  <c r="R188" i="27" s="1"/>
  <c r="S188" i="27" s="1"/>
  <c r="T188" i="27" s="1"/>
  <c r="U188" i="27" s="1"/>
  <c r="V188" i="27" s="1"/>
  <c r="F188" i="27"/>
  <c r="G188" i="27" s="1"/>
  <c r="H188" i="27" s="1"/>
  <c r="I188" i="27" s="1"/>
  <c r="J188" i="27" s="1"/>
  <c r="K188" i="27" s="1"/>
  <c r="L188" i="27" s="1"/>
  <c r="M188" i="27" s="1"/>
  <c r="E188" i="27"/>
  <c r="D188" i="27"/>
  <c r="W187" i="27"/>
  <c r="X187" i="27" s="1"/>
  <c r="Y187" i="27" s="1"/>
  <c r="Z187" i="27" s="1"/>
  <c r="AA187" i="27" s="1"/>
  <c r="AB187" i="27" s="1"/>
  <c r="AC187" i="27" s="1"/>
  <c r="AD187" i="27" s="1"/>
  <c r="AE187" i="27" s="1"/>
  <c r="AF187" i="27" s="1"/>
  <c r="B187" i="27" s="1"/>
  <c r="E187" i="27"/>
  <c r="F187" i="27" s="1"/>
  <c r="G187" i="27" s="1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D187" i="27"/>
  <c r="K186" i="27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B186" i="27" s="1"/>
  <c r="D186" i="27"/>
  <c r="E186" i="27" s="1"/>
  <c r="F186" i="27" s="1"/>
  <c r="G186" i="27" s="1"/>
  <c r="H186" i="27" s="1"/>
  <c r="I186" i="27" s="1"/>
  <c r="J186" i="27" s="1"/>
  <c r="O185" i="27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B185" i="27" s="1"/>
  <c r="K185" i="27"/>
  <c r="L185" i="27" s="1"/>
  <c r="M185" i="27" s="1"/>
  <c r="N185" i="27" s="1"/>
  <c r="G185" i="27"/>
  <c r="H185" i="27" s="1"/>
  <c r="I185" i="27" s="1"/>
  <c r="J185" i="27" s="1"/>
  <c r="D185" i="27"/>
  <c r="E185" i="27" s="1"/>
  <c r="F185" i="27" s="1"/>
  <c r="Y184" i="27"/>
  <c r="Z184" i="27" s="1"/>
  <c r="AA184" i="27" s="1"/>
  <c r="AB184" i="27" s="1"/>
  <c r="AC184" i="27" s="1"/>
  <c r="AD184" i="27" s="1"/>
  <c r="AE184" i="27" s="1"/>
  <c r="AF184" i="27" s="1"/>
  <c r="B184" i="27" s="1"/>
  <c r="G184" i="27"/>
  <c r="H184" i="27" s="1"/>
  <c r="I184" i="27" s="1"/>
  <c r="J184" i="27" s="1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F184" i="27"/>
  <c r="E184" i="27"/>
  <c r="D184" i="27"/>
  <c r="W183" i="27"/>
  <c r="X183" i="27" s="1"/>
  <c r="Y183" i="27" s="1"/>
  <c r="Z183" i="27" s="1"/>
  <c r="AA183" i="27" s="1"/>
  <c r="AB183" i="27" s="1"/>
  <c r="AC183" i="27" s="1"/>
  <c r="AD183" i="27" s="1"/>
  <c r="AE183" i="27" s="1"/>
  <c r="AF183" i="27" s="1"/>
  <c r="B183" i="27" s="1"/>
  <c r="E183" i="27"/>
  <c r="F183" i="27" s="1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D183" i="27"/>
  <c r="Q182" i="27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B182" i="27" s="1"/>
  <c r="K182" i="27"/>
  <c r="L182" i="27" s="1"/>
  <c r="M182" i="27" s="1"/>
  <c r="N182" i="27" s="1"/>
  <c r="O182" i="27" s="1"/>
  <c r="P182" i="27" s="1"/>
  <c r="D182" i="27"/>
  <c r="E182" i="27" s="1"/>
  <c r="F182" i="27" s="1"/>
  <c r="G182" i="27" s="1"/>
  <c r="H182" i="27" s="1"/>
  <c r="I182" i="27" s="1"/>
  <c r="J182" i="27" s="1"/>
  <c r="W181" i="27"/>
  <c r="X181" i="27" s="1"/>
  <c r="Y181" i="27" s="1"/>
  <c r="Z181" i="27" s="1"/>
  <c r="AA181" i="27" s="1"/>
  <c r="AB181" i="27" s="1"/>
  <c r="AC181" i="27" s="1"/>
  <c r="AD181" i="27" s="1"/>
  <c r="AE181" i="27" s="1"/>
  <c r="AF181" i="27" s="1"/>
  <c r="B181" i="27" s="1"/>
  <c r="O181" i="27"/>
  <c r="P181" i="27" s="1"/>
  <c r="Q181" i="27" s="1"/>
  <c r="R181" i="27" s="1"/>
  <c r="S181" i="27" s="1"/>
  <c r="T181" i="27" s="1"/>
  <c r="U181" i="27" s="1"/>
  <c r="V181" i="27" s="1"/>
  <c r="F181" i="27"/>
  <c r="G181" i="27" s="1"/>
  <c r="H181" i="27" s="1"/>
  <c r="I181" i="27" s="1"/>
  <c r="J181" i="27" s="1"/>
  <c r="K181" i="27" s="1"/>
  <c r="L181" i="27" s="1"/>
  <c r="M181" i="27" s="1"/>
  <c r="N181" i="27" s="1"/>
  <c r="E181" i="27"/>
  <c r="D181" i="27"/>
  <c r="E180" i="27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B180" i="27" s="1"/>
  <c r="D180" i="27"/>
  <c r="R179" i="27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B179" i="27" s="1"/>
  <c r="J179" i="27"/>
  <c r="K179" i="27" s="1"/>
  <c r="L179" i="27" s="1"/>
  <c r="M179" i="27" s="1"/>
  <c r="N179" i="27" s="1"/>
  <c r="O179" i="27" s="1"/>
  <c r="P179" i="27" s="1"/>
  <c r="Q179" i="27" s="1"/>
  <c r="F179" i="27"/>
  <c r="G179" i="27" s="1"/>
  <c r="H179" i="27" s="1"/>
  <c r="I179" i="27" s="1"/>
  <c r="D179" i="27"/>
  <c r="E179" i="27" s="1"/>
  <c r="R177" i="27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B177" i="27" s="1"/>
  <c r="Q177" i="27"/>
  <c r="K177" i="27"/>
  <c r="L177" i="27" s="1"/>
  <c r="M177" i="27" s="1"/>
  <c r="N177" i="27" s="1"/>
  <c r="O177" i="27" s="1"/>
  <c r="P177" i="27" s="1"/>
  <c r="E177" i="27"/>
  <c r="F177" i="27" s="1"/>
  <c r="G177" i="27" s="1"/>
  <c r="H177" i="27" s="1"/>
  <c r="I177" i="27" s="1"/>
  <c r="J177" i="27" s="1"/>
  <c r="D177" i="27"/>
  <c r="E176" i="27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P176" i="27" s="1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B176" i="27" s="1"/>
  <c r="D176" i="27"/>
  <c r="U175" i="27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G175" i="27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F175" i="27"/>
  <c r="D175" i="27"/>
  <c r="E175" i="27" s="1"/>
  <c r="B175" i="27"/>
  <c r="R174" i="27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B174" i="27" s="1"/>
  <c r="E174" i="27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D174" i="27"/>
  <c r="F173" i="27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B173" i="27" s="1"/>
  <c r="E173" i="27"/>
  <c r="D173" i="27"/>
  <c r="P172" i="27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B172" i="27" s="1"/>
  <c r="D172" i="27"/>
  <c r="E172" i="27" s="1"/>
  <c r="F172" i="27" s="1"/>
  <c r="G172" i="27" s="1"/>
  <c r="H172" i="27" s="1"/>
  <c r="I172" i="27" s="1"/>
  <c r="J172" i="27" s="1"/>
  <c r="K172" i="27" s="1"/>
  <c r="L172" i="27" s="1"/>
  <c r="M172" i="27" s="1"/>
  <c r="N172" i="27" s="1"/>
  <c r="O172" i="27" s="1"/>
  <c r="W171" i="27"/>
  <c r="X171" i="27" s="1"/>
  <c r="Y171" i="27" s="1"/>
  <c r="Z171" i="27" s="1"/>
  <c r="AA171" i="27" s="1"/>
  <c r="AB171" i="27" s="1"/>
  <c r="AC171" i="27" s="1"/>
  <c r="AD171" i="27" s="1"/>
  <c r="AE171" i="27" s="1"/>
  <c r="AF171" i="27" s="1"/>
  <c r="B171" i="27" s="1"/>
  <c r="N171" i="27"/>
  <c r="O171" i="27" s="1"/>
  <c r="P171" i="27" s="1"/>
  <c r="Q171" i="27" s="1"/>
  <c r="R171" i="27" s="1"/>
  <c r="S171" i="27" s="1"/>
  <c r="T171" i="27" s="1"/>
  <c r="U171" i="27" s="1"/>
  <c r="V171" i="27" s="1"/>
  <c r="J171" i="27"/>
  <c r="K171" i="27" s="1"/>
  <c r="L171" i="27" s="1"/>
  <c r="M171" i="27" s="1"/>
  <c r="I171" i="27"/>
  <c r="E171" i="27"/>
  <c r="F171" i="27" s="1"/>
  <c r="G171" i="27" s="1"/>
  <c r="H171" i="27" s="1"/>
  <c r="D171" i="27"/>
  <c r="T170" i="27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B170" i="27" s="1"/>
  <c r="K170" i="27"/>
  <c r="L170" i="27" s="1"/>
  <c r="M170" i="27" s="1"/>
  <c r="N170" i="27" s="1"/>
  <c r="O170" i="27" s="1"/>
  <c r="P170" i="27" s="1"/>
  <c r="Q170" i="27" s="1"/>
  <c r="R170" i="27" s="1"/>
  <c r="S170" i="27" s="1"/>
  <c r="H170" i="27"/>
  <c r="I170" i="27" s="1"/>
  <c r="J170" i="27" s="1"/>
  <c r="E170" i="27"/>
  <c r="F170" i="27" s="1"/>
  <c r="G170" i="27" s="1"/>
  <c r="D170" i="27"/>
  <c r="S168" i="27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B168" i="27" s="1"/>
  <c r="J168" i="27"/>
  <c r="K168" i="27" s="1"/>
  <c r="L168" i="27" s="1"/>
  <c r="M168" i="27" s="1"/>
  <c r="N168" i="27" s="1"/>
  <c r="O168" i="27" s="1"/>
  <c r="P168" i="27" s="1"/>
  <c r="Q168" i="27" s="1"/>
  <c r="R168" i="27" s="1"/>
  <c r="F168" i="27"/>
  <c r="G168" i="27" s="1"/>
  <c r="H168" i="27" s="1"/>
  <c r="I168" i="27" s="1"/>
  <c r="E168" i="27"/>
  <c r="D168" i="27"/>
  <c r="Q167" i="27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B167" i="27" s="1"/>
  <c r="H167" i="27"/>
  <c r="I167" i="27" s="1"/>
  <c r="J167" i="27" s="1"/>
  <c r="K167" i="27" s="1"/>
  <c r="L167" i="27" s="1"/>
  <c r="M167" i="27" s="1"/>
  <c r="N167" i="27" s="1"/>
  <c r="O167" i="27" s="1"/>
  <c r="P167" i="27" s="1"/>
  <c r="E167" i="27"/>
  <c r="F167" i="27" s="1"/>
  <c r="G167" i="27" s="1"/>
  <c r="D167" i="27"/>
  <c r="E166" i="27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B166" i="27" s="1"/>
  <c r="D166" i="27"/>
  <c r="H165" i="27"/>
  <c r="I165" i="27" s="1"/>
  <c r="J165" i="27" s="1"/>
  <c r="K165" i="27" s="1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B165" i="27" s="1"/>
  <c r="E165" i="27"/>
  <c r="F165" i="27" s="1"/>
  <c r="G165" i="27" s="1"/>
  <c r="D165" i="27"/>
  <c r="U164" i="27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B164" i="27" s="1"/>
  <c r="G164" i="27"/>
  <c r="H164" i="27" s="1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E164" i="27"/>
  <c r="F164" i="27" s="1"/>
  <c r="D164" i="27"/>
  <c r="E163" i="27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B163" i="27" s="1"/>
  <c r="D163" i="27"/>
  <c r="K162" i="27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B162" i="27" s="1"/>
  <c r="G162" i="27"/>
  <c r="H162" i="27" s="1"/>
  <c r="I162" i="27" s="1"/>
  <c r="J162" i="27" s="1"/>
  <c r="F162" i="27"/>
  <c r="D162" i="27"/>
  <c r="E162" i="27" s="1"/>
  <c r="M161" i="27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B161" i="27" s="1"/>
  <c r="E161" i="27"/>
  <c r="F161" i="27" s="1"/>
  <c r="G161" i="27" s="1"/>
  <c r="H161" i="27" s="1"/>
  <c r="I161" i="27" s="1"/>
  <c r="J161" i="27" s="1"/>
  <c r="K161" i="27" s="1"/>
  <c r="L161" i="27" s="1"/>
  <c r="D161" i="27"/>
  <c r="AD160" i="27"/>
  <c r="AE160" i="27" s="1"/>
  <c r="AF160" i="27" s="1"/>
  <c r="B160" i="27" s="1"/>
  <c r="J160" i="27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G160" i="27"/>
  <c r="H160" i="27" s="1"/>
  <c r="I160" i="27" s="1"/>
  <c r="E160" i="27"/>
  <c r="F160" i="27" s="1"/>
  <c r="D160" i="27"/>
  <c r="AC159" i="27"/>
  <c r="AD159" i="27" s="1"/>
  <c r="AE159" i="27" s="1"/>
  <c r="AF159" i="27" s="1"/>
  <c r="B159" i="27" s="1"/>
  <c r="K159" i="27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D159" i="27"/>
  <c r="E159" i="27" s="1"/>
  <c r="F159" i="27" s="1"/>
  <c r="G159" i="27" s="1"/>
  <c r="H159" i="27" s="1"/>
  <c r="I159" i="27" s="1"/>
  <c r="J159" i="27" s="1"/>
  <c r="AE158" i="27"/>
  <c r="AF158" i="27" s="1"/>
  <c r="B158" i="27" s="1"/>
  <c r="W158" i="27"/>
  <c r="X158" i="27" s="1"/>
  <c r="Y158" i="27" s="1"/>
  <c r="Z158" i="27" s="1"/>
  <c r="AA158" i="27" s="1"/>
  <c r="AB158" i="27" s="1"/>
  <c r="AC158" i="27" s="1"/>
  <c r="AD158" i="27" s="1"/>
  <c r="V158" i="27"/>
  <c r="F158" i="27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D158" i="27"/>
  <c r="E158" i="27" s="1"/>
  <c r="E157" i="27"/>
  <c r="F157" i="27" s="1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B157" i="27" s="1"/>
  <c r="D157" i="27"/>
  <c r="F156" i="27"/>
  <c r="G156" i="27" s="1"/>
  <c r="H156" i="27" s="1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B156" i="27" s="1"/>
  <c r="D156" i="27"/>
  <c r="E156" i="27" s="1"/>
  <c r="AB154" i="27"/>
  <c r="AC154" i="27" s="1"/>
  <c r="AD154" i="27" s="1"/>
  <c r="AE154" i="27" s="1"/>
  <c r="AF154" i="27" s="1"/>
  <c r="V154" i="27"/>
  <c r="W154" i="27" s="1"/>
  <c r="X154" i="27" s="1"/>
  <c r="Y154" i="27" s="1"/>
  <c r="Z154" i="27" s="1"/>
  <c r="AA154" i="27" s="1"/>
  <c r="I154" i="27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E154" i="27"/>
  <c r="F154" i="27" s="1"/>
  <c r="G154" i="27" s="1"/>
  <c r="H154" i="27" s="1"/>
  <c r="D154" i="27"/>
  <c r="B154" i="27"/>
  <c r="G153" i="27"/>
  <c r="H153" i="27" s="1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B153" i="27" s="1"/>
  <c r="F153" i="27"/>
  <c r="D153" i="27"/>
  <c r="E153" i="27" s="1"/>
  <c r="I152" i="27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B152" i="27" s="1"/>
  <c r="F152" i="27"/>
  <c r="G152" i="27" s="1"/>
  <c r="H152" i="27" s="1"/>
  <c r="E152" i="27"/>
  <c r="D152" i="27"/>
  <c r="D151" i="27"/>
  <c r="E151" i="27" s="1"/>
  <c r="F151" i="27" s="1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B151" i="27" s="1"/>
  <c r="O149" i="27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B149" i="27" s="1"/>
  <c r="N149" i="27"/>
  <c r="G149" i="27"/>
  <c r="H149" i="27" s="1"/>
  <c r="I149" i="27" s="1"/>
  <c r="J149" i="27" s="1"/>
  <c r="K149" i="27" s="1"/>
  <c r="L149" i="27" s="1"/>
  <c r="M149" i="27" s="1"/>
  <c r="F149" i="27"/>
  <c r="D149" i="27"/>
  <c r="E149" i="27" s="1"/>
  <c r="L148" i="27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B148" i="27" s="1"/>
  <c r="E148" i="27"/>
  <c r="F148" i="27" s="1"/>
  <c r="G148" i="27" s="1"/>
  <c r="H148" i="27" s="1"/>
  <c r="I148" i="27" s="1"/>
  <c r="J148" i="27" s="1"/>
  <c r="K148" i="27" s="1"/>
  <c r="D148" i="27"/>
  <c r="K146" i="27"/>
  <c r="L146" i="27" s="1"/>
  <c r="M146" i="27" s="1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B146" i="27" s="1"/>
  <c r="J146" i="27"/>
  <c r="G146" i="27"/>
  <c r="H146" i="27" s="1"/>
  <c r="I146" i="27" s="1"/>
  <c r="D146" i="27"/>
  <c r="E146" i="27" s="1"/>
  <c r="F146" i="27" s="1"/>
  <c r="H145" i="27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B145" i="27" s="1"/>
  <c r="F145" i="27"/>
  <c r="G145" i="27" s="1"/>
  <c r="E145" i="27"/>
  <c r="D145" i="27"/>
  <c r="G144" i="27"/>
  <c r="H144" i="27" s="1"/>
  <c r="I144" i="27" s="1"/>
  <c r="J144" i="27" s="1"/>
  <c r="K144" i="27" s="1"/>
  <c r="L144" i="27" s="1"/>
  <c r="M144" i="27" s="1"/>
  <c r="N144" i="27" s="1"/>
  <c r="O144" i="27" s="1"/>
  <c r="P144" i="27" s="1"/>
  <c r="Q144" i="27" s="1"/>
  <c r="R144" i="27" s="1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B144" i="27" s="1"/>
  <c r="D144" i="27"/>
  <c r="E144" i="27" s="1"/>
  <c r="F144" i="27" s="1"/>
  <c r="R143" i="27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B143" i="27" s="1"/>
  <c r="L143" i="27"/>
  <c r="M143" i="27" s="1"/>
  <c r="N143" i="27" s="1"/>
  <c r="O143" i="27" s="1"/>
  <c r="P143" i="27" s="1"/>
  <c r="Q143" i="27" s="1"/>
  <c r="I143" i="27"/>
  <c r="J143" i="27" s="1"/>
  <c r="K143" i="27" s="1"/>
  <c r="E143" i="27"/>
  <c r="F143" i="27" s="1"/>
  <c r="G143" i="27" s="1"/>
  <c r="H143" i="27" s="1"/>
  <c r="D143" i="27"/>
  <c r="Z142" i="27"/>
  <c r="AA142" i="27" s="1"/>
  <c r="AB142" i="27" s="1"/>
  <c r="AC142" i="27" s="1"/>
  <c r="AD142" i="27" s="1"/>
  <c r="AE142" i="27" s="1"/>
  <c r="AF142" i="27" s="1"/>
  <c r="B142" i="27" s="1"/>
  <c r="L142" i="27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D142" i="27"/>
  <c r="E142" i="27" s="1"/>
  <c r="F142" i="27" s="1"/>
  <c r="G142" i="27" s="1"/>
  <c r="H142" i="27" s="1"/>
  <c r="I142" i="27" s="1"/>
  <c r="J142" i="27" s="1"/>
  <c r="K142" i="27" s="1"/>
  <c r="R141" i="27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B141" i="27" s="1"/>
  <c r="H141" i="27"/>
  <c r="I141" i="27" s="1"/>
  <c r="J141" i="27" s="1"/>
  <c r="K141" i="27" s="1"/>
  <c r="L141" i="27" s="1"/>
  <c r="M141" i="27" s="1"/>
  <c r="N141" i="27" s="1"/>
  <c r="O141" i="27" s="1"/>
  <c r="P141" i="27" s="1"/>
  <c r="Q141" i="27" s="1"/>
  <c r="F141" i="27"/>
  <c r="G141" i="27" s="1"/>
  <c r="E141" i="27"/>
  <c r="D141" i="27"/>
  <c r="S140" i="27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B140" i="27" s="1"/>
  <c r="E140" i="27"/>
  <c r="F140" i="27" s="1"/>
  <c r="G140" i="27" s="1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D140" i="27"/>
  <c r="S138" i="27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B138" i="27" s="1"/>
  <c r="E138" i="27"/>
  <c r="F138" i="27" s="1"/>
  <c r="G138" i="27" s="1"/>
  <c r="H138" i="27" s="1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D138" i="27"/>
  <c r="S137" i="27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B137" i="27" s="1"/>
  <c r="D137" i="27"/>
  <c r="E137" i="27" s="1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Q136" i="27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B136" i="27" s="1"/>
  <c r="O136" i="27"/>
  <c r="P136" i="27" s="1"/>
  <c r="G136" i="27"/>
  <c r="H136" i="27" s="1"/>
  <c r="I136" i="27" s="1"/>
  <c r="J136" i="27" s="1"/>
  <c r="K136" i="27" s="1"/>
  <c r="L136" i="27" s="1"/>
  <c r="M136" i="27" s="1"/>
  <c r="N136" i="27" s="1"/>
  <c r="E136" i="27"/>
  <c r="F136" i="27" s="1"/>
  <c r="D136" i="27"/>
  <c r="K135" i="27"/>
  <c r="L135" i="27" s="1"/>
  <c r="M135" i="27" s="1"/>
  <c r="N135" i="27" s="1"/>
  <c r="O135" i="27" s="1"/>
  <c r="P135" i="27" s="1"/>
  <c r="Q135" i="27" s="1"/>
  <c r="R135" i="27" s="1"/>
  <c r="S135" i="27" s="1"/>
  <c r="T135" i="27" s="1"/>
  <c r="U135" i="27" s="1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B135" i="27" s="1"/>
  <c r="G135" i="27"/>
  <c r="H135" i="27" s="1"/>
  <c r="I135" i="27" s="1"/>
  <c r="J135" i="27" s="1"/>
  <c r="E135" i="27"/>
  <c r="F135" i="27" s="1"/>
  <c r="D135" i="27"/>
  <c r="E134" i="27"/>
  <c r="F134" i="27" s="1"/>
  <c r="G134" i="27" s="1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B134" i="27" s="1"/>
  <c r="D134" i="27"/>
  <c r="F133" i="27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B133" i="27" s="1"/>
  <c r="D133" i="27"/>
  <c r="E133" i="27" s="1"/>
  <c r="G132" i="27"/>
  <c r="H132" i="27" s="1"/>
  <c r="I132" i="27" s="1"/>
  <c r="J132" i="27" s="1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B132" i="27" s="1"/>
  <c r="D132" i="27"/>
  <c r="E132" i="27" s="1"/>
  <c r="F132" i="27" s="1"/>
  <c r="J131" i="27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B131" i="27" s="1"/>
  <c r="E131" i="27"/>
  <c r="F131" i="27" s="1"/>
  <c r="G131" i="27" s="1"/>
  <c r="H131" i="27" s="1"/>
  <c r="I131" i="27" s="1"/>
  <c r="D131" i="27"/>
  <c r="I129" i="27"/>
  <c r="J129" i="27" s="1"/>
  <c r="K129" i="27" s="1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B129" i="27" s="1"/>
  <c r="E129" i="27"/>
  <c r="F129" i="27" s="1"/>
  <c r="G129" i="27" s="1"/>
  <c r="H129" i="27" s="1"/>
  <c r="D129" i="27"/>
  <c r="G128" i="27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B128" i="27" s="1"/>
  <c r="D128" i="27"/>
  <c r="E128" i="27" s="1"/>
  <c r="F128" i="27" s="1"/>
  <c r="G127" i="27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B127" i="27" s="1"/>
  <c r="F127" i="27"/>
  <c r="E127" i="27"/>
  <c r="D127" i="27"/>
  <c r="D126" i="27"/>
  <c r="E126" i="27" s="1"/>
  <c r="F126" i="27" s="1"/>
  <c r="G126" i="27" s="1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B126" i="27" s="1"/>
  <c r="S125" i="27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B125" i="27" s="1"/>
  <c r="K125" i="27"/>
  <c r="L125" i="27" s="1"/>
  <c r="M125" i="27" s="1"/>
  <c r="N125" i="27" s="1"/>
  <c r="O125" i="27" s="1"/>
  <c r="P125" i="27" s="1"/>
  <c r="Q125" i="27" s="1"/>
  <c r="R125" i="27" s="1"/>
  <c r="J125" i="27"/>
  <c r="F125" i="27"/>
  <c r="G125" i="27" s="1"/>
  <c r="H125" i="27" s="1"/>
  <c r="E125" i="27"/>
  <c r="D125" i="27"/>
  <c r="D124" i="27"/>
  <c r="E123" i="27"/>
  <c r="F123" i="27" s="1"/>
  <c r="G123" i="27" s="1"/>
  <c r="H123" i="27" s="1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B123" i="27" s="1"/>
  <c r="D123" i="27"/>
  <c r="H122" i="27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B122" i="27" s="1"/>
  <c r="D122" i="27"/>
  <c r="E122" i="27" s="1"/>
  <c r="F122" i="27" s="1"/>
  <c r="G122" i="27" s="1"/>
  <c r="G121" i="27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B121" i="27" s="1"/>
  <c r="F121" i="27"/>
  <c r="D121" i="27"/>
  <c r="E121" i="27" s="1"/>
  <c r="H120" i="27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B120" i="27" s="1"/>
  <c r="D120" i="27"/>
  <c r="E120" i="27" s="1"/>
  <c r="F120" i="27" s="1"/>
  <c r="G120" i="27" s="1"/>
  <c r="D119" i="27"/>
  <c r="E119" i="27" s="1"/>
  <c r="F119" i="27" s="1"/>
  <c r="G119" i="27" s="1"/>
  <c r="H119" i="27" s="1"/>
  <c r="I119" i="27" s="1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B119" i="27" s="1"/>
  <c r="D118" i="27"/>
  <c r="E118" i="27" s="1"/>
  <c r="F118" i="27" s="1"/>
  <c r="G118" i="27" s="1"/>
  <c r="H118" i="27" s="1"/>
  <c r="I118" i="27" s="1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B118" i="27" s="1"/>
  <c r="D117" i="27"/>
  <c r="E117" i="27" s="1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B117" i="27" s="1"/>
  <c r="D116" i="27"/>
  <c r="E116" i="27" s="1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B116" i="27" s="1"/>
  <c r="L115" i="27"/>
  <c r="M115" i="27" s="1"/>
  <c r="N115" i="27" s="1"/>
  <c r="O115" i="27" s="1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B115" i="27" s="1"/>
  <c r="H115" i="27"/>
  <c r="I115" i="27" s="1"/>
  <c r="J115" i="27" s="1"/>
  <c r="K115" i="27" s="1"/>
  <c r="F115" i="27"/>
  <c r="G115" i="27" s="1"/>
  <c r="E115" i="27"/>
  <c r="D115" i="27"/>
  <c r="P114" i="27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B114" i="27" s="1"/>
  <c r="K114" i="27"/>
  <c r="L114" i="27" s="1"/>
  <c r="M114" i="27" s="1"/>
  <c r="N114" i="27" s="1"/>
  <c r="O114" i="27" s="1"/>
  <c r="E114" i="27"/>
  <c r="F114" i="27" s="1"/>
  <c r="G114" i="27" s="1"/>
  <c r="H114" i="27" s="1"/>
  <c r="I114" i="27" s="1"/>
  <c r="D114" i="27"/>
  <c r="Q113" i="27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B113" i="27" s="1"/>
  <c r="K113" i="27"/>
  <c r="L113" i="27" s="1"/>
  <c r="M113" i="27" s="1"/>
  <c r="N113" i="27" s="1"/>
  <c r="O113" i="27" s="1"/>
  <c r="P113" i="27" s="1"/>
  <c r="H113" i="27"/>
  <c r="I113" i="27" s="1"/>
  <c r="J113" i="27" s="1"/>
  <c r="G113" i="27"/>
  <c r="E113" i="27"/>
  <c r="F113" i="27" s="1"/>
  <c r="D113" i="27"/>
  <c r="E112" i="27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B112" i="27" s="1"/>
  <c r="D112" i="27"/>
  <c r="E110" i="27"/>
  <c r="F110" i="27" s="1"/>
  <c r="G110" i="27" s="1"/>
  <c r="H110" i="27" s="1"/>
  <c r="I110" i="27" s="1"/>
  <c r="J110" i="27" s="1"/>
  <c r="K110" i="27" s="1"/>
  <c r="L110" i="27" s="1"/>
  <c r="M110" i="27" s="1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B110" i="27" s="1"/>
  <c r="D110" i="27"/>
  <c r="G109" i="27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B109" i="27" s="1"/>
  <c r="F109" i="27"/>
  <c r="E109" i="27"/>
  <c r="D109" i="27"/>
  <c r="J107" i="27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B107" i="27" s="1"/>
  <c r="D107" i="27"/>
  <c r="E107" i="27" s="1"/>
  <c r="F107" i="27" s="1"/>
  <c r="G107" i="27" s="1"/>
  <c r="H107" i="27" s="1"/>
  <c r="I107" i="27" s="1"/>
  <c r="G106" i="27"/>
  <c r="H106" i="27" s="1"/>
  <c r="I106" i="27" s="1"/>
  <c r="J106" i="27" s="1"/>
  <c r="K106" i="27" s="1"/>
  <c r="L106" i="27" s="1"/>
  <c r="M106" i="27" s="1"/>
  <c r="N106" i="27" s="1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B106" i="27" s="1"/>
  <c r="F106" i="27"/>
  <c r="E106" i="27"/>
  <c r="D106" i="27"/>
  <c r="G105" i="27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B105" i="27" s="1"/>
  <c r="F105" i="27"/>
  <c r="E105" i="27"/>
  <c r="D105" i="27"/>
  <c r="D104" i="27"/>
  <c r="E104" i="27" s="1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B104" i="27" s="1"/>
  <c r="G103" i="27"/>
  <c r="E103" i="27"/>
  <c r="F103" i="27" s="1"/>
  <c r="D103" i="27"/>
  <c r="F102" i="27"/>
  <c r="E102" i="27"/>
  <c r="D102" i="27"/>
  <c r="AH100" i="27"/>
  <c r="AI100" i="27" s="1"/>
  <c r="AH99" i="27"/>
  <c r="AI99" i="27" s="1"/>
  <c r="AH98" i="27"/>
  <c r="AI98" i="27" s="1"/>
  <c r="AH97" i="27"/>
  <c r="AI97" i="27" s="1"/>
  <c r="AH96" i="27"/>
  <c r="AI96" i="27" s="1"/>
  <c r="AH95" i="27"/>
  <c r="AI95" i="27" s="1"/>
  <c r="AH94" i="27"/>
  <c r="AI94" i="27" s="1"/>
  <c r="C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2" i="27"/>
  <c r="AH82" i="27"/>
  <c r="AG82" i="27"/>
  <c r="AI81" i="27"/>
  <c r="AH81" i="27"/>
  <c r="AI80" i="27"/>
  <c r="AH80" i="27"/>
  <c r="AI79" i="27"/>
  <c r="AH79" i="27"/>
  <c r="AI78" i="27"/>
  <c r="AH78" i="27"/>
  <c r="AI77" i="27"/>
  <c r="AH77" i="27"/>
  <c r="AI76" i="27"/>
  <c r="AH76" i="27"/>
  <c r="AI74" i="27"/>
  <c r="AH74" i="27"/>
  <c r="AI73" i="27"/>
  <c r="AH73" i="27"/>
  <c r="AI72" i="27"/>
  <c r="AH72" i="27"/>
  <c r="AG72" i="27"/>
  <c r="AI71" i="27"/>
  <c r="AH71" i="27"/>
  <c r="AI70" i="27"/>
  <c r="AH70" i="27"/>
  <c r="AI69" i="27"/>
  <c r="AH69" i="27"/>
  <c r="AG68" i="27"/>
  <c r="AF68" i="27"/>
  <c r="AE5" i="27" s="1"/>
  <c r="AE68" i="27"/>
  <c r="AD68" i="27"/>
  <c r="AC5" i="27" s="1"/>
  <c r="AC68" i="27"/>
  <c r="AB5" i="27" s="1"/>
  <c r="AB68" i="27"/>
  <c r="AA68" i="27"/>
  <c r="Z68" i="27"/>
  <c r="Y5" i="27" s="1"/>
  <c r="Y68" i="27"/>
  <c r="X5" i="27" s="1"/>
  <c r="X68" i="27"/>
  <c r="W68" i="27"/>
  <c r="V5" i="27" s="1"/>
  <c r="V68" i="27"/>
  <c r="U5" i="27" s="1"/>
  <c r="U68" i="27"/>
  <c r="T5" i="27" s="1"/>
  <c r="T68" i="27"/>
  <c r="S5" i="27" s="1"/>
  <c r="S68" i="27"/>
  <c r="R5" i="27" s="1"/>
  <c r="R68" i="27"/>
  <c r="Q5" i="27" s="1"/>
  <c r="Q68" i="27"/>
  <c r="P5" i="27" s="1"/>
  <c r="P68" i="27"/>
  <c r="O5" i="27" s="1"/>
  <c r="O68" i="27"/>
  <c r="N68" i="27"/>
  <c r="M5" i="27" s="1"/>
  <c r="M68" i="27"/>
  <c r="L5" i="27" s="1"/>
  <c r="L68" i="27"/>
  <c r="K5" i="27" s="1"/>
  <c r="K68" i="27"/>
  <c r="J5" i="27" s="1"/>
  <c r="J68" i="27"/>
  <c r="I5" i="27" s="1"/>
  <c r="I68" i="27"/>
  <c r="H5" i="27" s="1"/>
  <c r="H68" i="27"/>
  <c r="G5" i="27" s="1"/>
  <c r="G68" i="27"/>
  <c r="F68" i="27"/>
  <c r="E5" i="27" s="1"/>
  <c r="E68" i="27"/>
  <c r="D5" i="27" s="1"/>
  <c r="D68" i="27"/>
  <c r="C68" i="27"/>
  <c r="B5" i="27" s="1"/>
  <c r="AF5" i="27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G56" i="27"/>
  <c r="AG4" i="27" s="1"/>
  <c r="AG6" i="27" s="1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AI55" i="27"/>
  <c r="AH55" i="27"/>
  <c r="AI54" i="27"/>
  <c r="AH54" i="27"/>
  <c r="AI53" i="27"/>
  <c r="AH53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AI51" i="27"/>
  <c r="AH51" i="27"/>
  <c r="AG51" i="27"/>
  <c r="AG52" i="27" s="1"/>
  <c r="AG3" i="27" s="1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D5" i="27"/>
  <c r="AA5" i="27"/>
  <c r="Z5" i="27"/>
  <c r="W5" i="27"/>
  <c r="N5" i="27"/>
  <c r="F5" i="27"/>
  <c r="C5" i="27"/>
  <c r="K4" i="27"/>
  <c r="B4" i="27"/>
  <c r="AG2" i="27"/>
  <c r="AF95" i="26"/>
  <c r="AF37" i="26"/>
  <c r="AE37" i="26"/>
  <c r="AI37" i="26"/>
  <c r="AD37" i="26"/>
  <c r="AD95" i="26"/>
  <c r="AC95" i="26"/>
  <c r="AB95" i="26"/>
  <c r="Z52" i="26"/>
  <c r="Z95" i="26"/>
  <c r="Z37" i="26"/>
  <c r="Y95" i="26"/>
  <c r="Y37" i="26"/>
  <c r="X95" i="26"/>
  <c r="X37" i="26"/>
  <c r="W95" i="26"/>
  <c r="W37" i="26"/>
  <c r="V95" i="26"/>
  <c r="V37" i="26"/>
  <c r="U95" i="26"/>
  <c r="U37" i="26"/>
  <c r="T95" i="26"/>
  <c r="T37" i="26"/>
  <c r="S95" i="26"/>
  <c r="S37" i="26"/>
  <c r="R95" i="26"/>
  <c r="R37" i="26"/>
  <c r="Q95" i="26"/>
  <c r="Q37" i="26"/>
  <c r="O95" i="26"/>
  <c r="N95" i="26"/>
  <c r="N37" i="26"/>
  <c r="M95" i="26"/>
  <c r="M37" i="26"/>
  <c r="AF239" i="26"/>
  <c r="AE239" i="26"/>
  <c r="AD239" i="26"/>
  <c r="AC239" i="26"/>
  <c r="AB239" i="26"/>
  <c r="AA239" i="26"/>
  <c r="Z239" i="26"/>
  <c r="Y239" i="26"/>
  <c r="X239" i="26"/>
  <c r="W239" i="26"/>
  <c r="V239" i="26"/>
  <c r="U239" i="26"/>
  <c r="T239" i="26"/>
  <c r="S239" i="26"/>
  <c r="R239" i="26"/>
  <c r="Q239" i="26"/>
  <c r="P239" i="26"/>
  <c r="O239" i="26"/>
  <c r="N239" i="26"/>
  <c r="M239" i="26"/>
  <c r="L239" i="26"/>
  <c r="K239" i="26"/>
  <c r="J239" i="26"/>
  <c r="I239" i="26"/>
  <c r="H239" i="26"/>
  <c r="G239" i="26"/>
  <c r="F239" i="26"/>
  <c r="E239" i="26"/>
  <c r="D239" i="26"/>
  <c r="C239" i="26"/>
  <c r="B239" i="26"/>
  <c r="A239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C235" i="26"/>
  <c r="B235" i="26"/>
  <c r="S210" i="26"/>
  <c r="AG200" i="26"/>
  <c r="C200" i="26"/>
  <c r="D199" i="26"/>
  <c r="E199" i="26" s="1"/>
  <c r="F199" i="26" s="1"/>
  <c r="E198" i="26"/>
  <c r="F198" i="26" s="1"/>
  <c r="G198" i="26" s="1"/>
  <c r="H198" i="26" s="1"/>
  <c r="I198" i="26" s="1"/>
  <c r="J198" i="26" s="1"/>
  <c r="K198" i="26" s="1"/>
  <c r="L198" i="26" s="1"/>
  <c r="M198" i="26" s="1"/>
  <c r="N198" i="26" s="1"/>
  <c r="O198" i="26" s="1"/>
  <c r="P198" i="26" s="1"/>
  <c r="Q198" i="26" s="1"/>
  <c r="R198" i="26" s="1"/>
  <c r="S198" i="26" s="1"/>
  <c r="T198" i="26" s="1"/>
  <c r="U198" i="26" s="1"/>
  <c r="V198" i="26" s="1"/>
  <c r="W198" i="26" s="1"/>
  <c r="X198" i="26" s="1"/>
  <c r="Y198" i="26" s="1"/>
  <c r="Z198" i="26" s="1"/>
  <c r="AA198" i="26" s="1"/>
  <c r="AB198" i="26" s="1"/>
  <c r="AC198" i="26" s="1"/>
  <c r="AD198" i="26" s="1"/>
  <c r="AE198" i="26" s="1"/>
  <c r="AF198" i="26" s="1"/>
  <c r="B198" i="26" s="1"/>
  <c r="D198" i="26"/>
  <c r="E197" i="26"/>
  <c r="F197" i="26" s="1"/>
  <c r="G197" i="26" s="1"/>
  <c r="H197" i="26" s="1"/>
  <c r="I197" i="26" s="1"/>
  <c r="J197" i="26" s="1"/>
  <c r="K197" i="26" s="1"/>
  <c r="L197" i="26" s="1"/>
  <c r="M197" i="26" s="1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B197" i="26" s="1"/>
  <c r="D197" i="26"/>
  <c r="H196" i="26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B196" i="26" s="1"/>
  <c r="G196" i="26"/>
  <c r="E196" i="26"/>
  <c r="F196" i="26" s="1"/>
  <c r="D196" i="26"/>
  <c r="F195" i="26"/>
  <c r="G195" i="26" s="1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B195" i="26" s="1"/>
  <c r="E195" i="26"/>
  <c r="D195" i="26"/>
  <c r="D194" i="26"/>
  <c r="D200" i="26" s="1"/>
  <c r="AG192" i="26"/>
  <c r="C192" i="26"/>
  <c r="Q191" i="26"/>
  <c r="R191" i="26" s="1"/>
  <c r="S191" i="26" s="1"/>
  <c r="T191" i="26" s="1"/>
  <c r="U191" i="26" s="1"/>
  <c r="V191" i="26" s="1"/>
  <c r="W191" i="26" s="1"/>
  <c r="X191" i="26" s="1"/>
  <c r="Y191" i="26" s="1"/>
  <c r="Z191" i="26" s="1"/>
  <c r="AA191" i="26" s="1"/>
  <c r="AB191" i="26" s="1"/>
  <c r="AC191" i="26" s="1"/>
  <c r="AD191" i="26" s="1"/>
  <c r="AE191" i="26" s="1"/>
  <c r="AF191" i="26" s="1"/>
  <c r="B191" i="26" s="1"/>
  <c r="E191" i="26"/>
  <c r="F191" i="26" s="1"/>
  <c r="G191" i="26" s="1"/>
  <c r="H191" i="26" s="1"/>
  <c r="I191" i="26" s="1"/>
  <c r="J191" i="26" s="1"/>
  <c r="K191" i="26" s="1"/>
  <c r="L191" i="26" s="1"/>
  <c r="M191" i="26" s="1"/>
  <c r="N191" i="26" s="1"/>
  <c r="O191" i="26" s="1"/>
  <c r="P191" i="26" s="1"/>
  <c r="D191" i="26"/>
  <c r="H190" i="26"/>
  <c r="I190" i="26" s="1"/>
  <c r="J190" i="26" s="1"/>
  <c r="K190" i="26" s="1"/>
  <c r="L190" i="26" s="1"/>
  <c r="M190" i="26" s="1"/>
  <c r="N190" i="26" s="1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B190" i="26" s="1"/>
  <c r="F190" i="26"/>
  <c r="G190" i="26" s="1"/>
  <c r="E190" i="26"/>
  <c r="D190" i="26"/>
  <c r="E189" i="26"/>
  <c r="F189" i="26" s="1"/>
  <c r="G189" i="26" s="1"/>
  <c r="H189" i="26" s="1"/>
  <c r="I189" i="26" s="1"/>
  <c r="J189" i="26" s="1"/>
  <c r="K189" i="26" s="1"/>
  <c r="L189" i="26" s="1"/>
  <c r="M189" i="26" s="1"/>
  <c r="N189" i="26" s="1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B189" i="26" s="1"/>
  <c r="D189" i="26"/>
  <c r="F188" i="26"/>
  <c r="G188" i="26" s="1"/>
  <c r="H188" i="26" s="1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U188" i="26" s="1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B188" i="26" s="1"/>
  <c r="E188" i="26"/>
  <c r="D188" i="26"/>
  <c r="D187" i="26"/>
  <c r="E187" i="26" s="1"/>
  <c r="F187" i="26" s="1"/>
  <c r="G187" i="26" s="1"/>
  <c r="H187" i="26" s="1"/>
  <c r="I187" i="26" s="1"/>
  <c r="J187" i="26" s="1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B187" i="26" s="1"/>
  <c r="E186" i="26"/>
  <c r="F186" i="26" s="1"/>
  <c r="G186" i="26" s="1"/>
  <c r="H186" i="26" s="1"/>
  <c r="I186" i="26" s="1"/>
  <c r="J186" i="26" s="1"/>
  <c r="K186" i="26" s="1"/>
  <c r="L186" i="26" s="1"/>
  <c r="M186" i="26" s="1"/>
  <c r="N186" i="26" s="1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B186" i="26" s="1"/>
  <c r="D186" i="26"/>
  <c r="M185" i="26"/>
  <c r="N185" i="26" s="1"/>
  <c r="O185" i="26" s="1"/>
  <c r="P185" i="26" s="1"/>
  <c r="Q185" i="26" s="1"/>
  <c r="R185" i="26" s="1"/>
  <c r="S185" i="26" s="1"/>
  <c r="T185" i="26" s="1"/>
  <c r="U185" i="26" s="1"/>
  <c r="V185" i="26" s="1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B185" i="26" s="1"/>
  <c r="E185" i="26"/>
  <c r="F185" i="26" s="1"/>
  <c r="G185" i="26" s="1"/>
  <c r="H185" i="26" s="1"/>
  <c r="I185" i="26" s="1"/>
  <c r="J185" i="26" s="1"/>
  <c r="K185" i="26" s="1"/>
  <c r="L185" i="26" s="1"/>
  <c r="D185" i="26"/>
  <c r="J184" i="26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B184" i="26" s="1"/>
  <c r="D184" i="26"/>
  <c r="E184" i="26" s="1"/>
  <c r="F184" i="26" s="1"/>
  <c r="G184" i="26" s="1"/>
  <c r="H184" i="26" s="1"/>
  <c r="I184" i="26" s="1"/>
  <c r="G183" i="26"/>
  <c r="H183" i="26" s="1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B183" i="26" s="1"/>
  <c r="D183" i="26"/>
  <c r="E183" i="26" s="1"/>
  <c r="F183" i="26" s="1"/>
  <c r="AC182" i="26"/>
  <c r="AD182" i="26" s="1"/>
  <c r="AE182" i="26" s="1"/>
  <c r="AF182" i="26" s="1"/>
  <c r="B182" i="26" s="1"/>
  <c r="E182" i="26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D182" i="26"/>
  <c r="AC181" i="26"/>
  <c r="AD181" i="26" s="1"/>
  <c r="AE181" i="26" s="1"/>
  <c r="AF181" i="26" s="1"/>
  <c r="B181" i="26" s="1"/>
  <c r="E181" i="26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D181" i="26"/>
  <c r="J180" i="26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B180" i="26" s="1"/>
  <c r="F180" i="26"/>
  <c r="G180" i="26" s="1"/>
  <c r="H180" i="26" s="1"/>
  <c r="I180" i="26" s="1"/>
  <c r="D180" i="26"/>
  <c r="E180" i="26" s="1"/>
  <c r="D179" i="26"/>
  <c r="E179" i="26" s="1"/>
  <c r="F179" i="26" s="1"/>
  <c r="G179" i="26" s="1"/>
  <c r="H179" i="26" s="1"/>
  <c r="I179" i="26" s="1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B179" i="26" s="1"/>
  <c r="Y177" i="26"/>
  <c r="Z177" i="26" s="1"/>
  <c r="AA177" i="26" s="1"/>
  <c r="AB177" i="26" s="1"/>
  <c r="AC177" i="26" s="1"/>
  <c r="AD177" i="26" s="1"/>
  <c r="AE177" i="26" s="1"/>
  <c r="AF177" i="26" s="1"/>
  <c r="B177" i="26" s="1"/>
  <c r="F177" i="26"/>
  <c r="G177" i="26" s="1"/>
  <c r="H177" i="26" s="1"/>
  <c r="I177" i="26" s="1"/>
  <c r="J177" i="26" s="1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V177" i="26" s="1"/>
  <c r="W177" i="26" s="1"/>
  <c r="X177" i="26" s="1"/>
  <c r="E177" i="26"/>
  <c r="D177" i="26"/>
  <c r="E176" i="26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B176" i="26" s="1"/>
  <c r="D176" i="26"/>
  <c r="E175" i="26"/>
  <c r="F175" i="26" s="1"/>
  <c r="G175" i="26" s="1"/>
  <c r="H175" i="26" s="1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B175" i="26" s="1"/>
  <c r="D175" i="26"/>
  <c r="M174" i="26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B174" i="26" s="1"/>
  <c r="F174" i="26"/>
  <c r="G174" i="26" s="1"/>
  <c r="H174" i="26" s="1"/>
  <c r="I174" i="26" s="1"/>
  <c r="J174" i="26" s="1"/>
  <c r="K174" i="26" s="1"/>
  <c r="L174" i="26" s="1"/>
  <c r="E174" i="26"/>
  <c r="D174" i="26"/>
  <c r="L173" i="26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B173" i="26" s="1"/>
  <c r="F173" i="26"/>
  <c r="G173" i="26" s="1"/>
  <c r="H173" i="26" s="1"/>
  <c r="I173" i="26" s="1"/>
  <c r="J173" i="26" s="1"/>
  <c r="K173" i="26" s="1"/>
  <c r="D173" i="26"/>
  <c r="E173" i="26" s="1"/>
  <c r="D172" i="26"/>
  <c r="E172" i="26" s="1"/>
  <c r="F172" i="26" s="1"/>
  <c r="G172" i="26" s="1"/>
  <c r="H172" i="26" s="1"/>
  <c r="I172" i="26" s="1"/>
  <c r="J172" i="26" s="1"/>
  <c r="K172" i="26" s="1"/>
  <c r="L172" i="26" s="1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B172" i="26" s="1"/>
  <c r="E171" i="26"/>
  <c r="F171" i="26" s="1"/>
  <c r="G171" i="26" s="1"/>
  <c r="H171" i="26" s="1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B171" i="26" s="1"/>
  <c r="D171" i="26"/>
  <c r="K170" i="26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B170" i="26" s="1"/>
  <c r="E170" i="26"/>
  <c r="F170" i="26" s="1"/>
  <c r="G170" i="26" s="1"/>
  <c r="H170" i="26" s="1"/>
  <c r="I170" i="26" s="1"/>
  <c r="J170" i="26" s="1"/>
  <c r="D170" i="26"/>
  <c r="K168" i="26"/>
  <c r="L168" i="26" s="1"/>
  <c r="M168" i="26" s="1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B168" i="26" s="1"/>
  <c r="F168" i="26"/>
  <c r="G168" i="26" s="1"/>
  <c r="H168" i="26" s="1"/>
  <c r="I168" i="26" s="1"/>
  <c r="J168" i="26" s="1"/>
  <c r="D168" i="26"/>
  <c r="E168" i="26" s="1"/>
  <c r="AF167" i="26"/>
  <c r="B167" i="26" s="1"/>
  <c r="N167" i="26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E167" i="26"/>
  <c r="F167" i="26" s="1"/>
  <c r="G167" i="26" s="1"/>
  <c r="H167" i="26" s="1"/>
  <c r="I167" i="26" s="1"/>
  <c r="J167" i="26" s="1"/>
  <c r="K167" i="26" s="1"/>
  <c r="L167" i="26" s="1"/>
  <c r="M167" i="26" s="1"/>
  <c r="D167" i="26"/>
  <c r="D166" i="26"/>
  <c r="E166" i="26" s="1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B166" i="26" s="1"/>
  <c r="D165" i="26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B165" i="26" s="1"/>
  <c r="Z164" i="26"/>
  <c r="AA164" i="26" s="1"/>
  <c r="AB164" i="26" s="1"/>
  <c r="AC164" i="26" s="1"/>
  <c r="AD164" i="26" s="1"/>
  <c r="AE164" i="26" s="1"/>
  <c r="AF164" i="26" s="1"/>
  <c r="B164" i="26" s="1"/>
  <c r="E164" i="26"/>
  <c r="F164" i="26" s="1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D164" i="26"/>
  <c r="H163" i="26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B163" i="26" s="1"/>
  <c r="D163" i="26"/>
  <c r="E163" i="26" s="1"/>
  <c r="F163" i="26" s="1"/>
  <c r="G163" i="26" s="1"/>
  <c r="V162" i="26"/>
  <c r="W162" i="26" s="1"/>
  <c r="X162" i="26" s="1"/>
  <c r="Y162" i="26" s="1"/>
  <c r="Z162" i="26" s="1"/>
  <c r="AA162" i="26" s="1"/>
  <c r="AB162" i="26" s="1"/>
  <c r="AC162" i="26" s="1"/>
  <c r="AD162" i="26" s="1"/>
  <c r="AE162" i="26" s="1"/>
  <c r="AF162" i="26" s="1"/>
  <c r="B162" i="26" s="1"/>
  <c r="I162" i="26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D162" i="26"/>
  <c r="E162" i="26" s="1"/>
  <c r="F162" i="26" s="1"/>
  <c r="G162" i="26" s="1"/>
  <c r="H162" i="26" s="1"/>
  <c r="D161" i="26"/>
  <c r="E161" i="26" s="1"/>
  <c r="F161" i="26" s="1"/>
  <c r="G161" i="26" s="1"/>
  <c r="H161" i="26" s="1"/>
  <c r="I161" i="26" s="1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B161" i="26" s="1"/>
  <c r="J160" i="26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B160" i="26" s="1"/>
  <c r="E160" i="26"/>
  <c r="F160" i="26" s="1"/>
  <c r="G160" i="26" s="1"/>
  <c r="H160" i="26" s="1"/>
  <c r="I160" i="26" s="1"/>
  <c r="D160" i="26"/>
  <c r="K159" i="26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B159" i="26" s="1"/>
  <c r="D159" i="26"/>
  <c r="E159" i="26" s="1"/>
  <c r="F159" i="26" s="1"/>
  <c r="G159" i="26" s="1"/>
  <c r="H159" i="26" s="1"/>
  <c r="I159" i="26" s="1"/>
  <c r="J159" i="26" s="1"/>
  <c r="F158" i="26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B158" i="26" s="1"/>
  <c r="D158" i="26"/>
  <c r="E158" i="26" s="1"/>
  <c r="D157" i="26"/>
  <c r="E157" i="26" s="1"/>
  <c r="F157" i="26" s="1"/>
  <c r="G157" i="26" s="1"/>
  <c r="H157" i="26" s="1"/>
  <c r="I157" i="26" s="1"/>
  <c r="J157" i="26" s="1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B157" i="26" s="1"/>
  <c r="R156" i="26"/>
  <c r="S156" i="26" s="1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B156" i="26" s="1"/>
  <c r="J156" i="26"/>
  <c r="K156" i="26" s="1"/>
  <c r="L156" i="26" s="1"/>
  <c r="M156" i="26" s="1"/>
  <c r="N156" i="26" s="1"/>
  <c r="O156" i="26" s="1"/>
  <c r="P156" i="26" s="1"/>
  <c r="Q156" i="26" s="1"/>
  <c r="E156" i="26"/>
  <c r="F156" i="26" s="1"/>
  <c r="G156" i="26" s="1"/>
  <c r="H156" i="26" s="1"/>
  <c r="I156" i="26" s="1"/>
  <c r="D156" i="26"/>
  <c r="H154" i="26"/>
  <c r="I154" i="26" s="1"/>
  <c r="J154" i="26" s="1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B154" i="26" s="1"/>
  <c r="D154" i="26"/>
  <c r="E154" i="26" s="1"/>
  <c r="F154" i="26" s="1"/>
  <c r="G154" i="26" s="1"/>
  <c r="F153" i="26"/>
  <c r="G153" i="26" s="1"/>
  <c r="H153" i="26" s="1"/>
  <c r="I153" i="26" s="1"/>
  <c r="J153" i="26" s="1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B153" i="26" s="1"/>
  <c r="D153" i="26"/>
  <c r="E153" i="26" s="1"/>
  <c r="D152" i="26"/>
  <c r="E152" i="26" s="1"/>
  <c r="F152" i="26" s="1"/>
  <c r="G152" i="26" s="1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B152" i="26" s="1"/>
  <c r="G151" i="26"/>
  <c r="H151" i="26" s="1"/>
  <c r="I151" i="26" s="1"/>
  <c r="J151" i="26" s="1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B151" i="26" s="1"/>
  <c r="F151" i="26"/>
  <c r="E151" i="26"/>
  <c r="D151" i="26"/>
  <c r="D149" i="26"/>
  <c r="E149" i="26" s="1"/>
  <c r="F149" i="26" s="1"/>
  <c r="G149" i="26" s="1"/>
  <c r="H149" i="26" s="1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B149" i="26" s="1"/>
  <c r="E148" i="26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B148" i="26" s="1"/>
  <c r="D148" i="26"/>
  <c r="N146" i="26"/>
  <c r="O146" i="26" s="1"/>
  <c r="P146" i="26" s="1"/>
  <c r="Q146" i="26" s="1"/>
  <c r="R146" i="26" s="1"/>
  <c r="S146" i="26" s="1"/>
  <c r="T146" i="26" s="1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B146" i="26" s="1"/>
  <c r="F146" i="26"/>
  <c r="G146" i="26" s="1"/>
  <c r="H146" i="26" s="1"/>
  <c r="I146" i="26" s="1"/>
  <c r="J146" i="26" s="1"/>
  <c r="K146" i="26" s="1"/>
  <c r="L146" i="26" s="1"/>
  <c r="M146" i="26" s="1"/>
  <c r="E146" i="26"/>
  <c r="D146" i="26"/>
  <c r="F145" i="26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B145" i="26" s="1"/>
  <c r="D145" i="26"/>
  <c r="E145" i="26" s="1"/>
  <c r="G144" i="26"/>
  <c r="H144" i="26" s="1"/>
  <c r="I144" i="26" s="1"/>
  <c r="J144" i="26" s="1"/>
  <c r="K144" i="26" s="1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B144" i="26" s="1"/>
  <c r="D144" i="26"/>
  <c r="E144" i="26" s="1"/>
  <c r="F144" i="26" s="1"/>
  <c r="X143" i="26"/>
  <c r="Y143" i="26" s="1"/>
  <c r="Z143" i="26" s="1"/>
  <c r="AA143" i="26" s="1"/>
  <c r="AB143" i="26" s="1"/>
  <c r="AC143" i="26" s="1"/>
  <c r="AD143" i="26" s="1"/>
  <c r="AE143" i="26" s="1"/>
  <c r="AF143" i="26" s="1"/>
  <c r="B143" i="26" s="1"/>
  <c r="E143" i="26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D143" i="26"/>
  <c r="F142" i="26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B142" i="26" s="1"/>
  <c r="E142" i="26"/>
  <c r="D142" i="26"/>
  <c r="F141" i="26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B141" i="26" s="1"/>
  <c r="D141" i="26"/>
  <c r="E141" i="26" s="1"/>
  <c r="D140" i="26"/>
  <c r="E140" i="26" s="1"/>
  <c r="F140" i="26" s="1"/>
  <c r="G140" i="26" s="1"/>
  <c r="H140" i="26" s="1"/>
  <c r="I140" i="26" s="1"/>
  <c r="J140" i="26" s="1"/>
  <c r="K140" i="26" s="1"/>
  <c r="L140" i="26" s="1"/>
  <c r="M140" i="26" s="1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B140" i="26" s="1"/>
  <c r="H138" i="26"/>
  <c r="I138" i="26" s="1"/>
  <c r="J138" i="26" s="1"/>
  <c r="K138" i="26" s="1"/>
  <c r="L138" i="26" s="1"/>
  <c r="M138" i="26" s="1"/>
  <c r="N138" i="26" s="1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B138" i="26" s="1"/>
  <c r="E138" i="26"/>
  <c r="F138" i="26" s="1"/>
  <c r="G138" i="26" s="1"/>
  <c r="D138" i="26"/>
  <c r="H137" i="26"/>
  <c r="I137" i="26" s="1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B137" i="26" s="1"/>
  <c r="F137" i="26"/>
  <c r="G137" i="26" s="1"/>
  <c r="E137" i="26"/>
  <c r="D137" i="26"/>
  <c r="V136" i="26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B136" i="26" s="1"/>
  <c r="D136" i="26"/>
  <c r="E136" i="26" s="1"/>
  <c r="F136" i="26" s="1"/>
  <c r="G136" i="26" s="1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E135" i="26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B135" i="26" s="1"/>
  <c r="D135" i="26"/>
  <c r="D134" i="26"/>
  <c r="E134" i="26" s="1"/>
  <c r="F134" i="26" s="1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B134" i="26" s="1"/>
  <c r="K133" i="26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B133" i="26" s="1"/>
  <c r="F133" i="26"/>
  <c r="G133" i="26" s="1"/>
  <c r="H133" i="26" s="1"/>
  <c r="I133" i="26" s="1"/>
  <c r="J133" i="26" s="1"/>
  <c r="E133" i="26"/>
  <c r="D133" i="26"/>
  <c r="F132" i="26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B132" i="26" s="1"/>
  <c r="D132" i="26"/>
  <c r="E132" i="26" s="1"/>
  <c r="T131" i="26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B131" i="26" s="1"/>
  <c r="R131" i="26"/>
  <c r="S131" i="26" s="1"/>
  <c r="E131" i="26"/>
  <c r="F131" i="26" s="1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D131" i="26"/>
  <c r="E129" i="26"/>
  <c r="F129" i="26" s="1"/>
  <c r="G129" i="26" s="1"/>
  <c r="H129" i="26" s="1"/>
  <c r="I129" i="26" s="1"/>
  <c r="J129" i="26" s="1"/>
  <c r="K129" i="26" s="1"/>
  <c r="L129" i="26" s="1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B129" i="26" s="1"/>
  <c r="D129" i="26"/>
  <c r="E128" i="26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B128" i="26" s="1"/>
  <c r="D128" i="26"/>
  <c r="F127" i="26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B127" i="26" s="1"/>
  <c r="E127" i="26"/>
  <c r="D127" i="26"/>
  <c r="Y126" i="26"/>
  <c r="Z126" i="26" s="1"/>
  <c r="AA126" i="26" s="1"/>
  <c r="AB126" i="26" s="1"/>
  <c r="AC126" i="26" s="1"/>
  <c r="AD126" i="26" s="1"/>
  <c r="AE126" i="26" s="1"/>
  <c r="AF126" i="26" s="1"/>
  <c r="B126" i="26" s="1"/>
  <c r="P126" i="26"/>
  <c r="Q126" i="26" s="1"/>
  <c r="R126" i="26" s="1"/>
  <c r="S126" i="26" s="1"/>
  <c r="T126" i="26" s="1"/>
  <c r="U126" i="26" s="1"/>
  <c r="V126" i="26" s="1"/>
  <c r="W126" i="26" s="1"/>
  <c r="X126" i="26" s="1"/>
  <c r="N126" i="26"/>
  <c r="O126" i="26" s="1"/>
  <c r="D126" i="26"/>
  <c r="E126" i="26" s="1"/>
  <c r="F126" i="26" s="1"/>
  <c r="G126" i="26" s="1"/>
  <c r="H126" i="26" s="1"/>
  <c r="I126" i="26" s="1"/>
  <c r="J126" i="26" s="1"/>
  <c r="K126" i="26" s="1"/>
  <c r="L126" i="26" s="1"/>
  <c r="M126" i="26" s="1"/>
  <c r="L125" i="26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B125" i="26" s="1"/>
  <c r="J125" i="26"/>
  <c r="K125" i="26" s="1"/>
  <c r="E125" i="26"/>
  <c r="F125" i="26" s="1"/>
  <c r="G125" i="26" s="1"/>
  <c r="H125" i="26" s="1"/>
  <c r="D125" i="26"/>
  <c r="L124" i="26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B124" i="26" s="1"/>
  <c r="K124" i="26"/>
  <c r="D124" i="26"/>
  <c r="E124" i="26" s="1"/>
  <c r="F124" i="26" s="1"/>
  <c r="G124" i="26" s="1"/>
  <c r="H124" i="26" s="1"/>
  <c r="I124" i="26" s="1"/>
  <c r="J124" i="26" s="1"/>
  <c r="I123" i="26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B123" i="26" s="1"/>
  <c r="E123" i="26"/>
  <c r="F123" i="26" s="1"/>
  <c r="G123" i="26" s="1"/>
  <c r="H123" i="26" s="1"/>
  <c r="D123" i="26"/>
  <c r="G122" i="26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B122" i="26" s="1"/>
  <c r="E122" i="26"/>
  <c r="F122" i="26" s="1"/>
  <c r="D122" i="26"/>
  <c r="F121" i="26"/>
  <c r="G121" i="26" s="1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B121" i="26" s="1"/>
  <c r="E121" i="26"/>
  <c r="D121" i="26"/>
  <c r="E120" i="26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B120" i="26" s="1"/>
  <c r="D120" i="26"/>
  <c r="D119" i="26"/>
  <c r="E119" i="26" s="1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B119" i="26" s="1"/>
  <c r="E118" i="26"/>
  <c r="F118" i="26" s="1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B118" i="26" s="1"/>
  <c r="D118" i="26"/>
  <c r="E117" i="26"/>
  <c r="F117" i="26" s="1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B117" i="26" s="1"/>
  <c r="D117" i="26"/>
  <c r="D116" i="26"/>
  <c r="E116" i="26" s="1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B116" i="26" s="1"/>
  <c r="D115" i="26"/>
  <c r="E115" i="26" s="1"/>
  <c r="F115" i="26" s="1"/>
  <c r="G115" i="26" s="1"/>
  <c r="H115" i="26" s="1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B115" i="26" s="1"/>
  <c r="P114" i="26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B114" i="26" s="1"/>
  <c r="K114" i="26"/>
  <c r="L114" i="26" s="1"/>
  <c r="M114" i="26" s="1"/>
  <c r="N114" i="26" s="1"/>
  <c r="O114" i="26" s="1"/>
  <c r="D114" i="26"/>
  <c r="E114" i="26" s="1"/>
  <c r="F114" i="26" s="1"/>
  <c r="G114" i="26" s="1"/>
  <c r="H114" i="26" s="1"/>
  <c r="I114" i="26" s="1"/>
  <c r="R113" i="26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B113" i="26" s="1"/>
  <c r="J113" i="26"/>
  <c r="K113" i="26" s="1"/>
  <c r="L113" i="26" s="1"/>
  <c r="M113" i="26" s="1"/>
  <c r="N113" i="26" s="1"/>
  <c r="O113" i="26" s="1"/>
  <c r="P113" i="26" s="1"/>
  <c r="Q113" i="26" s="1"/>
  <c r="H113" i="26"/>
  <c r="I113" i="26" s="1"/>
  <c r="D113" i="26"/>
  <c r="E113" i="26" s="1"/>
  <c r="F113" i="26" s="1"/>
  <c r="G113" i="26" s="1"/>
  <c r="L112" i="26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B112" i="26" s="1"/>
  <c r="K112" i="26"/>
  <c r="D112" i="26"/>
  <c r="E112" i="26" s="1"/>
  <c r="F112" i="26" s="1"/>
  <c r="G112" i="26" s="1"/>
  <c r="H112" i="26" s="1"/>
  <c r="I112" i="26" s="1"/>
  <c r="J112" i="26" s="1"/>
  <c r="N110" i="26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B110" i="26" s="1"/>
  <c r="G110" i="26"/>
  <c r="H110" i="26" s="1"/>
  <c r="I110" i="26" s="1"/>
  <c r="J110" i="26" s="1"/>
  <c r="K110" i="26" s="1"/>
  <c r="L110" i="26" s="1"/>
  <c r="M110" i="26" s="1"/>
  <c r="F110" i="26"/>
  <c r="D110" i="26"/>
  <c r="E110" i="26" s="1"/>
  <c r="M109" i="26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B109" i="26" s="1"/>
  <c r="L109" i="26"/>
  <c r="E109" i="26"/>
  <c r="F109" i="26" s="1"/>
  <c r="G109" i="26" s="1"/>
  <c r="H109" i="26" s="1"/>
  <c r="I109" i="26" s="1"/>
  <c r="J109" i="26" s="1"/>
  <c r="K109" i="26" s="1"/>
  <c r="D109" i="26"/>
  <c r="K107" i="26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B107" i="26" s="1"/>
  <c r="J107" i="26"/>
  <c r="D107" i="26"/>
  <c r="E107" i="26" s="1"/>
  <c r="F107" i="26" s="1"/>
  <c r="G107" i="26" s="1"/>
  <c r="H107" i="26" s="1"/>
  <c r="I107" i="26" s="1"/>
  <c r="P106" i="26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B106" i="26" s="1"/>
  <c r="I106" i="26"/>
  <c r="J106" i="26" s="1"/>
  <c r="K106" i="26" s="1"/>
  <c r="L106" i="26" s="1"/>
  <c r="M106" i="26" s="1"/>
  <c r="N106" i="26" s="1"/>
  <c r="O106" i="26" s="1"/>
  <c r="H106" i="26"/>
  <c r="D106" i="26"/>
  <c r="E106" i="26" s="1"/>
  <c r="F106" i="26" s="1"/>
  <c r="G106" i="26" s="1"/>
  <c r="D105" i="26"/>
  <c r="E105" i="26" s="1"/>
  <c r="F105" i="26" s="1"/>
  <c r="G105" i="26" s="1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B105" i="26" s="1"/>
  <c r="D104" i="26"/>
  <c r="E104" i="26" s="1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B104" i="26" s="1"/>
  <c r="D103" i="26"/>
  <c r="E103" i="26" s="1"/>
  <c r="D102" i="26"/>
  <c r="AH100" i="26"/>
  <c r="AI100" i="26" s="1"/>
  <c r="AH99" i="26"/>
  <c r="AI99" i="26" s="1"/>
  <c r="AH98" i="26"/>
  <c r="AI98" i="26" s="1"/>
  <c r="AH97" i="26"/>
  <c r="AI97" i="26" s="1"/>
  <c r="AH96" i="26"/>
  <c r="AI96" i="26" s="1"/>
  <c r="AH95" i="26"/>
  <c r="AI95" i="26" s="1"/>
  <c r="AH94" i="26"/>
  <c r="AI94" i="26" s="1"/>
  <c r="C93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I82" i="26"/>
  <c r="AH82" i="26"/>
  <c r="AG82" i="26"/>
  <c r="AI81" i="26"/>
  <c r="AH81" i="26"/>
  <c r="AI80" i="26"/>
  <c r="AH80" i="26"/>
  <c r="AI79" i="26"/>
  <c r="AH79" i="26"/>
  <c r="AI78" i="26"/>
  <c r="AH78" i="26"/>
  <c r="AI77" i="26"/>
  <c r="AH77" i="26"/>
  <c r="AI76" i="26"/>
  <c r="AH76" i="26"/>
  <c r="AI74" i="26"/>
  <c r="AH74" i="26"/>
  <c r="AI73" i="26"/>
  <c r="AH73" i="26"/>
  <c r="AI72" i="26"/>
  <c r="AH72" i="26"/>
  <c r="AG72" i="26"/>
  <c r="AI71" i="26"/>
  <c r="AH71" i="26"/>
  <c r="AI70" i="26"/>
  <c r="AH70" i="26"/>
  <c r="AI69" i="26"/>
  <c r="AH69" i="26"/>
  <c r="AG68" i="26"/>
  <c r="AF68" i="26"/>
  <c r="AE5" i="26" s="1"/>
  <c r="AE68" i="26"/>
  <c r="AD68" i="26"/>
  <c r="AC5" i="26" s="1"/>
  <c r="AC68" i="26"/>
  <c r="AB5" i="26" s="1"/>
  <c r="AB68" i="26"/>
  <c r="AA68" i="26"/>
  <c r="Z68" i="26"/>
  <c r="Y5" i="26" s="1"/>
  <c r="Y68" i="26"/>
  <c r="X5" i="26" s="1"/>
  <c r="X68" i="26"/>
  <c r="W68" i="26"/>
  <c r="V68" i="26"/>
  <c r="U5" i="26" s="1"/>
  <c r="U68" i="26"/>
  <c r="T5" i="26" s="1"/>
  <c r="T68" i="26"/>
  <c r="S5" i="26" s="1"/>
  <c r="S68" i="26"/>
  <c r="R5" i="26" s="1"/>
  <c r="R68" i="26"/>
  <c r="Q5" i="26" s="1"/>
  <c r="Q68" i="26"/>
  <c r="P5" i="26" s="1"/>
  <c r="P68" i="26"/>
  <c r="O68" i="26"/>
  <c r="N5" i="26" s="1"/>
  <c r="N68" i="26"/>
  <c r="M5" i="26" s="1"/>
  <c r="M68" i="26"/>
  <c r="L5" i="26" s="1"/>
  <c r="L68" i="26"/>
  <c r="K5" i="26" s="1"/>
  <c r="K68" i="26"/>
  <c r="J68" i="26"/>
  <c r="I5" i="26" s="1"/>
  <c r="I68" i="26"/>
  <c r="H5" i="26" s="1"/>
  <c r="H68" i="26"/>
  <c r="G5" i="26" s="1"/>
  <c r="G68" i="26"/>
  <c r="F5" i="26" s="1"/>
  <c r="F68" i="26"/>
  <c r="E5" i="26" s="1"/>
  <c r="E68" i="26"/>
  <c r="D5" i="26" s="1"/>
  <c r="D68" i="26"/>
  <c r="C5" i="26" s="1"/>
  <c r="C68" i="26"/>
  <c r="B5" i="26" s="1"/>
  <c r="B68" i="26"/>
  <c r="AF5" i="26" s="1"/>
  <c r="AI67" i="26"/>
  <c r="AH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AI55" i="26"/>
  <c r="AH55" i="26"/>
  <c r="AI54" i="26"/>
  <c r="AH54" i="26"/>
  <c r="AI53" i="26"/>
  <c r="AH53" i="26"/>
  <c r="AF52" i="26"/>
  <c r="AE52" i="26"/>
  <c r="AD52" i="26"/>
  <c r="AC52" i="26"/>
  <c r="AB52" i="26"/>
  <c r="AA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AI51" i="26"/>
  <c r="AH51" i="26"/>
  <c r="AG51" i="26"/>
  <c r="AG52" i="26" s="1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G38" i="26"/>
  <c r="AF38" i="26"/>
  <c r="AE38" i="26"/>
  <c r="AD38" i="26"/>
  <c r="AC38" i="26"/>
  <c r="AC75" i="26" s="1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D5" i="26"/>
  <c r="AA5" i="26"/>
  <c r="Z5" i="26"/>
  <c r="W5" i="26"/>
  <c r="V5" i="26"/>
  <c r="O5" i="26"/>
  <c r="J5" i="26"/>
  <c r="AG4" i="26"/>
  <c r="K4" i="26"/>
  <c r="B4" i="26"/>
  <c r="AG2" i="26"/>
  <c r="AC37" i="25"/>
  <c r="AB37" i="25"/>
  <c r="AA95" i="25"/>
  <c r="AA37" i="25"/>
  <c r="Z95" i="25"/>
  <c r="Z37" i="25"/>
  <c r="Y95" i="25"/>
  <c r="Y37" i="25"/>
  <c r="X95" i="25"/>
  <c r="X37" i="25"/>
  <c r="W95" i="25"/>
  <c r="W37" i="25"/>
  <c r="V37" i="25"/>
  <c r="U95" i="25"/>
  <c r="U37" i="25"/>
  <c r="T95" i="25"/>
  <c r="T37" i="25"/>
  <c r="S95" i="25"/>
  <c r="S37" i="25"/>
  <c r="R95" i="25"/>
  <c r="R37" i="25"/>
  <c r="Q95" i="25"/>
  <c r="Q37" i="25"/>
  <c r="P37" i="25"/>
  <c r="B68" i="24"/>
  <c r="B75" i="24" s="1"/>
  <c r="B83" i="24" s="1"/>
  <c r="C68" i="24"/>
  <c r="C75" i="24"/>
  <c r="C83" i="24" s="1"/>
  <c r="C93" i="24"/>
  <c r="B102" i="24"/>
  <c r="B103" i="24"/>
  <c r="B104" i="24"/>
  <c r="B105" i="24"/>
  <c r="B106" i="24"/>
  <c r="B107" i="24"/>
  <c r="B109" i="24"/>
  <c r="B93" i="24" s="1"/>
  <c r="B110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1" i="24"/>
  <c r="B132" i="24"/>
  <c r="B133" i="24"/>
  <c r="B134" i="24"/>
  <c r="B135" i="24"/>
  <c r="B136" i="24"/>
  <c r="B137" i="24"/>
  <c r="B138" i="24"/>
  <c r="B140" i="24"/>
  <c r="B141" i="24"/>
  <c r="B142" i="24"/>
  <c r="B143" i="24"/>
  <c r="B144" i="24"/>
  <c r="B145" i="24"/>
  <c r="B146" i="24"/>
  <c r="B148" i="24"/>
  <c r="O37" i="25"/>
  <c r="N37" i="25"/>
  <c r="M37" i="25"/>
  <c r="L37" i="25"/>
  <c r="H37" i="25"/>
  <c r="G37" i="25"/>
  <c r="F37" i="25"/>
  <c r="E37" i="25"/>
  <c r="AF239" i="25"/>
  <c r="AE239" i="25"/>
  <c r="AD239" i="25"/>
  <c r="AC239" i="25"/>
  <c r="AB239" i="25"/>
  <c r="AA239" i="25"/>
  <c r="Z239" i="25"/>
  <c r="Y239" i="25"/>
  <c r="X239" i="25"/>
  <c r="W239" i="25"/>
  <c r="V239" i="25"/>
  <c r="U239" i="25"/>
  <c r="T239" i="25"/>
  <c r="S239" i="25"/>
  <c r="R239" i="25"/>
  <c r="Q239" i="25"/>
  <c r="P239" i="25"/>
  <c r="O239" i="25"/>
  <c r="N239" i="25"/>
  <c r="M239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B235" i="25"/>
  <c r="S210" i="25"/>
  <c r="AG200" i="25"/>
  <c r="C200" i="25"/>
  <c r="E199" i="25"/>
  <c r="D235" i="25" s="1"/>
  <c r="D199" i="25"/>
  <c r="C235" i="25" s="1"/>
  <c r="W198" i="25"/>
  <c r="X198" i="25" s="1"/>
  <c r="Y198" i="25" s="1"/>
  <c r="Z198" i="25" s="1"/>
  <c r="AA198" i="25" s="1"/>
  <c r="AB198" i="25" s="1"/>
  <c r="AC198" i="25" s="1"/>
  <c r="AD198" i="25" s="1"/>
  <c r="AE198" i="25" s="1"/>
  <c r="AF198" i="25" s="1"/>
  <c r="B198" i="25" s="1"/>
  <c r="F198" i="25"/>
  <c r="G198" i="25" s="1"/>
  <c r="H198" i="25" s="1"/>
  <c r="I198" i="25" s="1"/>
  <c r="J198" i="25" s="1"/>
  <c r="K198" i="25" s="1"/>
  <c r="L198" i="25" s="1"/>
  <c r="M198" i="25" s="1"/>
  <c r="N198" i="25" s="1"/>
  <c r="O198" i="25" s="1"/>
  <c r="P198" i="25" s="1"/>
  <c r="Q198" i="25" s="1"/>
  <c r="R198" i="25" s="1"/>
  <c r="S198" i="25" s="1"/>
  <c r="T198" i="25" s="1"/>
  <c r="U198" i="25" s="1"/>
  <c r="V198" i="25" s="1"/>
  <c r="E198" i="25"/>
  <c r="D198" i="25"/>
  <c r="D197" i="25"/>
  <c r="E197" i="25" s="1"/>
  <c r="F197" i="25" s="1"/>
  <c r="G197" i="25" s="1"/>
  <c r="H197" i="25" s="1"/>
  <c r="I197" i="25" s="1"/>
  <c r="J197" i="25" s="1"/>
  <c r="K197" i="25" s="1"/>
  <c r="L197" i="25" s="1"/>
  <c r="M197" i="25" s="1"/>
  <c r="N197" i="25" s="1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B197" i="25" s="1"/>
  <c r="D196" i="25"/>
  <c r="H195" i="25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B195" i="25" s="1"/>
  <c r="E195" i="25"/>
  <c r="F195" i="25" s="1"/>
  <c r="G195" i="25" s="1"/>
  <c r="D195" i="25"/>
  <c r="F194" i="25"/>
  <c r="D194" i="25"/>
  <c r="E194" i="25" s="1"/>
  <c r="AG192" i="25"/>
  <c r="C192" i="25"/>
  <c r="D191" i="25"/>
  <c r="E191" i="25" s="1"/>
  <c r="F191" i="25" s="1"/>
  <c r="G191" i="25" s="1"/>
  <c r="H191" i="25" s="1"/>
  <c r="I191" i="25" s="1"/>
  <c r="J191" i="25" s="1"/>
  <c r="K191" i="25" s="1"/>
  <c r="L191" i="25" s="1"/>
  <c r="M191" i="25" s="1"/>
  <c r="N191" i="25" s="1"/>
  <c r="O191" i="25" s="1"/>
  <c r="P191" i="25" s="1"/>
  <c r="Q191" i="25" s="1"/>
  <c r="R191" i="25" s="1"/>
  <c r="S191" i="25" s="1"/>
  <c r="T191" i="25" s="1"/>
  <c r="U191" i="25" s="1"/>
  <c r="V191" i="25" s="1"/>
  <c r="W191" i="25" s="1"/>
  <c r="X191" i="25" s="1"/>
  <c r="Y191" i="25" s="1"/>
  <c r="Z191" i="25" s="1"/>
  <c r="AA191" i="25" s="1"/>
  <c r="AB191" i="25" s="1"/>
  <c r="AC191" i="25" s="1"/>
  <c r="AD191" i="25" s="1"/>
  <c r="AE191" i="25" s="1"/>
  <c r="AF191" i="25" s="1"/>
  <c r="B191" i="25" s="1"/>
  <c r="AA190" i="25"/>
  <c r="AB190" i="25" s="1"/>
  <c r="AC190" i="25" s="1"/>
  <c r="AD190" i="25" s="1"/>
  <c r="AE190" i="25" s="1"/>
  <c r="AF190" i="25" s="1"/>
  <c r="B190" i="25" s="1"/>
  <c r="K190" i="25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E190" i="25"/>
  <c r="F190" i="25" s="1"/>
  <c r="G190" i="25" s="1"/>
  <c r="H190" i="25" s="1"/>
  <c r="I190" i="25" s="1"/>
  <c r="J190" i="25" s="1"/>
  <c r="D190" i="25"/>
  <c r="L189" i="25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B189" i="25" s="1"/>
  <c r="F189" i="25"/>
  <c r="G189" i="25" s="1"/>
  <c r="H189" i="25" s="1"/>
  <c r="I189" i="25" s="1"/>
  <c r="J189" i="25" s="1"/>
  <c r="K189" i="25" s="1"/>
  <c r="D189" i="25"/>
  <c r="E189" i="25" s="1"/>
  <c r="J188" i="25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B188" i="25" s="1"/>
  <c r="D188" i="25"/>
  <c r="E188" i="25" s="1"/>
  <c r="F188" i="25" s="1"/>
  <c r="G188" i="25" s="1"/>
  <c r="H188" i="25" s="1"/>
  <c r="I188" i="25" s="1"/>
  <c r="D187" i="25"/>
  <c r="E187" i="25" s="1"/>
  <c r="F187" i="25" s="1"/>
  <c r="G187" i="25" s="1"/>
  <c r="H187" i="25" s="1"/>
  <c r="I187" i="25" s="1"/>
  <c r="J187" i="25" s="1"/>
  <c r="K187" i="25" s="1"/>
  <c r="L187" i="25" s="1"/>
  <c r="M187" i="25" s="1"/>
  <c r="N187" i="25" s="1"/>
  <c r="O187" i="25" s="1"/>
  <c r="P187" i="25" s="1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B187" i="25" s="1"/>
  <c r="F186" i="25"/>
  <c r="G186" i="25" s="1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B186" i="25" s="1"/>
  <c r="D186" i="25"/>
  <c r="E186" i="25" s="1"/>
  <c r="D185" i="25"/>
  <c r="E185" i="25" s="1"/>
  <c r="F185" i="25" s="1"/>
  <c r="G185" i="25" s="1"/>
  <c r="H185" i="25" s="1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B185" i="25" s="1"/>
  <c r="D184" i="25"/>
  <c r="E184" i="25" s="1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P184" i="25" s="1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B184" i="25" s="1"/>
  <c r="W183" i="25"/>
  <c r="X183" i="25" s="1"/>
  <c r="Y183" i="25" s="1"/>
  <c r="Z183" i="25" s="1"/>
  <c r="AA183" i="25" s="1"/>
  <c r="AB183" i="25" s="1"/>
  <c r="AC183" i="25" s="1"/>
  <c r="AD183" i="25" s="1"/>
  <c r="AE183" i="25" s="1"/>
  <c r="AF183" i="25" s="1"/>
  <c r="B183" i="25" s="1"/>
  <c r="E183" i="25"/>
  <c r="F183" i="25" s="1"/>
  <c r="G183" i="25" s="1"/>
  <c r="H183" i="25" s="1"/>
  <c r="I183" i="25" s="1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D183" i="25"/>
  <c r="J182" i="25"/>
  <c r="K182" i="25" s="1"/>
  <c r="L182" i="25" s="1"/>
  <c r="M182" i="25" s="1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B182" i="25" s="1"/>
  <c r="D182" i="25"/>
  <c r="E182" i="25" s="1"/>
  <c r="F182" i="25" s="1"/>
  <c r="G182" i="25" s="1"/>
  <c r="H182" i="25" s="1"/>
  <c r="I182" i="25" s="1"/>
  <c r="F181" i="25"/>
  <c r="G181" i="25" s="1"/>
  <c r="H181" i="25" s="1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B181" i="25" s="1"/>
  <c r="D181" i="25"/>
  <c r="E181" i="25" s="1"/>
  <c r="O180" i="25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B180" i="25" s="1"/>
  <c r="F180" i="25"/>
  <c r="G180" i="25" s="1"/>
  <c r="H180" i="25" s="1"/>
  <c r="I180" i="25" s="1"/>
  <c r="J180" i="25" s="1"/>
  <c r="K180" i="25" s="1"/>
  <c r="L180" i="25" s="1"/>
  <c r="M180" i="25" s="1"/>
  <c r="N180" i="25" s="1"/>
  <c r="D180" i="25"/>
  <c r="E180" i="25" s="1"/>
  <c r="J179" i="25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B179" i="25" s="1"/>
  <c r="E179" i="25"/>
  <c r="F179" i="25" s="1"/>
  <c r="G179" i="25" s="1"/>
  <c r="H179" i="25" s="1"/>
  <c r="I179" i="25" s="1"/>
  <c r="D179" i="25"/>
  <c r="X177" i="25"/>
  <c r="Y177" i="25" s="1"/>
  <c r="Z177" i="25" s="1"/>
  <c r="AA177" i="25" s="1"/>
  <c r="AB177" i="25" s="1"/>
  <c r="AC177" i="25" s="1"/>
  <c r="AD177" i="25" s="1"/>
  <c r="AE177" i="25" s="1"/>
  <c r="AF177" i="25" s="1"/>
  <c r="B177" i="25" s="1"/>
  <c r="H177" i="25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E177" i="25"/>
  <c r="F177" i="25" s="1"/>
  <c r="G177" i="25" s="1"/>
  <c r="D177" i="25"/>
  <c r="I176" i="25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B176" i="25" s="1"/>
  <c r="F176" i="25"/>
  <c r="G176" i="25" s="1"/>
  <c r="H176" i="25" s="1"/>
  <c r="E176" i="25"/>
  <c r="D176" i="25"/>
  <c r="AA175" i="25"/>
  <c r="AB175" i="25" s="1"/>
  <c r="AC175" i="25" s="1"/>
  <c r="AD175" i="25" s="1"/>
  <c r="AE175" i="25" s="1"/>
  <c r="AF175" i="25" s="1"/>
  <c r="B175" i="25" s="1"/>
  <c r="K175" i="25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F175" i="25"/>
  <c r="G175" i="25" s="1"/>
  <c r="H175" i="25" s="1"/>
  <c r="I175" i="25" s="1"/>
  <c r="J175" i="25" s="1"/>
  <c r="D175" i="25"/>
  <c r="E175" i="25" s="1"/>
  <c r="D174" i="25"/>
  <c r="E174" i="25" s="1"/>
  <c r="F174" i="25" s="1"/>
  <c r="G174" i="25" s="1"/>
  <c r="H174" i="25" s="1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B174" i="25" s="1"/>
  <c r="AC173" i="25"/>
  <c r="AD173" i="25" s="1"/>
  <c r="AE173" i="25" s="1"/>
  <c r="AF173" i="25" s="1"/>
  <c r="B173" i="25" s="1"/>
  <c r="P173" i="25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G173" i="25"/>
  <c r="H173" i="25" s="1"/>
  <c r="I173" i="25" s="1"/>
  <c r="J173" i="25" s="1"/>
  <c r="K173" i="25" s="1"/>
  <c r="L173" i="25" s="1"/>
  <c r="M173" i="25" s="1"/>
  <c r="N173" i="25" s="1"/>
  <c r="O173" i="25" s="1"/>
  <c r="E173" i="25"/>
  <c r="F173" i="25" s="1"/>
  <c r="D173" i="25"/>
  <c r="F172" i="25"/>
  <c r="G172" i="25" s="1"/>
  <c r="H172" i="25" s="1"/>
  <c r="I172" i="25" s="1"/>
  <c r="J172" i="25" s="1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B172" i="25" s="1"/>
  <c r="E172" i="25"/>
  <c r="D172" i="25"/>
  <c r="D171" i="25"/>
  <c r="E171" i="25" s="1"/>
  <c r="F171" i="25" s="1"/>
  <c r="G171" i="25" s="1"/>
  <c r="H171" i="25" s="1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B171" i="25" s="1"/>
  <c r="D170" i="25"/>
  <c r="E170" i="25" s="1"/>
  <c r="F170" i="25" s="1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B170" i="25" s="1"/>
  <c r="D168" i="25"/>
  <c r="E168" i="25" s="1"/>
  <c r="F168" i="25" s="1"/>
  <c r="G168" i="25" s="1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AD168" i="25" s="1"/>
  <c r="AE168" i="25" s="1"/>
  <c r="AF168" i="25" s="1"/>
  <c r="B168" i="25" s="1"/>
  <c r="E167" i="25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AD167" i="25" s="1"/>
  <c r="AE167" i="25" s="1"/>
  <c r="AF167" i="25" s="1"/>
  <c r="B167" i="25" s="1"/>
  <c r="D167" i="25"/>
  <c r="D166" i="25"/>
  <c r="E166" i="25" s="1"/>
  <c r="F166" i="25" s="1"/>
  <c r="G166" i="25" s="1"/>
  <c r="H166" i="25" s="1"/>
  <c r="I166" i="25" s="1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B166" i="25" s="1"/>
  <c r="Y165" i="25"/>
  <c r="Z165" i="25" s="1"/>
  <c r="AA165" i="25" s="1"/>
  <c r="AB165" i="25" s="1"/>
  <c r="AC165" i="25" s="1"/>
  <c r="AD165" i="25" s="1"/>
  <c r="AE165" i="25" s="1"/>
  <c r="AF165" i="25" s="1"/>
  <c r="B165" i="25" s="1"/>
  <c r="Q165" i="25"/>
  <c r="R165" i="25" s="1"/>
  <c r="S165" i="25" s="1"/>
  <c r="T165" i="25" s="1"/>
  <c r="U165" i="25" s="1"/>
  <c r="V165" i="25" s="1"/>
  <c r="W165" i="25" s="1"/>
  <c r="X165" i="25" s="1"/>
  <c r="I165" i="25"/>
  <c r="J165" i="25" s="1"/>
  <c r="K165" i="25" s="1"/>
  <c r="L165" i="25" s="1"/>
  <c r="M165" i="25" s="1"/>
  <c r="N165" i="25" s="1"/>
  <c r="O165" i="25" s="1"/>
  <c r="P165" i="25" s="1"/>
  <c r="D165" i="25"/>
  <c r="E165" i="25" s="1"/>
  <c r="F165" i="25" s="1"/>
  <c r="G165" i="25" s="1"/>
  <c r="H165" i="25" s="1"/>
  <c r="E164" i="25"/>
  <c r="F164" i="25" s="1"/>
  <c r="G164" i="25" s="1"/>
  <c r="H164" i="25" s="1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B164" i="25" s="1"/>
  <c r="D164" i="25"/>
  <c r="E163" i="25"/>
  <c r="F163" i="25" s="1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B163" i="25" s="1"/>
  <c r="D163" i="25"/>
  <c r="N162" i="25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B162" i="25" s="1"/>
  <c r="L162" i="25"/>
  <c r="M162" i="25" s="1"/>
  <c r="K162" i="25"/>
  <c r="F162" i="25"/>
  <c r="G162" i="25" s="1"/>
  <c r="H162" i="25" s="1"/>
  <c r="I162" i="25" s="1"/>
  <c r="J162" i="25" s="1"/>
  <c r="D162" i="25"/>
  <c r="E162" i="25" s="1"/>
  <c r="D161" i="25"/>
  <c r="E161" i="25" s="1"/>
  <c r="F161" i="25" s="1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B161" i="25" s="1"/>
  <c r="H160" i="25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B160" i="25" s="1"/>
  <c r="G160" i="25"/>
  <c r="F160" i="25"/>
  <c r="E160" i="25"/>
  <c r="D160" i="25"/>
  <c r="F159" i="25"/>
  <c r="G159" i="25" s="1"/>
  <c r="H159" i="25" s="1"/>
  <c r="I159" i="25" s="1"/>
  <c r="J159" i="25" s="1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B159" i="25" s="1"/>
  <c r="E159" i="25"/>
  <c r="D159" i="25"/>
  <c r="U158" i="25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B158" i="25" s="1"/>
  <c r="K158" i="25"/>
  <c r="L158" i="25" s="1"/>
  <c r="M158" i="25" s="1"/>
  <c r="N158" i="25" s="1"/>
  <c r="O158" i="25" s="1"/>
  <c r="P158" i="25" s="1"/>
  <c r="Q158" i="25" s="1"/>
  <c r="R158" i="25" s="1"/>
  <c r="S158" i="25" s="1"/>
  <c r="T158" i="25" s="1"/>
  <c r="G158" i="25"/>
  <c r="H158" i="25" s="1"/>
  <c r="I158" i="25" s="1"/>
  <c r="J158" i="25" s="1"/>
  <c r="F158" i="25"/>
  <c r="E158" i="25"/>
  <c r="D158" i="25"/>
  <c r="M157" i="25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B157" i="25" s="1"/>
  <c r="L157" i="25"/>
  <c r="D157" i="25"/>
  <c r="E157" i="25" s="1"/>
  <c r="F157" i="25" s="1"/>
  <c r="G157" i="25" s="1"/>
  <c r="H157" i="25" s="1"/>
  <c r="I157" i="25" s="1"/>
  <c r="J157" i="25" s="1"/>
  <c r="K157" i="25" s="1"/>
  <c r="D156" i="25"/>
  <c r="E156" i="25" s="1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B156" i="25" s="1"/>
  <c r="I154" i="25"/>
  <c r="J154" i="25" s="1"/>
  <c r="K154" i="25" s="1"/>
  <c r="L154" i="25" s="1"/>
  <c r="M154" i="25" s="1"/>
  <c r="N154" i="25" s="1"/>
  <c r="O154" i="25" s="1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B154" i="25" s="1"/>
  <c r="E154" i="25"/>
  <c r="F154" i="25" s="1"/>
  <c r="G154" i="25" s="1"/>
  <c r="H154" i="25" s="1"/>
  <c r="D154" i="25"/>
  <c r="E153" i="25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B153" i="25" s="1"/>
  <c r="D153" i="25"/>
  <c r="J152" i="25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B152" i="25" s="1"/>
  <c r="E152" i="25"/>
  <c r="F152" i="25" s="1"/>
  <c r="G152" i="25" s="1"/>
  <c r="H152" i="25" s="1"/>
  <c r="I152" i="25" s="1"/>
  <c r="D152" i="25"/>
  <c r="I151" i="25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B151" i="25" s="1"/>
  <c r="H151" i="25"/>
  <c r="D151" i="25"/>
  <c r="E151" i="25" s="1"/>
  <c r="F151" i="25" s="1"/>
  <c r="G151" i="25" s="1"/>
  <c r="F149" i="25"/>
  <c r="G149" i="25" s="1"/>
  <c r="H149" i="25" s="1"/>
  <c r="I149" i="25" s="1"/>
  <c r="J149" i="25" s="1"/>
  <c r="K149" i="25" s="1"/>
  <c r="L149" i="25" s="1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B149" i="25" s="1"/>
  <c r="E149" i="25"/>
  <c r="D149" i="25"/>
  <c r="G148" i="25"/>
  <c r="H148" i="25" s="1"/>
  <c r="I148" i="25" s="1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B148" i="25" s="1"/>
  <c r="D148" i="25"/>
  <c r="E148" i="25" s="1"/>
  <c r="F148" i="25" s="1"/>
  <c r="E146" i="25"/>
  <c r="F146" i="25" s="1"/>
  <c r="G146" i="25" s="1"/>
  <c r="H146" i="25" s="1"/>
  <c r="I146" i="25" s="1"/>
  <c r="J146" i="25" s="1"/>
  <c r="K146" i="25" s="1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B146" i="25" s="1"/>
  <c r="D146" i="25"/>
  <c r="L145" i="25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B145" i="25" s="1"/>
  <c r="D145" i="25"/>
  <c r="E145" i="25" s="1"/>
  <c r="F145" i="25" s="1"/>
  <c r="G145" i="25" s="1"/>
  <c r="H145" i="25" s="1"/>
  <c r="I145" i="25" s="1"/>
  <c r="J145" i="25" s="1"/>
  <c r="K145" i="25" s="1"/>
  <c r="F144" i="25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B144" i="25" s="1"/>
  <c r="E144" i="25"/>
  <c r="D144" i="25"/>
  <c r="E143" i="25"/>
  <c r="F143" i="25" s="1"/>
  <c r="G143" i="25" s="1"/>
  <c r="H143" i="25" s="1"/>
  <c r="I143" i="25" s="1"/>
  <c r="J143" i="25" s="1"/>
  <c r="K143" i="25" s="1"/>
  <c r="L143" i="25" s="1"/>
  <c r="M143" i="25" s="1"/>
  <c r="N143" i="25" s="1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B143" i="25" s="1"/>
  <c r="D143" i="25"/>
  <c r="K142" i="25"/>
  <c r="L142" i="25" s="1"/>
  <c r="M142" i="25" s="1"/>
  <c r="N142" i="25" s="1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B142" i="25" s="1"/>
  <c r="E142" i="25"/>
  <c r="F142" i="25" s="1"/>
  <c r="G142" i="25" s="1"/>
  <c r="H142" i="25" s="1"/>
  <c r="I142" i="25" s="1"/>
  <c r="J142" i="25" s="1"/>
  <c r="D142" i="25"/>
  <c r="D141" i="25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B141" i="25" s="1"/>
  <c r="E140" i="25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B140" i="25" s="1"/>
  <c r="D140" i="25"/>
  <c r="D138" i="25"/>
  <c r="E138" i="25" s="1"/>
  <c r="F138" i="25" s="1"/>
  <c r="G138" i="25" s="1"/>
  <c r="H138" i="25" s="1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B138" i="25" s="1"/>
  <c r="F137" i="25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B137" i="25" s="1"/>
  <c r="E137" i="25"/>
  <c r="D137" i="25"/>
  <c r="G136" i="25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B136" i="25" s="1"/>
  <c r="F136" i="25"/>
  <c r="D136" i="25"/>
  <c r="E136" i="25" s="1"/>
  <c r="E135" i="25"/>
  <c r="F135" i="25" s="1"/>
  <c r="G135" i="25" s="1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B135" i="25" s="1"/>
  <c r="D135" i="25"/>
  <c r="D134" i="25"/>
  <c r="E134" i="25" s="1"/>
  <c r="F134" i="25" s="1"/>
  <c r="G134" i="25" s="1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B134" i="25" s="1"/>
  <c r="E133" i="25"/>
  <c r="F133" i="25" s="1"/>
  <c r="G133" i="25" s="1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Y133" i="25" s="1"/>
  <c r="Z133" i="25" s="1"/>
  <c r="AA133" i="25" s="1"/>
  <c r="AB133" i="25" s="1"/>
  <c r="AC133" i="25" s="1"/>
  <c r="AD133" i="25" s="1"/>
  <c r="AE133" i="25" s="1"/>
  <c r="AF133" i="25" s="1"/>
  <c r="B133" i="25" s="1"/>
  <c r="D133" i="25"/>
  <c r="E132" i="25"/>
  <c r="F132" i="25" s="1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B132" i="25" s="1"/>
  <c r="D132" i="25"/>
  <c r="D131" i="25"/>
  <c r="E131" i="25" s="1"/>
  <c r="F131" i="25" s="1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B131" i="25" s="1"/>
  <c r="D129" i="25"/>
  <c r="E129" i="25" s="1"/>
  <c r="F129" i="25" s="1"/>
  <c r="G129" i="25" s="1"/>
  <c r="H129" i="25" s="1"/>
  <c r="I129" i="25" s="1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B129" i="25" s="1"/>
  <c r="I128" i="25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B128" i="25" s="1"/>
  <c r="E128" i="25"/>
  <c r="F128" i="25" s="1"/>
  <c r="G128" i="25" s="1"/>
  <c r="H128" i="25" s="1"/>
  <c r="D128" i="25"/>
  <c r="D127" i="25"/>
  <c r="E127" i="25" s="1"/>
  <c r="F127" i="25" s="1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B127" i="25" s="1"/>
  <c r="D126" i="25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B126" i="25" s="1"/>
  <c r="S125" i="25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B125" i="25" s="1"/>
  <c r="L125" i="25"/>
  <c r="M125" i="25" s="1"/>
  <c r="N125" i="25" s="1"/>
  <c r="O125" i="25" s="1"/>
  <c r="P125" i="25" s="1"/>
  <c r="Q125" i="25" s="1"/>
  <c r="R125" i="25" s="1"/>
  <c r="J125" i="25"/>
  <c r="K125" i="25" s="1"/>
  <c r="D125" i="25"/>
  <c r="E125" i="25" s="1"/>
  <c r="F125" i="25" s="1"/>
  <c r="G125" i="25" s="1"/>
  <c r="H125" i="25" s="1"/>
  <c r="E124" i="25"/>
  <c r="F124" i="25" s="1"/>
  <c r="G124" i="25" s="1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B124" i="25" s="1"/>
  <c r="D124" i="25"/>
  <c r="V123" i="25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B123" i="25" s="1"/>
  <c r="G123" i="25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D123" i="25"/>
  <c r="E123" i="25" s="1"/>
  <c r="F123" i="25" s="1"/>
  <c r="E122" i="25"/>
  <c r="F122" i="25" s="1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B122" i="25" s="1"/>
  <c r="D122" i="25"/>
  <c r="Q121" i="25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B121" i="25" s="1"/>
  <c r="D121" i="25"/>
  <c r="E121" i="25" s="1"/>
  <c r="F121" i="25" s="1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F120" i="25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B120" i="25" s="1"/>
  <c r="E120" i="25"/>
  <c r="D120" i="25"/>
  <c r="P119" i="25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B119" i="25" s="1"/>
  <c r="D119" i="25"/>
  <c r="E119" i="25" s="1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E118" i="25"/>
  <c r="F118" i="25" s="1"/>
  <c r="G118" i="25" s="1"/>
  <c r="H118" i="25" s="1"/>
  <c r="I118" i="25" s="1"/>
  <c r="J118" i="25" s="1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B118" i="25" s="1"/>
  <c r="D118" i="25"/>
  <c r="H117" i="25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B117" i="25" s="1"/>
  <c r="E117" i="25"/>
  <c r="F117" i="25" s="1"/>
  <c r="G117" i="25" s="1"/>
  <c r="D117" i="25"/>
  <c r="E116" i="25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B116" i="25" s="1"/>
  <c r="D116" i="25"/>
  <c r="E115" i="25"/>
  <c r="F115" i="25" s="1"/>
  <c r="G115" i="25" s="1"/>
  <c r="H115" i="25" s="1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B115" i="25" s="1"/>
  <c r="D115" i="25"/>
  <c r="V114" i="25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B114" i="25" s="1"/>
  <c r="M114" i="25"/>
  <c r="N114" i="25" s="1"/>
  <c r="O114" i="25" s="1"/>
  <c r="P114" i="25" s="1"/>
  <c r="Q114" i="25" s="1"/>
  <c r="R114" i="25" s="1"/>
  <c r="S114" i="25" s="1"/>
  <c r="T114" i="25" s="1"/>
  <c r="U114" i="25" s="1"/>
  <c r="K114" i="25"/>
  <c r="L114" i="25" s="1"/>
  <c r="D114" i="25"/>
  <c r="E114" i="25" s="1"/>
  <c r="F114" i="25" s="1"/>
  <c r="G114" i="25" s="1"/>
  <c r="H114" i="25" s="1"/>
  <c r="I114" i="25" s="1"/>
  <c r="D113" i="25"/>
  <c r="E113" i="25" s="1"/>
  <c r="F113" i="25" s="1"/>
  <c r="G113" i="25" s="1"/>
  <c r="H113" i="25" s="1"/>
  <c r="I113" i="25" s="1"/>
  <c r="J113" i="25" s="1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B113" i="25" s="1"/>
  <c r="T112" i="25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B112" i="25" s="1"/>
  <c r="L112" i="25"/>
  <c r="M112" i="25" s="1"/>
  <c r="N112" i="25" s="1"/>
  <c r="O112" i="25" s="1"/>
  <c r="P112" i="25" s="1"/>
  <c r="Q112" i="25" s="1"/>
  <c r="R112" i="25" s="1"/>
  <c r="S112" i="25" s="1"/>
  <c r="D112" i="25"/>
  <c r="E112" i="25" s="1"/>
  <c r="F112" i="25" s="1"/>
  <c r="G112" i="25" s="1"/>
  <c r="H112" i="25" s="1"/>
  <c r="I112" i="25" s="1"/>
  <c r="J112" i="25" s="1"/>
  <c r="K112" i="25" s="1"/>
  <c r="F110" i="25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B110" i="25" s="1"/>
  <c r="E110" i="25"/>
  <c r="D110" i="25"/>
  <c r="D109" i="25"/>
  <c r="E109" i="25" s="1"/>
  <c r="F109" i="25" s="1"/>
  <c r="G109" i="25" s="1"/>
  <c r="H109" i="25" s="1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B109" i="25" s="1"/>
  <c r="N107" i="25"/>
  <c r="O107" i="25" s="1"/>
  <c r="P107" i="25" s="1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B107" i="25" s="1"/>
  <c r="F107" i="25"/>
  <c r="G107" i="25" s="1"/>
  <c r="H107" i="25" s="1"/>
  <c r="I107" i="25" s="1"/>
  <c r="J107" i="25" s="1"/>
  <c r="K107" i="25" s="1"/>
  <c r="L107" i="25" s="1"/>
  <c r="M107" i="25" s="1"/>
  <c r="D107" i="25"/>
  <c r="E107" i="25" s="1"/>
  <c r="D106" i="25"/>
  <c r="E106" i="25" s="1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B106" i="25" s="1"/>
  <c r="R105" i="25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B105" i="25" s="1"/>
  <c r="J105" i="25"/>
  <c r="K105" i="25" s="1"/>
  <c r="L105" i="25" s="1"/>
  <c r="M105" i="25" s="1"/>
  <c r="N105" i="25" s="1"/>
  <c r="O105" i="25" s="1"/>
  <c r="P105" i="25" s="1"/>
  <c r="Q105" i="25" s="1"/>
  <c r="F105" i="25"/>
  <c r="G105" i="25" s="1"/>
  <c r="H105" i="25" s="1"/>
  <c r="I105" i="25" s="1"/>
  <c r="E105" i="25"/>
  <c r="D105" i="25"/>
  <c r="H104" i="25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B104" i="25" s="1"/>
  <c r="D104" i="25"/>
  <c r="E104" i="25" s="1"/>
  <c r="F104" i="25" s="1"/>
  <c r="G104" i="25" s="1"/>
  <c r="D103" i="25"/>
  <c r="E103" i="25" s="1"/>
  <c r="F103" i="25" s="1"/>
  <c r="D102" i="25"/>
  <c r="AH100" i="25"/>
  <c r="AI100" i="25" s="1"/>
  <c r="AH99" i="25"/>
  <c r="AI99" i="25" s="1"/>
  <c r="AH98" i="25"/>
  <c r="AI98" i="25" s="1"/>
  <c r="AH97" i="25"/>
  <c r="AI97" i="25" s="1"/>
  <c r="AH96" i="25"/>
  <c r="AI96" i="25" s="1"/>
  <c r="AH94" i="25"/>
  <c r="AI94" i="25" s="1"/>
  <c r="D93" i="25"/>
  <c r="C93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2" i="25"/>
  <c r="AH82" i="25"/>
  <c r="AG82" i="25"/>
  <c r="AI81" i="25"/>
  <c r="AH81" i="25"/>
  <c r="AI80" i="25"/>
  <c r="AH80" i="25"/>
  <c r="AI79" i="25"/>
  <c r="AH79" i="25"/>
  <c r="AI78" i="25"/>
  <c r="AH78" i="25"/>
  <c r="AI77" i="25"/>
  <c r="AH77" i="25"/>
  <c r="AI76" i="25"/>
  <c r="AH76" i="25"/>
  <c r="AI74" i="25"/>
  <c r="AH74" i="25"/>
  <c r="AI73" i="25"/>
  <c r="AH73" i="25"/>
  <c r="AI72" i="25"/>
  <c r="AH72" i="25"/>
  <c r="AG72" i="25"/>
  <c r="AG75" i="25" s="1"/>
  <c r="AI71" i="25"/>
  <c r="AH71" i="25"/>
  <c r="AI70" i="25"/>
  <c r="AH70" i="25"/>
  <c r="AI69" i="25"/>
  <c r="AH69" i="25"/>
  <c r="AG68" i="25"/>
  <c r="AF68" i="25"/>
  <c r="AE5" i="25" s="1"/>
  <c r="AE68" i="25"/>
  <c r="AD5" i="25" s="1"/>
  <c r="AD68" i="25"/>
  <c r="AC5" i="25" s="1"/>
  <c r="AC68" i="25"/>
  <c r="AB5" i="25" s="1"/>
  <c r="AB68" i="25"/>
  <c r="AA5" i="25" s="1"/>
  <c r="AA68" i="25"/>
  <c r="Z68" i="25"/>
  <c r="Y5" i="25" s="1"/>
  <c r="Y68" i="25"/>
  <c r="X68" i="25"/>
  <c r="W5" i="25" s="1"/>
  <c r="W68" i="25"/>
  <c r="V5" i="25" s="1"/>
  <c r="V68" i="25"/>
  <c r="U5" i="25" s="1"/>
  <c r="U68" i="25"/>
  <c r="T5" i="25" s="1"/>
  <c r="T68" i="25"/>
  <c r="S5" i="25" s="1"/>
  <c r="S68" i="25"/>
  <c r="R68" i="25"/>
  <c r="Q5" i="25" s="1"/>
  <c r="Q68" i="25"/>
  <c r="P68" i="25"/>
  <c r="O5" i="25" s="1"/>
  <c r="O68" i="25"/>
  <c r="N5" i="25" s="1"/>
  <c r="N68" i="25"/>
  <c r="M5" i="25" s="1"/>
  <c r="M68" i="25"/>
  <c r="L5" i="25" s="1"/>
  <c r="L68" i="25"/>
  <c r="K5" i="25" s="1"/>
  <c r="K68" i="25"/>
  <c r="J5" i="25" s="1"/>
  <c r="J68" i="25"/>
  <c r="I5" i="25" s="1"/>
  <c r="I68" i="25"/>
  <c r="H5" i="25" s="1"/>
  <c r="H68" i="25"/>
  <c r="G5" i="25" s="1"/>
  <c r="G68" i="25"/>
  <c r="F5" i="25" s="1"/>
  <c r="F68" i="25"/>
  <c r="E5" i="25" s="1"/>
  <c r="E68" i="25"/>
  <c r="D5" i="25" s="1"/>
  <c r="D68" i="25"/>
  <c r="C5" i="25" s="1"/>
  <c r="C68" i="25"/>
  <c r="B5" i="25" s="1"/>
  <c r="B68" i="25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I55" i="25"/>
  <c r="AH55" i="25"/>
  <c r="AI54" i="25"/>
  <c r="AH54" i="25"/>
  <c r="AI53" i="25"/>
  <c r="AH53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U75" i="25" s="1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I51" i="25"/>
  <c r="AH51" i="25"/>
  <c r="AG51" i="25"/>
  <c r="AG52" i="25" s="1"/>
  <c r="AG3" i="25" s="1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S75" i="25" s="1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Z5" i="25"/>
  <c r="X5" i="25"/>
  <c r="R5" i="25"/>
  <c r="P5" i="25"/>
  <c r="AG4" i="25"/>
  <c r="K4" i="25"/>
  <c r="B4" i="25"/>
  <c r="AG2" i="25"/>
  <c r="AE37" i="24"/>
  <c r="AD37" i="24"/>
  <c r="AC37" i="24"/>
  <c r="AB37" i="24"/>
  <c r="AA37" i="24"/>
  <c r="Z37" i="24"/>
  <c r="Y37" i="24"/>
  <c r="V37" i="24"/>
  <c r="U37" i="24"/>
  <c r="T37" i="24"/>
  <c r="S37" i="24"/>
  <c r="R37" i="24"/>
  <c r="L95" i="24"/>
  <c r="L37" i="24"/>
  <c r="K95" i="24"/>
  <c r="J95" i="24"/>
  <c r="K37" i="24"/>
  <c r="J37" i="24"/>
  <c r="I95" i="24"/>
  <c r="I37" i="24"/>
  <c r="H95" i="24"/>
  <c r="H37" i="24"/>
  <c r="G95" i="24"/>
  <c r="G37" i="24"/>
  <c r="F95" i="24"/>
  <c r="F37" i="24"/>
  <c r="E95" i="24"/>
  <c r="E37" i="24"/>
  <c r="D95" i="24"/>
  <c r="D37" i="24"/>
  <c r="AF239" i="24"/>
  <c r="AE239" i="24"/>
  <c r="AD239" i="24"/>
  <c r="AC239" i="24"/>
  <c r="AB239" i="24"/>
  <c r="AA239" i="24"/>
  <c r="Z239" i="24"/>
  <c r="Y239" i="24"/>
  <c r="X239" i="24"/>
  <c r="W239" i="24"/>
  <c r="V239" i="24"/>
  <c r="U239" i="24"/>
  <c r="T239" i="24"/>
  <c r="S239" i="24"/>
  <c r="R239" i="24"/>
  <c r="Q239" i="24"/>
  <c r="P239" i="24"/>
  <c r="O239" i="24"/>
  <c r="N239" i="24"/>
  <c r="M239" i="24"/>
  <c r="L239" i="24"/>
  <c r="K239" i="24"/>
  <c r="J239" i="24"/>
  <c r="I239" i="24"/>
  <c r="H239" i="24"/>
  <c r="G239" i="24"/>
  <c r="F239" i="24"/>
  <c r="E239" i="24"/>
  <c r="D239" i="24"/>
  <c r="C239" i="24"/>
  <c r="B239" i="24"/>
  <c r="A239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B235" i="24"/>
  <c r="S210" i="24"/>
  <c r="AG200" i="24"/>
  <c r="C200" i="24"/>
  <c r="D199" i="24"/>
  <c r="D198" i="24"/>
  <c r="E198" i="24" s="1"/>
  <c r="F198" i="24" s="1"/>
  <c r="G198" i="24" s="1"/>
  <c r="H198" i="24" s="1"/>
  <c r="I198" i="24" s="1"/>
  <c r="J198" i="24" s="1"/>
  <c r="K198" i="24" s="1"/>
  <c r="L198" i="24" s="1"/>
  <c r="M198" i="24" s="1"/>
  <c r="N198" i="24" s="1"/>
  <c r="O198" i="24" s="1"/>
  <c r="P198" i="24" s="1"/>
  <c r="Q198" i="24" s="1"/>
  <c r="R198" i="24" s="1"/>
  <c r="S198" i="24" s="1"/>
  <c r="T198" i="24" s="1"/>
  <c r="U198" i="24" s="1"/>
  <c r="V198" i="24" s="1"/>
  <c r="W198" i="24" s="1"/>
  <c r="X198" i="24" s="1"/>
  <c r="Y198" i="24" s="1"/>
  <c r="Z198" i="24" s="1"/>
  <c r="AA198" i="24" s="1"/>
  <c r="AB198" i="24" s="1"/>
  <c r="AC198" i="24" s="1"/>
  <c r="AD198" i="24" s="1"/>
  <c r="AE198" i="24" s="1"/>
  <c r="AF198" i="24" s="1"/>
  <c r="B198" i="24" s="1"/>
  <c r="G197" i="24"/>
  <c r="H197" i="24" s="1"/>
  <c r="I197" i="24" s="1"/>
  <c r="J197" i="24" s="1"/>
  <c r="K197" i="24" s="1"/>
  <c r="L197" i="24" s="1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B197" i="24" s="1"/>
  <c r="E197" i="24"/>
  <c r="F197" i="24" s="1"/>
  <c r="D197" i="24"/>
  <c r="D196" i="24"/>
  <c r="E196" i="24" s="1"/>
  <c r="F196" i="24" s="1"/>
  <c r="G196" i="24" s="1"/>
  <c r="H196" i="24" s="1"/>
  <c r="I196" i="24" s="1"/>
  <c r="J196" i="24" s="1"/>
  <c r="K196" i="24" s="1"/>
  <c r="L196" i="24" s="1"/>
  <c r="M196" i="24" s="1"/>
  <c r="N196" i="24" s="1"/>
  <c r="O196" i="24" s="1"/>
  <c r="P196" i="24" s="1"/>
  <c r="Q196" i="24" s="1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B196" i="24" s="1"/>
  <c r="K195" i="24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B195" i="24" s="1"/>
  <c r="D195" i="24"/>
  <c r="E195" i="24" s="1"/>
  <c r="F195" i="24" s="1"/>
  <c r="G195" i="24" s="1"/>
  <c r="H195" i="24" s="1"/>
  <c r="I195" i="24" s="1"/>
  <c r="J195" i="24" s="1"/>
  <c r="E194" i="24"/>
  <c r="F194" i="24" s="1"/>
  <c r="D194" i="24"/>
  <c r="AG192" i="24"/>
  <c r="C192" i="24"/>
  <c r="D191" i="24"/>
  <c r="E191" i="24" s="1"/>
  <c r="F191" i="24" s="1"/>
  <c r="G191" i="24" s="1"/>
  <c r="H191" i="24" s="1"/>
  <c r="I191" i="24" s="1"/>
  <c r="J191" i="24" s="1"/>
  <c r="K191" i="24" s="1"/>
  <c r="L191" i="24" s="1"/>
  <c r="M191" i="24" s="1"/>
  <c r="N191" i="24" s="1"/>
  <c r="O191" i="24" s="1"/>
  <c r="P191" i="24" s="1"/>
  <c r="Q191" i="24" s="1"/>
  <c r="R191" i="24" s="1"/>
  <c r="S191" i="24" s="1"/>
  <c r="T191" i="24" s="1"/>
  <c r="U191" i="24" s="1"/>
  <c r="V191" i="24" s="1"/>
  <c r="W191" i="24" s="1"/>
  <c r="X191" i="24" s="1"/>
  <c r="Y191" i="24" s="1"/>
  <c r="Z191" i="24" s="1"/>
  <c r="AA191" i="24" s="1"/>
  <c r="AB191" i="24" s="1"/>
  <c r="AC191" i="24" s="1"/>
  <c r="AD191" i="24" s="1"/>
  <c r="AE191" i="24" s="1"/>
  <c r="AF191" i="24" s="1"/>
  <c r="B191" i="24" s="1"/>
  <c r="E190" i="24"/>
  <c r="F190" i="24" s="1"/>
  <c r="G190" i="24" s="1"/>
  <c r="H190" i="24" s="1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B190" i="24" s="1"/>
  <c r="D190" i="24"/>
  <c r="D189" i="24"/>
  <c r="E189" i="24" s="1"/>
  <c r="F189" i="24" s="1"/>
  <c r="G189" i="24" s="1"/>
  <c r="H189" i="24" s="1"/>
  <c r="I189" i="24" s="1"/>
  <c r="J189" i="24" s="1"/>
  <c r="K189" i="24" s="1"/>
  <c r="L189" i="24" s="1"/>
  <c r="M189" i="24" s="1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B189" i="24" s="1"/>
  <c r="E188" i="24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B188" i="24" s="1"/>
  <c r="D188" i="24"/>
  <c r="D187" i="24"/>
  <c r="E187" i="24" s="1"/>
  <c r="F187" i="24" s="1"/>
  <c r="G187" i="24" s="1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B187" i="24" s="1"/>
  <c r="D186" i="24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B186" i="24" s="1"/>
  <c r="F185" i="24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B185" i="24" s="1"/>
  <c r="D185" i="24"/>
  <c r="E185" i="24" s="1"/>
  <c r="D184" i="24"/>
  <c r="E184" i="24" s="1"/>
  <c r="F184" i="24" s="1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B184" i="24" s="1"/>
  <c r="D183" i="24"/>
  <c r="E183" i="24" s="1"/>
  <c r="F183" i="24" s="1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B183" i="24" s="1"/>
  <c r="E182" i="24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B182" i="24" s="1"/>
  <c r="D182" i="24"/>
  <c r="E181" i="24"/>
  <c r="F181" i="24" s="1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B181" i="24" s="1"/>
  <c r="D181" i="24"/>
  <c r="L180" i="24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B180" i="24" s="1"/>
  <c r="D180" i="24"/>
  <c r="E180" i="24" s="1"/>
  <c r="F180" i="24" s="1"/>
  <c r="G180" i="24" s="1"/>
  <c r="H180" i="24" s="1"/>
  <c r="I180" i="24" s="1"/>
  <c r="J180" i="24" s="1"/>
  <c r="K180" i="24" s="1"/>
  <c r="D179" i="24"/>
  <c r="E179" i="24" s="1"/>
  <c r="F179" i="24" s="1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B179" i="24" s="1"/>
  <c r="D177" i="24"/>
  <c r="E177" i="24" s="1"/>
  <c r="F177" i="24" s="1"/>
  <c r="G177" i="24" s="1"/>
  <c r="H177" i="24" s="1"/>
  <c r="I177" i="24" s="1"/>
  <c r="J177" i="24" s="1"/>
  <c r="K177" i="24" s="1"/>
  <c r="L177" i="24" s="1"/>
  <c r="M177" i="24" s="1"/>
  <c r="N177" i="24" s="1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B177" i="24" s="1"/>
  <c r="D176" i="24"/>
  <c r="E176" i="24" s="1"/>
  <c r="F176" i="24" s="1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B176" i="24" s="1"/>
  <c r="D175" i="24"/>
  <c r="E175" i="24" s="1"/>
  <c r="F175" i="24" s="1"/>
  <c r="G175" i="24" s="1"/>
  <c r="H175" i="24" s="1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B175" i="24" s="1"/>
  <c r="D174" i="24"/>
  <c r="E174" i="24" s="1"/>
  <c r="F174" i="24" s="1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B174" i="24" s="1"/>
  <c r="E173" i="24"/>
  <c r="F173" i="24" s="1"/>
  <c r="G173" i="24" s="1"/>
  <c r="H173" i="24" s="1"/>
  <c r="I173" i="24" s="1"/>
  <c r="J173" i="24" s="1"/>
  <c r="K173" i="24" s="1"/>
  <c r="L173" i="24" s="1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B173" i="24" s="1"/>
  <c r="D173" i="24"/>
  <c r="D172" i="24"/>
  <c r="E172" i="24" s="1"/>
  <c r="F172" i="24" s="1"/>
  <c r="G172" i="24" s="1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B172" i="24" s="1"/>
  <c r="E171" i="24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B171" i="24" s="1"/>
  <c r="D171" i="24"/>
  <c r="D170" i="24"/>
  <c r="E170" i="24" s="1"/>
  <c r="F170" i="24" s="1"/>
  <c r="G170" i="24" s="1"/>
  <c r="H170" i="24" s="1"/>
  <c r="I170" i="24" s="1"/>
  <c r="J170" i="24" s="1"/>
  <c r="K170" i="24" s="1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B170" i="24" s="1"/>
  <c r="E168" i="24"/>
  <c r="F168" i="24" s="1"/>
  <c r="G168" i="24" s="1"/>
  <c r="H168" i="24" s="1"/>
  <c r="I168" i="24" s="1"/>
  <c r="J168" i="24" s="1"/>
  <c r="K168" i="24" s="1"/>
  <c r="L168" i="24" s="1"/>
  <c r="M168" i="24" s="1"/>
  <c r="N168" i="24" s="1"/>
  <c r="O168" i="24" s="1"/>
  <c r="P168" i="24" s="1"/>
  <c r="Q168" i="24" s="1"/>
  <c r="R168" i="24" s="1"/>
  <c r="S168" i="24" s="1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B168" i="24" s="1"/>
  <c r="D168" i="24"/>
  <c r="D167" i="24"/>
  <c r="E167" i="24" s="1"/>
  <c r="F167" i="24" s="1"/>
  <c r="G167" i="24" s="1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B167" i="24" s="1"/>
  <c r="E166" i="24"/>
  <c r="F166" i="24" s="1"/>
  <c r="G166" i="24" s="1"/>
  <c r="H166" i="24" s="1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B166" i="24" s="1"/>
  <c r="D166" i="24"/>
  <c r="D165" i="24"/>
  <c r="E165" i="24" s="1"/>
  <c r="F165" i="24" s="1"/>
  <c r="G165" i="24" s="1"/>
  <c r="H165" i="24" s="1"/>
  <c r="I165" i="24" s="1"/>
  <c r="J165" i="24" s="1"/>
  <c r="K165" i="24" s="1"/>
  <c r="L165" i="24" s="1"/>
  <c r="M165" i="24" s="1"/>
  <c r="N165" i="24" s="1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B165" i="24" s="1"/>
  <c r="E164" i="24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B164" i="24" s="1"/>
  <c r="D164" i="24"/>
  <c r="E163" i="24"/>
  <c r="F163" i="24" s="1"/>
  <c r="G163" i="24" s="1"/>
  <c r="H163" i="24" s="1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B163" i="24" s="1"/>
  <c r="D163" i="24"/>
  <c r="D162" i="24"/>
  <c r="E162" i="24" s="1"/>
  <c r="F162" i="24" s="1"/>
  <c r="G162" i="24" s="1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AB162" i="24" s="1"/>
  <c r="AC162" i="24" s="1"/>
  <c r="AD162" i="24" s="1"/>
  <c r="AE162" i="24" s="1"/>
  <c r="AF162" i="24" s="1"/>
  <c r="B162" i="24" s="1"/>
  <c r="D161" i="24"/>
  <c r="E161" i="24" s="1"/>
  <c r="F161" i="24" s="1"/>
  <c r="G161" i="24" s="1"/>
  <c r="H161" i="24" s="1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B161" i="24" s="1"/>
  <c r="D160" i="24"/>
  <c r="E160" i="24" s="1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B160" i="24" s="1"/>
  <c r="E159" i="24"/>
  <c r="F159" i="24" s="1"/>
  <c r="G159" i="24" s="1"/>
  <c r="H159" i="24" s="1"/>
  <c r="I159" i="24" s="1"/>
  <c r="J159" i="24" s="1"/>
  <c r="K159" i="24" s="1"/>
  <c r="L159" i="24" s="1"/>
  <c r="M159" i="24" s="1"/>
  <c r="N159" i="24" s="1"/>
  <c r="O159" i="24" s="1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B159" i="24" s="1"/>
  <c r="D159" i="24"/>
  <c r="D158" i="24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B158" i="24" s="1"/>
  <c r="F157" i="24"/>
  <c r="G157" i="24" s="1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B157" i="24" s="1"/>
  <c r="D157" i="24"/>
  <c r="E157" i="24" s="1"/>
  <c r="D156" i="24"/>
  <c r="E156" i="24" s="1"/>
  <c r="F156" i="24" s="1"/>
  <c r="G156" i="24" s="1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B156" i="24" s="1"/>
  <c r="K154" i="24"/>
  <c r="L154" i="24" s="1"/>
  <c r="M154" i="24" s="1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X154" i="24" s="1"/>
  <c r="Y154" i="24" s="1"/>
  <c r="Z154" i="24" s="1"/>
  <c r="AA154" i="24" s="1"/>
  <c r="AB154" i="24" s="1"/>
  <c r="AC154" i="24" s="1"/>
  <c r="AD154" i="24" s="1"/>
  <c r="AE154" i="24" s="1"/>
  <c r="AF154" i="24" s="1"/>
  <c r="B154" i="24" s="1"/>
  <c r="D154" i="24"/>
  <c r="E154" i="24" s="1"/>
  <c r="F154" i="24" s="1"/>
  <c r="G154" i="24" s="1"/>
  <c r="H154" i="24" s="1"/>
  <c r="I154" i="24" s="1"/>
  <c r="J154" i="24" s="1"/>
  <c r="D153" i="24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B153" i="24" s="1"/>
  <c r="E152" i="24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B152" i="24" s="1"/>
  <c r="D152" i="24"/>
  <c r="D151" i="24"/>
  <c r="E151" i="24" s="1"/>
  <c r="F151" i="24" s="1"/>
  <c r="G151" i="24" s="1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B151" i="24" s="1"/>
  <c r="F149" i="24"/>
  <c r="G149" i="24" s="1"/>
  <c r="H149" i="24" s="1"/>
  <c r="I149" i="24" s="1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B149" i="24" s="1"/>
  <c r="D149" i="24"/>
  <c r="E149" i="24" s="1"/>
  <c r="D148" i="24"/>
  <c r="E148" i="24" s="1"/>
  <c r="F148" i="24" s="1"/>
  <c r="G148" i="24" s="1"/>
  <c r="H148" i="24" s="1"/>
  <c r="I148" i="24" s="1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D146" i="24"/>
  <c r="E146" i="24" s="1"/>
  <c r="F146" i="24" s="1"/>
  <c r="G146" i="24" s="1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D145" i="24"/>
  <c r="E145" i="24" s="1"/>
  <c r="F145" i="24" s="1"/>
  <c r="G145" i="24" s="1"/>
  <c r="H145" i="24" s="1"/>
  <c r="I145" i="24" s="1"/>
  <c r="J145" i="24" s="1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D144" i="24"/>
  <c r="E144" i="24" s="1"/>
  <c r="F144" i="24" s="1"/>
  <c r="G144" i="24" s="1"/>
  <c r="H144" i="24" s="1"/>
  <c r="I144" i="24" s="1"/>
  <c r="J144" i="24" s="1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D143" i="24"/>
  <c r="E143" i="24" s="1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E142" i="24"/>
  <c r="F142" i="24" s="1"/>
  <c r="G142" i="24" s="1"/>
  <c r="H142" i="24" s="1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D142" i="24"/>
  <c r="D141" i="24"/>
  <c r="E141" i="24" s="1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T140" i="24"/>
  <c r="U140" i="24" s="1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D140" i="24"/>
  <c r="E140" i="24" s="1"/>
  <c r="F140" i="24" s="1"/>
  <c r="G140" i="24" s="1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D138" i="24"/>
  <c r="E138" i="24" s="1"/>
  <c r="F138" i="24" s="1"/>
  <c r="G138" i="24" s="1"/>
  <c r="H138" i="24" s="1"/>
  <c r="I138" i="24" s="1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D137" i="24"/>
  <c r="E137" i="24" s="1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D136" i="24"/>
  <c r="E136" i="24" s="1"/>
  <c r="F136" i="24" s="1"/>
  <c r="G136" i="24" s="1"/>
  <c r="H136" i="24" s="1"/>
  <c r="I136" i="24" s="1"/>
  <c r="J136" i="24" s="1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N135" i="24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E135" i="24"/>
  <c r="F135" i="24" s="1"/>
  <c r="G135" i="24" s="1"/>
  <c r="H135" i="24" s="1"/>
  <c r="I135" i="24" s="1"/>
  <c r="J135" i="24" s="1"/>
  <c r="K135" i="24" s="1"/>
  <c r="L135" i="24" s="1"/>
  <c r="M135" i="24" s="1"/>
  <c r="D135" i="24"/>
  <c r="H134" i="24"/>
  <c r="I134" i="24" s="1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D134" i="24"/>
  <c r="E134" i="24" s="1"/>
  <c r="F134" i="24" s="1"/>
  <c r="G134" i="24" s="1"/>
  <c r="E133" i="24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D133" i="24"/>
  <c r="D132" i="24"/>
  <c r="E132" i="24" s="1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D129" i="24"/>
  <c r="E129" i="24" s="1"/>
  <c r="F129" i="24" s="1"/>
  <c r="G129" i="24" s="1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D128" i="24"/>
  <c r="E128" i="24" s="1"/>
  <c r="F128" i="24" s="1"/>
  <c r="G128" i="24" s="1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D127" i="24"/>
  <c r="E127" i="24" s="1"/>
  <c r="F127" i="24" s="1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I126" i="24"/>
  <c r="J126" i="24" s="1"/>
  <c r="K126" i="24" s="1"/>
  <c r="L126" i="24" s="1"/>
  <c r="M126" i="24" s="1"/>
  <c r="N126" i="24" s="1"/>
  <c r="O126" i="24" s="1"/>
  <c r="P126" i="24" s="1"/>
  <c r="Q126" i="24" s="1"/>
  <c r="R126" i="24" s="1"/>
  <c r="S126" i="24" s="1"/>
  <c r="T126" i="24" s="1"/>
  <c r="U126" i="24" s="1"/>
  <c r="V126" i="24" s="1"/>
  <c r="W126" i="24" s="1"/>
  <c r="X126" i="24" s="1"/>
  <c r="Y126" i="24" s="1"/>
  <c r="Z126" i="24" s="1"/>
  <c r="AA126" i="24" s="1"/>
  <c r="AB126" i="24" s="1"/>
  <c r="AC126" i="24" s="1"/>
  <c r="AD126" i="24" s="1"/>
  <c r="AE126" i="24" s="1"/>
  <c r="AF126" i="24" s="1"/>
  <c r="D126" i="24"/>
  <c r="E126" i="24" s="1"/>
  <c r="F126" i="24" s="1"/>
  <c r="G126" i="24" s="1"/>
  <c r="H126" i="24" s="1"/>
  <c r="J125" i="24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D125" i="24"/>
  <c r="E125" i="24" s="1"/>
  <c r="F125" i="24" s="1"/>
  <c r="G125" i="24" s="1"/>
  <c r="H125" i="24" s="1"/>
  <c r="D124" i="24"/>
  <c r="E124" i="24" s="1"/>
  <c r="F124" i="24" s="1"/>
  <c r="G124" i="24" s="1"/>
  <c r="H124" i="24" s="1"/>
  <c r="I124" i="24" s="1"/>
  <c r="J124" i="24" s="1"/>
  <c r="K124" i="24" s="1"/>
  <c r="L124" i="24" s="1"/>
  <c r="M124" i="24" s="1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D123" i="24"/>
  <c r="E123" i="24" s="1"/>
  <c r="F123" i="24" s="1"/>
  <c r="G123" i="24" s="1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E122" i="24"/>
  <c r="F122" i="24" s="1"/>
  <c r="G122" i="24" s="1"/>
  <c r="H122" i="24" s="1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D122" i="24"/>
  <c r="D121" i="24"/>
  <c r="E121" i="24" s="1"/>
  <c r="F121" i="24" s="1"/>
  <c r="G121" i="24" s="1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E120" i="24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D120" i="24"/>
  <c r="D119" i="24"/>
  <c r="E119" i="24" s="1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D118" i="24"/>
  <c r="E118" i="24" s="1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F117" i="24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AA117" i="24" s="1"/>
  <c r="AB117" i="24" s="1"/>
  <c r="AC117" i="24" s="1"/>
  <c r="AD117" i="24" s="1"/>
  <c r="AE117" i="24" s="1"/>
  <c r="AF117" i="24" s="1"/>
  <c r="D117" i="24"/>
  <c r="E117" i="24" s="1"/>
  <c r="E116" i="24"/>
  <c r="F116" i="24" s="1"/>
  <c r="G116" i="24" s="1"/>
  <c r="H116" i="24" s="1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D116" i="24"/>
  <c r="D115" i="24"/>
  <c r="E115" i="24" s="1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K114" i="24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G114" i="24"/>
  <c r="H114" i="24" s="1"/>
  <c r="I114" i="24" s="1"/>
  <c r="D114" i="24"/>
  <c r="E114" i="24" s="1"/>
  <c r="F114" i="24" s="1"/>
  <c r="D113" i="24"/>
  <c r="E113" i="24" s="1"/>
  <c r="F113" i="24" s="1"/>
  <c r="G113" i="24" s="1"/>
  <c r="H113" i="24" s="1"/>
  <c r="I113" i="24" s="1"/>
  <c r="J113" i="24" s="1"/>
  <c r="K113" i="24" s="1"/>
  <c r="L113" i="24" s="1"/>
  <c r="M113" i="24" s="1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D112" i="24"/>
  <c r="E112" i="24" s="1"/>
  <c r="F112" i="24" s="1"/>
  <c r="G112" i="24" s="1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F110" i="24"/>
  <c r="G110" i="24" s="1"/>
  <c r="H110" i="24" s="1"/>
  <c r="I110" i="24" s="1"/>
  <c r="J110" i="24" s="1"/>
  <c r="K110" i="24" s="1"/>
  <c r="L110" i="24" s="1"/>
  <c r="M110" i="24" s="1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D110" i="24"/>
  <c r="E110" i="24" s="1"/>
  <c r="D109" i="24"/>
  <c r="E109" i="24" s="1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D107" i="24"/>
  <c r="E107" i="24" s="1"/>
  <c r="F107" i="24" s="1"/>
  <c r="G107" i="24" s="1"/>
  <c r="H107" i="24" s="1"/>
  <c r="I107" i="24" s="1"/>
  <c r="J107" i="24" s="1"/>
  <c r="K107" i="24" s="1"/>
  <c r="L107" i="24" s="1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D106" i="24"/>
  <c r="E106" i="24" s="1"/>
  <c r="F106" i="24" s="1"/>
  <c r="G106" i="24" s="1"/>
  <c r="H106" i="24" s="1"/>
  <c r="I106" i="24" s="1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F105" i="24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D105" i="24"/>
  <c r="E105" i="24" s="1"/>
  <c r="G104" i="24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D104" i="24"/>
  <c r="E104" i="24" s="1"/>
  <c r="F104" i="24" s="1"/>
  <c r="E103" i="24"/>
  <c r="D103" i="24"/>
  <c r="D102" i="24"/>
  <c r="AH100" i="24"/>
  <c r="AI100" i="24" s="1"/>
  <c r="AH99" i="24"/>
  <c r="AI99" i="24" s="1"/>
  <c r="AH98" i="24"/>
  <c r="AI98" i="24" s="1"/>
  <c r="AH97" i="24"/>
  <c r="AI97" i="24" s="1"/>
  <c r="AH96" i="24"/>
  <c r="AI96" i="24" s="1"/>
  <c r="AH95" i="24"/>
  <c r="AI95" i="24" s="1"/>
  <c r="AH94" i="24"/>
  <c r="AI94" i="24" s="1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I82" i="24"/>
  <c r="AH82" i="24"/>
  <c r="AG82" i="24"/>
  <c r="AI81" i="24"/>
  <c r="AH81" i="24"/>
  <c r="AI80" i="24"/>
  <c r="AH80" i="24"/>
  <c r="AI79" i="24"/>
  <c r="AH79" i="24"/>
  <c r="AI78" i="24"/>
  <c r="AH78" i="24"/>
  <c r="AI77" i="24"/>
  <c r="AH77" i="24"/>
  <c r="AI76" i="24"/>
  <c r="AH76" i="24"/>
  <c r="AI74" i="24"/>
  <c r="AH74" i="24"/>
  <c r="AI73" i="24"/>
  <c r="AH73" i="24"/>
  <c r="AI72" i="24"/>
  <c r="AH72" i="24"/>
  <c r="AG72" i="24"/>
  <c r="AI71" i="24"/>
  <c r="AH71" i="24"/>
  <c r="AI70" i="24"/>
  <c r="AH70" i="24"/>
  <c r="AI69" i="24"/>
  <c r="AH69" i="24"/>
  <c r="AG68" i="24"/>
  <c r="AF68" i="24"/>
  <c r="AE5" i="24" s="1"/>
  <c r="AE68" i="24"/>
  <c r="AD5" i="24" s="1"/>
  <c r="AD68" i="24"/>
  <c r="AC68" i="24"/>
  <c r="AB5" i="24" s="1"/>
  <c r="AB68" i="24"/>
  <c r="AA5" i="24" s="1"/>
  <c r="AA68" i="24"/>
  <c r="Z5" i="24" s="1"/>
  <c r="Z68" i="24"/>
  <c r="Y5" i="24" s="1"/>
  <c r="Y68" i="24"/>
  <c r="X5" i="24" s="1"/>
  <c r="X68" i="24"/>
  <c r="W68" i="24"/>
  <c r="V5" i="24" s="1"/>
  <c r="V68" i="24"/>
  <c r="U68" i="24"/>
  <c r="T68" i="24"/>
  <c r="S5" i="24" s="1"/>
  <c r="S68" i="24"/>
  <c r="R68" i="24"/>
  <c r="Q5" i="24" s="1"/>
  <c r="Q68" i="24"/>
  <c r="P5" i="24" s="1"/>
  <c r="P68" i="24"/>
  <c r="O5" i="24" s="1"/>
  <c r="O68" i="24"/>
  <c r="N5" i="24" s="1"/>
  <c r="N68" i="24"/>
  <c r="M68" i="24"/>
  <c r="L5" i="24" s="1"/>
  <c r="L68" i="24"/>
  <c r="K5" i="24" s="1"/>
  <c r="K68" i="24"/>
  <c r="J5" i="24" s="1"/>
  <c r="J68" i="24"/>
  <c r="I5" i="24" s="1"/>
  <c r="I68" i="24"/>
  <c r="H68" i="24"/>
  <c r="G5" i="24" s="1"/>
  <c r="G68" i="24"/>
  <c r="F5" i="24" s="1"/>
  <c r="F68" i="24"/>
  <c r="E5" i="24" s="1"/>
  <c r="E68" i="24"/>
  <c r="D5" i="24" s="1"/>
  <c r="D68" i="24"/>
  <c r="C5" i="24" s="1"/>
  <c r="AF5" i="24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G4" i="24" s="1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AI55" i="24"/>
  <c r="AH55" i="24"/>
  <c r="AI54" i="24"/>
  <c r="AH54" i="24"/>
  <c r="AI53" i="24"/>
  <c r="AH53" i="24"/>
  <c r="AG52" i="24"/>
  <c r="AG3" i="24" s="1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AI51" i="24"/>
  <c r="AH51" i="24"/>
  <c r="AG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C5" i="24"/>
  <c r="W5" i="24"/>
  <c r="U5" i="24"/>
  <c r="T5" i="24"/>
  <c r="R5" i="24"/>
  <c r="M5" i="24"/>
  <c r="B5" i="24"/>
  <c r="K4" i="24"/>
  <c r="B4" i="24"/>
  <c r="AG2" i="24"/>
  <c r="AC95" i="23"/>
  <c r="AA95" i="23"/>
  <c r="Z95" i="23"/>
  <c r="Y95" i="23"/>
  <c r="X95" i="23"/>
  <c r="W95" i="23"/>
  <c r="V95" i="23"/>
  <c r="U95" i="23"/>
  <c r="T95" i="23"/>
  <c r="S95" i="23"/>
  <c r="K95" i="23"/>
  <c r="J95" i="23"/>
  <c r="G95" i="23"/>
  <c r="F95" i="23"/>
  <c r="E95" i="23"/>
  <c r="E37" i="23"/>
  <c r="D95" i="23"/>
  <c r="D37" i="23"/>
  <c r="C95" i="23"/>
  <c r="C37" i="23"/>
  <c r="B95" i="23"/>
  <c r="AF239" i="23"/>
  <c r="AE239" i="23"/>
  <c r="AD239" i="23"/>
  <c r="AC239" i="23"/>
  <c r="AB239" i="23"/>
  <c r="AA239" i="23"/>
  <c r="Z239" i="23"/>
  <c r="Y239" i="23"/>
  <c r="X239" i="23"/>
  <c r="W239" i="23"/>
  <c r="V239" i="23"/>
  <c r="U239" i="23"/>
  <c r="T239" i="23"/>
  <c r="S239" i="23"/>
  <c r="R239" i="23"/>
  <c r="Q239" i="23"/>
  <c r="P239" i="23"/>
  <c r="O239" i="23"/>
  <c r="N239" i="23"/>
  <c r="M239" i="23"/>
  <c r="L239" i="23"/>
  <c r="K239" i="23"/>
  <c r="J239" i="23"/>
  <c r="I239" i="23"/>
  <c r="H239" i="23"/>
  <c r="G239" i="23"/>
  <c r="F239" i="23"/>
  <c r="E239" i="23"/>
  <c r="D239" i="23"/>
  <c r="C239" i="23"/>
  <c r="B239" i="23"/>
  <c r="A239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C235" i="23"/>
  <c r="B235" i="23"/>
  <c r="S210" i="23"/>
  <c r="AG200" i="23"/>
  <c r="C200" i="23"/>
  <c r="E199" i="23"/>
  <c r="D235" i="23" s="1"/>
  <c r="D199" i="23"/>
  <c r="D198" i="23"/>
  <c r="E198" i="23" s="1"/>
  <c r="F198" i="23" s="1"/>
  <c r="G198" i="23" s="1"/>
  <c r="H198" i="23" s="1"/>
  <c r="I198" i="23" s="1"/>
  <c r="J198" i="23" s="1"/>
  <c r="K198" i="23" s="1"/>
  <c r="L198" i="23" s="1"/>
  <c r="M198" i="23" s="1"/>
  <c r="N198" i="23" s="1"/>
  <c r="O198" i="23" s="1"/>
  <c r="P198" i="23" s="1"/>
  <c r="Q198" i="23" s="1"/>
  <c r="R198" i="23" s="1"/>
  <c r="S198" i="23" s="1"/>
  <c r="T198" i="23" s="1"/>
  <c r="U198" i="23" s="1"/>
  <c r="V198" i="23" s="1"/>
  <c r="W198" i="23" s="1"/>
  <c r="X198" i="23" s="1"/>
  <c r="Y198" i="23" s="1"/>
  <c r="Z198" i="23" s="1"/>
  <c r="AA198" i="23" s="1"/>
  <c r="AB198" i="23" s="1"/>
  <c r="AC198" i="23" s="1"/>
  <c r="AD198" i="23" s="1"/>
  <c r="AE198" i="23" s="1"/>
  <c r="AF198" i="23" s="1"/>
  <c r="B198" i="23" s="1"/>
  <c r="I197" i="23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B197" i="23" s="1"/>
  <c r="E197" i="23"/>
  <c r="F197" i="23" s="1"/>
  <c r="G197" i="23" s="1"/>
  <c r="H197" i="23" s="1"/>
  <c r="D197" i="23"/>
  <c r="D196" i="23"/>
  <c r="E196" i="23" s="1"/>
  <c r="F196" i="23" s="1"/>
  <c r="G196" i="23" s="1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B196" i="23" s="1"/>
  <c r="Q195" i="23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B195" i="23" s="1"/>
  <c r="F195" i="23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E195" i="23"/>
  <c r="D195" i="23"/>
  <c r="E194" i="23"/>
  <c r="D194" i="23"/>
  <c r="AG192" i="23"/>
  <c r="C192" i="23"/>
  <c r="E191" i="23"/>
  <c r="F191" i="23" s="1"/>
  <c r="G191" i="23" s="1"/>
  <c r="H191" i="23" s="1"/>
  <c r="I191" i="23" s="1"/>
  <c r="J191" i="23" s="1"/>
  <c r="K191" i="23" s="1"/>
  <c r="L191" i="23" s="1"/>
  <c r="M191" i="23" s="1"/>
  <c r="N191" i="23" s="1"/>
  <c r="O191" i="23" s="1"/>
  <c r="P191" i="23" s="1"/>
  <c r="Q191" i="23" s="1"/>
  <c r="R191" i="23" s="1"/>
  <c r="S191" i="23" s="1"/>
  <c r="T191" i="23" s="1"/>
  <c r="U191" i="23" s="1"/>
  <c r="V191" i="23" s="1"/>
  <c r="W191" i="23" s="1"/>
  <c r="X191" i="23" s="1"/>
  <c r="Y191" i="23" s="1"/>
  <c r="Z191" i="23" s="1"/>
  <c r="AA191" i="23" s="1"/>
  <c r="AB191" i="23" s="1"/>
  <c r="AC191" i="23" s="1"/>
  <c r="AD191" i="23" s="1"/>
  <c r="AE191" i="23" s="1"/>
  <c r="AF191" i="23" s="1"/>
  <c r="B191" i="23" s="1"/>
  <c r="D191" i="23"/>
  <c r="O190" i="23"/>
  <c r="P190" i="23" s="1"/>
  <c r="Q190" i="23" s="1"/>
  <c r="R190" i="23" s="1"/>
  <c r="S190" i="23" s="1"/>
  <c r="T190" i="23" s="1"/>
  <c r="U190" i="23" s="1"/>
  <c r="V190" i="23" s="1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B190" i="23" s="1"/>
  <c r="D190" i="23"/>
  <c r="E190" i="23" s="1"/>
  <c r="F190" i="23" s="1"/>
  <c r="G190" i="23" s="1"/>
  <c r="H190" i="23" s="1"/>
  <c r="I190" i="23" s="1"/>
  <c r="J190" i="23" s="1"/>
  <c r="K190" i="23" s="1"/>
  <c r="L190" i="23" s="1"/>
  <c r="M190" i="23" s="1"/>
  <c r="N190" i="23" s="1"/>
  <c r="F189" i="23"/>
  <c r="G189" i="23" s="1"/>
  <c r="H189" i="23" s="1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B189" i="23" s="1"/>
  <c r="E189" i="23"/>
  <c r="D189" i="23"/>
  <c r="W188" i="23"/>
  <c r="X188" i="23" s="1"/>
  <c r="Y188" i="23" s="1"/>
  <c r="Z188" i="23" s="1"/>
  <c r="AA188" i="23" s="1"/>
  <c r="AB188" i="23" s="1"/>
  <c r="AC188" i="23" s="1"/>
  <c r="AD188" i="23" s="1"/>
  <c r="AE188" i="23" s="1"/>
  <c r="AF188" i="23" s="1"/>
  <c r="B188" i="23" s="1"/>
  <c r="L188" i="23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E188" i="23"/>
  <c r="F188" i="23" s="1"/>
  <c r="G188" i="23" s="1"/>
  <c r="H188" i="23" s="1"/>
  <c r="I188" i="23" s="1"/>
  <c r="J188" i="23" s="1"/>
  <c r="K188" i="23" s="1"/>
  <c r="D188" i="23"/>
  <c r="J187" i="23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B187" i="23" s="1"/>
  <c r="F187" i="23"/>
  <c r="G187" i="23" s="1"/>
  <c r="H187" i="23" s="1"/>
  <c r="I187" i="23" s="1"/>
  <c r="E187" i="23"/>
  <c r="D187" i="23"/>
  <c r="E186" i="23"/>
  <c r="F186" i="23" s="1"/>
  <c r="G186" i="23" s="1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B186" i="23" s="1"/>
  <c r="D186" i="23"/>
  <c r="R185" i="23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B185" i="23" s="1"/>
  <c r="G185" i="23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E185" i="23"/>
  <c r="F185" i="23" s="1"/>
  <c r="D185" i="23"/>
  <c r="G184" i="23"/>
  <c r="H184" i="23" s="1"/>
  <c r="I184" i="23" s="1"/>
  <c r="J184" i="23" s="1"/>
  <c r="K184" i="23" s="1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B184" i="23" s="1"/>
  <c r="D184" i="23"/>
  <c r="E184" i="23" s="1"/>
  <c r="F184" i="23" s="1"/>
  <c r="Z183" i="23"/>
  <c r="AA183" i="23" s="1"/>
  <c r="AB183" i="23" s="1"/>
  <c r="AC183" i="23" s="1"/>
  <c r="AD183" i="23" s="1"/>
  <c r="AE183" i="23" s="1"/>
  <c r="AF183" i="23" s="1"/>
  <c r="B183" i="23" s="1"/>
  <c r="E183" i="23"/>
  <c r="F183" i="23" s="1"/>
  <c r="G183" i="23" s="1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D183" i="23"/>
  <c r="D182" i="23"/>
  <c r="E182" i="23" s="1"/>
  <c r="F182" i="23" s="1"/>
  <c r="G182" i="23" s="1"/>
  <c r="H182" i="23" s="1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B182" i="23" s="1"/>
  <c r="S181" i="23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B181" i="23" s="1"/>
  <c r="G181" i="23"/>
  <c r="H181" i="23" s="1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F181" i="23"/>
  <c r="E181" i="23"/>
  <c r="D181" i="23"/>
  <c r="D180" i="23"/>
  <c r="E180" i="23" s="1"/>
  <c r="F180" i="23" s="1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B180" i="23" s="1"/>
  <c r="E179" i="23"/>
  <c r="F179" i="23" s="1"/>
  <c r="G179" i="23" s="1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B179" i="23" s="1"/>
  <c r="D179" i="23"/>
  <c r="I177" i="23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T177" i="23" s="1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AF177" i="23" s="1"/>
  <c r="B177" i="23" s="1"/>
  <c r="E177" i="23"/>
  <c r="F177" i="23" s="1"/>
  <c r="G177" i="23" s="1"/>
  <c r="H177" i="23" s="1"/>
  <c r="D177" i="23"/>
  <c r="F176" i="23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B176" i="23" s="1"/>
  <c r="D176" i="23"/>
  <c r="E176" i="23" s="1"/>
  <c r="Q175" i="23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B175" i="23" s="1"/>
  <c r="H175" i="23"/>
  <c r="I175" i="23" s="1"/>
  <c r="J175" i="23" s="1"/>
  <c r="K175" i="23" s="1"/>
  <c r="L175" i="23" s="1"/>
  <c r="M175" i="23" s="1"/>
  <c r="N175" i="23" s="1"/>
  <c r="O175" i="23" s="1"/>
  <c r="P175" i="23" s="1"/>
  <c r="D175" i="23"/>
  <c r="E175" i="23" s="1"/>
  <c r="F175" i="23" s="1"/>
  <c r="G175" i="23" s="1"/>
  <c r="K174" i="23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B174" i="23" s="1"/>
  <c r="D174" i="23"/>
  <c r="E174" i="23" s="1"/>
  <c r="F174" i="23" s="1"/>
  <c r="G174" i="23" s="1"/>
  <c r="H174" i="23" s="1"/>
  <c r="I174" i="23" s="1"/>
  <c r="J174" i="23" s="1"/>
  <c r="AF173" i="23"/>
  <c r="B173" i="23" s="1"/>
  <c r="V173" i="23"/>
  <c r="W173" i="23" s="1"/>
  <c r="X173" i="23" s="1"/>
  <c r="Y173" i="23" s="1"/>
  <c r="Z173" i="23" s="1"/>
  <c r="AA173" i="23" s="1"/>
  <c r="AB173" i="23" s="1"/>
  <c r="AC173" i="23" s="1"/>
  <c r="AD173" i="23" s="1"/>
  <c r="AE173" i="23" s="1"/>
  <c r="M173" i="23"/>
  <c r="N173" i="23" s="1"/>
  <c r="O173" i="23" s="1"/>
  <c r="P173" i="23" s="1"/>
  <c r="Q173" i="23" s="1"/>
  <c r="R173" i="23" s="1"/>
  <c r="S173" i="23" s="1"/>
  <c r="T173" i="23" s="1"/>
  <c r="U173" i="23" s="1"/>
  <c r="D173" i="23"/>
  <c r="E173" i="23" s="1"/>
  <c r="F173" i="23" s="1"/>
  <c r="G173" i="23" s="1"/>
  <c r="H173" i="23" s="1"/>
  <c r="I173" i="23" s="1"/>
  <c r="J173" i="23" s="1"/>
  <c r="K173" i="23" s="1"/>
  <c r="L173" i="23" s="1"/>
  <c r="G172" i="23"/>
  <c r="H172" i="23" s="1"/>
  <c r="I172" i="23" s="1"/>
  <c r="J172" i="23" s="1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B172" i="23" s="1"/>
  <c r="F172" i="23"/>
  <c r="D172" i="23"/>
  <c r="E172" i="23" s="1"/>
  <c r="F171" i="23"/>
  <c r="G171" i="23" s="1"/>
  <c r="H171" i="23" s="1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B171" i="23" s="1"/>
  <c r="E171" i="23"/>
  <c r="D171" i="23"/>
  <c r="X170" i="23"/>
  <c r="Y170" i="23" s="1"/>
  <c r="Z170" i="23" s="1"/>
  <c r="AA170" i="23" s="1"/>
  <c r="AB170" i="23" s="1"/>
  <c r="AC170" i="23" s="1"/>
  <c r="AD170" i="23" s="1"/>
  <c r="AE170" i="23" s="1"/>
  <c r="AF170" i="23" s="1"/>
  <c r="B170" i="23" s="1"/>
  <c r="P170" i="23"/>
  <c r="Q170" i="23" s="1"/>
  <c r="R170" i="23" s="1"/>
  <c r="S170" i="23" s="1"/>
  <c r="T170" i="23" s="1"/>
  <c r="U170" i="23" s="1"/>
  <c r="V170" i="23" s="1"/>
  <c r="W170" i="23" s="1"/>
  <c r="H170" i="23"/>
  <c r="I170" i="23" s="1"/>
  <c r="J170" i="23" s="1"/>
  <c r="K170" i="23" s="1"/>
  <c r="L170" i="23" s="1"/>
  <c r="M170" i="23" s="1"/>
  <c r="N170" i="23" s="1"/>
  <c r="O170" i="23" s="1"/>
  <c r="D170" i="23"/>
  <c r="E170" i="23" s="1"/>
  <c r="F170" i="23" s="1"/>
  <c r="G170" i="23" s="1"/>
  <c r="F168" i="23"/>
  <c r="G168" i="23" s="1"/>
  <c r="H168" i="23" s="1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B168" i="23" s="1"/>
  <c r="E168" i="23"/>
  <c r="D168" i="23"/>
  <c r="L167" i="23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B167" i="23" s="1"/>
  <c r="D167" i="23"/>
  <c r="E167" i="23" s="1"/>
  <c r="F167" i="23" s="1"/>
  <c r="G167" i="23" s="1"/>
  <c r="H167" i="23" s="1"/>
  <c r="I167" i="23" s="1"/>
  <c r="J167" i="23" s="1"/>
  <c r="K167" i="23" s="1"/>
  <c r="U166" i="23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B166" i="23" s="1"/>
  <c r="F166" i="23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E166" i="23"/>
  <c r="D166" i="23"/>
  <c r="H165" i="23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B165" i="23" s="1"/>
  <c r="D165" i="23"/>
  <c r="E165" i="23" s="1"/>
  <c r="F165" i="23" s="1"/>
  <c r="G165" i="23" s="1"/>
  <c r="F164" i="23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B164" i="23" s="1"/>
  <c r="E164" i="23"/>
  <c r="D164" i="23"/>
  <c r="D163" i="23"/>
  <c r="E163" i="23" s="1"/>
  <c r="F163" i="23" s="1"/>
  <c r="G163" i="23" s="1"/>
  <c r="H163" i="23" s="1"/>
  <c r="I163" i="23" s="1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B163" i="23" s="1"/>
  <c r="AC162" i="23"/>
  <c r="AD162" i="23" s="1"/>
  <c r="AE162" i="23" s="1"/>
  <c r="AF162" i="23" s="1"/>
  <c r="B162" i="23" s="1"/>
  <c r="L162" i="23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E162" i="23"/>
  <c r="F162" i="23" s="1"/>
  <c r="G162" i="23" s="1"/>
  <c r="H162" i="23" s="1"/>
  <c r="I162" i="23" s="1"/>
  <c r="J162" i="23" s="1"/>
  <c r="K162" i="23" s="1"/>
  <c r="D162" i="23"/>
  <c r="K161" i="23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B161" i="23" s="1"/>
  <c r="J161" i="23"/>
  <c r="H161" i="23"/>
  <c r="I161" i="23" s="1"/>
  <c r="D161" i="23"/>
  <c r="E161" i="23" s="1"/>
  <c r="F161" i="23" s="1"/>
  <c r="G161" i="23" s="1"/>
  <c r="E160" i="23"/>
  <c r="F160" i="23" s="1"/>
  <c r="G160" i="23" s="1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B160" i="23" s="1"/>
  <c r="D160" i="23"/>
  <c r="F159" i="23"/>
  <c r="G159" i="23" s="1"/>
  <c r="H159" i="23" s="1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B159" i="23" s="1"/>
  <c r="E159" i="23"/>
  <c r="D159" i="23"/>
  <c r="E158" i="23"/>
  <c r="F158" i="23" s="1"/>
  <c r="G158" i="23" s="1"/>
  <c r="H158" i="23" s="1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B158" i="23" s="1"/>
  <c r="D158" i="23"/>
  <c r="E157" i="23"/>
  <c r="F157" i="23" s="1"/>
  <c r="G157" i="23" s="1"/>
  <c r="H157" i="23" s="1"/>
  <c r="I157" i="23" s="1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B157" i="23" s="1"/>
  <c r="D157" i="23"/>
  <c r="F156" i="23"/>
  <c r="G156" i="23" s="1"/>
  <c r="H156" i="23" s="1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B156" i="23" s="1"/>
  <c r="E156" i="23"/>
  <c r="D156" i="23"/>
  <c r="E154" i="23"/>
  <c r="F154" i="23" s="1"/>
  <c r="G154" i="23" s="1"/>
  <c r="H154" i="23" s="1"/>
  <c r="I154" i="23" s="1"/>
  <c r="J154" i="23" s="1"/>
  <c r="K154" i="23" s="1"/>
  <c r="L154" i="23" s="1"/>
  <c r="M154" i="23" s="1"/>
  <c r="N154" i="23" s="1"/>
  <c r="O154" i="23" s="1"/>
  <c r="P154" i="23" s="1"/>
  <c r="Q154" i="23" s="1"/>
  <c r="R154" i="23" s="1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B154" i="23" s="1"/>
  <c r="D154" i="23"/>
  <c r="N153" i="23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B153" i="23" s="1"/>
  <c r="F153" i="23"/>
  <c r="G153" i="23" s="1"/>
  <c r="H153" i="23" s="1"/>
  <c r="I153" i="23" s="1"/>
  <c r="J153" i="23" s="1"/>
  <c r="K153" i="23" s="1"/>
  <c r="L153" i="23" s="1"/>
  <c r="M153" i="23" s="1"/>
  <c r="E153" i="23"/>
  <c r="D153" i="23"/>
  <c r="D152" i="23"/>
  <c r="E152" i="23" s="1"/>
  <c r="F152" i="23" s="1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B152" i="23" s="1"/>
  <c r="L151" i="23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B151" i="23" s="1"/>
  <c r="D151" i="23"/>
  <c r="E151" i="23" s="1"/>
  <c r="F151" i="23" s="1"/>
  <c r="G151" i="23" s="1"/>
  <c r="H151" i="23" s="1"/>
  <c r="I151" i="23" s="1"/>
  <c r="J151" i="23" s="1"/>
  <c r="K151" i="23" s="1"/>
  <c r="D149" i="23"/>
  <c r="E149" i="23" s="1"/>
  <c r="F149" i="23" s="1"/>
  <c r="G149" i="23" s="1"/>
  <c r="H149" i="23" s="1"/>
  <c r="I149" i="23" s="1"/>
  <c r="J149" i="23" s="1"/>
  <c r="K149" i="23" s="1"/>
  <c r="L149" i="23" s="1"/>
  <c r="M149" i="23" s="1"/>
  <c r="N149" i="23" s="1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B149" i="23" s="1"/>
  <c r="E148" i="23"/>
  <c r="F148" i="23" s="1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B148" i="23" s="1"/>
  <c r="D148" i="23"/>
  <c r="D146" i="23"/>
  <c r="E146" i="23" s="1"/>
  <c r="F146" i="23" s="1"/>
  <c r="G146" i="23" s="1"/>
  <c r="H146" i="23" s="1"/>
  <c r="I146" i="23" s="1"/>
  <c r="J146" i="23" s="1"/>
  <c r="K146" i="23" s="1"/>
  <c r="L146" i="23" s="1"/>
  <c r="M146" i="23" s="1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B146" i="23" s="1"/>
  <c r="Y145" i="23"/>
  <c r="Z145" i="23" s="1"/>
  <c r="AA145" i="23" s="1"/>
  <c r="AB145" i="23" s="1"/>
  <c r="AC145" i="23" s="1"/>
  <c r="AD145" i="23" s="1"/>
  <c r="AE145" i="23" s="1"/>
  <c r="AF145" i="23" s="1"/>
  <c r="B145" i="23" s="1"/>
  <c r="D145" i="23"/>
  <c r="E145" i="23" s="1"/>
  <c r="F145" i="23" s="1"/>
  <c r="G145" i="23" s="1"/>
  <c r="H145" i="23" s="1"/>
  <c r="I145" i="23" s="1"/>
  <c r="J145" i="23" s="1"/>
  <c r="K145" i="23" s="1"/>
  <c r="L145" i="23" s="1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G144" i="23"/>
  <c r="H144" i="23" s="1"/>
  <c r="I144" i="23" s="1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B144" i="23" s="1"/>
  <c r="D144" i="23"/>
  <c r="E144" i="23" s="1"/>
  <c r="F144" i="23" s="1"/>
  <c r="E143" i="23"/>
  <c r="F143" i="23" s="1"/>
  <c r="G143" i="23" s="1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B143" i="23" s="1"/>
  <c r="D143" i="23"/>
  <c r="F142" i="23"/>
  <c r="G142" i="23" s="1"/>
  <c r="H142" i="23" s="1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B142" i="23" s="1"/>
  <c r="D142" i="23"/>
  <c r="E142" i="23" s="1"/>
  <c r="I141" i="23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B141" i="23" s="1"/>
  <c r="D141" i="23"/>
  <c r="E141" i="23" s="1"/>
  <c r="F141" i="23" s="1"/>
  <c r="G141" i="23" s="1"/>
  <c r="H141" i="23" s="1"/>
  <c r="D140" i="23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B140" i="23" s="1"/>
  <c r="U138" i="23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B138" i="23" s="1"/>
  <c r="N138" i="23"/>
  <c r="O138" i="23" s="1"/>
  <c r="P138" i="23" s="1"/>
  <c r="Q138" i="23" s="1"/>
  <c r="R138" i="23" s="1"/>
  <c r="S138" i="23" s="1"/>
  <c r="T138" i="23" s="1"/>
  <c r="F138" i="23"/>
  <c r="G138" i="23" s="1"/>
  <c r="H138" i="23" s="1"/>
  <c r="I138" i="23" s="1"/>
  <c r="J138" i="23" s="1"/>
  <c r="K138" i="23" s="1"/>
  <c r="L138" i="23" s="1"/>
  <c r="M138" i="23" s="1"/>
  <c r="E138" i="23"/>
  <c r="D138" i="23"/>
  <c r="L137" i="23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B137" i="23" s="1"/>
  <c r="G137" i="23"/>
  <c r="H137" i="23" s="1"/>
  <c r="I137" i="23" s="1"/>
  <c r="J137" i="23" s="1"/>
  <c r="K137" i="23" s="1"/>
  <c r="D137" i="23"/>
  <c r="E137" i="23" s="1"/>
  <c r="F137" i="23" s="1"/>
  <c r="K136" i="23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B136" i="23" s="1"/>
  <c r="E136" i="23"/>
  <c r="F136" i="23" s="1"/>
  <c r="G136" i="23" s="1"/>
  <c r="H136" i="23" s="1"/>
  <c r="I136" i="23" s="1"/>
  <c r="J136" i="23" s="1"/>
  <c r="D136" i="23"/>
  <c r="J135" i="23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B135" i="23" s="1"/>
  <c r="G135" i="23"/>
  <c r="H135" i="23" s="1"/>
  <c r="I135" i="23" s="1"/>
  <c r="E135" i="23"/>
  <c r="F135" i="23" s="1"/>
  <c r="D135" i="23"/>
  <c r="E134" i="23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B134" i="23" s="1"/>
  <c r="D134" i="23"/>
  <c r="H133" i="23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B133" i="23" s="1"/>
  <c r="E133" i="23"/>
  <c r="F133" i="23" s="1"/>
  <c r="G133" i="23" s="1"/>
  <c r="D133" i="23"/>
  <c r="K132" i="23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B132" i="23" s="1"/>
  <c r="G132" i="23"/>
  <c r="H132" i="23" s="1"/>
  <c r="I132" i="23" s="1"/>
  <c r="J132" i="23" s="1"/>
  <c r="D132" i="23"/>
  <c r="E132" i="23" s="1"/>
  <c r="F132" i="23" s="1"/>
  <c r="G131" i="23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B131" i="23" s="1"/>
  <c r="D131" i="23"/>
  <c r="E131" i="23" s="1"/>
  <c r="F131" i="23" s="1"/>
  <c r="V129" i="23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B129" i="23" s="1"/>
  <c r="E129" i="23"/>
  <c r="F129" i="23" s="1"/>
  <c r="G129" i="23" s="1"/>
  <c r="H129" i="23" s="1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S129" i="23" s="1"/>
  <c r="T129" i="23" s="1"/>
  <c r="U129" i="23" s="1"/>
  <c r="D129" i="23"/>
  <c r="H128" i="23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B128" i="23" s="1"/>
  <c r="G128" i="23"/>
  <c r="D128" i="23"/>
  <c r="E128" i="23" s="1"/>
  <c r="F128" i="23" s="1"/>
  <c r="F127" i="23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B127" i="23" s="1"/>
  <c r="D127" i="23"/>
  <c r="E127" i="23" s="1"/>
  <c r="G126" i="23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B126" i="23" s="1"/>
  <c r="D126" i="23"/>
  <c r="E126" i="23" s="1"/>
  <c r="F126" i="23" s="1"/>
  <c r="K125" i="23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B125" i="23" s="1"/>
  <c r="J125" i="23"/>
  <c r="F125" i="23"/>
  <c r="G125" i="23" s="1"/>
  <c r="H125" i="23" s="1"/>
  <c r="E125" i="23"/>
  <c r="D125" i="23"/>
  <c r="D124" i="23"/>
  <c r="E124" i="23" s="1"/>
  <c r="F124" i="23" s="1"/>
  <c r="G124" i="23" s="1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B124" i="23" s="1"/>
  <c r="D123" i="23"/>
  <c r="E123" i="23" s="1"/>
  <c r="F123" i="23" s="1"/>
  <c r="G123" i="23" s="1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B123" i="23" s="1"/>
  <c r="D122" i="23"/>
  <c r="E122" i="23" s="1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B122" i="23" s="1"/>
  <c r="P121" i="23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B121" i="23" s="1"/>
  <c r="H121" i="23"/>
  <c r="I121" i="23" s="1"/>
  <c r="J121" i="23" s="1"/>
  <c r="K121" i="23" s="1"/>
  <c r="L121" i="23" s="1"/>
  <c r="M121" i="23" s="1"/>
  <c r="N121" i="23" s="1"/>
  <c r="O121" i="23" s="1"/>
  <c r="G121" i="23"/>
  <c r="D121" i="23"/>
  <c r="E121" i="23" s="1"/>
  <c r="F121" i="23" s="1"/>
  <c r="M120" i="23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B120" i="23" s="1"/>
  <c r="J120" i="23"/>
  <c r="K120" i="23" s="1"/>
  <c r="L120" i="23" s="1"/>
  <c r="H120" i="23"/>
  <c r="I120" i="23" s="1"/>
  <c r="F120" i="23"/>
  <c r="G120" i="23" s="1"/>
  <c r="E120" i="23"/>
  <c r="D120" i="23"/>
  <c r="F119" i="23"/>
  <c r="G119" i="23" s="1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B119" i="23" s="1"/>
  <c r="D119" i="23"/>
  <c r="E119" i="23" s="1"/>
  <c r="F118" i="23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B118" i="23" s="1"/>
  <c r="E118" i="23"/>
  <c r="D118" i="23"/>
  <c r="D117" i="23"/>
  <c r="E117" i="23" s="1"/>
  <c r="F117" i="23" s="1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B117" i="23" s="1"/>
  <c r="D116" i="23"/>
  <c r="E116" i="23" s="1"/>
  <c r="F116" i="23" s="1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B116" i="23" s="1"/>
  <c r="H115" i="23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B115" i="23" s="1"/>
  <c r="E115" i="23"/>
  <c r="F115" i="23" s="1"/>
  <c r="G115" i="23" s="1"/>
  <c r="D115" i="23"/>
  <c r="P114" i="23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B114" i="23" s="1"/>
  <c r="N114" i="23"/>
  <c r="O114" i="23" s="1"/>
  <c r="K114" i="23"/>
  <c r="L114" i="23" s="1"/>
  <c r="M114" i="23" s="1"/>
  <c r="G114" i="23"/>
  <c r="H114" i="23" s="1"/>
  <c r="I114" i="23" s="1"/>
  <c r="E114" i="23"/>
  <c r="F114" i="23" s="1"/>
  <c r="D114" i="23"/>
  <c r="F113" i="23"/>
  <c r="G113" i="23" s="1"/>
  <c r="H113" i="23" s="1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B113" i="23" s="1"/>
  <c r="E113" i="23"/>
  <c r="D113" i="23"/>
  <c r="F112" i="23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B112" i="23" s="1"/>
  <c r="D112" i="23"/>
  <c r="E112" i="23" s="1"/>
  <c r="D110" i="23"/>
  <c r="E110" i="23" s="1"/>
  <c r="F110" i="23" s="1"/>
  <c r="G110" i="23" s="1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B110" i="23" s="1"/>
  <c r="E109" i="23"/>
  <c r="F109" i="23" s="1"/>
  <c r="G109" i="23" s="1"/>
  <c r="H109" i="23" s="1"/>
  <c r="I109" i="23" s="1"/>
  <c r="J109" i="23" s="1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B109" i="23" s="1"/>
  <c r="D109" i="23"/>
  <c r="E107" i="23"/>
  <c r="F107" i="23" s="1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B107" i="23" s="1"/>
  <c r="D107" i="23"/>
  <c r="K106" i="23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B106" i="23" s="1"/>
  <c r="I106" i="23"/>
  <c r="J106" i="23" s="1"/>
  <c r="F106" i="23"/>
  <c r="G106" i="23" s="1"/>
  <c r="H106" i="23" s="1"/>
  <c r="D106" i="23"/>
  <c r="E106" i="23" s="1"/>
  <c r="I105" i="23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B105" i="23" s="1"/>
  <c r="G105" i="23"/>
  <c r="H105" i="23" s="1"/>
  <c r="D105" i="23"/>
  <c r="E105" i="23" s="1"/>
  <c r="F105" i="23" s="1"/>
  <c r="G104" i="23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B104" i="23" s="1"/>
  <c r="E104" i="23"/>
  <c r="F104" i="23" s="1"/>
  <c r="D104" i="23"/>
  <c r="F103" i="23"/>
  <c r="G103" i="23" s="1"/>
  <c r="E103" i="23"/>
  <c r="D103" i="23"/>
  <c r="F102" i="23"/>
  <c r="E102" i="23"/>
  <c r="D102" i="23"/>
  <c r="AH100" i="23"/>
  <c r="AI100" i="23" s="1"/>
  <c r="AH99" i="23"/>
  <c r="AI99" i="23" s="1"/>
  <c r="AH98" i="23"/>
  <c r="AI98" i="23" s="1"/>
  <c r="AH97" i="23"/>
  <c r="AI97" i="23" s="1"/>
  <c r="AH96" i="23"/>
  <c r="AI96" i="23" s="1"/>
  <c r="AH95" i="23"/>
  <c r="AI95" i="23" s="1"/>
  <c r="AH94" i="23"/>
  <c r="AI94" i="23" s="1"/>
  <c r="D93" i="23"/>
  <c r="C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2" i="23"/>
  <c r="AH82" i="23"/>
  <c r="AG82" i="23"/>
  <c r="AI81" i="23"/>
  <c r="AH81" i="23"/>
  <c r="AI80" i="23"/>
  <c r="AH80" i="23"/>
  <c r="AI79" i="23"/>
  <c r="AH79" i="23"/>
  <c r="AI78" i="23"/>
  <c r="AH78" i="23"/>
  <c r="AI77" i="23"/>
  <c r="AH77" i="23"/>
  <c r="AI76" i="23"/>
  <c r="AH76" i="23"/>
  <c r="AI74" i="23"/>
  <c r="AH74" i="23"/>
  <c r="AI73" i="23"/>
  <c r="AH73" i="23"/>
  <c r="AI72" i="23"/>
  <c r="AH72" i="23"/>
  <c r="AG72" i="23"/>
  <c r="AI71" i="23"/>
  <c r="AH71" i="23"/>
  <c r="AI70" i="23"/>
  <c r="AH70" i="23"/>
  <c r="AI69" i="23"/>
  <c r="AH69" i="23"/>
  <c r="AG68" i="23"/>
  <c r="AF68" i="23"/>
  <c r="AE68" i="23"/>
  <c r="AD5" i="23" s="1"/>
  <c r="AD68" i="23"/>
  <c r="AC68" i="23"/>
  <c r="AB68" i="23"/>
  <c r="AA68" i="23"/>
  <c r="Z68" i="23"/>
  <c r="Y68" i="23"/>
  <c r="X5" i="23" s="1"/>
  <c r="X68" i="23"/>
  <c r="W68" i="23"/>
  <c r="V5" i="23" s="1"/>
  <c r="V68" i="23"/>
  <c r="U68" i="23"/>
  <c r="T5" i="23" s="1"/>
  <c r="T68" i="23"/>
  <c r="S68" i="23"/>
  <c r="R5" i="23" s="1"/>
  <c r="R68" i="23"/>
  <c r="Q68" i="23"/>
  <c r="P5" i="23" s="1"/>
  <c r="P68" i="23"/>
  <c r="O68" i="23"/>
  <c r="N5" i="23" s="1"/>
  <c r="N68" i="23"/>
  <c r="M5" i="23" s="1"/>
  <c r="M68" i="23"/>
  <c r="L68" i="23"/>
  <c r="K68" i="23"/>
  <c r="J68" i="23"/>
  <c r="I5" i="23" s="1"/>
  <c r="I68" i="23"/>
  <c r="H5" i="23" s="1"/>
  <c r="H68" i="23"/>
  <c r="G68" i="23"/>
  <c r="F5" i="23" s="1"/>
  <c r="F68" i="23"/>
  <c r="E5" i="23" s="1"/>
  <c r="E68" i="23"/>
  <c r="D68" i="23"/>
  <c r="C68" i="23"/>
  <c r="B5" i="23" s="1"/>
  <c r="B68" i="23"/>
  <c r="AF5" i="23" s="1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I54" i="23"/>
  <c r="AH54" i="23"/>
  <c r="AI53" i="23"/>
  <c r="AH53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AI51" i="23"/>
  <c r="AH51" i="23"/>
  <c r="AG51" i="23"/>
  <c r="AG52" i="23" s="1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E5" i="23"/>
  <c r="AA5" i="23"/>
  <c r="Z5" i="23"/>
  <c r="Y5" i="23"/>
  <c r="W5" i="23"/>
  <c r="S5" i="23"/>
  <c r="Q5" i="23"/>
  <c r="O5" i="23"/>
  <c r="K5" i="23"/>
  <c r="J5" i="23"/>
  <c r="G5" i="23"/>
  <c r="C5" i="23"/>
  <c r="AG4" i="23"/>
  <c r="K4" i="23"/>
  <c r="B4" i="23"/>
  <c r="AG2" i="23"/>
  <c r="AF95" i="22"/>
  <c r="AF37" i="22"/>
  <c r="AE95" i="22"/>
  <c r="AE37" i="22"/>
  <c r="AD95" i="22"/>
  <c r="AD37" i="22"/>
  <c r="AC95" i="22"/>
  <c r="AC37" i="22"/>
  <c r="AB95" i="22"/>
  <c r="AB37" i="22"/>
  <c r="AA83" i="22"/>
  <c r="Z95" i="22"/>
  <c r="Z37" i="22"/>
  <c r="Y95" i="22"/>
  <c r="Y37" i="22"/>
  <c r="X95" i="22"/>
  <c r="W95" i="22"/>
  <c r="X37" i="22"/>
  <c r="U95" i="22"/>
  <c r="U37" i="22"/>
  <c r="W37" i="22"/>
  <c r="V95" i="22"/>
  <c r="V37" i="22"/>
  <c r="T95" i="22"/>
  <c r="T37" i="22"/>
  <c r="S37" i="22"/>
  <c r="R37" i="22"/>
  <c r="P37" i="22"/>
  <c r="N37" i="22"/>
  <c r="M37" i="22"/>
  <c r="L37" i="22"/>
  <c r="K37" i="22"/>
  <c r="J37" i="22"/>
  <c r="G37" i="22"/>
  <c r="F37" i="22"/>
  <c r="E37" i="22"/>
  <c r="D95" i="22"/>
  <c r="C95" i="22"/>
  <c r="C37" i="22"/>
  <c r="B95" i="22"/>
  <c r="B37" i="22"/>
  <c r="B93" i="22"/>
  <c r="B68" i="22"/>
  <c r="B56" i="22"/>
  <c r="B52" i="22"/>
  <c r="B38" i="22"/>
  <c r="AF239" i="22"/>
  <c r="AE239" i="22"/>
  <c r="AD239" i="22"/>
  <c r="AC239" i="22"/>
  <c r="AB239" i="22"/>
  <c r="AA239" i="22"/>
  <c r="Z239" i="22"/>
  <c r="Y239" i="22"/>
  <c r="X239" i="22"/>
  <c r="W239" i="22"/>
  <c r="V239" i="22"/>
  <c r="U239" i="22"/>
  <c r="T239" i="22"/>
  <c r="S239" i="22"/>
  <c r="R239" i="22"/>
  <c r="Q239" i="22"/>
  <c r="P239" i="22"/>
  <c r="O239" i="22"/>
  <c r="N239" i="22"/>
  <c r="M239" i="22"/>
  <c r="L239" i="22"/>
  <c r="K239" i="22"/>
  <c r="J239" i="22"/>
  <c r="I239" i="22"/>
  <c r="H239" i="22"/>
  <c r="G239" i="22"/>
  <c r="F239" i="22"/>
  <c r="E239" i="22"/>
  <c r="D239" i="22"/>
  <c r="C239" i="22"/>
  <c r="B239" i="22"/>
  <c r="A239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B235" i="22"/>
  <c r="S210" i="22"/>
  <c r="AG200" i="22"/>
  <c r="C200" i="22"/>
  <c r="D199" i="22"/>
  <c r="C235" i="22" s="1"/>
  <c r="F198" i="22"/>
  <c r="G198" i="22" s="1"/>
  <c r="H198" i="22" s="1"/>
  <c r="I198" i="22" s="1"/>
  <c r="J198" i="22" s="1"/>
  <c r="K198" i="22" s="1"/>
  <c r="L198" i="22" s="1"/>
  <c r="M198" i="22" s="1"/>
  <c r="N198" i="22" s="1"/>
  <c r="O198" i="22" s="1"/>
  <c r="P198" i="22" s="1"/>
  <c r="Q198" i="22" s="1"/>
  <c r="R198" i="22" s="1"/>
  <c r="S198" i="22" s="1"/>
  <c r="T198" i="22" s="1"/>
  <c r="U198" i="22" s="1"/>
  <c r="V198" i="22" s="1"/>
  <c r="W198" i="22" s="1"/>
  <c r="X198" i="22" s="1"/>
  <c r="Y198" i="22" s="1"/>
  <c r="Z198" i="22" s="1"/>
  <c r="AA198" i="22" s="1"/>
  <c r="AB198" i="22" s="1"/>
  <c r="AC198" i="22" s="1"/>
  <c r="AD198" i="22" s="1"/>
  <c r="AE198" i="22" s="1"/>
  <c r="AF198" i="22" s="1"/>
  <c r="B198" i="22" s="1"/>
  <c r="D198" i="22"/>
  <c r="E198" i="22" s="1"/>
  <c r="D197" i="22"/>
  <c r="E197" i="22" s="1"/>
  <c r="F197" i="22" s="1"/>
  <c r="G197" i="22" s="1"/>
  <c r="H197" i="22" s="1"/>
  <c r="I197" i="22" s="1"/>
  <c r="J197" i="22" s="1"/>
  <c r="K197" i="22" s="1"/>
  <c r="L197" i="22" s="1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Z197" i="22" s="1"/>
  <c r="AA197" i="22" s="1"/>
  <c r="AB197" i="22" s="1"/>
  <c r="AC197" i="22" s="1"/>
  <c r="AD197" i="22" s="1"/>
  <c r="AE197" i="22" s="1"/>
  <c r="AF197" i="22" s="1"/>
  <c r="B197" i="22" s="1"/>
  <c r="AE196" i="22"/>
  <c r="AF196" i="22" s="1"/>
  <c r="B196" i="22" s="1"/>
  <c r="I196" i="22"/>
  <c r="J196" i="22" s="1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E196" i="22"/>
  <c r="F196" i="22" s="1"/>
  <c r="G196" i="22" s="1"/>
  <c r="H196" i="22" s="1"/>
  <c r="D196" i="22"/>
  <c r="D195" i="22"/>
  <c r="E195" i="22" s="1"/>
  <c r="F195" i="22" s="1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B195" i="22" s="1"/>
  <c r="F194" i="22"/>
  <c r="G194" i="22" s="1"/>
  <c r="E194" i="22"/>
  <c r="D194" i="22"/>
  <c r="AG192" i="22"/>
  <c r="C192" i="22"/>
  <c r="H191" i="22"/>
  <c r="I191" i="22" s="1"/>
  <c r="J191" i="22" s="1"/>
  <c r="K191" i="22" s="1"/>
  <c r="L191" i="22" s="1"/>
  <c r="M191" i="22" s="1"/>
  <c r="N191" i="22" s="1"/>
  <c r="O191" i="22" s="1"/>
  <c r="P191" i="22" s="1"/>
  <c r="Q191" i="22" s="1"/>
  <c r="R191" i="22" s="1"/>
  <c r="S191" i="22" s="1"/>
  <c r="T191" i="22" s="1"/>
  <c r="U191" i="22" s="1"/>
  <c r="V191" i="22" s="1"/>
  <c r="W191" i="22" s="1"/>
  <c r="X191" i="22" s="1"/>
  <c r="Y191" i="22" s="1"/>
  <c r="Z191" i="22" s="1"/>
  <c r="AA191" i="22" s="1"/>
  <c r="AB191" i="22" s="1"/>
  <c r="AC191" i="22" s="1"/>
  <c r="AD191" i="22" s="1"/>
  <c r="AE191" i="22" s="1"/>
  <c r="AF191" i="22" s="1"/>
  <c r="B191" i="22" s="1"/>
  <c r="G191" i="22"/>
  <c r="D191" i="22"/>
  <c r="E191" i="22" s="1"/>
  <c r="F191" i="22" s="1"/>
  <c r="I190" i="22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B190" i="22" s="1"/>
  <c r="F190" i="22"/>
  <c r="G190" i="22" s="1"/>
  <c r="H190" i="22" s="1"/>
  <c r="E190" i="22"/>
  <c r="D190" i="22"/>
  <c r="I189" i="22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B189" i="22" s="1"/>
  <c r="F189" i="22"/>
  <c r="G189" i="22" s="1"/>
  <c r="H189" i="22" s="1"/>
  <c r="E189" i="22"/>
  <c r="D189" i="22"/>
  <c r="F188" i="22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B188" i="22" s="1"/>
  <c r="D188" i="22"/>
  <c r="E188" i="22" s="1"/>
  <c r="E187" i="22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B187" i="22" s="1"/>
  <c r="D187" i="22"/>
  <c r="W186" i="22"/>
  <c r="X186" i="22" s="1"/>
  <c r="Y186" i="22" s="1"/>
  <c r="Z186" i="22" s="1"/>
  <c r="AA186" i="22" s="1"/>
  <c r="AB186" i="22" s="1"/>
  <c r="AC186" i="22" s="1"/>
  <c r="AD186" i="22" s="1"/>
  <c r="AE186" i="22" s="1"/>
  <c r="AF186" i="22" s="1"/>
  <c r="B186" i="22" s="1"/>
  <c r="E186" i="22"/>
  <c r="F186" i="22" s="1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D186" i="22"/>
  <c r="Y185" i="22"/>
  <c r="Z185" i="22" s="1"/>
  <c r="AA185" i="22" s="1"/>
  <c r="AB185" i="22" s="1"/>
  <c r="AC185" i="22" s="1"/>
  <c r="AD185" i="22" s="1"/>
  <c r="AE185" i="22" s="1"/>
  <c r="AF185" i="22" s="1"/>
  <c r="B185" i="22" s="1"/>
  <c r="O185" i="22"/>
  <c r="P185" i="22" s="1"/>
  <c r="Q185" i="22" s="1"/>
  <c r="R185" i="22" s="1"/>
  <c r="S185" i="22" s="1"/>
  <c r="T185" i="22" s="1"/>
  <c r="U185" i="22" s="1"/>
  <c r="V185" i="22" s="1"/>
  <c r="W185" i="22" s="1"/>
  <c r="X185" i="22" s="1"/>
  <c r="D185" i="22"/>
  <c r="E185" i="22" s="1"/>
  <c r="F185" i="22" s="1"/>
  <c r="G185" i="22" s="1"/>
  <c r="H185" i="22" s="1"/>
  <c r="I185" i="22" s="1"/>
  <c r="J185" i="22" s="1"/>
  <c r="K185" i="22" s="1"/>
  <c r="L185" i="22" s="1"/>
  <c r="M185" i="22" s="1"/>
  <c r="N185" i="22" s="1"/>
  <c r="D184" i="22"/>
  <c r="E184" i="22" s="1"/>
  <c r="F184" i="22" s="1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B184" i="22" s="1"/>
  <c r="U183" i="22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B183" i="22" s="1"/>
  <c r="T183" i="22"/>
  <c r="D183" i="22"/>
  <c r="E183" i="22" s="1"/>
  <c r="F183" i="22" s="1"/>
  <c r="G183" i="22" s="1"/>
  <c r="H183" i="22" s="1"/>
  <c r="I183" i="22" s="1"/>
  <c r="J183" i="22" s="1"/>
  <c r="K183" i="22" s="1"/>
  <c r="L183" i="22" s="1"/>
  <c r="M183" i="22" s="1"/>
  <c r="N183" i="22" s="1"/>
  <c r="O183" i="22" s="1"/>
  <c r="P183" i="22" s="1"/>
  <c r="Q183" i="22" s="1"/>
  <c r="R183" i="22" s="1"/>
  <c r="S183" i="22" s="1"/>
  <c r="I182" i="22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B182" i="22" s="1"/>
  <c r="F182" i="22"/>
  <c r="G182" i="22" s="1"/>
  <c r="H182" i="22" s="1"/>
  <c r="E182" i="22"/>
  <c r="D182" i="22"/>
  <c r="N181" i="22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B181" i="22" s="1"/>
  <c r="D181" i="22"/>
  <c r="E181" i="22" s="1"/>
  <c r="F181" i="22" s="1"/>
  <c r="G181" i="22" s="1"/>
  <c r="H181" i="22" s="1"/>
  <c r="I181" i="22" s="1"/>
  <c r="J181" i="22" s="1"/>
  <c r="K181" i="22" s="1"/>
  <c r="L181" i="22" s="1"/>
  <c r="M181" i="22" s="1"/>
  <c r="W180" i="22"/>
  <c r="X180" i="22" s="1"/>
  <c r="Y180" i="22" s="1"/>
  <c r="Z180" i="22" s="1"/>
  <c r="AA180" i="22" s="1"/>
  <c r="AB180" i="22" s="1"/>
  <c r="AC180" i="22" s="1"/>
  <c r="AD180" i="22" s="1"/>
  <c r="AE180" i="22" s="1"/>
  <c r="AF180" i="22" s="1"/>
  <c r="B180" i="22" s="1"/>
  <c r="E180" i="22"/>
  <c r="F180" i="22" s="1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D180" i="22"/>
  <c r="J179" i="22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B179" i="22" s="1"/>
  <c r="D179" i="22"/>
  <c r="E179" i="22" s="1"/>
  <c r="F179" i="22" s="1"/>
  <c r="G179" i="22" s="1"/>
  <c r="H179" i="22" s="1"/>
  <c r="I179" i="22" s="1"/>
  <c r="I177" i="22"/>
  <c r="J177" i="22" s="1"/>
  <c r="K177" i="22" s="1"/>
  <c r="L177" i="22" s="1"/>
  <c r="M177" i="22" s="1"/>
  <c r="N177" i="22" s="1"/>
  <c r="O177" i="22" s="1"/>
  <c r="P177" i="22" s="1"/>
  <c r="Q177" i="22" s="1"/>
  <c r="R177" i="22" s="1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AE177" i="22" s="1"/>
  <c r="AF177" i="22" s="1"/>
  <c r="B177" i="22" s="1"/>
  <c r="F177" i="22"/>
  <c r="G177" i="22" s="1"/>
  <c r="H177" i="22" s="1"/>
  <c r="E177" i="22"/>
  <c r="D177" i="22"/>
  <c r="D176" i="22"/>
  <c r="E176" i="22" s="1"/>
  <c r="F176" i="22" s="1"/>
  <c r="G176" i="22" s="1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B176" i="22" s="1"/>
  <c r="J175" i="22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B175" i="22" s="1"/>
  <c r="E175" i="22"/>
  <c r="F175" i="22" s="1"/>
  <c r="G175" i="22" s="1"/>
  <c r="H175" i="22" s="1"/>
  <c r="I175" i="22" s="1"/>
  <c r="D175" i="22"/>
  <c r="H174" i="22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D174" i="22"/>
  <c r="E174" i="22" s="1"/>
  <c r="F174" i="22" s="1"/>
  <c r="G174" i="22" s="1"/>
  <c r="B174" i="22"/>
  <c r="E173" i="22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P173" i="22" s="1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D173" i="22"/>
  <c r="B173" i="22"/>
  <c r="T172" i="22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B172" i="22" s="1"/>
  <c r="D172" i="22"/>
  <c r="E172" i="22" s="1"/>
  <c r="F172" i="22" s="1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D171" i="22"/>
  <c r="E171" i="22" s="1"/>
  <c r="F171" i="22" s="1"/>
  <c r="G171" i="22" s="1"/>
  <c r="H171" i="22" s="1"/>
  <c r="I171" i="22" s="1"/>
  <c r="J171" i="22" s="1"/>
  <c r="K171" i="22" s="1"/>
  <c r="L171" i="22" s="1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B171" i="22" s="1"/>
  <c r="O170" i="22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B170" i="22" s="1"/>
  <c r="L170" i="22"/>
  <c r="M170" i="22" s="1"/>
  <c r="N170" i="22" s="1"/>
  <c r="D170" i="22"/>
  <c r="E170" i="22" s="1"/>
  <c r="F170" i="22" s="1"/>
  <c r="G170" i="22" s="1"/>
  <c r="H170" i="22" s="1"/>
  <c r="I170" i="22" s="1"/>
  <c r="J170" i="22" s="1"/>
  <c r="K170" i="22" s="1"/>
  <c r="K168" i="22"/>
  <c r="L168" i="22" s="1"/>
  <c r="M168" i="22" s="1"/>
  <c r="N168" i="22" s="1"/>
  <c r="O168" i="22" s="1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B168" i="22" s="1"/>
  <c r="D168" i="22"/>
  <c r="E168" i="22" s="1"/>
  <c r="F168" i="22" s="1"/>
  <c r="G168" i="22" s="1"/>
  <c r="H168" i="22" s="1"/>
  <c r="I168" i="22" s="1"/>
  <c r="J168" i="22" s="1"/>
  <c r="G167" i="22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B167" i="22" s="1"/>
  <c r="D167" i="22"/>
  <c r="E167" i="22" s="1"/>
  <c r="F167" i="22" s="1"/>
  <c r="H166" i="22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B166" i="22" s="1"/>
  <c r="E166" i="22"/>
  <c r="F166" i="22" s="1"/>
  <c r="G166" i="22" s="1"/>
  <c r="D166" i="22"/>
  <c r="D165" i="22"/>
  <c r="E165" i="22" s="1"/>
  <c r="F165" i="22" s="1"/>
  <c r="G165" i="22" s="1"/>
  <c r="H165" i="22" s="1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B165" i="22" s="1"/>
  <c r="Y164" i="22"/>
  <c r="Z164" i="22" s="1"/>
  <c r="AA164" i="22" s="1"/>
  <c r="AB164" i="22" s="1"/>
  <c r="AC164" i="22" s="1"/>
  <c r="AD164" i="22" s="1"/>
  <c r="AE164" i="22" s="1"/>
  <c r="AF164" i="22" s="1"/>
  <c r="B164" i="22" s="1"/>
  <c r="D164" i="22"/>
  <c r="E164" i="22" s="1"/>
  <c r="F164" i="22" s="1"/>
  <c r="G164" i="22" s="1"/>
  <c r="H164" i="22" s="1"/>
  <c r="I164" i="22" s="1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D163" i="22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B163" i="22" s="1"/>
  <c r="D162" i="22"/>
  <c r="E162" i="22" s="1"/>
  <c r="F162" i="22" s="1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B162" i="22" s="1"/>
  <c r="T161" i="22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B161" i="22" s="1"/>
  <c r="H161" i="22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D161" i="22"/>
  <c r="E161" i="22" s="1"/>
  <c r="F161" i="22" s="1"/>
  <c r="G161" i="22" s="1"/>
  <c r="D160" i="22"/>
  <c r="E160" i="22" s="1"/>
  <c r="F160" i="22" s="1"/>
  <c r="G160" i="22" s="1"/>
  <c r="H160" i="22" s="1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B160" i="22" s="1"/>
  <c r="P159" i="22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B159" i="22" s="1"/>
  <c r="G159" i="22"/>
  <c r="H159" i="22" s="1"/>
  <c r="I159" i="22" s="1"/>
  <c r="J159" i="22" s="1"/>
  <c r="K159" i="22" s="1"/>
  <c r="L159" i="22" s="1"/>
  <c r="M159" i="22" s="1"/>
  <c r="N159" i="22" s="1"/>
  <c r="O159" i="22" s="1"/>
  <c r="D159" i="22"/>
  <c r="E159" i="22" s="1"/>
  <c r="F159" i="22" s="1"/>
  <c r="J158" i="22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B158" i="22" s="1"/>
  <c r="I158" i="22"/>
  <c r="E158" i="22"/>
  <c r="F158" i="22" s="1"/>
  <c r="G158" i="22" s="1"/>
  <c r="H158" i="22" s="1"/>
  <c r="D158" i="22"/>
  <c r="E157" i="22"/>
  <c r="F157" i="22" s="1"/>
  <c r="G157" i="22" s="1"/>
  <c r="H157" i="22" s="1"/>
  <c r="I157" i="22" s="1"/>
  <c r="J157" i="22" s="1"/>
  <c r="K157" i="22" s="1"/>
  <c r="L157" i="22" s="1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B157" i="22" s="1"/>
  <c r="D157" i="22"/>
  <c r="Q156" i="22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B156" i="22" s="1"/>
  <c r="E156" i="22"/>
  <c r="F156" i="22" s="1"/>
  <c r="G156" i="22" s="1"/>
  <c r="H156" i="22" s="1"/>
  <c r="I156" i="22" s="1"/>
  <c r="J156" i="22" s="1"/>
  <c r="K156" i="22" s="1"/>
  <c r="L156" i="22" s="1"/>
  <c r="M156" i="22" s="1"/>
  <c r="N156" i="22" s="1"/>
  <c r="O156" i="22" s="1"/>
  <c r="P156" i="22" s="1"/>
  <c r="D156" i="22"/>
  <c r="D154" i="22"/>
  <c r="E154" i="22" s="1"/>
  <c r="F154" i="22" s="1"/>
  <c r="G154" i="22" s="1"/>
  <c r="H154" i="22" s="1"/>
  <c r="I154" i="22" s="1"/>
  <c r="J154" i="22" s="1"/>
  <c r="K154" i="22" s="1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B154" i="22" s="1"/>
  <c r="J153" i="22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B153" i="22" s="1"/>
  <c r="F153" i="22"/>
  <c r="G153" i="22" s="1"/>
  <c r="H153" i="22" s="1"/>
  <c r="I153" i="22" s="1"/>
  <c r="D153" i="22"/>
  <c r="E153" i="22" s="1"/>
  <c r="D152" i="22"/>
  <c r="E152" i="22" s="1"/>
  <c r="F152" i="22" s="1"/>
  <c r="G152" i="22" s="1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B152" i="22" s="1"/>
  <c r="F151" i="22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B151" i="22" s="1"/>
  <c r="D151" i="22"/>
  <c r="E151" i="22" s="1"/>
  <c r="M149" i="22"/>
  <c r="N149" i="22" s="1"/>
  <c r="O149" i="22" s="1"/>
  <c r="P149" i="22" s="1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B149" i="22" s="1"/>
  <c r="E149" i="22"/>
  <c r="F149" i="22" s="1"/>
  <c r="G149" i="22" s="1"/>
  <c r="H149" i="22" s="1"/>
  <c r="I149" i="22" s="1"/>
  <c r="J149" i="22" s="1"/>
  <c r="K149" i="22" s="1"/>
  <c r="L149" i="22" s="1"/>
  <c r="D149" i="22"/>
  <c r="L148" i="22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B148" i="22" s="1"/>
  <c r="E148" i="22"/>
  <c r="F148" i="22" s="1"/>
  <c r="G148" i="22" s="1"/>
  <c r="H148" i="22" s="1"/>
  <c r="I148" i="22" s="1"/>
  <c r="J148" i="22" s="1"/>
  <c r="K148" i="22" s="1"/>
  <c r="D148" i="22"/>
  <c r="H146" i="22"/>
  <c r="I146" i="22" s="1"/>
  <c r="J146" i="22" s="1"/>
  <c r="K146" i="22" s="1"/>
  <c r="L146" i="22" s="1"/>
  <c r="M146" i="22" s="1"/>
  <c r="N146" i="22" s="1"/>
  <c r="O146" i="22" s="1"/>
  <c r="P146" i="22" s="1"/>
  <c r="Q146" i="22" s="1"/>
  <c r="R146" i="22" s="1"/>
  <c r="S146" i="22" s="1"/>
  <c r="T146" i="22" s="1"/>
  <c r="U146" i="22" s="1"/>
  <c r="V146" i="22" s="1"/>
  <c r="W146" i="22" s="1"/>
  <c r="X146" i="22" s="1"/>
  <c r="Y146" i="22" s="1"/>
  <c r="Z146" i="22" s="1"/>
  <c r="AA146" i="22" s="1"/>
  <c r="AB146" i="22" s="1"/>
  <c r="AC146" i="22" s="1"/>
  <c r="AD146" i="22" s="1"/>
  <c r="AE146" i="22" s="1"/>
  <c r="AF146" i="22" s="1"/>
  <c r="B146" i="22" s="1"/>
  <c r="D146" i="22"/>
  <c r="E146" i="22" s="1"/>
  <c r="F146" i="22" s="1"/>
  <c r="G146" i="22" s="1"/>
  <c r="D145" i="22"/>
  <c r="E145" i="22" s="1"/>
  <c r="F145" i="22" s="1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B145" i="22" s="1"/>
  <c r="N144" i="22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B144" i="22" s="1"/>
  <c r="E144" i="22"/>
  <c r="F144" i="22" s="1"/>
  <c r="G144" i="22" s="1"/>
  <c r="H144" i="22" s="1"/>
  <c r="I144" i="22" s="1"/>
  <c r="J144" i="22" s="1"/>
  <c r="K144" i="22" s="1"/>
  <c r="L144" i="22" s="1"/>
  <c r="M144" i="22" s="1"/>
  <c r="D144" i="22"/>
  <c r="E143" i="22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B143" i="22" s="1"/>
  <c r="D143" i="22"/>
  <c r="D142" i="22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B142" i="22" s="1"/>
  <c r="I141" i="22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B141" i="22" s="1"/>
  <c r="G141" i="22"/>
  <c r="H141" i="22" s="1"/>
  <c r="F141" i="22"/>
  <c r="D141" i="22"/>
  <c r="E141" i="22" s="1"/>
  <c r="H140" i="22"/>
  <c r="I140" i="22" s="1"/>
  <c r="J140" i="22" s="1"/>
  <c r="K140" i="22" s="1"/>
  <c r="L140" i="22" s="1"/>
  <c r="M140" i="22" s="1"/>
  <c r="N140" i="22" s="1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B140" i="22" s="1"/>
  <c r="F140" i="22"/>
  <c r="G140" i="22" s="1"/>
  <c r="E140" i="22"/>
  <c r="D140" i="22"/>
  <c r="F138" i="22"/>
  <c r="G138" i="22" s="1"/>
  <c r="H138" i="22" s="1"/>
  <c r="I138" i="22" s="1"/>
  <c r="J138" i="22" s="1"/>
  <c r="K138" i="22" s="1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B138" i="22" s="1"/>
  <c r="D138" i="22"/>
  <c r="E138" i="22" s="1"/>
  <c r="D137" i="22"/>
  <c r="E137" i="22" s="1"/>
  <c r="F137" i="22" s="1"/>
  <c r="G137" i="22" s="1"/>
  <c r="H137" i="22" s="1"/>
  <c r="I137" i="22" s="1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B137" i="22" s="1"/>
  <c r="V136" i="22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B136" i="22" s="1"/>
  <c r="J136" i="22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F136" i="22"/>
  <c r="G136" i="22" s="1"/>
  <c r="H136" i="22" s="1"/>
  <c r="I136" i="22" s="1"/>
  <c r="E136" i="22"/>
  <c r="D136" i="22"/>
  <c r="V135" i="22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B135" i="22" s="1"/>
  <c r="L135" i="22"/>
  <c r="M135" i="22" s="1"/>
  <c r="N135" i="22" s="1"/>
  <c r="O135" i="22" s="1"/>
  <c r="P135" i="22" s="1"/>
  <c r="Q135" i="22" s="1"/>
  <c r="R135" i="22" s="1"/>
  <c r="S135" i="22" s="1"/>
  <c r="T135" i="22" s="1"/>
  <c r="U135" i="22" s="1"/>
  <c r="D135" i="22"/>
  <c r="E135" i="22" s="1"/>
  <c r="F135" i="22" s="1"/>
  <c r="G135" i="22" s="1"/>
  <c r="H135" i="22" s="1"/>
  <c r="I135" i="22" s="1"/>
  <c r="J135" i="22" s="1"/>
  <c r="K135" i="22" s="1"/>
  <c r="J134" i="22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B134" i="22" s="1"/>
  <c r="D134" i="22"/>
  <c r="E134" i="22" s="1"/>
  <c r="F134" i="22" s="1"/>
  <c r="G134" i="22" s="1"/>
  <c r="H134" i="22" s="1"/>
  <c r="I134" i="22" s="1"/>
  <c r="H133" i="22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B133" i="22" s="1"/>
  <c r="E133" i="22"/>
  <c r="F133" i="22" s="1"/>
  <c r="G133" i="22" s="1"/>
  <c r="D133" i="22"/>
  <c r="F132" i="22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B132" i="22" s="1"/>
  <c r="E132" i="22"/>
  <c r="D132" i="22"/>
  <c r="F131" i="22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B131" i="22" s="1"/>
  <c r="E131" i="22"/>
  <c r="D131" i="22"/>
  <c r="D129" i="22"/>
  <c r="E129" i="22" s="1"/>
  <c r="F129" i="22" s="1"/>
  <c r="G129" i="22" s="1"/>
  <c r="H129" i="22" s="1"/>
  <c r="I129" i="22" s="1"/>
  <c r="J129" i="22" s="1"/>
  <c r="K129" i="22" s="1"/>
  <c r="L129" i="22" s="1"/>
  <c r="M129" i="22" s="1"/>
  <c r="N129" i="22" s="1"/>
  <c r="O129" i="22" s="1"/>
  <c r="P129" i="22" s="1"/>
  <c r="Q129" i="22" s="1"/>
  <c r="R129" i="22" s="1"/>
  <c r="S129" i="22" s="1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B129" i="22" s="1"/>
  <c r="Z128" i="22"/>
  <c r="AA128" i="22" s="1"/>
  <c r="AB128" i="22" s="1"/>
  <c r="AC128" i="22" s="1"/>
  <c r="AD128" i="22" s="1"/>
  <c r="AE128" i="22" s="1"/>
  <c r="AF128" i="22" s="1"/>
  <c r="B128" i="22" s="1"/>
  <c r="D128" i="22"/>
  <c r="E128" i="22" s="1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F127" i="22"/>
  <c r="G127" i="22" s="1"/>
  <c r="H127" i="22" s="1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B127" i="22" s="1"/>
  <c r="D127" i="22"/>
  <c r="E127" i="22" s="1"/>
  <c r="O126" i="22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B126" i="22" s="1"/>
  <c r="H126" i="22"/>
  <c r="I126" i="22" s="1"/>
  <c r="J126" i="22" s="1"/>
  <c r="K126" i="22" s="1"/>
  <c r="L126" i="22" s="1"/>
  <c r="M126" i="22" s="1"/>
  <c r="N126" i="22" s="1"/>
  <c r="G126" i="22"/>
  <c r="D126" i="22"/>
  <c r="E126" i="22" s="1"/>
  <c r="F126" i="22" s="1"/>
  <c r="J125" i="22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B125" i="22" s="1"/>
  <c r="E125" i="22"/>
  <c r="F125" i="22" s="1"/>
  <c r="G125" i="22" s="1"/>
  <c r="H125" i="22" s="1"/>
  <c r="D125" i="22"/>
  <c r="D124" i="22"/>
  <c r="E124" i="22" s="1"/>
  <c r="F124" i="22" s="1"/>
  <c r="G124" i="22" s="1"/>
  <c r="H124" i="22" s="1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B124" i="22" s="1"/>
  <c r="P123" i="22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B123" i="22" s="1"/>
  <c r="D123" i="22"/>
  <c r="E123" i="22" s="1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H122" i="22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B122" i="22" s="1"/>
  <c r="G122" i="22"/>
  <c r="F122" i="22"/>
  <c r="E122" i="22"/>
  <c r="D122" i="22"/>
  <c r="N121" i="22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B121" i="22" s="1"/>
  <c r="D121" i="22"/>
  <c r="E121" i="22" s="1"/>
  <c r="F121" i="22" s="1"/>
  <c r="G121" i="22" s="1"/>
  <c r="H121" i="22" s="1"/>
  <c r="I121" i="22" s="1"/>
  <c r="J121" i="22" s="1"/>
  <c r="K121" i="22" s="1"/>
  <c r="L121" i="22" s="1"/>
  <c r="M121" i="22" s="1"/>
  <c r="D120" i="22"/>
  <c r="E120" i="22" s="1"/>
  <c r="F120" i="22" s="1"/>
  <c r="G120" i="22" s="1"/>
  <c r="H120" i="22" s="1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B120" i="22" s="1"/>
  <c r="J119" i="22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B119" i="22" s="1"/>
  <c r="H119" i="22"/>
  <c r="I119" i="22" s="1"/>
  <c r="D119" i="22"/>
  <c r="E119" i="22" s="1"/>
  <c r="F119" i="22" s="1"/>
  <c r="G119" i="22" s="1"/>
  <c r="H118" i="22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B118" i="22" s="1"/>
  <c r="F118" i="22"/>
  <c r="G118" i="22" s="1"/>
  <c r="E118" i="22"/>
  <c r="D118" i="22"/>
  <c r="D117" i="22"/>
  <c r="E117" i="22" s="1"/>
  <c r="F117" i="22" s="1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B117" i="22" s="1"/>
  <c r="J116" i="22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B116" i="22" s="1"/>
  <c r="D116" i="22"/>
  <c r="E116" i="22" s="1"/>
  <c r="F116" i="22" s="1"/>
  <c r="G116" i="22" s="1"/>
  <c r="H116" i="22" s="1"/>
  <c r="I116" i="22" s="1"/>
  <c r="I115" i="22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B115" i="22" s="1"/>
  <c r="H115" i="22"/>
  <c r="D115" i="22"/>
  <c r="E115" i="22" s="1"/>
  <c r="F115" i="22" s="1"/>
  <c r="G115" i="22" s="1"/>
  <c r="V114" i="22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B114" i="22" s="1"/>
  <c r="K114" i="22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F114" i="22"/>
  <c r="G114" i="22" s="1"/>
  <c r="H114" i="22" s="1"/>
  <c r="I114" i="22" s="1"/>
  <c r="E114" i="22"/>
  <c r="D114" i="22"/>
  <c r="G113" i="22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B113" i="22" s="1"/>
  <c r="E113" i="22"/>
  <c r="F113" i="22" s="1"/>
  <c r="D113" i="22"/>
  <c r="S112" i="22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B112" i="22" s="1"/>
  <c r="E112" i="22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D112" i="22"/>
  <c r="D110" i="22"/>
  <c r="E110" i="22" s="1"/>
  <c r="F110" i="22" s="1"/>
  <c r="G110" i="22" s="1"/>
  <c r="H110" i="22" s="1"/>
  <c r="I110" i="22" s="1"/>
  <c r="J110" i="22" s="1"/>
  <c r="K110" i="22" s="1"/>
  <c r="L110" i="22" s="1"/>
  <c r="M110" i="22" s="1"/>
  <c r="N110" i="22" s="1"/>
  <c r="O110" i="22" s="1"/>
  <c r="P110" i="22" s="1"/>
  <c r="Q110" i="22" s="1"/>
  <c r="R110" i="22" s="1"/>
  <c r="S110" i="22" s="1"/>
  <c r="T110" i="22" s="1"/>
  <c r="U110" i="22" s="1"/>
  <c r="V110" i="22" s="1"/>
  <c r="W110" i="22" s="1"/>
  <c r="X110" i="22" s="1"/>
  <c r="Y110" i="22" s="1"/>
  <c r="Z110" i="22" s="1"/>
  <c r="AA110" i="22" s="1"/>
  <c r="AB110" i="22" s="1"/>
  <c r="AC110" i="22" s="1"/>
  <c r="AD110" i="22" s="1"/>
  <c r="AE110" i="22" s="1"/>
  <c r="AF110" i="22" s="1"/>
  <c r="B110" i="22" s="1"/>
  <c r="E109" i="22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B109" i="22" s="1"/>
  <c r="D109" i="22"/>
  <c r="D107" i="22"/>
  <c r="E107" i="22" s="1"/>
  <c r="F107" i="22" s="1"/>
  <c r="G107" i="22" s="1"/>
  <c r="H107" i="22" s="1"/>
  <c r="I107" i="22" s="1"/>
  <c r="J107" i="22" s="1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X107" i="22" s="1"/>
  <c r="Y107" i="22" s="1"/>
  <c r="Z107" i="22" s="1"/>
  <c r="AA107" i="22" s="1"/>
  <c r="AB107" i="22" s="1"/>
  <c r="AC107" i="22" s="1"/>
  <c r="AD107" i="22" s="1"/>
  <c r="AE107" i="22" s="1"/>
  <c r="AF107" i="22" s="1"/>
  <c r="B107" i="22" s="1"/>
  <c r="D106" i="22"/>
  <c r="E106" i="22" s="1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B106" i="22" s="1"/>
  <c r="K105" i="22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B105" i="22" s="1"/>
  <c r="D105" i="22"/>
  <c r="E105" i="22" s="1"/>
  <c r="F105" i="22" s="1"/>
  <c r="G105" i="22" s="1"/>
  <c r="H105" i="22" s="1"/>
  <c r="I105" i="22" s="1"/>
  <c r="J105" i="22" s="1"/>
  <c r="F104" i="22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B104" i="22" s="1"/>
  <c r="E104" i="22"/>
  <c r="D104" i="22"/>
  <c r="D103" i="22"/>
  <c r="E103" i="22" s="1"/>
  <c r="D102" i="22"/>
  <c r="AH100" i="22"/>
  <c r="AI100" i="22" s="1"/>
  <c r="AH99" i="22"/>
  <c r="AI99" i="22" s="1"/>
  <c r="AH98" i="22"/>
  <c r="AI98" i="22" s="1"/>
  <c r="AH97" i="22"/>
  <c r="AI97" i="22" s="1"/>
  <c r="AH96" i="22"/>
  <c r="AI96" i="22" s="1"/>
  <c r="AH95" i="22"/>
  <c r="AI95" i="22" s="1"/>
  <c r="AH94" i="22"/>
  <c r="AI94" i="22" s="1"/>
  <c r="C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I82" i="22"/>
  <c r="AH82" i="22"/>
  <c r="AG82" i="22"/>
  <c r="AI81" i="22"/>
  <c r="AH81" i="22"/>
  <c r="AI80" i="22"/>
  <c r="AH80" i="22"/>
  <c r="AI79" i="22"/>
  <c r="AH79" i="22"/>
  <c r="AI78" i="22"/>
  <c r="AH78" i="22"/>
  <c r="AI77" i="22"/>
  <c r="AH77" i="22"/>
  <c r="AI76" i="22"/>
  <c r="AH76" i="22"/>
  <c r="AI74" i="22"/>
  <c r="AH74" i="22"/>
  <c r="AI73" i="22"/>
  <c r="AH73" i="22"/>
  <c r="AI72" i="22"/>
  <c r="AH72" i="22"/>
  <c r="AG72" i="22"/>
  <c r="AI71" i="22"/>
  <c r="AH71" i="22"/>
  <c r="AI70" i="22"/>
  <c r="AH70" i="22"/>
  <c r="AI69" i="22"/>
  <c r="AH69" i="22"/>
  <c r="AG68" i="22"/>
  <c r="AG73" i="22" s="1"/>
  <c r="AF68" i="22"/>
  <c r="AE5" i="22" s="1"/>
  <c r="AE68" i="22"/>
  <c r="AD68" i="22"/>
  <c r="AC68" i="22"/>
  <c r="AB5" i="22" s="1"/>
  <c r="AB68" i="22"/>
  <c r="AA5" i="22" s="1"/>
  <c r="Z68" i="22"/>
  <c r="Y5" i="22" s="1"/>
  <c r="Y68" i="22"/>
  <c r="X5" i="22" s="1"/>
  <c r="X68" i="22"/>
  <c r="W5" i="22" s="1"/>
  <c r="W68" i="22"/>
  <c r="V68" i="22"/>
  <c r="U5" i="22" s="1"/>
  <c r="U68" i="22"/>
  <c r="T68" i="22"/>
  <c r="S5" i="22" s="1"/>
  <c r="S68" i="22"/>
  <c r="R5" i="22" s="1"/>
  <c r="R68" i="22"/>
  <c r="Q5" i="22" s="1"/>
  <c r="Q68" i="22"/>
  <c r="P5" i="22" s="1"/>
  <c r="P68" i="22"/>
  <c r="O5" i="22" s="1"/>
  <c r="O68" i="22"/>
  <c r="N68" i="22"/>
  <c r="M5" i="22" s="1"/>
  <c r="M68" i="22"/>
  <c r="L5" i="22" s="1"/>
  <c r="L68" i="22"/>
  <c r="K68" i="22"/>
  <c r="J68" i="22"/>
  <c r="I5" i="22" s="1"/>
  <c r="I68" i="22"/>
  <c r="H5" i="22" s="1"/>
  <c r="H68" i="22"/>
  <c r="G5" i="22" s="1"/>
  <c r="G68" i="22"/>
  <c r="F5" i="22" s="1"/>
  <c r="F68" i="22"/>
  <c r="E5" i="22" s="1"/>
  <c r="E68" i="22"/>
  <c r="D5" i="22" s="1"/>
  <c r="D68" i="22"/>
  <c r="C68" i="22"/>
  <c r="B5" i="22" s="1"/>
  <c r="AF5" i="22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G4" i="22" s="1"/>
  <c r="AF56" i="22"/>
  <c r="AE56" i="22"/>
  <c r="AD56" i="22"/>
  <c r="AC56" i="22"/>
  <c r="AB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AI55" i="22"/>
  <c r="AH55" i="22"/>
  <c r="AI54" i="22"/>
  <c r="AH54" i="22"/>
  <c r="AI53" i="22"/>
  <c r="AH53" i="22"/>
  <c r="AG52" i="22"/>
  <c r="AF52" i="22"/>
  <c r="AE52" i="22"/>
  <c r="AD52" i="22"/>
  <c r="AC52" i="22"/>
  <c r="AB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AI51" i="22"/>
  <c r="AH51" i="22"/>
  <c r="AG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F38" i="22"/>
  <c r="AE38" i="22"/>
  <c r="AD38" i="22"/>
  <c r="AC38" i="22"/>
  <c r="AB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G6" i="22"/>
  <c r="AD5" i="22"/>
  <c r="Z5" i="22"/>
  <c r="V5" i="22"/>
  <c r="T5" i="22"/>
  <c r="N5" i="22"/>
  <c r="K5" i="22"/>
  <c r="J5" i="22"/>
  <c r="C5" i="22"/>
  <c r="K4" i="22"/>
  <c r="B4" i="22"/>
  <c r="AG3" i="22"/>
  <c r="AG2" i="22"/>
  <c r="AF95" i="21"/>
  <c r="AF37" i="21"/>
  <c r="AE95" i="21"/>
  <c r="AE37" i="21"/>
  <c r="AD37" i="21"/>
  <c r="AC37" i="21"/>
  <c r="E4" i="23"/>
  <c r="E4" i="28"/>
  <c r="E4" i="22"/>
  <c r="E4" i="26"/>
  <c r="E4" i="27"/>
  <c r="E4" i="25"/>
  <c r="E4" i="24"/>
  <c r="S200" i="29" l="1"/>
  <c r="T194" i="29"/>
  <c r="Q192" i="29"/>
  <c r="R102" i="29"/>
  <c r="R235" i="29"/>
  <c r="T199" i="29"/>
  <c r="S103" i="29"/>
  <c r="R93" i="29"/>
  <c r="AA75" i="28"/>
  <c r="AH37" i="28"/>
  <c r="Z5" i="28"/>
  <c r="AG6" i="28"/>
  <c r="AB75" i="28"/>
  <c r="AB83" i="28" s="1"/>
  <c r="AC75" i="28"/>
  <c r="AU214" i="28" s="1"/>
  <c r="Z75" i="28"/>
  <c r="Z83" i="28" s="1"/>
  <c r="Y75" i="28"/>
  <c r="T75" i="28"/>
  <c r="U75" i="28"/>
  <c r="R5" i="28"/>
  <c r="R75" i="28"/>
  <c r="AJ214" i="28" s="1"/>
  <c r="Q75" i="28"/>
  <c r="M75" i="28"/>
  <c r="M7" i="28" s="1"/>
  <c r="L75" i="28"/>
  <c r="L83" i="28" s="1"/>
  <c r="K75" i="28"/>
  <c r="K7" i="28" s="1"/>
  <c r="J75" i="28"/>
  <c r="J83" i="28" s="1"/>
  <c r="I75" i="28"/>
  <c r="AA214" i="28" s="1"/>
  <c r="E75" i="28"/>
  <c r="W214" i="28" s="1"/>
  <c r="AH56" i="28"/>
  <c r="D75" i="28"/>
  <c r="V214" i="28" s="1"/>
  <c r="AH52" i="28"/>
  <c r="C75" i="28"/>
  <c r="U214" i="28" s="1"/>
  <c r="AH38" i="28"/>
  <c r="AI56" i="28"/>
  <c r="AI52" i="28"/>
  <c r="B75" i="28"/>
  <c r="T214" i="28" s="1"/>
  <c r="AI38" i="28"/>
  <c r="H4" i="28"/>
  <c r="AI214" i="28"/>
  <c r="Q83" i="28"/>
  <c r="Q7" i="28"/>
  <c r="AQ214" i="28"/>
  <c r="Y83" i="28"/>
  <c r="Y7" i="28"/>
  <c r="AG73" i="28"/>
  <c r="AG83" i="28" s="1"/>
  <c r="G103" i="28"/>
  <c r="R7" i="28"/>
  <c r="AR214" i="28"/>
  <c r="AC214" i="28"/>
  <c r="K83" i="28"/>
  <c r="AK214" i="28"/>
  <c r="S83" i="28"/>
  <c r="S7" i="28"/>
  <c r="AS214" i="28"/>
  <c r="AA83" i="28"/>
  <c r="AA7" i="28"/>
  <c r="AL214" i="28"/>
  <c r="T83" i="28"/>
  <c r="T7" i="28"/>
  <c r="AT214" i="28"/>
  <c r="AM214" i="28"/>
  <c r="U7" i="28"/>
  <c r="U83" i="28"/>
  <c r="AC7" i="28"/>
  <c r="F75" i="28"/>
  <c r="N75" i="28"/>
  <c r="V75" i="28"/>
  <c r="AD75" i="28"/>
  <c r="E192" i="28"/>
  <c r="G75" i="28"/>
  <c r="O75" i="28"/>
  <c r="W75" i="28"/>
  <c r="AE75" i="28"/>
  <c r="D93" i="28"/>
  <c r="F102" i="28"/>
  <c r="H75" i="28"/>
  <c r="P75" i="28"/>
  <c r="X75" i="28"/>
  <c r="AF75" i="28"/>
  <c r="S211" i="28"/>
  <c r="D211" i="28"/>
  <c r="AG75" i="28"/>
  <c r="AH68" i="28"/>
  <c r="AI68" i="28"/>
  <c r="D192" i="28"/>
  <c r="F199" i="28"/>
  <c r="D235" i="28"/>
  <c r="E194" i="28"/>
  <c r="D200" i="28"/>
  <c r="AF75" i="27"/>
  <c r="AD75" i="27"/>
  <c r="AC75" i="27"/>
  <c r="AU214" i="27" s="1"/>
  <c r="AB75" i="27"/>
  <c r="AA75" i="27"/>
  <c r="X75" i="27"/>
  <c r="V75" i="27"/>
  <c r="U75" i="27"/>
  <c r="T75" i="27"/>
  <c r="T7" i="27" s="1"/>
  <c r="S75" i="27"/>
  <c r="P75" i="27"/>
  <c r="N75" i="27"/>
  <c r="M75" i="27"/>
  <c r="L75" i="27"/>
  <c r="L7" i="27" s="1"/>
  <c r="K75" i="27"/>
  <c r="AC214" i="27" s="1"/>
  <c r="H75" i="27"/>
  <c r="H7" i="27" s="1"/>
  <c r="E75" i="27"/>
  <c r="E83" i="27" s="1"/>
  <c r="AI52" i="27"/>
  <c r="D75" i="27"/>
  <c r="D7" i="27" s="1"/>
  <c r="AI68" i="27"/>
  <c r="C75" i="27"/>
  <c r="U214" i="27" s="1"/>
  <c r="AI38" i="27"/>
  <c r="B75" i="27"/>
  <c r="B83" i="27" s="1"/>
  <c r="AH38" i="27"/>
  <c r="H4" i="27"/>
  <c r="AF214" i="27"/>
  <c r="N7" i="27"/>
  <c r="N83" i="27"/>
  <c r="AS214" i="27"/>
  <c r="AA83" i="27"/>
  <c r="AA7" i="27"/>
  <c r="AK214" i="27"/>
  <c r="S83" i="27"/>
  <c r="S7" i="27"/>
  <c r="AN214" i="27"/>
  <c r="V7" i="27"/>
  <c r="V83" i="27"/>
  <c r="AV214" i="27"/>
  <c r="AD7" i="27"/>
  <c r="AD83" i="27"/>
  <c r="Z214" i="27"/>
  <c r="H83" i="27"/>
  <c r="AH214" i="27"/>
  <c r="P83" i="27"/>
  <c r="AP214" i="27"/>
  <c r="X83" i="27"/>
  <c r="AX214" i="27"/>
  <c r="AF83" i="27"/>
  <c r="AF7" i="27"/>
  <c r="AG73" i="27"/>
  <c r="F75" i="27"/>
  <c r="P7" i="27"/>
  <c r="AH52" i="27"/>
  <c r="AH56" i="27"/>
  <c r="AI56" i="27"/>
  <c r="F192" i="27"/>
  <c r="G102" i="27"/>
  <c r="AL214" i="27"/>
  <c r="T83" i="27"/>
  <c r="AT214" i="27"/>
  <c r="AB83" i="27"/>
  <c r="H103" i="27"/>
  <c r="U83" i="27"/>
  <c r="X7" i="27"/>
  <c r="E124" i="27"/>
  <c r="F124" i="27" s="1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B124" i="27" s="1"/>
  <c r="D93" i="27"/>
  <c r="AB7" i="27"/>
  <c r="G75" i="27"/>
  <c r="O75" i="27"/>
  <c r="W75" i="27"/>
  <c r="AE75" i="27"/>
  <c r="AC83" i="27"/>
  <c r="S211" i="27"/>
  <c r="D211" i="27"/>
  <c r="I75" i="27"/>
  <c r="Q75" i="27"/>
  <c r="Y75" i="27"/>
  <c r="AG75" i="27"/>
  <c r="AG83" i="27" s="1"/>
  <c r="AH68" i="27"/>
  <c r="J75" i="27"/>
  <c r="R75" i="27"/>
  <c r="Z75" i="27"/>
  <c r="E192" i="27"/>
  <c r="D192" i="27"/>
  <c r="E200" i="27"/>
  <c r="D200" i="27"/>
  <c r="E196" i="27"/>
  <c r="F196" i="27" s="1"/>
  <c r="G196" i="27" s="1"/>
  <c r="H196" i="27" s="1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B196" i="27" s="1"/>
  <c r="G194" i="27"/>
  <c r="E199" i="27"/>
  <c r="AF75" i="26"/>
  <c r="AF7" i="26" s="1"/>
  <c r="AE75" i="26"/>
  <c r="AB75" i="26"/>
  <c r="AA75" i="26"/>
  <c r="Z75" i="26"/>
  <c r="Z7" i="26" s="1"/>
  <c r="Y75" i="26"/>
  <c r="X75" i="26"/>
  <c r="W75" i="26"/>
  <c r="AH37" i="26"/>
  <c r="T75" i="26"/>
  <c r="S75" i="26"/>
  <c r="R75" i="26"/>
  <c r="Q75" i="26"/>
  <c r="P75" i="26"/>
  <c r="O75" i="26"/>
  <c r="L75" i="26"/>
  <c r="L7" i="26" s="1"/>
  <c r="K75" i="26"/>
  <c r="K7" i="26" s="1"/>
  <c r="J75" i="26"/>
  <c r="AB214" i="26" s="1"/>
  <c r="I75" i="26"/>
  <c r="AA214" i="26" s="1"/>
  <c r="H75" i="26"/>
  <c r="H7" i="26" s="1"/>
  <c r="G75" i="26"/>
  <c r="Y214" i="26" s="1"/>
  <c r="D75" i="26"/>
  <c r="V214" i="26" s="1"/>
  <c r="AI56" i="26"/>
  <c r="AI52" i="26"/>
  <c r="C75" i="26"/>
  <c r="U214" i="26" s="1"/>
  <c r="AH38" i="26"/>
  <c r="AI38" i="26"/>
  <c r="H4" i="26"/>
  <c r="C83" i="26"/>
  <c r="K83" i="26"/>
  <c r="AK214" i="26"/>
  <c r="S83" i="26"/>
  <c r="S7" i="26"/>
  <c r="AS214" i="26"/>
  <c r="AA83" i="26"/>
  <c r="AA7" i="26"/>
  <c r="AG3" i="26"/>
  <c r="AG6" i="26" s="1"/>
  <c r="AG73" i="26"/>
  <c r="L83" i="26"/>
  <c r="AL214" i="26"/>
  <c r="T83" i="26"/>
  <c r="T7" i="26"/>
  <c r="AT214" i="26"/>
  <c r="AB83" i="26"/>
  <c r="AB7" i="26"/>
  <c r="AG214" i="26"/>
  <c r="O83" i="26"/>
  <c r="O7" i="26"/>
  <c r="AO214" i="26"/>
  <c r="W83" i="26"/>
  <c r="W7" i="26"/>
  <c r="AW214" i="26"/>
  <c r="AE83" i="26"/>
  <c r="AE7" i="26"/>
  <c r="Z214" i="26"/>
  <c r="H83" i="26"/>
  <c r="AH214" i="26"/>
  <c r="P7" i="26"/>
  <c r="P83" i="26"/>
  <c r="AP214" i="26"/>
  <c r="X83" i="26"/>
  <c r="X7" i="26"/>
  <c r="AG75" i="26"/>
  <c r="AI214" i="26"/>
  <c r="Q7" i="26"/>
  <c r="Q83" i="26"/>
  <c r="AQ214" i="26"/>
  <c r="Y7" i="26"/>
  <c r="Y83" i="26"/>
  <c r="AJ214" i="26"/>
  <c r="R7" i="26"/>
  <c r="R83" i="26"/>
  <c r="AR214" i="26"/>
  <c r="Z83" i="26"/>
  <c r="AH52" i="26"/>
  <c r="AH56" i="26"/>
  <c r="AH68" i="26"/>
  <c r="B75" i="26"/>
  <c r="AI68" i="26"/>
  <c r="F103" i="26"/>
  <c r="D93" i="26"/>
  <c r="E75" i="26"/>
  <c r="M75" i="26"/>
  <c r="U75" i="26"/>
  <c r="F75" i="26"/>
  <c r="N75" i="26"/>
  <c r="V75" i="26"/>
  <c r="AD75" i="26"/>
  <c r="S211" i="26"/>
  <c r="D211" i="26"/>
  <c r="D192" i="26"/>
  <c r="E102" i="26"/>
  <c r="E194" i="26"/>
  <c r="G199" i="26"/>
  <c r="E235" i="26"/>
  <c r="D235" i="26"/>
  <c r="Z75" i="25"/>
  <c r="AR214" i="25" s="1"/>
  <c r="AH52" i="25"/>
  <c r="AI38" i="25"/>
  <c r="E75" i="25"/>
  <c r="E83" i="25" s="1"/>
  <c r="M75" i="25"/>
  <c r="U83" i="25"/>
  <c r="AC75" i="25"/>
  <c r="AC83" i="25" s="1"/>
  <c r="V75" i="25"/>
  <c r="AN214" i="25" s="1"/>
  <c r="AD75" i="25"/>
  <c r="AV214" i="25" s="1"/>
  <c r="I75" i="25"/>
  <c r="AA214" i="25" s="1"/>
  <c r="Q75" i="25"/>
  <c r="AI214" i="25" s="1"/>
  <c r="H75" i="25"/>
  <c r="H7" i="25" s="1"/>
  <c r="P75" i="25"/>
  <c r="P83" i="25" s="1"/>
  <c r="X75" i="25"/>
  <c r="X83" i="25" s="1"/>
  <c r="AF75" i="25"/>
  <c r="AF83" i="25" s="1"/>
  <c r="Y75" i="25"/>
  <c r="AQ214" i="25" s="1"/>
  <c r="AH38" i="25"/>
  <c r="F75" i="25"/>
  <c r="F83" i="25" s="1"/>
  <c r="H4" i="25"/>
  <c r="G103" i="25"/>
  <c r="AI68" i="25"/>
  <c r="AH68" i="25"/>
  <c r="G75" i="25"/>
  <c r="D192" i="25"/>
  <c r="AG6" i="25"/>
  <c r="AF5" i="25"/>
  <c r="AI56" i="25"/>
  <c r="AH56" i="25"/>
  <c r="C75" i="25"/>
  <c r="K75" i="25"/>
  <c r="AA75" i="25"/>
  <c r="J75" i="25"/>
  <c r="AE75" i="25"/>
  <c r="AH95" i="25"/>
  <c r="AI95" i="25" s="1"/>
  <c r="E102" i="25"/>
  <c r="AG73" i="25"/>
  <c r="AI37" i="25"/>
  <c r="AH37" i="25"/>
  <c r="D75" i="25"/>
  <c r="L75" i="25"/>
  <c r="T75" i="25"/>
  <c r="AB75" i="25"/>
  <c r="N75" i="25"/>
  <c r="AI52" i="25"/>
  <c r="O75" i="25"/>
  <c r="R75" i="25"/>
  <c r="AG83" i="25"/>
  <c r="B75" i="25"/>
  <c r="W75" i="25"/>
  <c r="E93" i="25"/>
  <c r="S211" i="25"/>
  <c r="D211" i="25"/>
  <c r="D200" i="25"/>
  <c r="E196" i="25"/>
  <c r="F196" i="25" s="1"/>
  <c r="G196" i="25" s="1"/>
  <c r="H196" i="25" s="1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B196" i="25" s="1"/>
  <c r="E200" i="25"/>
  <c r="G194" i="25"/>
  <c r="F199" i="25"/>
  <c r="AG6" i="24"/>
  <c r="N75" i="24"/>
  <c r="AF214" i="24" s="1"/>
  <c r="V75" i="24"/>
  <c r="AN214" i="24" s="1"/>
  <c r="AD75" i="24"/>
  <c r="AD83" i="24" s="1"/>
  <c r="P75" i="24"/>
  <c r="AH214" i="24" s="1"/>
  <c r="X75" i="24"/>
  <c r="AP214" i="24" s="1"/>
  <c r="AF75" i="24"/>
  <c r="AX214" i="24" s="1"/>
  <c r="AG75" i="24"/>
  <c r="S75" i="24"/>
  <c r="S83" i="24" s="1"/>
  <c r="AA75" i="24"/>
  <c r="AA7" i="24" s="1"/>
  <c r="L75" i="24"/>
  <c r="L7" i="24" s="1"/>
  <c r="T75" i="24"/>
  <c r="T83" i="24" s="1"/>
  <c r="AB75" i="24"/>
  <c r="AT214" i="24" s="1"/>
  <c r="M75" i="24"/>
  <c r="AE214" i="24" s="1"/>
  <c r="U75" i="24"/>
  <c r="AM214" i="24" s="1"/>
  <c r="AC75" i="24"/>
  <c r="AU214" i="24" s="1"/>
  <c r="O75" i="24"/>
  <c r="O83" i="24" s="1"/>
  <c r="W75" i="24"/>
  <c r="AO214" i="24" s="1"/>
  <c r="AE75" i="24"/>
  <c r="AW214" i="24" s="1"/>
  <c r="K75" i="24"/>
  <c r="AC214" i="24" s="1"/>
  <c r="I75" i="24"/>
  <c r="AA214" i="24" s="1"/>
  <c r="H75" i="24"/>
  <c r="H7" i="24" s="1"/>
  <c r="G75" i="24"/>
  <c r="G7" i="24" s="1"/>
  <c r="AI37" i="24"/>
  <c r="F75" i="24"/>
  <c r="F83" i="24" s="1"/>
  <c r="E75" i="24"/>
  <c r="E83" i="24" s="1"/>
  <c r="AH37" i="24"/>
  <c r="D75" i="24"/>
  <c r="V214" i="24" s="1"/>
  <c r="AI56" i="24"/>
  <c r="AI52" i="24"/>
  <c r="AH38" i="24"/>
  <c r="U214" i="24"/>
  <c r="AI38" i="24"/>
  <c r="H4" i="24"/>
  <c r="X214" i="24"/>
  <c r="W214" i="24"/>
  <c r="AF83" i="24"/>
  <c r="L83" i="24"/>
  <c r="Q75" i="24"/>
  <c r="AH52" i="24"/>
  <c r="AH56" i="24"/>
  <c r="AH68" i="24"/>
  <c r="J75" i="24"/>
  <c r="R75" i="24"/>
  <c r="Z75" i="24"/>
  <c r="Y75" i="24"/>
  <c r="AI68" i="24"/>
  <c r="F103" i="24"/>
  <c r="H5" i="24"/>
  <c r="S211" i="24"/>
  <c r="D211" i="24"/>
  <c r="AG73" i="24"/>
  <c r="D192" i="24"/>
  <c r="D93" i="24"/>
  <c r="E102" i="24"/>
  <c r="G194" i="24"/>
  <c r="D200" i="24"/>
  <c r="C235" i="24"/>
  <c r="E199" i="24"/>
  <c r="E93" i="24" s="1"/>
  <c r="AF75" i="23"/>
  <c r="AD75" i="23"/>
  <c r="AC75" i="23"/>
  <c r="AB75" i="23"/>
  <c r="AA75" i="23"/>
  <c r="Z75" i="23"/>
  <c r="X75" i="23"/>
  <c r="AP214" i="23" s="1"/>
  <c r="V75" i="23"/>
  <c r="T75" i="23"/>
  <c r="S75" i="23"/>
  <c r="R75" i="23"/>
  <c r="P75" i="23"/>
  <c r="M75" i="23"/>
  <c r="L75" i="23"/>
  <c r="AD214" i="23" s="1"/>
  <c r="K75" i="23"/>
  <c r="AC214" i="23" s="1"/>
  <c r="J75" i="23"/>
  <c r="AB214" i="23" s="1"/>
  <c r="H75" i="23"/>
  <c r="H7" i="23" s="1"/>
  <c r="AI38" i="23"/>
  <c r="E75" i="23"/>
  <c r="E7" i="23" s="1"/>
  <c r="D75" i="23"/>
  <c r="D7" i="23" s="1"/>
  <c r="AH56" i="23"/>
  <c r="AH52" i="23"/>
  <c r="C75" i="23"/>
  <c r="C7" i="23" s="1"/>
  <c r="AI56" i="23"/>
  <c r="AI52" i="23"/>
  <c r="B75" i="23"/>
  <c r="T214" i="23" s="1"/>
  <c r="H4" i="23"/>
  <c r="AS214" i="23"/>
  <c r="AA83" i="23"/>
  <c r="AA7" i="23"/>
  <c r="W214" i="23"/>
  <c r="AE214" i="23"/>
  <c r="M7" i="23"/>
  <c r="M83" i="23"/>
  <c r="AU214" i="23"/>
  <c r="AC7" i="23"/>
  <c r="AC83" i="23"/>
  <c r="AG3" i="23"/>
  <c r="AG6" i="23" s="1"/>
  <c r="AG73" i="23"/>
  <c r="AG83" i="23" s="1"/>
  <c r="V214" i="23"/>
  <c r="D83" i="23"/>
  <c r="AL214" i="23"/>
  <c r="T7" i="23"/>
  <c r="T83" i="23"/>
  <c r="AT214" i="23"/>
  <c r="AB83" i="23"/>
  <c r="AB7" i="23"/>
  <c r="AN214" i="23"/>
  <c r="V7" i="23"/>
  <c r="V83" i="23"/>
  <c r="AV214" i="23"/>
  <c r="AD7" i="23"/>
  <c r="AD83" i="23"/>
  <c r="AK214" i="23"/>
  <c r="S83" i="23"/>
  <c r="S7" i="23"/>
  <c r="AH214" i="23"/>
  <c r="P83" i="23"/>
  <c r="P7" i="23"/>
  <c r="AX214" i="23"/>
  <c r="AF83" i="23"/>
  <c r="AF7" i="23"/>
  <c r="AG75" i="23"/>
  <c r="B7" i="23"/>
  <c r="AJ214" i="23"/>
  <c r="R83" i="23"/>
  <c r="R7" i="23"/>
  <c r="AR214" i="23"/>
  <c r="Z83" i="23"/>
  <c r="Z7" i="23"/>
  <c r="F75" i="23"/>
  <c r="E93" i="23"/>
  <c r="H103" i="23"/>
  <c r="G75" i="23"/>
  <c r="O75" i="23"/>
  <c r="W75" i="23"/>
  <c r="AE75" i="23"/>
  <c r="F93" i="23"/>
  <c r="U75" i="23"/>
  <c r="N75" i="23"/>
  <c r="D5" i="23"/>
  <c r="L5" i="23"/>
  <c r="AB5" i="23"/>
  <c r="D211" i="23"/>
  <c r="S211" i="23"/>
  <c r="U5" i="23"/>
  <c r="AC5" i="23"/>
  <c r="I75" i="23"/>
  <c r="Q75" i="23"/>
  <c r="Y75" i="23"/>
  <c r="AH38" i="23"/>
  <c r="F192" i="23"/>
  <c r="G102" i="23"/>
  <c r="AH68" i="23"/>
  <c r="AI68" i="23"/>
  <c r="D192" i="23"/>
  <c r="E192" i="23"/>
  <c r="F194" i="23"/>
  <c r="E200" i="23"/>
  <c r="D200" i="23"/>
  <c r="F199" i="23"/>
  <c r="AF75" i="22"/>
  <c r="AF83" i="22" s="1"/>
  <c r="AE75" i="22"/>
  <c r="AD75" i="22"/>
  <c r="AB75" i="22"/>
  <c r="AT214" i="22" s="1"/>
  <c r="Y75" i="22"/>
  <c r="X75" i="22"/>
  <c r="AP214" i="22" s="1"/>
  <c r="W75" i="22"/>
  <c r="T75" i="22"/>
  <c r="Q75" i="22"/>
  <c r="Q83" i="22" s="1"/>
  <c r="O75" i="22"/>
  <c r="L75" i="22"/>
  <c r="AI56" i="22"/>
  <c r="AI52" i="22"/>
  <c r="F75" i="22"/>
  <c r="X214" i="22" s="1"/>
  <c r="G75" i="22"/>
  <c r="G83" i="22" s="1"/>
  <c r="D75" i="22"/>
  <c r="V214" i="22" s="1"/>
  <c r="AI38" i="22"/>
  <c r="B75" i="22"/>
  <c r="B83" i="22" s="1"/>
  <c r="H4" i="22"/>
  <c r="AF7" i="22"/>
  <c r="F83" i="22"/>
  <c r="AV214" i="22"/>
  <c r="AD83" i="22"/>
  <c r="AD7" i="22"/>
  <c r="AD214" i="22"/>
  <c r="L83" i="22"/>
  <c r="L7" i="22"/>
  <c r="AB83" i="22"/>
  <c r="AB7" i="22"/>
  <c r="AI214" i="22"/>
  <c r="Q7" i="22"/>
  <c r="AL214" i="22"/>
  <c r="T7" i="22"/>
  <c r="T83" i="22"/>
  <c r="AC5" i="22"/>
  <c r="E75" i="22"/>
  <c r="M75" i="22"/>
  <c r="U75" i="22"/>
  <c r="AC75" i="22"/>
  <c r="V75" i="22"/>
  <c r="AG214" i="22"/>
  <c r="O83" i="22"/>
  <c r="O7" i="22"/>
  <c r="AW214" i="22"/>
  <c r="AE83" i="22"/>
  <c r="AE7" i="22"/>
  <c r="X7" i="22"/>
  <c r="H75" i="22"/>
  <c r="X83" i="22"/>
  <c r="E93" i="22"/>
  <c r="F103" i="22"/>
  <c r="Y214" i="22"/>
  <c r="AO214" i="22"/>
  <c r="W83" i="22"/>
  <c r="W7" i="22"/>
  <c r="AQ214" i="22"/>
  <c r="Y83" i="22"/>
  <c r="Y7" i="22"/>
  <c r="N75" i="22"/>
  <c r="AG75" i="22"/>
  <c r="AG83" i="22" s="1"/>
  <c r="S211" i="22"/>
  <c r="D211" i="22"/>
  <c r="I75" i="22"/>
  <c r="AH38" i="22"/>
  <c r="C75" i="22"/>
  <c r="K75" i="22"/>
  <c r="S75" i="22"/>
  <c r="P75" i="22"/>
  <c r="D192" i="22"/>
  <c r="E102" i="22"/>
  <c r="AH56" i="22"/>
  <c r="AH68" i="22"/>
  <c r="J75" i="22"/>
  <c r="AH52" i="22"/>
  <c r="Z75" i="22"/>
  <c r="AI68" i="22"/>
  <c r="D93" i="22"/>
  <c r="R75" i="22"/>
  <c r="E199" i="22"/>
  <c r="D200" i="22"/>
  <c r="H194" i="22"/>
  <c r="S93" i="29" l="1"/>
  <c r="T103" i="29"/>
  <c r="U199" i="29"/>
  <c r="S235" i="29"/>
  <c r="R192" i="29"/>
  <c r="S102" i="29"/>
  <c r="T200" i="29"/>
  <c r="U194" i="29"/>
  <c r="AC83" i="28"/>
  <c r="AB7" i="28"/>
  <c r="Z7" i="28"/>
  <c r="R83" i="28"/>
  <c r="AB214" i="28"/>
  <c r="AE214" i="28"/>
  <c r="I7" i="28"/>
  <c r="I83" i="28"/>
  <c r="M83" i="28"/>
  <c r="AD214" i="28"/>
  <c r="L7" i="28"/>
  <c r="J7" i="28"/>
  <c r="D7" i="28"/>
  <c r="E83" i="28"/>
  <c r="E7" i="28"/>
  <c r="D83" i="28"/>
  <c r="C7" i="28"/>
  <c r="C83" i="28"/>
  <c r="B7" i="28"/>
  <c r="B83" i="28"/>
  <c r="AH75" i="28"/>
  <c r="AP214" i="28"/>
  <c r="X83" i="28"/>
  <c r="X7" i="28"/>
  <c r="Y214" i="28"/>
  <c r="C209" i="28"/>
  <c r="B209" i="28"/>
  <c r="G7" i="28"/>
  <c r="G83" i="28"/>
  <c r="H103" i="28"/>
  <c r="AH214" i="28"/>
  <c r="P83" i="28"/>
  <c r="P7" i="28"/>
  <c r="AG214" i="28"/>
  <c r="O7" i="28"/>
  <c r="O83" i="28"/>
  <c r="Z214" i="28"/>
  <c r="H83" i="28"/>
  <c r="H7" i="28"/>
  <c r="AV214" i="28"/>
  <c r="AD7" i="28"/>
  <c r="AD83" i="28"/>
  <c r="G199" i="28"/>
  <c r="E235" i="28"/>
  <c r="F192" i="28"/>
  <c r="G102" i="28"/>
  <c r="AN214" i="28"/>
  <c r="V7" i="28"/>
  <c r="V83" i="28"/>
  <c r="AF214" i="28"/>
  <c r="N7" i="28"/>
  <c r="N83" i="28"/>
  <c r="AX214" i="28"/>
  <c r="AF83" i="28"/>
  <c r="AF7" i="28"/>
  <c r="F194" i="28"/>
  <c r="E200" i="28"/>
  <c r="E93" i="28"/>
  <c r="AW214" i="28"/>
  <c r="AE7" i="28"/>
  <c r="AE83" i="28"/>
  <c r="X214" i="28"/>
  <c r="F7" i="28"/>
  <c r="F83" i="28"/>
  <c r="AI75" i="28"/>
  <c r="AO214" i="28"/>
  <c r="W7" i="28"/>
  <c r="W83" i="28"/>
  <c r="AC7" i="27"/>
  <c r="AM214" i="27"/>
  <c r="U7" i="27"/>
  <c r="AE214" i="27"/>
  <c r="M83" i="27"/>
  <c r="M7" i="27"/>
  <c r="K7" i="27"/>
  <c r="K83" i="27"/>
  <c r="L83" i="27"/>
  <c r="AD214" i="27"/>
  <c r="W214" i="27"/>
  <c r="E7" i="27"/>
  <c r="D83" i="27"/>
  <c r="V214" i="27"/>
  <c r="AF83" i="26"/>
  <c r="AX214" i="26"/>
  <c r="C7" i="27"/>
  <c r="C83" i="27"/>
  <c r="AO214" i="27"/>
  <c r="W7" i="27"/>
  <c r="W83" i="27"/>
  <c r="AQ214" i="27"/>
  <c r="Y83" i="27"/>
  <c r="Y7" i="27"/>
  <c r="AG214" i="27"/>
  <c r="O7" i="27"/>
  <c r="O83" i="27"/>
  <c r="X214" i="27"/>
  <c r="F7" i="27"/>
  <c r="F83" i="27"/>
  <c r="AI214" i="27"/>
  <c r="Q83" i="27"/>
  <c r="Q7" i="27"/>
  <c r="Y214" i="27"/>
  <c r="C209" i="27"/>
  <c r="B209" i="27"/>
  <c r="G7" i="27"/>
  <c r="G83" i="27"/>
  <c r="I103" i="27"/>
  <c r="D235" i="27"/>
  <c r="F199" i="27"/>
  <c r="AR214" i="27"/>
  <c r="Z7" i="27"/>
  <c r="Z83" i="27"/>
  <c r="AA214" i="27"/>
  <c r="I83" i="27"/>
  <c r="I7" i="27"/>
  <c r="H194" i="27"/>
  <c r="AJ214" i="27"/>
  <c r="R7" i="27"/>
  <c r="R83" i="27"/>
  <c r="E93" i="27"/>
  <c r="AB214" i="27"/>
  <c r="J7" i="27"/>
  <c r="J83" i="27"/>
  <c r="G192" i="27"/>
  <c r="H102" i="27"/>
  <c r="T214" i="27"/>
  <c r="AH75" i="27"/>
  <c r="B7" i="27"/>
  <c r="AI75" i="27"/>
  <c r="AW214" i="27"/>
  <c r="AE7" i="27"/>
  <c r="AE83" i="27"/>
  <c r="AD214" i="26"/>
  <c r="AC214" i="26"/>
  <c r="J83" i="26"/>
  <c r="J7" i="26"/>
  <c r="I83" i="26"/>
  <c r="I7" i="26"/>
  <c r="C209" i="26"/>
  <c r="G7" i="26"/>
  <c r="G83" i="26"/>
  <c r="D7" i="26"/>
  <c r="D83" i="26"/>
  <c r="C7" i="26"/>
  <c r="F235" i="26"/>
  <c r="H199" i="26"/>
  <c r="AV214" i="26"/>
  <c r="AD83" i="26"/>
  <c r="AD7" i="26"/>
  <c r="F194" i="26"/>
  <c r="E200" i="26"/>
  <c r="AN214" i="26"/>
  <c r="V83" i="26"/>
  <c r="V7" i="26"/>
  <c r="E93" i="26"/>
  <c r="AG83" i="26"/>
  <c r="E192" i="26"/>
  <c r="F102" i="26"/>
  <c r="AF214" i="26"/>
  <c r="N83" i="26"/>
  <c r="N7" i="26"/>
  <c r="G103" i="26"/>
  <c r="F93" i="26"/>
  <c r="B209" i="26"/>
  <c r="X214" i="26"/>
  <c r="F83" i="26"/>
  <c r="F7" i="26"/>
  <c r="AU214" i="26"/>
  <c r="AC83" i="26"/>
  <c r="AC7" i="26"/>
  <c r="T214" i="26"/>
  <c r="B7" i="26"/>
  <c r="B83" i="26"/>
  <c r="AI75" i="26"/>
  <c r="AH75" i="26"/>
  <c r="AM214" i="26"/>
  <c r="U83" i="26"/>
  <c r="U7" i="26"/>
  <c r="AE214" i="26"/>
  <c r="M83" i="26"/>
  <c r="M7" i="26"/>
  <c r="W214" i="26"/>
  <c r="E83" i="26"/>
  <c r="E7" i="26"/>
  <c r="Z7" i="25"/>
  <c r="Z83" i="25"/>
  <c r="AP214" i="25"/>
  <c r="H83" i="25"/>
  <c r="P7" i="25"/>
  <c r="AX214" i="25"/>
  <c r="I83" i="25"/>
  <c r="Z214" i="25"/>
  <c r="AH214" i="25"/>
  <c r="Y7" i="25"/>
  <c r="F7" i="25"/>
  <c r="AD83" i="25"/>
  <c r="X214" i="25"/>
  <c r="AD7" i="25"/>
  <c r="Y83" i="25"/>
  <c r="V83" i="25"/>
  <c r="V7" i="25"/>
  <c r="Q83" i="25"/>
  <c r="Q7" i="25"/>
  <c r="AU214" i="25"/>
  <c r="AC7" i="25"/>
  <c r="AM214" i="25"/>
  <c r="U7" i="25"/>
  <c r="AE214" i="25"/>
  <c r="M7" i="25"/>
  <c r="X7" i="25"/>
  <c r="I7" i="25"/>
  <c r="M83" i="25"/>
  <c r="W214" i="25"/>
  <c r="E7" i="25"/>
  <c r="AF7" i="25"/>
  <c r="AC214" i="25"/>
  <c r="K83" i="25"/>
  <c r="K7" i="25"/>
  <c r="U214" i="25"/>
  <c r="C83" i="25"/>
  <c r="C7" i="25"/>
  <c r="G199" i="25"/>
  <c r="E235" i="25"/>
  <c r="AF214" i="25"/>
  <c r="N83" i="25"/>
  <c r="N7" i="25"/>
  <c r="E192" i="25"/>
  <c r="F102" i="25"/>
  <c r="H194" i="25"/>
  <c r="AT214" i="25"/>
  <c r="AB83" i="25"/>
  <c r="AB7" i="25"/>
  <c r="H103" i="25"/>
  <c r="F200" i="25"/>
  <c r="AG214" i="25"/>
  <c r="O83" i="25"/>
  <c r="O7" i="25"/>
  <c r="AL214" i="25"/>
  <c r="T83" i="25"/>
  <c r="T7" i="25"/>
  <c r="AW214" i="25"/>
  <c r="AE83" i="25"/>
  <c r="AE7" i="25"/>
  <c r="F93" i="25"/>
  <c r="AD214" i="25"/>
  <c r="L83" i="25"/>
  <c r="L7" i="25"/>
  <c r="AB214" i="25"/>
  <c r="J83" i="25"/>
  <c r="J7" i="25"/>
  <c r="AO214" i="25"/>
  <c r="W83" i="25"/>
  <c r="W7" i="25"/>
  <c r="V214" i="25"/>
  <c r="D83" i="25"/>
  <c r="D7" i="25"/>
  <c r="AS214" i="25"/>
  <c r="AA83" i="25"/>
  <c r="AA7" i="25"/>
  <c r="T214" i="25"/>
  <c r="B83" i="25"/>
  <c r="AI75" i="25"/>
  <c r="B7" i="25"/>
  <c r="AH75" i="25"/>
  <c r="AJ214" i="25"/>
  <c r="R83" i="25"/>
  <c r="R7" i="25"/>
  <c r="AK214" i="25"/>
  <c r="S83" i="25"/>
  <c r="S7" i="25"/>
  <c r="Y214" i="25"/>
  <c r="C209" i="25"/>
  <c r="B209" i="25"/>
  <c r="G83" i="25"/>
  <c r="G7" i="25"/>
  <c r="AF7" i="24"/>
  <c r="AE83" i="24"/>
  <c r="AE7" i="24"/>
  <c r="AV214" i="24"/>
  <c r="AD7" i="24"/>
  <c r="AB7" i="24"/>
  <c r="AB83" i="24"/>
  <c r="AA83" i="24"/>
  <c r="AS214" i="24"/>
  <c r="X83" i="24"/>
  <c r="W7" i="24"/>
  <c r="W83" i="24"/>
  <c r="V7" i="24"/>
  <c r="V83" i="24"/>
  <c r="U7" i="24"/>
  <c r="T7" i="24"/>
  <c r="AL214" i="24"/>
  <c r="AK214" i="24"/>
  <c r="S7" i="24"/>
  <c r="P83" i="24"/>
  <c r="P7" i="24"/>
  <c r="AG214" i="24"/>
  <c r="N83" i="24"/>
  <c r="N7" i="24"/>
  <c r="AD214" i="24"/>
  <c r="X7" i="24"/>
  <c r="M7" i="24"/>
  <c r="M83" i="24"/>
  <c r="U83" i="24"/>
  <c r="AG83" i="24"/>
  <c r="O7" i="24"/>
  <c r="AC7" i="24"/>
  <c r="AC83" i="24"/>
  <c r="Z214" i="24"/>
  <c r="K83" i="24"/>
  <c r="K7" i="24"/>
  <c r="I83" i="24"/>
  <c r="I7" i="24"/>
  <c r="H83" i="24"/>
  <c r="C209" i="24"/>
  <c r="B209" i="24"/>
  <c r="G83" i="24"/>
  <c r="Y214" i="24"/>
  <c r="F7" i="24"/>
  <c r="E7" i="24"/>
  <c r="D7" i="24"/>
  <c r="D83" i="24"/>
  <c r="C7" i="24"/>
  <c r="AJ214" i="24"/>
  <c r="R7" i="24"/>
  <c r="R83" i="24"/>
  <c r="AB214" i="24"/>
  <c r="J7" i="24"/>
  <c r="J83" i="24"/>
  <c r="T214" i="24"/>
  <c r="B7" i="24"/>
  <c r="AI75" i="24"/>
  <c r="AH75" i="24"/>
  <c r="H194" i="24"/>
  <c r="E192" i="24"/>
  <c r="F102" i="24"/>
  <c r="G103" i="24"/>
  <c r="AQ214" i="24"/>
  <c r="Y7" i="24"/>
  <c r="Y83" i="24"/>
  <c r="AI214" i="24"/>
  <c r="Q7" i="24"/>
  <c r="Q83" i="24"/>
  <c r="F199" i="24"/>
  <c r="D235" i="24"/>
  <c r="E200" i="24"/>
  <c r="AR214" i="24"/>
  <c r="Z7" i="24"/>
  <c r="Z83" i="24"/>
  <c r="X83" i="23"/>
  <c r="X7" i="23"/>
  <c r="L83" i="23"/>
  <c r="L7" i="23"/>
  <c r="K7" i="23"/>
  <c r="K83" i="23"/>
  <c r="J7" i="23"/>
  <c r="J83" i="23"/>
  <c r="H83" i="23"/>
  <c r="Z214" i="23"/>
  <c r="U214" i="23"/>
  <c r="E83" i="23"/>
  <c r="B83" i="23"/>
  <c r="AI75" i="23"/>
  <c r="AX214" i="22"/>
  <c r="C83" i="23"/>
  <c r="E235" i="23"/>
  <c r="G199" i="23"/>
  <c r="G192" i="23"/>
  <c r="H102" i="23"/>
  <c r="AW214" i="23"/>
  <c r="AE7" i="23"/>
  <c r="AE83" i="23"/>
  <c r="AG214" i="23"/>
  <c r="O7" i="23"/>
  <c r="O83" i="23"/>
  <c r="F200" i="23"/>
  <c r="G194" i="23"/>
  <c r="AQ214" i="23"/>
  <c r="Y83" i="23"/>
  <c r="Y7" i="23"/>
  <c r="Y214" i="23"/>
  <c r="C209" i="23"/>
  <c r="B209" i="23"/>
  <c r="G83" i="23"/>
  <c r="G7" i="23"/>
  <c r="AO214" i="23"/>
  <c r="W7" i="23"/>
  <c r="W83" i="23"/>
  <c r="AH75" i="23"/>
  <c r="AI214" i="23"/>
  <c r="Q83" i="23"/>
  <c r="Q7" i="23"/>
  <c r="I103" i="23"/>
  <c r="AA214" i="23"/>
  <c r="I83" i="23"/>
  <c r="I7" i="23"/>
  <c r="AF214" i="23"/>
  <c r="N7" i="23"/>
  <c r="N83" i="23"/>
  <c r="AM214" i="23"/>
  <c r="U7" i="23"/>
  <c r="U83" i="23"/>
  <c r="X214" i="23"/>
  <c r="F7" i="23"/>
  <c r="F83" i="23"/>
  <c r="B209" i="22"/>
  <c r="G7" i="22"/>
  <c r="F7" i="22"/>
  <c r="D7" i="22"/>
  <c r="D83" i="22"/>
  <c r="AC214" i="22"/>
  <c r="K83" i="22"/>
  <c r="K7" i="22"/>
  <c r="AS214" i="22"/>
  <c r="AA7" i="22"/>
  <c r="AF214" i="22"/>
  <c r="N7" i="22"/>
  <c r="N83" i="22"/>
  <c r="D235" i="22"/>
  <c r="F199" i="22"/>
  <c r="F93" i="22" s="1"/>
  <c r="E200" i="22"/>
  <c r="AK214" i="22"/>
  <c r="S83" i="22"/>
  <c r="S7" i="22"/>
  <c r="Z214" i="22"/>
  <c r="H83" i="22"/>
  <c r="H7" i="22"/>
  <c r="AN214" i="22"/>
  <c r="V83" i="22"/>
  <c r="V7" i="22"/>
  <c r="AU214" i="22"/>
  <c r="AC7" i="22"/>
  <c r="AC83" i="22"/>
  <c r="AJ214" i="22"/>
  <c r="R7" i="22"/>
  <c r="R83" i="22"/>
  <c r="U214" i="22"/>
  <c r="C83" i="22"/>
  <c r="C7" i="22"/>
  <c r="AM214" i="22"/>
  <c r="U83" i="22"/>
  <c r="U7" i="22"/>
  <c r="AB214" i="22"/>
  <c r="J83" i="22"/>
  <c r="J7" i="22"/>
  <c r="AE214" i="22"/>
  <c r="M83" i="22"/>
  <c r="M7" i="22"/>
  <c r="E192" i="22"/>
  <c r="F102" i="22"/>
  <c r="AA214" i="22"/>
  <c r="I7" i="22"/>
  <c r="I83" i="22"/>
  <c r="C209" i="22"/>
  <c r="W214" i="22"/>
  <c r="E7" i="22"/>
  <c r="E83" i="22"/>
  <c r="AR214" i="22"/>
  <c r="Z83" i="22"/>
  <c r="Z7" i="22"/>
  <c r="G103" i="22"/>
  <c r="I194" i="22"/>
  <c r="T214" i="22"/>
  <c r="AI75" i="22"/>
  <c r="AH75" i="22"/>
  <c r="B7" i="22"/>
  <c r="AH214" i="22"/>
  <c r="P83" i="22"/>
  <c r="P7" i="22"/>
  <c r="U200" i="29" l="1"/>
  <c r="V194" i="29"/>
  <c r="S192" i="29"/>
  <c r="T102" i="29"/>
  <c r="T235" i="29"/>
  <c r="V199" i="29"/>
  <c r="T93" i="29"/>
  <c r="U103" i="29"/>
  <c r="K6" i="28"/>
  <c r="A7" i="28"/>
  <c r="AI83" i="28"/>
  <c r="F235" i="28"/>
  <c r="H199" i="28"/>
  <c r="G194" i="28"/>
  <c r="F200" i="28"/>
  <c r="F93" i="28"/>
  <c r="AH83" i="28"/>
  <c r="G192" i="28"/>
  <c r="H102" i="28"/>
  <c r="I103" i="28"/>
  <c r="K6" i="27"/>
  <c r="AI83" i="27"/>
  <c r="AH83" i="27"/>
  <c r="J103" i="27"/>
  <c r="A7" i="27"/>
  <c r="H192" i="27"/>
  <c r="I102" i="27"/>
  <c r="I194" i="27"/>
  <c r="G199" i="27"/>
  <c r="E235" i="27"/>
  <c r="F93" i="27"/>
  <c r="F200" i="27"/>
  <c r="K6" i="26"/>
  <c r="AI83" i="26"/>
  <c r="AH83" i="26"/>
  <c r="F192" i="26"/>
  <c r="G102" i="26"/>
  <c r="F200" i="26"/>
  <c r="G194" i="26"/>
  <c r="A7" i="26"/>
  <c r="H103" i="26"/>
  <c r="G235" i="26"/>
  <c r="I199" i="26"/>
  <c r="I194" i="25"/>
  <c r="H199" i="25"/>
  <c r="F235" i="25"/>
  <c r="G200" i="25"/>
  <c r="K6" i="25"/>
  <c r="F192" i="25"/>
  <c r="G102" i="25"/>
  <c r="H93" i="25"/>
  <c r="I103" i="25"/>
  <c r="A7" i="25"/>
  <c r="G93" i="25"/>
  <c r="AI83" i="25"/>
  <c r="AH83" i="25"/>
  <c r="K6" i="24"/>
  <c r="F192" i="24"/>
  <c r="G102" i="24"/>
  <c r="I194" i="24"/>
  <c r="E235" i="24"/>
  <c r="G199" i="24"/>
  <c r="F200" i="24"/>
  <c r="F93" i="24"/>
  <c r="AI83" i="24"/>
  <c r="AH83" i="24"/>
  <c r="H103" i="24"/>
  <c r="A7" i="24"/>
  <c r="A7" i="23"/>
  <c r="AI83" i="23"/>
  <c r="K6" i="23"/>
  <c r="AH83" i="23"/>
  <c r="H192" i="23"/>
  <c r="I102" i="23"/>
  <c r="G200" i="23"/>
  <c r="H194" i="23"/>
  <c r="G93" i="23"/>
  <c r="H199" i="23"/>
  <c r="F235" i="23"/>
  <c r="J103" i="23"/>
  <c r="K6" i="22"/>
  <c r="A7" i="22"/>
  <c r="H103" i="22"/>
  <c r="G93" i="22"/>
  <c r="E235" i="22"/>
  <c r="G199" i="22"/>
  <c r="F200" i="22"/>
  <c r="AH83" i="22"/>
  <c r="AI83" i="22"/>
  <c r="F192" i="22"/>
  <c r="G102" i="22"/>
  <c r="J194" i="22"/>
  <c r="T192" i="29" l="1"/>
  <c r="U102" i="29"/>
  <c r="U93" i="29"/>
  <c r="V103" i="29"/>
  <c r="U235" i="29"/>
  <c r="W199" i="29"/>
  <c r="W194" i="29"/>
  <c r="V200" i="29"/>
  <c r="H194" i="28"/>
  <c r="G200" i="28"/>
  <c r="G93" i="28"/>
  <c r="G235" i="28"/>
  <c r="I199" i="28"/>
  <c r="J103" i="28"/>
  <c r="H192" i="28"/>
  <c r="I102" i="28"/>
  <c r="I192" i="27"/>
  <c r="J102" i="27"/>
  <c r="K103" i="27"/>
  <c r="H199" i="27"/>
  <c r="F235" i="27"/>
  <c r="G200" i="27"/>
  <c r="G93" i="27"/>
  <c r="J194" i="27"/>
  <c r="H194" i="26"/>
  <c r="G200" i="26"/>
  <c r="G192" i="26"/>
  <c r="H102" i="26"/>
  <c r="H235" i="26"/>
  <c r="J199" i="26"/>
  <c r="G93" i="26"/>
  <c r="I103" i="26"/>
  <c r="H93" i="26"/>
  <c r="G235" i="25"/>
  <c r="I199" i="25"/>
  <c r="I93" i="25"/>
  <c r="J103" i="25"/>
  <c r="J194" i="25"/>
  <c r="I200" i="25"/>
  <c r="H200" i="25"/>
  <c r="G192" i="25"/>
  <c r="H102" i="25"/>
  <c r="F235" i="24"/>
  <c r="H199" i="24"/>
  <c r="G200" i="24"/>
  <c r="G93" i="24"/>
  <c r="J194" i="24"/>
  <c r="H93" i="24"/>
  <c r="I103" i="24"/>
  <c r="G192" i="24"/>
  <c r="H102" i="24"/>
  <c r="K103" i="23"/>
  <c r="G235" i="23"/>
  <c r="I199" i="23"/>
  <c r="H200" i="23"/>
  <c r="I194" i="23"/>
  <c r="H93" i="23"/>
  <c r="I192" i="23"/>
  <c r="J102" i="23"/>
  <c r="I103" i="22"/>
  <c r="F235" i="22"/>
  <c r="H199" i="22"/>
  <c r="G200" i="22"/>
  <c r="K194" i="22"/>
  <c r="G192" i="22"/>
  <c r="H102" i="22"/>
  <c r="AB95" i="21"/>
  <c r="AB37" i="21"/>
  <c r="AA95" i="21"/>
  <c r="AA37" i="21"/>
  <c r="Z95" i="21"/>
  <c r="Z37" i="21"/>
  <c r="Y95" i="21"/>
  <c r="Y37" i="21"/>
  <c r="X95" i="21"/>
  <c r="X37" i="21"/>
  <c r="W37" i="21"/>
  <c r="V95" i="21"/>
  <c r="V37" i="21"/>
  <c r="U37" i="21"/>
  <c r="T95" i="21"/>
  <c r="AH30" i="21"/>
  <c r="S95" i="21"/>
  <c r="Q95" i="21"/>
  <c r="Q38" i="21"/>
  <c r="Q52" i="21"/>
  <c r="Q56" i="21"/>
  <c r="Q68" i="21"/>
  <c r="P5" i="21" s="1"/>
  <c r="P95" i="21"/>
  <c r="J93" i="21"/>
  <c r="I37" i="21"/>
  <c r="H37" i="21"/>
  <c r="AF52" i="20"/>
  <c r="AF56" i="20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B235" i="21"/>
  <c r="S210" i="21"/>
  <c r="AG200" i="21"/>
  <c r="C200" i="21"/>
  <c r="D199" i="21"/>
  <c r="D198" i="21"/>
  <c r="E198" i="21" s="1"/>
  <c r="D197" i="21"/>
  <c r="E197" i="21" s="1"/>
  <c r="F197" i="21" s="1"/>
  <c r="G197" i="21" s="1"/>
  <c r="H197" i="21" s="1"/>
  <c r="I197" i="21" s="1"/>
  <c r="J197" i="21" s="1"/>
  <c r="K197" i="21" s="1"/>
  <c r="L197" i="21" s="1"/>
  <c r="M197" i="21" s="1"/>
  <c r="N197" i="21" s="1"/>
  <c r="O197" i="21" s="1"/>
  <c r="P197" i="21" s="1"/>
  <c r="Q197" i="21" s="1"/>
  <c r="R197" i="21" s="1"/>
  <c r="S197" i="21" s="1"/>
  <c r="T197" i="21" s="1"/>
  <c r="U197" i="21" s="1"/>
  <c r="V197" i="21" s="1"/>
  <c r="W197" i="21" s="1"/>
  <c r="X197" i="21" s="1"/>
  <c r="Y197" i="21" s="1"/>
  <c r="Z197" i="21" s="1"/>
  <c r="AA197" i="21" s="1"/>
  <c r="AB197" i="21" s="1"/>
  <c r="AC197" i="21" s="1"/>
  <c r="AD197" i="21" s="1"/>
  <c r="AE197" i="21" s="1"/>
  <c r="AF197" i="21" s="1"/>
  <c r="B197" i="21" s="1"/>
  <c r="D196" i="21"/>
  <c r="E196" i="21" s="1"/>
  <c r="F196" i="21" s="1"/>
  <c r="G196" i="21" s="1"/>
  <c r="H196" i="21" s="1"/>
  <c r="I196" i="21" s="1"/>
  <c r="J196" i="21" s="1"/>
  <c r="K196" i="21" s="1"/>
  <c r="L196" i="21" s="1"/>
  <c r="M196" i="21" s="1"/>
  <c r="N196" i="21" s="1"/>
  <c r="O196" i="21" s="1"/>
  <c r="P196" i="21" s="1"/>
  <c r="Q196" i="21" s="1"/>
  <c r="R196" i="21" s="1"/>
  <c r="S196" i="21" s="1"/>
  <c r="T196" i="21" s="1"/>
  <c r="U196" i="21" s="1"/>
  <c r="V196" i="21" s="1"/>
  <c r="W196" i="21" s="1"/>
  <c r="X196" i="21" s="1"/>
  <c r="Y196" i="21" s="1"/>
  <c r="Z196" i="21" s="1"/>
  <c r="AA196" i="21" s="1"/>
  <c r="AB196" i="21" s="1"/>
  <c r="AC196" i="21" s="1"/>
  <c r="AD196" i="21" s="1"/>
  <c r="AE196" i="21" s="1"/>
  <c r="AF196" i="21" s="1"/>
  <c r="B196" i="21" s="1"/>
  <c r="D195" i="21"/>
  <c r="E195" i="21" s="1"/>
  <c r="F195" i="21" s="1"/>
  <c r="G195" i="21" s="1"/>
  <c r="H195" i="21" s="1"/>
  <c r="I195" i="21" s="1"/>
  <c r="J195" i="21" s="1"/>
  <c r="K195" i="21" s="1"/>
  <c r="L195" i="21" s="1"/>
  <c r="M195" i="21" s="1"/>
  <c r="N195" i="21" s="1"/>
  <c r="O195" i="21" s="1"/>
  <c r="P195" i="21" s="1"/>
  <c r="Q195" i="21" s="1"/>
  <c r="R195" i="21" s="1"/>
  <c r="S195" i="21" s="1"/>
  <c r="T195" i="21" s="1"/>
  <c r="U195" i="21" s="1"/>
  <c r="V195" i="21" s="1"/>
  <c r="W195" i="21" s="1"/>
  <c r="X195" i="21" s="1"/>
  <c r="Y195" i="21" s="1"/>
  <c r="Z195" i="21" s="1"/>
  <c r="AA195" i="21" s="1"/>
  <c r="AB195" i="21" s="1"/>
  <c r="AC195" i="21" s="1"/>
  <c r="AD195" i="21" s="1"/>
  <c r="AE195" i="21" s="1"/>
  <c r="AF195" i="21" s="1"/>
  <c r="B195" i="21" s="1"/>
  <c r="F194" i="21"/>
  <c r="G194" i="21" s="1"/>
  <c r="E194" i="21"/>
  <c r="D194" i="21"/>
  <c r="AG192" i="21"/>
  <c r="C192" i="21"/>
  <c r="H191" i="21"/>
  <c r="I191" i="21" s="1"/>
  <c r="J191" i="21" s="1"/>
  <c r="K191" i="21" s="1"/>
  <c r="L191" i="21" s="1"/>
  <c r="M191" i="21" s="1"/>
  <c r="N191" i="21" s="1"/>
  <c r="O191" i="21" s="1"/>
  <c r="P191" i="21" s="1"/>
  <c r="Q191" i="21" s="1"/>
  <c r="R191" i="21" s="1"/>
  <c r="S191" i="21" s="1"/>
  <c r="T191" i="21" s="1"/>
  <c r="U191" i="21" s="1"/>
  <c r="V191" i="21" s="1"/>
  <c r="W191" i="21" s="1"/>
  <c r="X191" i="21" s="1"/>
  <c r="Y191" i="21" s="1"/>
  <c r="Z191" i="21" s="1"/>
  <c r="AA191" i="21" s="1"/>
  <c r="AB191" i="21" s="1"/>
  <c r="AC191" i="21" s="1"/>
  <c r="AD191" i="21" s="1"/>
  <c r="AE191" i="21" s="1"/>
  <c r="AF191" i="21" s="1"/>
  <c r="B191" i="21" s="1"/>
  <c r="D191" i="21"/>
  <c r="E191" i="21" s="1"/>
  <c r="F191" i="21" s="1"/>
  <c r="G191" i="21" s="1"/>
  <c r="D190" i="21"/>
  <c r="E190" i="21" s="1"/>
  <c r="F190" i="21" s="1"/>
  <c r="G190" i="21" s="1"/>
  <c r="H190" i="21" s="1"/>
  <c r="I190" i="21" s="1"/>
  <c r="J190" i="21" s="1"/>
  <c r="K190" i="21" s="1"/>
  <c r="L190" i="21" s="1"/>
  <c r="M190" i="21" s="1"/>
  <c r="N190" i="21" s="1"/>
  <c r="O190" i="21" s="1"/>
  <c r="P190" i="21" s="1"/>
  <c r="Q190" i="21" s="1"/>
  <c r="R190" i="21" s="1"/>
  <c r="S190" i="21" s="1"/>
  <c r="T190" i="21" s="1"/>
  <c r="U190" i="21" s="1"/>
  <c r="V190" i="21" s="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B190" i="21" s="1"/>
  <c r="D189" i="21"/>
  <c r="E189" i="21" s="1"/>
  <c r="F189" i="21" s="1"/>
  <c r="G189" i="21" s="1"/>
  <c r="H189" i="21" s="1"/>
  <c r="I189" i="21" s="1"/>
  <c r="J189" i="21" s="1"/>
  <c r="K189" i="21" s="1"/>
  <c r="L189" i="21" s="1"/>
  <c r="M189" i="21" s="1"/>
  <c r="N189" i="21" s="1"/>
  <c r="O189" i="21" s="1"/>
  <c r="P189" i="21" s="1"/>
  <c r="Q189" i="21" s="1"/>
  <c r="R189" i="21" s="1"/>
  <c r="S189" i="21" s="1"/>
  <c r="T189" i="21" s="1"/>
  <c r="U189" i="21" s="1"/>
  <c r="V189" i="21" s="1"/>
  <c r="W189" i="21" s="1"/>
  <c r="X189" i="21" s="1"/>
  <c r="Y189" i="21" s="1"/>
  <c r="Z189" i="21" s="1"/>
  <c r="AA189" i="21" s="1"/>
  <c r="AB189" i="21" s="1"/>
  <c r="AC189" i="21" s="1"/>
  <c r="AD189" i="21" s="1"/>
  <c r="AE189" i="21" s="1"/>
  <c r="AF189" i="21" s="1"/>
  <c r="B189" i="21" s="1"/>
  <c r="Z188" i="21"/>
  <c r="AA188" i="21" s="1"/>
  <c r="AB188" i="21" s="1"/>
  <c r="AC188" i="21" s="1"/>
  <c r="AD188" i="21" s="1"/>
  <c r="AE188" i="21" s="1"/>
  <c r="AF188" i="21" s="1"/>
  <c r="B188" i="21" s="1"/>
  <c r="D188" i="21"/>
  <c r="E188" i="21" s="1"/>
  <c r="F188" i="21" s="1"/>
  <c r="G188" i="21" s="1"/>
  <c r="H188" i="21" s="1"/>
  <c r="I188" i="21" s="1"/>
  <c r="J188" i="21" s="1"/>
  <c r="K188" i="21" s="1"/>
  <c r="L188" i="21" s="1"/>
  <c r="M188" i="21" s="1"/>
  <c r="N188" i="21" s="1"/>
  <c r="O188" i="21" s="1"/>
  <c r="P188" i="21" s="1"/>
  <c r="Q188" i="21" s="1"/>
  <c r="R188" i="21" s="1"/>
  <c r="S188" i="21" s="1"/>
  <c r="T188" i="21" s="1"/>
  <c r="U188" i="21" s="1"/>
  <c r="V188" i="21" s="1"/>
  <c r="W188" i="21" s="1"/>
  <c r="X188" i="21" s="1"/>
  <c r="Y188" i="21" s="1"/>
  <c r="D187" i="21"/>
  <c r="E187" i="21" s="1"/>
  <c r="F187" i="21" s="1"/>
  <c r="G187" i="21" s="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B187" i="21" s="1"/>
  <c r="D186" i="21"/>
  <c r="E186" i="21" s="1"/>
  <c r="F186" i="21" s="1"/>
  <c r="G186" i="21" s="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AC186" i="21" s="1"/>
  <c r="AD186" i="21" s="1"/>
  <c r="AE186" i="21" s="1"/>
  <c r="AF186" i="21" s="1"/>
  <c r="B186" i="21" s="1"/>
  <c r="D185" i="21"/>
  <c r="E185" i="21" s="1"/>
  <c r="F185" i="21" s="1"/>
  <c r="G185" i="21" s="1"/>
  <c r="H185" i="21" s="1"/>
  <c r="I185" i="21" s="1"/>
  <c r="J185" i="21" s="1"/>
  <c r="K185" i="21" s="1"/>
  <c r="L185" i="21" s="1"/>
  <c r="M185" i="21" s="1"/>
  <c r="N185" i="21" s="1"/>
  <c r="O185" i="21" s="1"/>
  <c r="P185" i="21" s="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B185" i="21" s="1"/>
  <c r="D184" i="21"/>
  <c r="E184" i="21" s="1"/>
  <c r="F184" i="21" s="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S184" i="21" s="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B184" i="21" s="1"/>
  <c r="D183" i="21"/>
  <c r="E183" i="21" s="1"/>
  <c r="F183" i="21" s="1"/>
  <c r="G183" i="21" s="1"/>
  <c r="H183" i="21" s="1"/>
  <c r="I183" i="21" s="1"/>
  <c r="J183" i="21" s="1"/>
  <c r="K183" i="21" s="1"/>
  <c r="L183" i="21" s="1"/>
  <c r="M183" i="21" s="1"/>
  <c r="N183" i="21" s="1"/>
  <c r="O183" i="21" s="1"/>
  <c r="P183" i="21" s="1"/>
  <c r="Q183" i="21" s="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B183" i="21" s="1"/>
  <c r="F182" i="21"/>
  <c r="G182" i="21" s="1"/>
  <c r="H182" i="21" s="1"/>
  <c r="I182" i="21" s="1"/>
  <c r="J182" i="21" s="1"/>
  <c r="K182" i="21" s="1"/>
  <c r="L182" i="21" s="1"/>
  <c r="M182" i="21" s="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B182" i="21" s="1"/>
  <c r="E182" i="21"/>
  <c r="D182" i="21"/>
  <c r="H181" i="2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B181" i="21" s="1"/>
  <c r="D181" i="21"/>
  <c r="E181" i="21" s="1"/>
  <c r="F181" i="21" s="1"/>
  <c r="G181" i="21" s="1"/>
  <c r="J180" i="2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U180" i="21" s="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B180" i="21" s="1"/>
  <c r="D180" i="21"/>
  <c r="E180" i="21" s="1"/>
  <c r="F180" i="21" s="1"/>
  <c r="G180" i="21" s="1"/>
  <c r="H180" i="21" s="1"/>
  <c r="I180" i="21" s="1"/>
  <c r="E179" i="21"/>
  <c r="F179" i="21" s="1"/>
  <c r="G179" i="21" s="1"/>
  <c r="H179" i="21" s="1"/>
  <c r="I179" i="21" s="1"/>
  <c r="J179" i="21" s="1"/>
  <c r="K179" i="21" s="1"/>
  <c r="L179" i="21" s="1"/>
  <c r="M179" i="21" s="1"/>
  <c r="N179" i="21" s="1"/>
  <c r="O179" i="21" s="1"/>
  <c r="P179" i="21" s="1"/>
  <c r="Q179" i="21" s="1"/>
  <c r="R179" i="21" s="1"/>
  <c r="S179" i="21" s="1"/>
  <c r="T179" i="21" s="1"/>
  <c r="U179" i="21" s="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B179" i="21" s="1"/>
  <c r="D179" i="21"/>
  <c r="D177" i="21"/>
  <c r="E177" i="21" s="1"/>
  <c r="F177" i="21" s="1"/>
  <c r="G177" i="21" s="1"/>
  <c r="H177" i="21" s="1"/>
  <c r="I177" i="21" s="1"/>
  <c r="J177" i="21" s="1"/>
  <c r="K177" i="21" s="1"/>
  <c r="L177" i="21" s="1"/>
  <c r="M177" i="21" s="1"/>
  <c r="N177" i="21" s="1"/>
  <c r="O177" i="21" s="1"/>
  <c r="P177" i="21" s="1"/>
  <c r="Q177" i="21" s="1"/>
  <c r="R177" i="21" s="1"/>
  <c r="S177" i="21" s="1"/>
  <c r="T177" i="21" s="1"/>
  <c r="U177" i="21" s="1"/>
  <c r="V177" i="21" s="1"/>
  <c r="W177" i="21" s="1"/>
  <c r="X177" i="21" s="1"/>
  <c r="Y177" i="21" s="1"/>
  <c r="Z177" i="21" s="1"/>
  <c r="AA177" i="21" s="1"/>
  <c r="AB177" i="21" s="1"/>
  <c r="AC177" i="21" s="1"/>
  <c r="AD177" i="21" s="1"/>
  <c r="AE177" i="21" s="1"/>
  <c r="AF177" i="21" s="1"/>
  <c r="B177" i="21" s="1"/>
  <c r="D176" i="21"/>
  <c r="E176" i="21" s="1"/>
  <c r="F176" i="21" s="1"/>
  <c r="G176" i="21" s="1"/>
  <c r="H176" i="21" s="1"/>
  <c r="I176" i="21" s="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T176" i="21" s="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B176" i="21" s="1"/>
  <c r="E175" i="21"/>
  <c r="F175" i="21" s="1"/>
  <c r="G175" i="21" s="1"/>
  <c r="H175" i="21" s="1"/>
  <c r="I175" i="21" s="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AF175" i="21" s="1"/>
  <c r="B175" i="21" s="1"/>
  <c r="D175" i="21"/>
  <c r="AF174" i="21"/>
  <c r="B174" i="21" s="1"/>
  <c r="D174" i="21"/>
  <c r="E174" i="21" s="1"/>
  <c r="F174" i="21" s="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F173" i="21"/>
  <c r="G173" i="21" s="1"/>
  <c r="H173" i="21" s="1"/>
  <c r="I173" i="21" s="1"/>
  <c r="J173" i="21" s="1"/>
  <c r="K173" i="21" s="1"/>
  <c r="L173" i="21" s="1"/>
  <c r="M173" i="21" s="1"/>
  <c r="N173" i="21" s="1"/>
  <c r="O173" i="21" s="1"/>
  <c r="P173" i="21" s="1"/>
  <c r="Q173" i="21" s="1"/>
  <c r="R173" i="21" s="1"/>
  <c r="S173" i="21" s="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AD173" i="21" s="1"/>
  <c r="AE173" i="21" s="1"/>
  <c r="AF173" i="21" s="1"/>
  <c r="B173" i="21" s="1"/>
  <c r="E173" i="21"/>
  <c r="D173" i="21"/>
  <c r="D172" i="21"/>
  <c r="E172" i="21" s="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B172" i="21" s="1"/>
  <c r="E171" i="21"/>
  <c r="F171" i="21" s="1"/>
  <c r="G171" i="21" s="1"/>
  <c r="H171" i="21" s="1"/>
  <c r="I171" i="21" s="1"/>
  <c r="J171" i="21" s="1"/>
  <c r="K171" i="21" s="1"/>
  <c r="L171" i="21" s="1"/>
  <c r="M171" i="21" s="1"/>
  <c r="N171" i="21" s="1"/>
  <c r="O171" i="21" s="1"/>
  <c r="P171" i="21" s="1"/>
  <c r="Q171" i="21" s="1"/>
  <c r="R171" i="21" s="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B171" i="21" s="1"/>
  <c r="D171" i="21"/>
  <c r="D170" i="21"/>
  <c r="E170" i="21" s="1"/>
  <c r="F170" i="21" s="1"/>
  <c r="G170" i="21" s="1"/>
  <c r="H170" i="21" s="1"/>
  <c r="I170" i="21" s="1"/>
  <c r="J170" i="21" s="1"/>
  <c r="K170" i="21" s="1"/>
  <c r="L170" i="21" s="1"/>
  <c r="M170" i="21" s="1"/>
  <c r="N170" i="21" s="1"/>
  <c r="O170" i="21" s="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AE170" i="21" s="1"/>
  <c r="AF170" i="21" s="1"/>
  <c r="B170" i="21" s="1"/>
  <c r="D168" i="21"/>
  <c r="E168" i="21" s="1"/>
  <c r="F168" i="21" s="1"/>
  <c r="G168" i="21" s="1"/>
  <c r="H168" i="21" s="1"/>
  <c r="I168" i="21" s="1"/>
  <c r="J168" i="21" s="1"/>
  <c r="K168" i="21" s="1"/>
  <c r="L168" i="21" s="1"/>
  <c r="M168" i="21" s="1"/>
  <c r="N168" i="21" s="1"/>
  <c r="O168" i="21" s="1"/>
  <c r="P168" i="21" s="1"/>
  <c r="Q168" i="21" s="1"/>
  <c r="R168" i="21" s="1"/>
  <c r="S168" i="21" s="1"/>
  <c r="T168" i="21" s="1"/>
  <c r="U168" i="21" s="1"/>
  <c r="V168" i="21" s="1"/>
  <c r="W168" i="21" s="1"/>
  <c r="X168" i="21" s="1"/>
  <c r="Y168" i="21" s="1"/>
  <c r="Z168" i="21" s="1"/>
  <c r="AA168" i="21" s="1"/>
  <c r="AB168" i="21" s="1"/>
  <c r="AC168" i="21" s="1"/>
  <c r="AD168" i="21" s="1"/>
  <c r="AE168" i="21" s="1"/>
  <c r="AF168" i="21" s="1"/>
  <c r="B168" i="21" s="1"/>
  <c r="D167" i="2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B167" i="21" s="1"/>
  <c r="E166" i="21"/>
  <c r="F166" i="21" s="1"/>
  <c r="G166" i="21" s="1"/>
  <c r="H166" i="21" s="1"/>
  <c r="I166" i="21" s="1"/>
  <c r="J166" i="21" s="1"/>
  <c r="K166" i="21" s="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B166" i="21" s="1"/>
  <c r="D166" i="21"/>
  <c r="H165" i="21"/>
  <c r="I165" i="21" s="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B165" i="21" s="1"/>
  <c r="D165" i="21"/>
  <c r="E165" i="21" s="1"/>
  <c r="F165" i="21" s="1"/>
  <c r="G165" i="21" s="1"/>
  <c r="D164" i="21"/>
  <c r="E164" i="21" s="1"/>
  <c r="F164" i="21" s="1"/>
  <c r="G164" i="21" s="1"/>
  <c r="H164" i="21" s="1"/>
  <c r="I164" i="21" s="1"/>
  <c r="J164" i="21" s="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B164" i="21" s="1"/>
  <c r="D163" i="21"/>
  <c r="E163" i="21" s="1"/>
  <c r="F163" i="21" s="1"/>
  <c r="G163" i="21" s="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B163" i="21" s="1"/>
  <c r="E162" i="2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B162" i="21" s="1"/>
  <c r="D162" i="21"/>
  <c r="Y161" i="21"/>
  <c r="Z161" i="21" s="1"/>
  <c r="AA161" i="21" s="1"/>
  <c r="AB161" i="21" s="1"/>
  <c r="AC161" i="21" s="1"/>
  <c r="AD161" i="21" s="1"/>
  <c r="AE161" i="21" s="1"/>
  <c r="AF161" i="21" s="1"/>
  <c r="B161" i="21" s="1"/>
  <c r="I161" i="21"/>
  <c r="J161" i="21" s="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D161" i="21"/>
  <c r="E161" i="21" s="1"/>
  <c r="F161" i="21" s="1"/>
  <c r="G161" i="21" s="1"/>
  <c r="H161" i="21" s="1"/>
  <c r="G160" i="2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B160" i="21" s="1"/>
  <c r="D160" i="21"/>
  <c r="E160" i="21" s="1"/>
  <c r="F160" i="21" s="1"/>
  <c r="L159" i="2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B159" i="21" s="1"/>
  <c r="E159" i="21"/>
  <c r="F159" i="21" s="1"/>
  <c r="G159" i="21" s="1"/>
  <c r="H159" i="21" s="1"/>
  <c r="I159" i="21" s="1"/>
  <c r="J159" i="21" s="1"/>
  <c r="K159" i="21" s="1"/>
  <c r="D159" i="21"/>
  <c r="O158" i="2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B158" i="21" s="1"/>
  <c r="J158" i="21"/>
  <c r="K158" i="21" s="1"/>
  <c r="L158" i="21" s="1"/>
  <c r="M158" i="21" s="1"/>
  <c r="N158" i="21" s="1"/>
  <c r="E158" i="21"/>
  <c r="F158" i="21" s="1"/>
  <c r="G158" i="21" s="1"/>
  <c r="H158" i="21" s="1"/>
  <c r="I158" i="21" s="1"/>
  <c r="D158" i="21"/>
  <c r="P157" i="2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B157" i="21" s="1"/>
  <c r="D157" i="21"/>
  <c r="E157" i="21" s="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F156" i="21"/>
  <c r="G156" i="21" s="1"/>
  <c r="H156" i="21" s="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B156" i="21" s="1"/>
  <c r="E156" i="21"/>
  <c r="D156" i="21"/>
  <c r="D154" i="21"/>
  <c r="E154" i="21" s="1"/>
  <c r="F154" i="21" s="1"/>
  <c r="G154" i="21" s="1"/>
  <c r="H154" i="21" s="1"/>
  <c r="I154" i="21" s="1"/>
  <c r="J154" i="21" s="1"/>
  <c r="K154" i="21" s="1"/>
  <c r="L154" i="21" s="1"/>
  <c r="M154" i="21" s="1"/>
  <c r="N154" i="21" s="1"/>
  <c r="O154" i="21" s="1"/>
  <c r="P154" i="21" s="1"/>
  <c r="Q154" i="21" s="1"/>
  <c r="R154" i="21" s="1"/>
  <c r="S154" i="21" s="1"/>
  <c r="T154" i="21" s="1"/>
  <c r="U154" i="21" s="1"/>
  <c r="V154" i="21" s="1"/>
  <c r="W154" i="21" s="1"/>
  <c r="X154" i="21" s="1"/>
  <c r="Y154" i="21" s="1"/>
  <c r="Z154" i="21" s="1"/>
  <c r="AA154" i="21" s="1"/>
  <c r="AB154" i="21" s="1"/>
  <c r="AC154" i="21" s="1"/>
  <c r="AD154" i="21" s="1"/>
  <c r="AE154" i="21" s="1"/>
  <c r="AF154" i="21" s="1"/>
  <c r="B154" i="21" s="1"/>
  <c r="E153" i="21"/>
  <c r="F153" i="21" s="1"/>
  <c r="G153" i="21" s="1"/>
  <c r="H153" i="21" s="1"/>
  <c r="I153" i="21" s="1"/>
  <c r="J153" i="21" s="1"/>
  <c r="K153" i="21" s="1"/>
  <c r="L153" i="21" s="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B153" i="21" s="1"/>
  <c r="D153" i="21"/>
  <c r="D152" i="21"/>
  <c r="E152" i="21" s="1"/>
  <c r="F152" i="21" s="1"/>
  <c r="G152" i="21" s="1"/>
  <c r="H152" i="21" s="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B152" i="21" s="1"/>
  <c r="D151" i="21"/>
  <c r="E151" i="21" s="1"/>
  <c r="F151" i="21" s="1"/>
  <c r="G151" i="21" s="1"/>
  <c r="H151" i="21" s="1"/>
  <c r="I151" i="21" s="1"/>
  <c r="J151" i="21" s="1"/>
  <c r="K151" i="21" s="1"/>
  <c r="L151" i="21" s="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B151" i="21" s="1"/>
  <c r="G149" i="21"/>
  <c r="H149" i="21" s="1"/>
  <c r="I149" i="21" s="1"/>
  <c r="J149" i="21" s="1"/>
  <c r="K149" i="21" s="1"/>
  <c r="L149" i="21" s="1"/>
  <c r="M149" i="21" s="1"/>
  <c r="N149" i="21" s="1"/>
  <c r="O149" i="21" s="1"/>
  <c r="P149" i="21" s="1"/>
  <c r="Q149" i="21" s="1"/>
  <c r="R149" i="21" s="1"/>
  <c r="S149" i="21" s="1"/>
  <c r="T149" i="21" s="1"/>
  <c r="U149" i="21" s="1"/>
  <c r="V149" i="21" s="1"/>
  <c r="W149" i="21" s="1"/>
  <c r="X149" i="21" s="1"/>
  <c r="Y149" i="21" s="1"/>
  <c r="Z149" i="21" s="1"/>
  <c r="AA149" i="21" s="1"/>
  <c r="AB149" i="21" s="1"/>
  <c r="AC149" i="21" s="1"/>
  <c r="AD149" i="21" s="1"/>
  <c r="AE149" i="21" s="1"/>
  <c r="AF149" i="21" s="1"/>
  <c r="B149" i="21" s="1"/>
  <c r="D149" i="21"/>
  <c r="E149" i="21" s="1"/>
  <c r="F149" i="21" s="1"/>
  <c r="E148" i="21"/>
  <c r="F148" i="21" s="1"/>
  <c r="G148" i="21" s="1"/>
  <c r="H148" i="21" s="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B148" i="21" s="1"/>
  <c r="D148" i="21"/>
  <c r="AE146" i="21"/>
  <c r="AF146" i="21" s="1"/>
  <c r="B146" i="21" s="1"/>
  <c r="D146" i="21"/>
  <c r="E146" i="21" s="1"/>
  <c r="F146" i="21" s="1"/>
  <c r="G146" i="21" s="1"/>
  <c r="H146" i="21" s="1"/>
  <c r="I146" i="21" s="1"/>
  <c r="J146" i="21" s="1"/>
  <c r="K146" i="21" s="1"/>
  <c r="L146" i="21" s="1"/>
  <c r="M146" i="21" s="1"/>
  <c r="N146" i="21" s="1"/>
  <c r="O146" i="21" s="1"/>
  <c r="P146" i="21" s="1"/>
  <c r="Q146" i="21" s="1"/>
  <c r="R146" i="21" s="1"/>
  <c r="S146" i="21" s="1"/>
  <c r="T146" i="21" s="1"/>
  <c r="U146" i="21" s="1"/>
  <c r="V146" i="21" s="1"/>
  <c r="W146" i="21" s="1"/>
  <c r="X146" i="21" s="1"/>
  <c r="Y146" i="21" s="1"/>
  <c r="Z146" i="21" s="1"/>
  <c r="AA146" i="21" s="1"/>
  <c r="AB146" i="21" s="1"/>
  <c r="AC146" i="21" s="1"/>
  <c r="AD146" i="21" s="1"/>
  <c r="E145" i="21"/>
  <c r="F145" i="21" s="1"/>
  <c r="G145" i="21" s="1"/>
  <c r="H145" i="21" s="1"/>
  <c r="I145" i="21" s="1"/>
  <c r="J145" i="21" s="1"/>
  <c r="K145" i="21" s="1"/>
  <c r="L145" i="21" s="1"/>
  <c r="M145" i="21" s="1"/>
  <c r="N145" i="21" s="1"/>
  <c r="O145" i="21" s="1"/>
  <c r="P145" i="21" s="1"/>
  <c r="Q145" i="21" s="1"/>
  <c r="R145" i="21" s="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B145" i="21" s="1"/>
  <c r="D145" i="21"/>
  <c r="Q144" i="2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B144" i="21" s="1"/>
  <c r="G144" i="21"/>
  <c r="H144" i="21" s="1"/>
  <c r="I144" i="21" s="1"/>
  <c r="J144" i="21" s="1"/>
  <c r="K144" i="21" s="1"/>
  <c r="L144" i="21" s="1"/>
  <c r="M144" i="21" s="1"/>
  <c r="N144" i="21" s="1"/>
  <c r="O144" i="21" s="1"/>
  <c r="P144" i="21" s="1"/>
  <c r="D144" i="21"/>
  <c r="E144" i="21" s="1"/>
  <c r="F144" i="21" s="1"/>
  <c r="M143" i="2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B143" i="21" s="1"/>
  <c r="E143" i="21"/>
  <c r="F143" i="21" s="1"/>
  <c r="G143" i="21" s="1"/>
  <c r="H143" i="21" s="1"/>
  <c r="I143" i="21" s="1"/>
  <c r="J143" i="21" s="1"/>
  <c r="K143" i="21" s="1"/>
  <c r="L143" i="21" s="1"/>
  <c r="D143" i="21"/>
  <c r="D142" i="21"/>
  <c r="E142" i="21" s="1"/>
  <c r="F142" i="21" s="1"/>
  <c r="G142" i="21" s="1"/>
  <c r="H142" i="21" s="1"/>
  <c r="I142" i="21" s="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B142" i="21" s="1"/>
  <c r="E141" i="21"/>
  <c r="F141" i="21" s="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B141" i="21" s="1"/>
  <c r="D141" i="21"/>
  <c r="D140" i="21"/>
  <c r="E140" i="21" s="1"/>
  <c r="F140" i="21" s="1"/>
  <c r="G140" i="21" s="1"/>
  <c r="H140" i="21" s="1"/>
  <c r="I140" i="21" s="1"/>
  <c r="J140" i="21" s="1"/>
  <c r="K140" i="21" s="1"/>
  <c r="L140" i="21" s="1"/>
  <c r="M140" i="21" s="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B140" i="21" s="1"/>
  <c r="F138" i="21"/>
  <c r="G138" i="21" s="1"/>
  <c r="H138" i="21" s="1"/>
  <c r="I138" i="21" s="1"/>
  <c r="J138" i="21" s="1"/>
  <c r="K138" i="21" s="1"/>
  <c r="L138" i="21" s="1"/>
  <c r="M138" i="21" s="1"/>
  <c r="N138" i="21" s="1"/>
  <c r="O138" i="21" s="1"/>
  <c r="P138" i="21" s="1"/>
  <c r="Q138" i="21" s="1"/>
  <c r="R138" i="21" s="1"/>
  <c r="S138" i="21" s="1"/>
  <c r="T138" i="21" s="1"/>
  <c r="U138" i="21" s="1"/>
  <c r="V138" i="21" s="1"/>
  <c r="W138" i="21" s="1"/>
  <c r="X138" i="21" s="1"/>
  <c r="Y138" i="21" s="1"/>
  <c r="Z138" i="21" s="1"/>
  <c r="AA138" i="21" s="1"/>
  <c r="AB138" i="21" s="1"/>
  <c r="AC138" i="21" s="1"/>
  <c r="AD138" i="21" s="1"/>
  <c r="AE138" i="21" s="1"/>
  <c r="AF138" i="21" s="1"/>
  <c r="B138" i="21" s="1"/>
  <c r="E138" i="21"/>
  <c r="D138" i="21"/>
  <c r="E137" i="21"/>
  <c r="F137" i="21" s="1"/>
  <c r="G137" i="21" s="1"/>
  <c r="H137" i="21" s="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B137" i="21" s="1"/>
  <c r="D137" i="21"/>
  <c r="E136" i="21"/>
  <c r="F136" i="21" s="1"/>
  <c r="G136" i="21" s="1"/>
  <c r="H136" i="21" s="1"/>
  <c r="I136" i="21" s="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B136" i="21" s="1"/>
  <c r="D136" i="21"/>
  <c r="D135" i="21"/>
  <c r="E135" i="21" s="1"/>
  <c r="F135" i="21" s="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B135" i="21" s="1"/>
  <c r="I134" i="21"/>
  <c r="J134" i="21" s="1"/>
  <c r="K134" i="21" s="1"/>
  <c r="L134" i="21" s="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B134" i="21" s="1"/>
  <c r="D134" i="21"/>
  <c r="E134" i="21" s="1"/>
  <c r="F134" i="21" s="1"/>
  <c r="G134" i="21" s="1"/>
  <c r="H134" i="21" s="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B133" i="21" s="1"/>
  <c r="I132" i="21"/>
  <c r="J132" i="21" s="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B132" i="21" s="1"/>
  <c r="E132" i="21"/>
  <c r="F132" i="21" s="1"/>
  <c r="G132" i="21" s="1"/>
  <c r="H132" i="21" s="1"/>
  <c r="D132" i="21"/>
  <c r="D131" i="21"/>
  <c r="E131" i="21" s="1"/>
  <c r="F131" i="21" s="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B131" i="21" s="1"/>
  <c r="E129" i="21"/>
  <c r="F129" i="21" s="1"/>
  <c r="G129" i="21" s="1"/>
  <c r="H129" i="21" s="1"/>
  <c r="I129" i="21" s="1"/>
  <c r="J129" i="21" s="1"/>
  <c r="K129" i="21" s="1"/>
  <c r="L129" i="21" s="1"/>
  <c r="M129" i="21" s="1"/>
  <c r="N129" i="21" s="1"/>
  <c r="O129" i="21" s="1"/>
  <c r="P129" i="21" s="1"/>
  <c r="Q129" i="21" s="1"/>
  <c r="R129" i="21" s="1"/>
  <c r="S129" i="21" s="1"/>
  <c r="T129" i="21" s="1"/>
  <c r="U129" i="21" s="1"/>
  <c r="V129" i="21" s="1"/>
  <c r="W129" i="21" s="1"/>
  <c r="X129" i="21" s="1"/>
  <c r="Y129" i="21" s="1"/>
  <c r="Z129" i="21" s="1"/>
  <c r="AA129" i="21" s="1"/>
  <c r="AB129" i="21" s="1"/>
  <c r="AC129" i="21" s="1"/>
  <c r="AD129" i="21" s="1"/>
  <c r="AE129" i="21" s="1"/>
  <c r="AF129" i="21" s="1"/>
  <c r="B129" i="21" s="1"/>
  <c r="D129" i="21"/>
  <c r="E128" i="21"/>
  <c r="F128" i="21" s="1"/>
  <c r="G128" i="21" s="1"/>
  <c r="H128" i="21" s="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B128" i="21" s="1"/>
  <c r="D128" i="21"/>
  <c r="E127" i="21"/>
  <c r="F127" i="21" s="1"/>
  <c r="G127" i="21" s="1"/>
  <c r="H127" i="21" s="1"/>
  <c r="I127" i="21" s="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B127" i="21" s="1"/>
  <c r="D127" i="21"/>
  <c r="D126" i="21"/>
  <c r="E126" i="21" s="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B126" i="21" s="1"/>
  <c r="Q125" i="2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B125" i="21" s="1"/>
  <c r="J125" i="21"/>
  <c r="K125" i="21" s="1"/>
  <c r="L125" i="21" s="1"/>
  <c r="M125" i="21" s="1"/>
  <c r="N125" i="21" s="1"/>
  <c r="O125" i="21" s="1"/>
  <c r="P125" i="21" s="1"/>
  <c r="H125" i="21"/>
  <c r="E125" i="21"/>
  <c r="F125" i="21" s="1"/>
  <c r="G125" i="21" s="1"/>
  <c r="D125" i="21"/>
  <c r="F124" i="2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B124" i="21" s="1"/>
  <c r="D124" i="21"/>
  <c r="E124" i="21" s="1"/>
  <c r="D123" i="21"/>
  <c r="E123" i="21" s="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B123" i="21" s="1"/>
  <c r="K122" i="2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B122" i="21" s="1"/>
  <c r="D122" i="21"/>
  <c r="E122" i="21" s="1"/>
  <c r="F122" i="21" s="1"/>
  <c r="G122" i="21" s="1"/>
  <c r="H122" i="21" s="1"/>
  <c r="I122" i="21" s="1"/>
  <c r="J122" i="21" s="1"/>
  <c r="D121" i="21"/>
  <c r="E121" i="21" s="1"/>
  <c r="F121" i="21" s="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B121" i="21" s="1"/>
  <c r="G120" i="21"/>
  <c r="H120" i="21" s="1"/>
  <c r="I120" i="21" s="1"/>
  <c r="J120" i="21" s="1"/>
  <c r="K120" i="21" s="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B120" i="21" s="1"/>
  <c r="D120" i="21"/>
  <c r="E120" i="21" s="1"/>
  <c r="F120" i="21" s="1"/>
  <c r="D119" i="21"/>
  <c r="E119" i="21" s="1"/>
  <c r="F119" i="21" s="1"/>
  <c r="G119" i="21" s="1"/>
  <c r="H119" i="21" s="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B119" i="21" s="1"/>
  <c r="D118" i="21"/>
  <c r="E118" i="21" s="1"/>
  <c r="F118" i="21" s="1"/>
  <c r="G118" i="21" s="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B118" i="21" s="1"/>
  <c r="D117" i="21"/>
  <c r="E117" i="21" s="1"/>
  <c r="F117" i="21" s="1"/>
  <c r="G117" i="21" s="1"/>
  <c r="H117" i="21" s="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B117" i="21" s="1"/>
  <c r="D116" i="21"/>
  <c r="E116" i="21" s="1"/>
  <c r="F116" i="21" s="1"/>
  <c r="G116" i="21" s="1"/>
  <c r="H116" i="21" s="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B116" i="21" s="1"/>
  <c r="E115" i="21"/>
  <c r="F115" i="21" s="1"/>
  <c r="D115" i="21"/>
  <c r="K114" i="2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B114" i="21" s="1"/>
  <c r="D114" i="21"/>
  <c r="E114" i="21" s="1"/>
  <c r="F114" i="21" s="1"/>
  <c r="G114" i="21" s="1"/>
  <c r="H114" i="21" s="1"/>
  <c r="I114" i="21" s="1"/>
  <c r="E113" i="21"/>
  <c r="F113" i="21" s="1"/>
  <c r="G113" i="21" s="1"/>
  <c r="H113" i="21" s="1"/>
  <c r="I113" i="21" s="1"/>
  <c r="J113" i="21" s="1"/>
  <c r="K113" i="21" s="1"/>
  <c r="L113" i="21" s="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B113" i="21" s="1"/>
  <c r="D113" i="21"/>
  <c r="E112" i="21"/>
  <c r="F112" i="21" s="1"/>
  <c r="G112" i="21" s="1"/>
  <c r="H112" i="21" s="1"/>
  <c r="I112" i="21" s="1"/>
  <c r="J112" i="21" s="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B112" i="21" s="1"/>
  <c r="D112" i="21"/>
  <c r="D110" i="21"/>
  <c r="E110" i="21" s="1"/>
  <c r="F110" i="21" s="1"/>
  <c r="G110" i="21" s="1"/>
  <c r="H110" i="21" s="1"/>
  <c r="I110" i="21" s="1"/>
  <c r="J110" i="21" s="1"/>
  <c r="K110" i="21" s="1"/>
  <c r="L110" i="21" s="1"/>
  <c r="M110" i="21" s="1"/>
  <c r="N110" i="21" s="1"/>
  <c r="O110" i="21" s="1"/>
  <c r="P110" i="21" s="1"/>
  <c r="Q110" i="21" s="1"/>
  <c r="R110" i="21" s="1"/>
  <c r="S110" i="21" s="1"/>
  <c r="T110" i="21" s="1"/>
  <c r="U110" i="21" s="1"/>
  <c r="V110" i="21" s="1"/>
  <c r="W110" i="21" s="1"/>
  <c r="X110" i="21" s="1"/>
  <c r="Y110" i="21" s="1"/>
  <c r="Z110" i="21" s="1"/>
  <c r="AA110" i="21" s="1"/>
  <c r="AB110" i="21" s="1"/>
  <c r="AC110" i="21" s="1"/>
  <c r="AD110" i="21" s="1"/>
  <c r="AE110" i="21" s="1"/>
  <c r="AF110" i="21" s="1"/>
  <c r="B110" i="21" s="1"/>
  <c r="D109" i="21"/>
  <c r="E109" i="21" s="1"/>
  <c r="F109" i="21" s="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B109" i="21" s="1"/>
  <c r="E107" i="21"/>
  <c r="F107" i="21" s="1"/>
  <c r="G107" i="21" s="1"/>
  <c r="H107" i="21" s="1"/>
  <c r="I107" i="21" s="1"/>
  <c r="J107" i="21" s="1"/>
  <c r="K107" i="21" s="1"/>
  <c r="L107" i="21" s="1"/>
  <c r="M107" i="21" s="1"/>
  <c r="N107" i="21" s="1"/>
  <c r="O107" i="21" s="1"/>
  <c r="P107" i="21" s="1"/>
  <c r="Q107" i="21" s="1"/>
  <c r="R107" i="21" s="1"/>
  <c r="S107" i="21" s="1"/>
  <c r="T107" i="21" s="1"/>
  <c r="U107" i="21" s="1"/>
  <c r="V107" i="21" s="1"/>
  <c r="W107" i="21" s="1"/>
  <c r="X107" i="21" s="1"/>
  <c r="Y107" i="21" s="1"/>
  <c r="Z107" i="21" s="1"/>
  <c r="AA107" i="21" s="1"/>
  <c r="AB107" i="21" s="1"/>
  <c r="AC107" i="21" s="1"/>
  <c r="AD107" i="21" s="1"/>
  <c r="AE107" i="21" s="1"/>
  <c r="AF107" i="21" s="1"/>
  <c r="B107" i="21" s="1"/>
  <c r="D107" i="21"/>
  <c r="D106" i="21"/>
  <c r="E106" i="21" s="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B106" i="21" s="1"/>
  <c r="D105" i="21"/>
  <c r="E105" i="21" s="1"/>
  <c r="F105" i="21" s="1"/>
  <c r="G105" i="21" s="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B105" i="21" s="1"/>
  <c r="D104" i="21"/>
  <c r="E104" i="21" s="1"/>
  <c r="F104" i="21" s="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B104" i="21" s="1"/>
  <c r="F103" i="21"/>
  <c r="G103" i="21" s="1"/>
  <c r="E103" i="21"/>
  <c r="D103" i="21"/>
  <c r="E102" i="21"/>
  <c r="D102" i="21"/>
  <c r="AH100" i="21"/>
  <c r="AI100" i="21" s="1"/>
  <c r="AH99" i="21"/>
  <c r="AI99" i="21" s="1"/>
  <c r="AH98" i="21"/>
  <c r="AI98" i="21" s="1"/>
  <c r="AH97" i="21"/>
  <c r="AI97" i="21" s="1"/>
  <c r="AH96" i="21"/>
  <c r="AI96" i="21" s="1"/>
  <c r="AH95" i="21"/>
  <c r="AI95" i="21" s="1"/>
  <c r="AH94" i="21"/>
  <c r="AI94" i="21" s="1"/>
  <c r="D93" i="21"/>
  <c r="C93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I82" i="21"/>
  <c r="AH82" i="21"/>
  <c r="AG82" i="21"/>
  <c r="AI81" i="21"/>
  <c r="AH81" i="21"/>
  <c r="AI80" i="21"/>
  <c r="AH80" i="21"/>
  <c r="AI79" i="21"/>
  <c r="AH79" i="21"/>
  <c r="AI78" i="21"/>
  <c r="AH78" i="21"/>
  <c r="AI77" i="21"/>
  <c r="AH77" i="21"/>
  <c r="AI76" i="21"/>
  <c r="AH76" i="21"/>
  <c r="AI74" i="21"/>
  <c r="AH74" i="21"/>
  <c r="AI73" i="21"/>
  <c r="AH73" i="21"/>
  <c r="AI72" i="21"/>
  <c r="AH72" i="21"/>
  <c r="AG72" i="21"/>
  <c r="AI71" i="21"/>
  <c r="AH71" i="21"/>
  <c r="AI70" i="21"/>
  <c r="AH70" i="21"/>
  <c r="AI69" i="21"/>
  <c r="AH69" i="21"/>
  <c r="AG68" i="21"/>
  <c r="AG73" i="21" s="1"/>
  <c r="AF68" i="21"/>
  <c r="AE5" i="21" s="1"/>
  <c r="AE68" i="21"/>
  <c r="AD5" i="21" s="1"/>
  <c r="AD68" i="21"/>
  <c r="AD75" i="21" s="1"/>
  <c r="AC68" i="21"/>
  <c r="AB68" i="21"/>
  <c r="AA5" i="21" s="1"/>
  <c r="AA68" i="21"/>
  <c r="Z68" i="21"/>
  <c r="Y68" i="21"/>
  <c r="Y75" i="21" s="1"/>
  <c r="X68" i="21"/>
  <c r="W5" i="21" s="1"/>
  <c r="W68" i="21"/>
  <c r="V5" i="21" s="1"/>
  <c r="V68" i="21"/>
  <c r="U5" i="21" s="1"/>
  <c r="U68" i="21"/>
  <c r="T68" i="21"/>
  <c r="S5" i="21" s="1"/>
  <c r="S68" i="21"/>
  <c r="R68" i="21"/>
  <c r="Q75" i="21"/>
  <c r="P68" i="21"/>
  <c r="O5" i="21" s="1"/>
  <c r="O68" i="21"/>
  <c r="N5" i="21" s="1"/>
  <c r="N68" i="21"/>
  <c r="N75" i="21" s="1"/>
  <c r="M68" i="21"/>
  <c r="L68" i="21"/>
  <c r="K5" i="21" s="1"/>
  <c r="K68" i="21"/>
  <c r="J5" i="21" s="1"/>
  <c r="J68" i="21"/>
  <c r="I68" i="21"/>
  <c r="H68" i="21"/>
  <c r="G5" i="21" s="1"/>
  <c r="G68" i="21"/>
  <c r="F5" i="21" s="1"/>
  <c r="F68" i="21"/>
  <c r="E5" i="21" s="1"/>
  <c r="E68" i="21"/>
  <c r="D5" i="21" s="1"/>
  <c r="D68" i="21"/>
  <c r="C68" i="21"/>
  <c r="B68" i="21"/>
  <c r="AF5" i="21" s="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I55" i="21"/>
  <c r="AH55" i="21"/>
  <c r="AI54" i="21"/>
  <c r="AH54" i="21"/>
  <c r="AI53" i="21"/>
  <c r="AH53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I51" i="21"/>
  <c r="AH51" i="21"/>
  <c r="AG51" i="21"/>
  <c r="AG52" i="21" s="1"/>
  <c r="AG3" i="21" s="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C5" i="21"/>
  <c r="AB5" i="21"/>
  <c r="Z5" i="21"/>
  <c r="Y5" i="21"/>
  <c r="T5" i="21"/>
  <c r="R5" i="21"/>
  <c r="Q5" i="21"/>
  <c r="L5" i="21"/>
  <c r="I5" i="21"/>
  <c r="C5" i="21"/>
  <c r="AG4" i="21"/>
  <c r="K4" i="21"/>
  <c r="B4" i="21"/>
  <c r="AG2" i="21"/>
  <c r="AG6" i="21" s="1"/>
  <c r="Z95" i="20"/>
  <c r="Y95" i="20"/>
  <c r="X95" i="20"/>
  <c r="W95" i="20"/>
  <c r="W37" i="20"/>
  <c r="V95" i="20"/>
  <c r="U95" i="20"/>
  <c r="T95" i="20"/>
  <c r="S37" i="20"/>
  <c r="R52" i="20"/>
  <c r="Q95" i="20"/>
  <c r="Q37" i="20"/>
  <c r="P95" i="20"/>
  <c r="P37" i="20"/>
  <c r="L95" i="20"/>
  <c r="K95" i="20"/>
  <c r="L37" i="20"/>
  <c r="K37" i="20"/>
  <c r="J95" i="20"/>
  <c r="J37" i="20"/>
  <c r="I95" i="20"/>
  <c r="I37" i="20"/>
  <c r="H95" i="20"/>
  <c r="H37" i="20"/>
  <c r="AH37" i="20" s="1"/>
  <c r="G95" i="20"/>
  <c r="G37" i="20"/>
  <c r="G38" i="20"/>
  <c r="G52" i="20"/>
  <c r="G56" i="20"/>
  <c r="G68" i="20"/>
  <c r="F5" i="20" s="1"/>
  <c r="F95" i="20"/>
  <c r="F37" i="20"/>
  <c r="AI37" i="20" s="1"/>
  <c r="E95" i="20"/>
  <c r="E37" i="20"/>
  <c r="D95" i="20"/>
  <c r="D37" i="20"/>
  <c r="B38" i="20"/>
  <c r="B52" i="20"/>
  <c r="B56" i="20"/>
  <c r="B68" i="20"/>
  <c r="AF239" i="20"/>
  <c r="AE239" i="20"/>
  <c r="AD239" i="20"/>
  <c r="AC239" i="20"/>
  <c r="AB239" i="20"/>
  <c r="AA239" i="20"/>
  <c r="Z239" i="20"/>
  <c r="Y239" i="20"/>
  <c r="X239" i="20"/>
  <c r="W239" i="20"/>
  <c r="V239" i="20"/>
  <c r="U239" i="20"/>
  <c r="T239" i="20"/>
  <c r="S239" i="20"/>
  <c r="R239" i="20"/>
  <c r="Q239" i="20"/>
  <c r="P239" i="20"/>
  <c r="O239" i="20"/>
  <c r="N239" i="20"/>
  <c r="M239" i="20"/>
  <c r="L239" i="20"/>
  <c r="K239" i="20"/>
  <c r="J239" i="20"/>
  <c r="I239" i="20"/>
  <c r="H239" i="20"/>
  <c r="G239" i="20"/>
  <c r="F239" i="20"/>
  <c r="E239" i="20"/>
  <c r="D239" i="20"/>
  <c r="C239" i="20"/>
  <c r="B239" i="20"/>
  <c r="A239" i="20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B235" i="20"/>
  <c r="S210" i="20"/>
  <c r="AG200" i="20"/>
  <c r="C200" i="20"/>
  <c r="D199" i="20"/>
  <c r="E199" i="20" s="1"/>
  <c r="D198" i="20"/>
  <c r="E198" i="20" s="1"/>
  <c r="F198" i="20" s="1"/>
  <c r="G198" i="20" s="1"/>
  <c r="H198" i="20" s="1"/>
  <c r="I198" i="20" s="1"/>
  <c r="J198" i="20" s="1"/>
  <c r="K198" i="20" s="1"/>
  <c r="L198" i="20" s="1"/>
  <c r="M198" i="20" s="1"/>
  <c r="N198" i="20" s="1"/>
  <c r="O198" i="20" s="1"/>
  <c r="P198" i="20" s="1"/>
  <c r="Q198" i="20" s="1"/>
  <c r="R198" i="20" s="1"/>
  <c r="S198" i="20" s="1"/>
  <c r="T198" i="20" s="1"/>
  <c r="U198" i="20" s="1"/>
  <c r="V198" i="20" s="1"/>
  <c r="W198" i="20" s="1"/>
  <c r="X198" i="20" s="1"/>
  <c r="Y198" i="20" s="1"/>
  <c r="Z198" i="20" s="1"/>
  <c r="AA198" i="20" s="1"/>
  <c r="AB198" i="20" s="1"/>
  <c r="AC198" i="20" s="1"/>
  <c r="AD198" i="20" s="1"/>
  <c r="AE198" i="20" s="1"/>
  <c r="AF198" i="20" s="1"/>
  <c r="B198" i="20" s="1"/>
  <c r="J197" i="20"/>
  <c r="K197" i="20" s="1"/>
  <c r="L197" i="20" s="1"/>
  <c r="M197" i="20" s="1"/>
  <c r="N197" i="20" s="1"/>
  <c r="O197" i="20" s="1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B197" i="20" s="1"/>
  <c r="D197" i="20"/>
  <c r="E197" i="20" s="1"/>
  <c r="F197" i="20" s="1"/>
  <c r="G197" i="20" s="1"/>
  <c r="H197" i="20" s="1"/>
  <c r="I197" i="20" s="1"/>
  <c r="J196" i="20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B196" i="20" s="1"/>
  <c r="E196" i="20"/>
  <c r="F196" i="20" s="1"/>
  <c r="G196" i="20" s="1"/>
  <c r="H196" i="20" s="1"/>
  <c r="I196" i="20" s="1"/>
  <c r="D196" i="20"/>
  <c r="D195" i="20"/>
  <c r="D194" i="20"/>
  <c r="E194" i="20" s="1"/>
  <c r="AG192" i="20"/>
  <c r="C192" i="20"/>
  <c r="Y191" i="20"/>
  <c r="Z191" i="20" s="1"/>
  <c r="AA191" i="20" s="1"/>
  <c r="AB191" i="20" s="1"/>
  <c r="AC191" i="20" s="1"/>
  <c r="AD191" i="20" s="1"/>
  <c r="AE191" i="20" s="1"/>
  <c r="AF191" i="20" s="1"/>
  <c r="B191" i="20" s="1"/>
  <c r="D191" i="20"/>
  <c r="E191" i="20" s="1"/>
  <c r="F191" i="20" s="1"/>
  <c r="G191" i="20" s="1"/>
  <c r="H191" i="20" s="1"/>
  <c r="I191" i="20" s="1"/>
  <c r="J191" i="20" s="1"/>
  <c r="K191" i="20" s="1"/>
  <c r="L191" i="20" s="1"/>
  <c r="M191" i="20" s="1"/>
  <c r="N191" i="20" s="1"/>
  <c r="O191" i="20" s="1"/>
  <c r="P191" i="20" s="1"/>
  <c r="Q191" i="20" s="1"/>
  <c r="R191" i="20" s="1"/>
  <c r="S191" i="20" s="1"/>
  <c r="T191" i="20" s="1"/>
  <c r="U191" i="20" s="1"/>
  <c r="V191" i="20" s="1"/>
  <c r="W191" i="20" s="1"/>
  <c r="X191" i="20" s="1"/>
  <c r="D190" i="20"/>
  <c r="E190" i="20" s="1"/>
  <c r="F190" i="20" s="1"/>
  <c r="G190" i="20" s="1"/>
  <c r="H190" i="20" s="1"/>
  <c r="I190" i="20" s="1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B190" i="20" s="1"/>
  <c r="E189" i="20"/>
  <c r="F189" i="20" s="1"/>
  <c r="G189" i="20" s="1"/>
  <c r="H189" i="20" s="1"/>
  <c r="I189" i="20" s="1"/>
  <c r="J189" i="20" s="1"/>
  <c r="K189" i="20" s="1"/>
  <c r="L189" i="20" s="1"/>
  <c r="M189" i="20" s="1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AE189" i="20" s="1"/>
  <c r="AF189" i="20" s="1"/>
  <c r="B189" i="20" s="1"/>
  <c r="D189" i="20"/>
  <c r="D188" i="20"/>
  <c r="E188" i="20" s="1"/>
  <c r="F188" i="20" s="1"/>
  <c r="G188" i="20" s="1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B188" i="20" s="1"/>
  <c r="D187" i="20"/>
  <c r="E187" i="20" s="1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B187" i="20" s="1"/>
  <c r="D186" i="20"/>
  <c r="E186" i="20" s="1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B186" i="20" s="1"/>
  <c r="E185" i="20"/>
  <c r="F185" i="20" s="1"/>
  <c r="G185" i="20" s="1"/>
  <c r="H185" i="20" s="1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B185" i="20" s="1"/>
  <c r="D185" i="20"/>
  <c r="D184" i="20"/>
  <c r="E184" i="20" s="1"/>
  <c r="F184" i="20" s="1"/>
  <c r="G184" i="20" s="1"/>
  <c r="H184" i="20" s="1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B184" i="20" s="1"/>
  <c r="D183" i="20"/>
  <c r="E183" i="20" s="1"/>
  <c r="F183" i="20" s="1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B183" i="20" s="1"/>
  <c r="D182" i="20"/>
  <c r="E182" i="20" s="1"/>
  <c r="F182" i="20" s="1"/>
  <c r="G182" i="20" s="1"/>
  <c r="H182" i="20" s="1"/>
  <c r="I182" i="20" s="1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B182" i="20" s="1"/>
  <c r="D181" i="20"/>
  <c r="E181" i="20" s="1"/>
  <c r="F181" i="20" s="1"/>
  <c r="G181" i="20" s="1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B181" i="20" s="1"/>
  <c r="D180" i="20"/>
  <c r="E180" i="20" s="1"/>
  <c r="F180" i="20" s="1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B180" i="20" s="1"/>
  <c r="D179" i="20"/>
  <c r="E179" i="20" s="1"/>
  <c r="F179" i="20" s="1"/>
  <c r="G179" i="20" s="1"/>
  <c r="H179" i="20" s="1"/>
  <c r="I179" i="20" s="1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B179" i="20" s="1"/>
  <c r="D177" i="20"/>
  <c r="E177" i="20" s="1"/>
  <c r="F177" i="20" s="1"/>
  <c r="G177" i="20" s="1"/>
  <c r="H177" i="20" s="1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B177" i="20" s="1"/>
  <c r="D176" i="20"/>
  <c r="E176" i="20" s="1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B176" i="20" s="1"/>
  <c r="D175" i="20"/>
  <c r="E175" i="20" s="1"/>
  <c r="F175" i="20" s="1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B175" i="20" s="1"/>
  <c r="D174" i="20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B174" i="20" s="1"/>
  <c r="D173" i="20"/>
  <c r="E173" i="20" s="1"/>
  <c r="F173" i="20" s="1"/>
  <c r="G173" i="20" s="1"/>
  <c r="H173" i="20" s="1"/>
  <c r="I173" i="20" s="1"/>
  <c r="J173" i="20" s="1"/>
  <c r="K173" i="20" s="1"/>
  <c r="L173" i="20" s="1"/>
  <c r="M173" i="20" s="1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B173" i="20" s="1"/>
  <c r="D172" i="20"/>
  <c r="E172" i="20" s="1"/>
  <c r="F172" i="20" s="1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B172" i="20" s="1"/>
  <c r="D171" i="20"/>
  <c r="E171" i="20" s="1"/>
  <c r="F171" i="20" s="1"/>
  <c r="G171" i="20" s="1"/>
  <c r="H171" i="20" s="1"/>
  <c r="I171" i="20" s="1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B171" i="20" s="1"/>
  <c r="M170" i="20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B170" i="20" s="1"/>
  <c r="D170" i="20"/>
  <c r="E170" i="20" s="1"/>
  <c r="F170" i="20" s="1"/>
  <c r="G170" i="20" s="1"/>
  <c r="H170" i="20" s="1"/>
  <c r="I170" i="20" s="1"/>
  <c r="J170" i="20" s="1"/>
  <c r="K170" i="20" s="1"/>
  <c r="L170" i="20" s="1"/>
  <c r="D168" i="20"/>
  <c r="E168" i="20" s="1"/>
  <c r="F168" i="20" s="1"/>
  <c r="G168" i="20" s="1"/>
  <c r="H168" i="20" s="1"/>
  <c r="I168" i="20" s="1"/>
  <c r="J168" i="20" s="1"/>
  <c r="K168" i="20" s="1"/>
  <c r="L168" i="20" s="1"/>
  <c r="M168" i="20" s="1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AA168" i="20" s="1"/>
  <c r="AB168" i="20" s="1"/>
  <c r="AC168" i="20" s="1"/>
  <c r="AD168" i="20" s="1"/>
  <c r="AE168" i="20" s="1"/>
  <c r="AF168" i="20" s="1"/>
  <c r="B168" i="20" s="1"/>
  <c r="D167" i="20"/>
  <c r="E167" i="20" s="1"/>
  <c r="F167" i="20" s="1"/>
  <c r="G167" i="20" s="1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B167" i="20" s="1"/>
  <c r="D166" i="20"/>
  <c r="E166" i="20" s="1"/>
  <c r="F166" i="20" s="1"/>
  <c r="G166" i="20" s="1"/>
  <c r="H166" i="20" s="1"/>
  <c r="I166" i="20" s="1"/>
  <c r="J166" i="20" s="1"/>
  <c r="K166" i="20" s="1"/>
  <c r="L166" i="20" s="1"/>
  <c r="M166" i="20" s="1"/>
  <c r="N166" i="20" s="1"/>
  <c r="O166" i="20" s="1"/>
  <c r="P166" i="20" s="1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B166" i="20" s="1"/>
  <c r="D165" i="20"/>
  <c r="E165" i="20" s="1"/>
  <c r="F165" i="20" s="1"/>
  <c r="G165" i="20" s="1"/>
  <c r="H165" i="20" s="1"/>
  <c r="I165" i="20" s="1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B165" i="20" s="1"/>
  <c r="E164" i="20"/>
  <c r="F164" i="20" s="1"/>
  <c r="G164" i="20" s="1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B164" i="20" s="1"/>
  <c r="D164" i="20"/>
  <c r="D163" i="20"/>
  <c r="E163" i="20" s="1"/>
  <c r="F163" i="20" s="1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B163" i="20" s="1"/>
  <c r="F162" i="20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B162" i="20" s="1"/>
  <c r="E162" i="20"/>
  <c r="D162" i="20"/>
  <c r="D161" i="20"/>
  <c r="E161" i="20" s="1"/>
  <c r="F161" i="20" s="1"/>
  <c r="G161" i="20" s="1"/>
  <c r="H161" i="20" s="1"/>
  <c r="I161" i="20" s="1"/>
  <c r="J161" i="20" s="1"/>
  <c r="K161" i="20" s="1"/>
  <c r="L161" i="20" s="1"/>
  <c r="M161" i="20" s="1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B161" i="20" s="1"/>
  <c r="E160" i="20"/>
  <c r="F160" i="20" s="1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B160" i="20" s="1"/>
  <c r="D160" i="20"/>
  <c r="D159" i="20"/>
  <c r="E159" i="20" s="1"/>
  <c r="F159" i="20" s="1"/>
  <c r="G159" i="20" s="1"/>
  <c r="H159" i="20" s="1"/>
  <c r="I159" i="20" s="1"/>
  <c r="J159" i="20" s="1"/>
  <c r="K159" i="20" s="1"/>
  <c r="L159" i="20" s="1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B159" i="20" s="1"/>
  <c r="D158" i="20"/>
  <c r="E158" i="20" s="1"/>
  <c r="F158" i="20" s="1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B158" i="20" s="1"/>
  <c r="D157" i="20"/>
  <c r="E157" i="20" s="1"/>
  <c r="F157" i="20" s="1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B157" i="20" s="1"/>
  <c r="E156" i="20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B156" i="20" s="1"/>
  <c r="D156" i="20"/>
  <c r="E154" i="20"/>
  <c r="F154" i="20" s="1"/>
  <c r="G154" i="20" s="1"/>
  <c r="H154" i="20" s="1"/>
  <c r="I154" i="20" s="1"/>
  <c r="J154" i="20" s="1"/>
  <c r="K154" i="20" s="1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B154" i="20" s="1"/>
  <c r="D154" i="20"/>
  <c r="D153" i="20"/>
  <c r="E153" i="20" s="1"/>
  <c r="F153" i="20" s="1"/>
  <c r="G153" i="20" s="1"/>
  <c r="H153" i="20" s="1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B153" i="20" s="1"/>
  <c r="G152" i="20"/>
  <c r="H152" i="20" s="1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B152" i="20" s="1"/>
  <c r="D152" i="20"/>
  <c r="E152" i="20" s="1"/>
  <c r="F152" i="20" s="1"/>
  <c r="E151" i="20"/>
  <c r="F151" i="20" s="1"/>
  <c r="G151" i="20" s="1"/>
  <c r="H151" i="20" s="1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B151" i="20" s="1"/>
  <c r="D151" i="20"/>
  <c r="D149" i="20"/>
  <c r="E149" i="20" s="1"/>
  <c r="F149" i="20" s="1"/>
  <c r="G149" i="20" s="1"/>
  <c r="H149" i="20" s="1"/>
  <c r="I149" i="20" s="1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T149" i="20" s="1"/>
  <c r="U149" i="20" s="1"/>
  <c r="V149" i="20" s="1"/>
  <c r="W149" i="20" s="1"/>
  <c r="X149" i="20" s="1"/>
  <c r="Y149" i="20" s="1"/>
  <c r="Z149" i="20" s="1"/>
  <c r="AA149" i="20" s="1"/>
  <c r="AB149" i="20" s="1"/>
  <c r="AC149" i="20" s="1"/>
  <c r="AD149" i="20" s="1"/>
  <c r="AE149" i="20" s="1"/>
  <c r="AF149" i="20" s="1"/>
  <c r="B149" i="20" s="1"/>
  <c r="I148" i="20"/>
  <c r="J148" i="20" s="1"/>
  <c r="K148" i="20" s="1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B148" i="20" s="1"/>
  <c r="E148" i="20"/>
  <c r="F148" i="20" s="1"/>
  <c r="G148" i="20" s="1"/>
  <c r="H148" i="20" s="1"/>
  <c r="D148" i="20"/>
  <c r="D146" i="20"/>
  <c r="E146" i="20" s="1"/>
  <c r="F146" i="20" s="1"/>
  <c r="G146" i="20" s="1"/>
  <c r="H146" i="20" s="1"/>
  <c r="I146" i="20" s="1"/>
  <c r="J146" i="20" s="1"/>
  <c r="K146" i="20" s="1"/>
  <c r="L146" i="20" s="1"/>
  <c r="M146" i="20" s="1"/>
  <c r="N146" i="20" s="1"/>
  <c r="O146" i="20" s="1"/>
  <c r="P146" i="20" s="1"/>
  <c r="Q146" i="20" s="1"/>
  <c r="R146" i="20" s="1"/>
  <c r="S146" i="20" s="1"/>
  <c r="T146" i="20" s="1"/>
  <c r="U146" i="20" s="1"/>
  <c r="V146" i="20" s="1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B146" i="20" s="1"/>
  <c r="D145" i="20"/>
  <c r="E145" i="20" s="1"/>
  <c r="F145" i="20" s="1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B145" i="20" s="1"/>
  <c r="D144" i="20"/>
  <c r="E144" i="20" s="1"/>
  <c r="F144" i="20" s="1"/>
  <c r="G144" i="20" s="1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B144" i="20" s="1"/>
  <c r="D143" i="20"/>
  <c r="E143" i="20" s="1"/>
  <c r="F143" i="20" s="1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B143" i="20" s="1"/>
  <c r="H142" i="20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B142" i="20" s="1"/>
  <c r="D142" i="20"/>
  <c r="E142" i="20" s="1"/>
  <c r="F142" i="20" s="1"/>
  <c r="G142" i="20" s="1"/>
  <c r="D141" i="20"/>
  <c r="E141" i="20" s="1"/>
  <c r="F141" i="20" s="1"/>
  <c r="G141" i="20" s="1"/>
  <c r="H141" i="20" s="1"/>
  <c r="I141" i="20" s="1"/>
  <c r="J141" i="20" s="1"/>
  <c r="K141" i="20" s="1"/>
  <c r="L141" i="20" s="1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B141" i="20" s="1"/>
  <c r="D140" i="20"/>
  <c r="E140" i="20" s="1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B140" i="20" s="1"/>
  <c r="D138" i="20"/>
  <c r="E138" i="20" s="1"/>
  <c r="F138" i="20" s="1"/>
  <c r="G138" i="20" s="1"/>
  <c r="H138" i="20" s="1"/>
  <c r="I138" i="20" s="1"/>
  <c r="J138" i="20" s="1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Y138" i="20" s="1"/>
  <c r="Z138" i="20" s="1"/>
  <c r="AA138" i="20" s="1"/>
  <c r="AB138" i="20" s="1"/>
  <c r="AC138" i="20" s="1"/>
  <c r="AD138" i="20" s="1"/>
  <c r="AE138" i="20" s="1"/>
  <c r="AF138" i="20" s="1"/>
  <c r="B138" i="20" s="1"/>
  <c r="D137" i="20"/>
  <c r="E137" i="20" s="1"/>
  <c r="F137" i="20" s="1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B137" i="20" s="1"/>
  <c r="F136" i="20"/>
  <c r="G136" i="20" s="1"/>
  <c r="H136" i="20" s="1"/>
  <c r="I136" i="20" s="1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B136" i="20" s="1"/>
  <c r="E136" i="20"/>
  <c r="D136" i="20"/>
  <c r="F135" i="20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B135" i="20" s="1"/>
  <c r="D135" i="20"/>
  <c r="E135" i="20" s="1"/>
  <c r="D134" i="20"/>
  <c r="E134" i="20" s="1"/>
  <c r="F134" i="20" s="1"/>
  <c r="G134" i="20" s="1"/>
  <c r="H134" i="20" s="1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T134" i="20" s="1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B134" i="20" s="1"/>
  <c r="D133" i="20"/>
  <c r="E133" i="20" s="1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B133" i="20" s="1"/>
  <c r="D132" i="20"/>
  <c r="E132" i="20" s="1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B132" i="20" s="1"/>
  <c r="D131" i="20"/>
  <c r="E131" i="20" s="1"/>
  <c r="F131" i="20" s="1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B131" i="20" s="1"/>
  <c r="D129" i="20"/>
  <c r="E129" i="20" s="1"/>
  <c r="F129" i="20" s="1"/>
  <c r="G129" i="20" s="1"/>
  <c r="H129" i="20" s="1"/>
  <c r="I129" i="20" s="1"/>
  <c r="J129" i="20" s="1"/>
  <c r="K129" i="20" s="1"/>
  <c r="L129" i="20" s="1"/>
  <c r="M129" i="20" s="1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X129" i="20" s="1"/>
  <c r="Y129" i="20" s="1"/>
  <c r="Z129" i="20" s="1"/>
  <c r="AA129" i="20" s="1"/>
  <c r="AB129" i="20" s="1"/>
  <c r="AC129" i="20" s="1"/>
  <c r="AD129" i="20" s="1"/>
  <c r="AE129" i="20" s="1"/>
  <c r="AF129" i="20" s="1"/>
  <c r="B129" i="20" s="1"/>
  <c r="G128" i="20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B128" i="20" s="1"/>
  <c r="D128" i="20"/>
  <c r="E128" i="20" s="1"/>
  <c r="F128" i="20" s="1"/>
  <c r="D127" i="20"/>
  <c r="E127" i="20" s="1"/>
  <c r="F127" i="20" s="1"/>
  <c r="G127" i="20" s="1"/>
  <c r="H127" i="20" s="1"/>
  <c r="I127" i="20" s="1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B127" i="20" s="1"/>
  <c r="F126" i="20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B126" i="20" s="1"/>
  <c r="D126" i="20"/>
  <c r="E126" i="20" s="1"/>
  <c r="J125" i="20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B125" i="20" s="1"/>
  <c r="E125" i="20"/>
  <c r="F125" i="20" s="1"/>
  <c r="G125" i="20" s="1"/>
  <c r="H125" i="20" s="1"/>
  <c r="D125" i="20"/>
  <c r="E124" i="20"/>
  <c r="F124" i="20" s="1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B124" i="20" s="1"/>
  <c r="D124" i="20"/>
  <c r="D123" i="20"/>
  <c r="E123" i="20" s="1"/>
  <c r="F123" i="20" s="1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B123" i="20" s="1"/>
  <c r="D122" i="20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B122" i="20" s="1"/>
  <c r="D121" i="20"/>
  <c r="E121" i="20" s="1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B121" i="20" s="1"/>
  <c r="D120" i="20"/>
  <c r="E120" i="20" s="1"/>
  <c r="F120" i="20" s="1"/>
  <c r="G120" i="20" s="1"/>
  <c r="H120" i="20" s="1"/>
  <c r="I120" i="20" s="1"/>
  <c r="J120" i="20" s="1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B120" i="20" s="1"/>
  <c r="D119" i="20"/>
  <c r="E119" i="20" s="1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B119" i="20" s="1"/>
  <c r="D118" i="20"/>
  <c r="E118" i="20" s="1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B118" i="20" s="1"/>
  <c r="D117" i="20"/>
  <c r="E117" i="20" s="1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B117" i="20" s="1"/>
  <c r="D116" i="20"/>
  <c r="E116" i="20" s="1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B116" i="20" s="1"/>
  <c r="D115" i="20"/>
  <c r="E115" i="20" s="1"/>
  <c r="F115" i="20" s="1"/>
  <c r="G115" i="20" s="1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B115" i="20" s="1"/>
  <c r="U114" i="20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B114" i="20" s="1"/>
  <c r="K114" i="20"/>
  <c r="L114" i="20" s="1"/>
  <c r="M114" i="20" s="1"/>
  <c r="N114" i="20" s="1"/>
  <c r="O114" i="20" s="1"/>
  <c r="P114" i="20" s="1"/>
  <c r="Q114" i="20" s="1"/>
  <c r="R114" i="20" s="1"/>
  <c r="S114" i="20" s="1"/>
  <c r="T114" i="20" s="1"/>
  <c r="D114" i="20"/>
  <c r="E114" i="20" s="1"/>
  <c r="F114" i="20" s="1"/>
  <c r="G114" i="20" s="1"/>
  <c r="H114" i="20" s="1"/>
  <c r="I114" i="20" s="1"/>
  <c r="D113" i="20"/>
  <c r="E113" i="20" s="1"/>
  <c r="F113" i="20" s="1"/>
  <c r="G113" i="20" s="1"/>
  <c r="H113" i="20" s="1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B113" i="20" s="1"/>
  <c r="D112" i="20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B112" i="20" s="1"/>
  <c r="D110" i="20"/>
  <c r="E110" i="20" s="1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B110" i="20" s="1"/>
  <c r="G109" i="20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B109" i="20" s="1"/>
  <c r="E109" i="20"/>
  <c r="F109" i="20" s="1"/>
  <c r="D109" i="20"/>
  <c r="D107" i="20"/>
  <c r="E107" i="20" s="1"/>
  <c r="F107" i="20" s="1"/>
  <c r="G107" i="20" s="1"/>
  <c r="H107" i="20" s="1"/>
  <c r="I107" i="20" s="1"/>
  <c r="J107" i="20" s="1"/>
  <c r="K107" i="20" s="1"/>
  <c r="L107" i="20" s="1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B107" i="20" s="1"/>
  <c r="J106" i="20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B106" i="20" s="1"/>
  <c r="E106" i="20"/>
  <c r="F106" i="20" s="1"/>
  <c r="G106" i="20" s="1"/>
  <c r="H106" i="20" s="1"/>
  <c r="I106" i="20" s="1"/>
  <c r="D106" i="20"/>
  <c r="H105" i="20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B105" i="20" s="1"/>
  <c r="D105" i="20"/>
  <c r="E105" i="20" s="1"/>
  <c r="F105" i="20" s="1"/>
  <c r="G105" i="20" s="1"/>
  <c r="D104" i="20"/>
  <c r="E104" i="20" s="1"/>
  <c r="F104" i="20" s="1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B104" i="20" s="1"/>
  <c r="D103" i="20"/>
  <c r="D102" i="20"/>
  <c r="E102" i="20" s="1"/>
  <c r="AH100" i="20"/>
  <c r="AI100" i="20" s="1"/>
  <c r="AH99" i="20"/>
  <c r="AI99" i="20" s="1"/>
  <c r="AH98" i="20"/>
  <c r="AI98" i="20" s="1"/>
  <c r="AH97" i="20"/>
  <c r="AI97" i="20" s="1"/>
  <c r="AH96" i="20"/>
  <c r="AI96" i="20" s="1"/>
  <c r="AH95" i="20"/>
  <c r="AI95" i="20" s="1"/>
  <c r="AH94" i="20"/>
  <c r="AI94" i="20" s="1"/>
  <c r="C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2" i="20"/>
  <c r="AH82" i="20"/>
  <c r="AG82" i="20"/>
  <c r="AI81" i="20"/>
  <c r="AH81" i="20"/>
  <c r="AI80" i="20"/>
  <c r="AH80" i="20"/>
  <c r="AI79" i="20"/>
  <c r="AH79" i="20"/>
  <c r="AI78" i="20"/>
  <c r="AH78" i="20"/>
  <c r="AI77" i="20"/>
  <c r="AH77" i="20"/>
  <c r="AI76" i="20"/>
  <c r="AH76" i="20"/>
  <c r="AI74" i="20"/>
  <c r="AH74" i="20"/>
  <c r="AI73" i="20"/>
  <c r="AH73" i="20"/>
  <c r="AI72" i="20"/>
  <c r="AH72" i="20"/>
  <c r="AG72" i="20"/>
  <c r="AI71" i="20"/>
  <c r="AH71" i="20"/>
  <c r="AI70" i="20"/>
  <c r="AH70" i="20"/>
  <c r="AI69" i="20"/>
  <c r="AH69" i="20"/>
  <c r="AG68" i="20"/>
  <c r="AF68" i="20"/>
  <c r="AE68" i="20"/>
  <c r="AD5" i="20" s="1"/>
  <c r="AD68" i="20"/>
  <c r="AC5" i="20" s="1"/>
  <c r="AC68" i="20"/>
  <c r="AB5" i="20" s="1"/>
  <c r="AB68" i="20"/>
  <c r="AA68" i="20"/>
  <c r="Z5" i="20" s="1"/>
  <c r="Z68" i="20"/>
  <c r="Y68" i="20"/>
  <c r="X5" i="20" s="1"/>
  <c r="X68" i="20"/>
  <c r="W68" i="20"/>
  <c r="V5" i="20" s="1"/>
  <c r="V68" i="20"/>
  <c r="U5" i="20" s="1"/>
  <c r="U68" i="20"/>
  <c r="T68" i="20"/>
  <c r="S68" i="20"/>
  <c r="R68" i="20"/>
  <c r="Q5" i="20" s="1"/>
  <c r="Q68" i="20"/>
  <c r="P5" i="20" s="1"/>
  <c r="P68" i="20"/>
  <c r="O5" i="20" s="1"/>
  <c r="O68" i="20"/>
  <c r="N5" i="20" s="1"/>
  <c r="N68" i="20"/>
  <c r="M5" i="20" s="1"/>
  <c r="M68" i="20"/>
  <c r="L68" i="20"/>
  <c r="K5" i="20" s="1"/>
  <c r="K68" i="20"/>
  <c r="J5" i="20" s="1"/>
  <c r="J68" i="20"/>
  <c r="I5" i="20" s="1"/>
  <c r="I68" i="20"/>
  <c r="H68" i="20"/>
  <c r="G5" i="20" s="1"/>
  <c r="F68" i="20"/>
  <c r="E5" i="20" s="1"/>
  <c r="E68" i="20"/>
  <c r="D5" i="20" s="1"/>
  <c r="D68" i="20"/>
  <c r="C5" i="20" s="1"/>
  <c r="C68" i="20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F56" i="20"/>
  <c r="E56" i="20"/>
  <c r="D56" i="20"/>
  <c r="C56" i="20"/>
  <c r="AI55" i="20"/>
  <c r="AH55" i="20"/>
  <c r="AI54" i="20"/>
  <c r="AH54" i="20"/>
  <c r="AI53" i="20"/>
  <c r="AH53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Q52" i="20"/>
  <c r="P52" i="20"/>
  <c r="O52" i="20"/>
  <c r="N52" i="20"/>
  <c r="M52" i="20"/>
  <c r="L52" i="20"/>
  <c r="K52" i="20"/>
  <c r="J52" i="20"/>
  <c r="I52" i="20"/>
  <c r="H52" i="20"/>
  <c r="F52" i="20"/>
  <c r="E52" i="20"/>
  <c r="D52" i="20"/>
  <c r="C52" i="20"/>
  <c r="AI51" i="20"/>
  <c r="AH51" i="20"/>
  <c r="AG51" i="20"/>
  <c r="AG52" i="20" s="1"/>
  <c r="AG3" i="20" s="1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F38" i="20"/>
  <c r="E38" i="20"/>
  <c r="D38" i="20"/>
  <c r="C38" i="20"/>
  <c r="C75" i="20" s="1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E5" i="20"/>
  <c r="AA5" i="20"/>
  <c r="Y5" i="20"/>
  <c r="W5" i="20"/>
  <c r="T5" i="20"/>
  <c r="S5" i="20"/>
  <c r="L5" i="20"/>
  <c r="H5" i="20"/>
  <c r="AG4" i="20"/>
  <c r="K4" i="20"/>
  <c r="B4" i="20"/>
  <c r="AG2" i="20"/>
  <c r="AG6" i="20" s="1"/>
  <c r="AB38" i="19"/>
  <c r="AA38" i="19"/>
  <c r="Z37" i="19"/>
  <c r="Y37" i="19"/>
  <c r="X37" i="19"/>
  <c r="W95" i="19"/>
  <c r="T37" i="19"/>
  <c r="S37" i="19"/>
  <c r="R37" i="19"/>
  <c r="Q37" i="19"/>
  <c r="P37" i="19"/>
  <c r="O37" i="19"/>
  <c r="N37" i="19"/>
  <c r="M95" i="19"/>
  <c r="M37" i="19"/>
  <c r="AF239" i="19"/>
  <c r="AE239" i="19"/>
  <c r="AD239" i="19"/>
  <c r="AC239" i="19"/>
  <c r="AB239" i="19"/>
  <c r="AA239" i="19"/>
  <c r="Z239" i="19"/>
  <c r="Y239" i="19"/>
  <c r="X239" i="19"/>
  <c r="W239" i="19"/>
  <c r="V239" i="19"/>
  <c r="U239" i="19"/>
  <c r="T239" i="19"/>
  <c r="S239" i="19"/>
  <c r="R239" i="19"/>
  <c r="Q239" i="19"/>
  <c r="P239" i="19"/>
  <c r="O239" i="19"/>
  <c r="N239" i="19"/>
  <c r="M239" i="19"/>
  <c r="L239" i="19"/>
  <c r="K239" i="19"/>
  <c r="J239" i="19"/>
  <c r="I239" i="19"/>
  <c r="H239" i="19"/>
  <c r="G239" i="19"/>
  <c r="F239" i="19"/>
  <c r="E239" i="19"/>
  <c r="D239" i="19"/>
  <c r="C239" i="19"/>
  <c r="B239" i="19"/>
  <c r="A239" i="19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B235" i="19"/>
  <c r="S210" i="19"/>
  <c r="AG200" i="19"/>
  <c r="D200" i="19"/>
  <c r="C200" i="19"/>
  <c r="D199" i="19"/>
  <c r="E198" i="19"/>
  <c r="F198" i="19" s="1"/>
  <c r="G198" i="19" s="1"/>
  <c r="H198" i="19" s="1"/>
  <c r="I198" i="19" s="1"/>
  <c r="J198" i="19" s="1"/>
  <c r="K198" i="19" s="1"/>
  <c r="L198" i="19" s="1"/>
  <c r="M198" i="19" s="1"/>
  <c r="N198" i="19" s="1"/>
  <c r="O198" i="19" s="1"/>
  <c r="P198" i="19" s="1"/>
  <c r="Q198" i="19" s="1"/>
  <c r="R198" i="19" s="1"/>
  <c r="S198" i="19" s="1"/>
  <c r="T198" i="19" s="1"/>
  <c r="U198" i="19" s="1"/>
  <c r="V198" i="19" s="1"/>
  <c r="W198" i="19" s="1"/>
  <c r="X198" i="19" s="1"/>
  <c r="Y198" i="19" s="1"/>
  <c r="Z198" i="19" s="1"/>
  <c r="AA198" i="19" s="1"/>
  <c r="AB198" i="19" s="1"/>
  <c r="AC198" i="19" s="1"/>
  <c r="AD198" i="19" s="1"/>
  <c r="AE198" i="19" s="1"/>
  <c r="AF198" i="19" s="1"/>
  <c r="B198" i="19" s="1"/>
  <c r="D198" i="19"/>
  <c r="AA197" i="19"/>
  <c r="AB197" i="19" s="1"/>
  <c r="AC197" i="19" s="1"/>
  <c r="AD197" i="19" s="1"/>
  <c r="AE197" i="19" s="1"/>
  <c r="AF197" i="19" s="1"/>
  <c r="B197" i="19" s="1"/>
  <c r="G197" i="19"/>
  <c r="H197" i="19" s="1"/>
  <c r="I197" i="19" s="1"/>
  <c r="J197" i="19" s="1"/>
  <c r="K197" i="19" s="1"/>
  <c r="L197" i="19" s="1"/>
  <c r="M197" i="19" s="1"/>
  <c r="N197" i="19" s="1"/>
  <c r="O197" i="19" s="1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D197" i="19"/>
  <c r="E197" i="19" s="1"/>
  <c r="F197" i="19" s="1"/>
  <c r="F196" i="19"/>
  <c r="G196" i="19" s="1"/>
  <c r="H196" i="19" s="1"/>
  <c r="I196" i="19" s="1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B196" i="19" s="1"/>
  <c r="E196" i="19"/>
  <c r="D196" i="19"/>
  <c r="G195" i="19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B195" i="19" s="1"/>
  <c r="D195" i="19"/>
  <c r="E195" i="19" s="1"/>
  <c r="F195" i="19" s="1"/>
  <c r="E194" i="19"/>
  <c r="F194" i="19" s="1"/>
  <c r="D194" i="19"/>
  <c r="AG192" i="19"/>
  <c r="C192" i="19"/>
  <c r="G191" i="19"/>
  <c r="H191" i="19" s="1"/>
  <c r="I191" i="19" s="1"/>
  <c r="J191" i="19" s="1"/>
  <c r="K191" i="19" s="1"/>
  <c r="L191" i="19" s="1"/>
  <c r="M191" i="19" s="1"/>
  <c r="N191" i="19" s="1"/>
  <c r="O191" i="19" s="1"/>
  <c r="P191" i="19" s="1"/>
  <c r="Q191" i="19" s="1"/>
  <c r="R191" i="19" s="1"/>
  <c r="S191" i="19" s="1"/>
  <c r="T191" i="19" s="1"/>
  <c r="U191" i="19" s="1"/>
  <c r="V191" i="19" s="1"/>
  <c r="W191" i="19" s="1"/>
  <c r="X191" i="19" s="1"/>
  <c r="Y191" i="19" s="1"/>
  <c r="Z191" i="19" s="1"/>
  <c r="AA191" i="19" s="1"/>
  <c r="AB191" i="19" s="1"/>
  <c r="AC191" i="19" s="1"/>
  <c r="AD191" i="19" s="1"/>
  <c r="AE191" i="19" s="1"/>
  <c r="AF191" i="19" s="1"/>
  <c r="B191" i="19" s="1"/>
  <c r="D191" i="19"/>
  <c r="E191" i="19" s="1"/>
  <c r="F191" i="19" s="1"/>
  <c r="F190" i="19"/>
  <c r="G190" i="19" s="1"/>
  <c r="H190" i="19" s="1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X190" i="19" s="1"/>
  <c r="Y190" i="19" s="1"/>
  <c r="Z190" i="19" s="1"/>
  <c r="AA190" i="19" s="1"/>
  <c r="AB190" i="19" s="1"/>
  <c r="AC190" i="19" s="1"/>
  <c r="AD190" i="19" s="1"/>
  <c r="AE190" i="19" s="1"/>
  <c r="AF190" i="19" s="1"/>
  <c r="B190" i="19" s="1"/>
  <c r="E190" i="19"/>
  <c r="D190" i="19"/>
  <c r="V189" i="19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B189" i="19" s="1"/>
  <c r="F189" i="19"/>
  <c r="G189" i="19" s="1"/>
  <c r="H189" i="19" s="1"/>
  <c r="I189" i="19" s="1"/>
  <c r="J189" i="19" s="1"/>
  <c r="K189" i="19" s="1"/>
  <c r="L189" i="19" s="1"/>
  <c r="M189" i="19" s="1"/>
  <c r="N189" i="19" s="1"/>
  <c r="O189" i="19" s="1"/>
  <c r="P189" i="19" s="1"/>
  <c r="Q189" i="19" s="1"/>
  <c r="R189" i="19" s="1"/>
  <c r="S189" i="19" s="1"/>
  <c r="T189" i="19" s="1"/>
  <c r="U189" i="19" s="1"/>
  <c r="D189" i="19"/>
  <c r="E189" i="19" s="1"/>
  <c r="D188" i="19"/>
  <c r="E188" i="19" s="1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B188" i="19" s="1"/>
  <c r="T187" i="19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B187" i="19" s="1"/>
  <c r="D187" i="19"/>
  <c r="E187" i="19" s="1"/>
  <c r="F187" i="19" s="1"/>
  <c r="G187" i="19" s="1"/>
  <c r="H187" i="19" s="1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F186" i="19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B186" i="19" s="1"/>
  <c r="E186" i="19"/>
  <c r="D186" i="19"/>
  <c r="AE185" i="19"/>
  <c r="AF185" i="19" s="1"/>
  <c r="B185" i="19" s="1"/>
  <c r="F185" i="19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D185" i="19"/>
  <c r="E185" i="19" s="1"/>
  <c r="J184" i="19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B184" i="19" s="1"/>
  <c r="E184" i="19"/>
  <c r="F184" i="19" s="1"/>
  <c r="G184" i="19" s="1"/>
  <c r="H184" i="19" s="1"/>
  <c r="I184" i="19" s="1"/>
  <c r="D184" i="19"/>
  <c r="D183" i="19"/>
  <c r="E183" i="19" s="1"/>
  <c r="F183" i="19" s="1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B183" i="19" s="1"/>
  <c r="D182" i="19"/>
  <c r="E182" i="19" s="1"/>
  <c r="F182" i="19" s="1"/>
  <c r="G182" i="19" s="1"/>
  <c r="H182" i="19" s="1"/>
  <c r="I182" i="19" s="1"/>
  <c r="J182" i="19" s="1"/>
  <c r="K182" i="19" s="1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B182" i="19" s="1"/>
  <c r="D181" i="19"/>
  <c r="E181" i="19" s="1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B181" i="19" s="1"/>
  <c r="E180" i="19"/>
  <c r="F180" i="19" s="1"/>
  <c r="G180" i="19" s="1"/>
  <c r="H180" i="19" s="1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B180" i="19" s="1"/>
  <c r="D180" i="19"/>
  <c r="D179" i="19"/>
  <c r="E179" i="19" s="1"/>
  <c r="F179" i="19" s="1"/>
  <c r="G179" i="19" s="1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B179" i="19" s="1"/>
  <c r="D177" i="19"/>
  <c r="E177" i="19" s="1"/>
  <c r="F177" i="19" s="1"/>
  <c r="G177" i="19" s="1"/>
  <c r="H177" i="19" s="1"/>
  <c r="I177" i="19" s="1"/>
  <c r="J177" i="19" s="1"/>
  <c r="K177" i="19" s="1"/>
  <c r="L177" i="19" s="1"/>
  <c r="M177" i="19" s="1"/>
  <c r="N177" i="19" s="1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B177" i="19" s="1"/>
  <c r="D176" i="19"/>
  <c r="E176" i="19" s="1"/>
  <c r="F176" i="19" s="1"/>
  <c r="G176" i="19" s="1"/>
  <c r="H176" i="19" s="1"/>
  <c r="I176" i="19" s="1"/>
  <c r="J176" i="19" s="1"/>
  <c r="K176" i="19" s="1"/>
  <c r="L176" i="19" s="1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B176" i="19" s="1"/>
  <c r="X175" i="19"/>
  <c r="Y175" i="19" s="1"/>
  <c r="Z175" i="19" s="1"/>
  <c r="AA175" i="19" s="1"/>
  <c r="AB175" i="19" s="1"/>
  <c r="AC175" i="19" s="1"/>
  <c r="AD175" i="19" s="1"/>
  <c r="AE175" i="19" s="1"/>
  <c r="AF175" i="19" s="1"/>
  <c r="B175" i="19" s="1"/>
  <c r="H175" i="19"/>
  <c r="I175" i="19" s="1"/>
  <c r="J175" i="19" s="1"/>
  <c r="K175" i="19" s="1"/>
  <c r="L175" i="19" s="1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D175" i="19"/>
  <c r="E175" i="19" s="1"/>
  <c r="F175" i="19" s="1"/>
  <c r="G175" i="19" s="1"/>
  <c r="R174" i="19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B174" i="19" s="1"/>
  <c r="F174" i="19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D174" i="19"/>
  <c r="E174" i="19" s="1"/>
  <c r="H173" i="19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B173" i="19" s="1"/>
  <c r="D173" i="19"/>
  <c r="E173" i="19" s="1"/>
  <c r="F173" i="19" s="1"/>
  <c r="G173" i="19" s="1"/>
  <c r="F172" i="19"/>
  <c r="G172" i="19" s="1"/>
  <c r="H172" i="19" s="1"/>
  <c r="I172" i="19" s="1"/>
  <c r="J172" i="19" s="1"/>
  <c r="K172" i="19" s="1"/>
  <c r="L172" i="19" s="1"/>
  <c r="M172" i="19" s="1"/>
  <c r="N172" i="19" s="1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B172" i="19" s="1"/>
  <c r="E172" i="19"/>
  <c r="D172" i="19"/>
  <c r="D171" i="19"/>
  <c r="E171" i="19" s="1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B171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B170" i="19" s="1"/>
  <c r="D168" i="19"/>
  <c r="E168" i="19" s="1"/>
  <c r="F168" i="19" s="1"/>
  <c r="G168" i="19" s="1"/>
  <c r="H168" i="19" s="1"/>
  <c r="I168" i="19" s="1"/>
  <c r="J168" i="19" s="1"/>
  <c r="K168" i="19" s="1"/>
  <c r="L168" i="19" s="1"/>
  <c r="M168" i="19" s="1"/>
  <c r="N168" i="19" s="1"/>
  <c r="O168" i="19" s="1"/>
  <c r="P168" i="19" s="1"/>
  <c r="Q168" i="19" s="1"/>
  <c r="R168" i="19" s="1"/>
  <c r="S168" i="19" s="1"/>
  <c r="T168" i="19" s="1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B168" i="19" s="1"/>
  <c r="E167" i="19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B167" i="19" s="1"/>
  <c r="D167" i="19"/>
  <c r="J166" i="19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B166" i="19" s="1"/>
  <c r="E166" i="19"/>
  <c r="F166" i="19" s="1"/>
  <c r="G166" i="19" s="1"/>
  <c r="H166" i="19" s="1"/>
  <c r="I166" i="19" s="1"/>
  <c r="D166" i="19"/>
  <c r="H165" i="19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B165" i="19" s="1"/>
  <c r="F165" i="19"/>
  <c r="G165" i="19" s="1"/>
  <c r="E165" i="19"/>
  <c r="D165" i="19"/>
  <c r="D164" i="19"/>
  <c r="E164" i="19" s="1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B164" i="19" s="1"/>
  <c r="D163" i="19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B163" i="19" s="1"/>
  <c r="D162" i="19"/>
  <c r="E162" i="19" s="1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B162" i="19" s="1"/>
  <c r="E161" i="19"/>
  <c r="F161" i="19" s="1"/>
  <c r="G161" i="19" s="1"/>
  <c r="H161" i="19" s="1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B161" i="19" s="1"/>
  <c r="D161" i="19"/>
  <c r="S160" i="19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B160" i="19" s="1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B159" i="19" s="1"/>
  <c r="L158" i="19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B158" i="19" s="1"/>
  <c r="D158" i="19"/>
  <c r="E158" i="19" s="1"/>
  <c r="F158" i="19" s="1"/>
  <c r="G158" i="19" s="1"/>
  <c r="H158" i="19" s="1"/>
  <c r="I158" i="19" s="1"/>
  <c r="J158" i="19" s="1"/>
  <c r="K158" i="19" s="1"/>
  <c r="X157" i="19"/>
  <c r="Y157" i="19" s="1"/>
  <c r="Z157" i="19" s="1"/>
  <c r="AA157" i="19" s="1"/>
  <c r="AB157" i="19" s="1"/>
  <c r="AC157" i="19" s="1"/>
  <c r="AD157" i="19" s="1"/>
  <c r="AE157" i="19" s="1"/>
  <c r="AF157" i="19" s="1"/>
  <c r="B157" i="19" s="1"/>
  <c r="H157" i="19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E157" i="19"/>
  <c r="F157" i="19" s="1"/>
  <c r="G157" i="19" s="1"/>
  <c r="D157" i="19"/>
  <c r="H156" i="19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B156" i="19" s="1"/>
  <c r="F156" i="19"/>
  <c r="G156" i="19" s="1"/>
  <c r="D156" i="19"/>
  <c r="E156" i="19" s="1"/>
  <c r="W154" i="19"/>
  <c r="X154" i="19" s="1"/>
  <c r="Y154" i="19" s="1"/>
  <c r="Z154" i="19" s="1"/>
  <c r="AA154" i="19" s="1"/>
  <c r="AB154" i="19" s="1"/>
  <c r="AC154" i="19" s="1"/>
  <c r="AD154" i="19" s="1"/>
  <c r="AE154" i="19" s="1"/>
  <c r="AF154" i="19" s="1"/>
  <c r="B154" i="19" s="1"/>
  <c r="G154" i="19"/>
  <c r="H154" i="19" s="1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F154" i="19"/>
  <c r="D154" i="19"/>
  <c r="E154" i="19" s="1"/>
  <c r="J153" i="19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B153" i="19" s="1"/>
  <c r="D153" i="19"/>
  <c r="E153" i="19" s="1"/>
  <c r="F153" i="19" s="1"/>
  <c r="G153" i="19" s="1"/>
  <c r="H153" i="19" s="1"/>
  <c r="I153" i="19" s="1"/>
  <c r="R152" i="19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B152" i="19" s="1"/>
  <c r="H152" i="19"/>
  <c r="I152" i="19" s="1"/>
  <c r="J152" i="19" s="1"/>
  <c r="K152" i="19" s="1"/>
  <c r="L152" i="19" s="1"/>
  <c r="M152" i="19" s="1"/>
  <c r="N152" i="19" s="1"/>
  <c r="O152" i="19" s="1"/>
  <c r="P152" i="19" s="1"/>
  <c r="Q152" i="19" s="1"/>
  <c r="E152" i="19"/>
  <c r="F152" i="19" s="1"/>
  <c r="G152" i="19" s="1"/>
  <c r="D152" i="19"/>
  <c r="P151" i="19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B151" i="19" s="1"/>
  <c r="F151" i="19"/>
  <c r="G151" i="19" s="1"/>
  <c r="H151" i="19" s="1"/>
  <c r="I151" i="19" s="1"/>
  <c r="J151" i="19" s="1"/>
  <c r="K151" i="19" s="1"/>
  <c r="L151" i="19" s="1"/>
  <c r="M151" i="19" s="1"/>
  <c r="N151" i="19" s="1"/>
  <c r="O151" i="19" s="1"/>
  <c r="D151" i="19"/>
  <c r="E151" i="19" s="1"/>
  <c r="E149" i="19"/>
  <c r="F149" i="19" s="1"/>
  <c r="G149" i="19" s="1"/>
  <c r="H149" i="19" s="1"/>
  <c r="I149" i="19" s="1"/>
  <c r="J149" i="19" s="1"/>
  <c r="K149" i="19" s="1"/>
  <c r="L149" i="19" s="1"/>
  <c r="M149" i="19" s="1"/>
  <c r="N149" i="19" s="1"/>
  <c r="O149" i="19" s="1"/>
  <c r="P149" i="19" s="1"/>
  <c r="Q149" i="19" s="1"/>
  <c r="R149" i="19" s="1"/>
  <c r="S149" i="19" s="1"/>
  <c r="T149" i="19" s="1"/>
  <c r="U149" i="19" s="1"/>
  <c r="V149" i="19" s="1"/>
  <c r="W149" i="19" s="1"/>
  <c r="X149" i="19" s="1"/>
  <c r="Y149" i="19" s="1"/>
  <c r="Z149" i="19" s="1"/>
  <c r="AA149" i="19" s="1"/>
  <c r="AB149" i="19" s="1"/>
  <c r="AC149" i="19" s="1"/>
  <c r="AD149" i="19" s="1"/>
  <c r="AE149" i="19" s="1"/>
  <c r="AF149" i="19" s="1"/>
  <c r="B149" i="19" s="1"/>
  <c r="D149" i="19"/>
  <c r="M148" i="19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B148" i="19" s="1"/>
  <c r="D148" i="19"/>
  <c r="E148" i="19" s="1"/>
  <c r="F148" i="19" s="1"/>
  <c r="G148" i="19" s="1"/>
  <c r="H148" i="19" s="1"/>
  <c r="I148" i="19" s="1"/>
  <c r="J148" i="19" s="1"/>
  <c r="K148" i="19" s="1"/>
  <c r="L148" i="19" s="1"/>
  <c r="E146" i="19"/>
  <c r="F146" i="19" s="1"/>
  <c r="G146" i="19" s="1"/>
  <c r="H146" i="19" s="1"/>
  <c r="I146" i="19" s="1"/>
  <c r="J146" i="19" s="1"/>
  <c r="K146" i="19" s="1"/>
  <c r="L146" i="19" s="1"/>
  <c r="M146" i="19" s="1"/>
  <c r="N146" i="19" s="1"/>
  <c r="O146" i="19" s="1"/>
  <c r="P146" i="19" s="1"/>
  <c r="Q146" i="19" s="1"/>
  <c r="R146" i="19" s="1"/>
  <c r="S146" i="19" s="1"/>
  <c r="T146" i="19" s="1"/>
  <c r="U146" i="19" s="1"/>
  <c r="V146" i="19" s="1"/>
  <c r="W146" i="19" s="1"/>
  <c r="X146" i="19" s="1"/>
  <c r="Y146" i="19" s="1"/>
  <c r="Z146" i="19" s="1"/>
  <c r="AA146" i="19" s="1"/>
  <c r="AB146" i="19" s="1"/>
  <c r="AC146" i="19" s="1"/>
  <c r="AD146" i="19" s="1"/>
  <c r="AE146" i="19" s="1"/>
  <c r="AF146" i="19" s="1"/>
  <c r="B146" i="19" s="1"/>
  <c r="D146" i="19"/>
  <c r="Q145" i="19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B145" i="19" s="1"/>
  <c r="H145" i="19"/>
  <c r="I145" i="19" s="1"/>
  <c r="J145" i="19" s="1"/>
  <c r="K145" i="19" s="1"/>
  <c r="L145" i="19" s="1"/>
  <c r="M145" i="19" s="1"/>
  <c r="N145" i="19" s="1"/>
  <c r="O145" i="19" s="1"/>
  <c r="P145" i="19" s="1"/>
  <c r="D145" i="19"/>
  <c r="E145" i="19" s="1"/>
  <c r="F145" i="19" s="1"/>
  <c r="G145" i="19" s="1"/>
  <c r="G144" i="19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B144" i="19" s="1"/>
  <c r="D144" i="19"/>
  <c r="E144" i="19" s="1"/>
  <c r="F144" i="19" s="1"/>
  <c r="I143" i="19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B143" i="19" s="1"/>
  <c r="E143" i="19"/>
  <c r="F143" i="19" s="1"/>
  <c r="G143" i="19" s="1"/>
  <c r="H143" i="19" s="1"/>
  <c r="D143" i="19"/>
  <c r="AE142" i="19"/>
  <c r="AF142" i="19" s="1"/>
  <c r="B142" i="19" s="1"/>
  <c r="K142" i="19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G142" i="19"/>
  <c r="H142" i="19" s="1"/>
  <c r="I142" i="19" s="1"/>
  <c r="J142" i="19" s="1"/>
  <c r="D142" i="19"/>
  <c r="E142" i="19" s="1"/>
  <c r="F142" i="19" s="1"/>
  <c r="M141" i="19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B141" i="19" s="1"/>
  <c r="I141" i="19"/>
  <c r="J141" i="19" s="1"/>
  <c r="K141" i="19" s="1"/>
  <c r="L141" i="19" s="1"/>
  <c r="E141" i="19"/>
  <c r="F141" i="19" s="1"/>
  <c r="G141" i="19" s="1"/>
  <c r="H141" i="19" s="1"/>
  <c r="D141" i="19"/>
  <c r="D140" i="19"/>
  <c r="E140" i="19" s="1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B140" i="19" s="1"/>
  <c r="E138" i="19"/>
  <c r="F138" i="19" s="1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B138" i="19" s="1"/>
  <c r="D138" i="19"/>
  <c r="G137" i="19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B137" i="19" s="1"/>
  <c r="D137" i="19"/>
  <c r="E137" i="19" s="1"/>
  <c r="F137" i="19" s="1"/>
  <c r="J136" i="19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B136" i="19" s="1"/>
  <c r="E136" i="19"/>
  <c r="F136" i="19" s="1"/>
  <c r="G136" i="19" s="1"/>
  <c r="H136" i="19" s="1"/>
  <c r="I136" i="19" s="1"/>
  <c r="D136" i="19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B135" i="19" s="1"/>
  <c r="E134" i="19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B134" i="19" s="1"/>
  <c r="D134" i="19"/>
  <c r="D133" i="19"/>
  <c r="E133" i="19" s="1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B133" i="19" s="1"/>
  <c r="E132" i="19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B132" i="19" s="1"/>
  <c r="D132" i="19"/>
  <c r="M131" i="19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B131" i="19" s="1"/>
  <c r="F131" i="19"/>
  <c r="G131" i="19" s="1"/>
  <c r="H131" i="19" s="1"/>
  <c r="I131" i="19" s="1"/>
  <c r="J131" i="19" s="1"/>
  <c r="K131" i="19" s="1"/>
  <c r="L131" i="19" s="1"/>
  <c r="E131" i="19"/>
  <c r="D131" i="19"/>
  <c r="K129" i="19"/>
  <c r="L129" i="19" s="1"/>
  <c r="M129" i="19" s="1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B129" i="19" s="1"/>
  <c r="D129" i="19"/>
  <c r="E129" i="19" s="1"/>
  <c r="F129" i="19" s="1"/>
  <c r="G129" i="19" s="1"/>
  <c r="H129" i="19" s="1"/>
  <c r="I129" i="19" s="1"/>
  <c r="J129" i="19" s="1"/>
  <c r="G128" i="19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B128" i="19" s="1"/>
  <c r="D128" i="19"/>
  <c r="E128" i="19" s="1"/>
  <c r="F128" i="19" s="1"/>
  <c r="E127" i="19"/>
  <c r="F127" i="19" s="1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B127" i="19" s="1"/>
  <c r="D127" i="19"/>
  <c r="D126" i="19"/>
  <c r="E126" i="19" s="1"/>
  <c r="F126" i="19" s="1"/>
  <c r="G126" i="19" s="1"/>
  <c r="J125" i="19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B125" i="19" s="1"/>
  <c r="H125" i="19"/>
  <c r="E125" i="19"/>
  <c r="F125" i="19" s="1"/>
  <c r="G125" i="19" s="1"/>
  <c r="D125" i="19"/>
  <c r="K124" i="19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B124" i="19" s="1"/>
  <c r="F124" i="19"/>
  <c r="G124" i="19" s="1"/>
  <c r="H124" i="19" s="1"/>
  <c r="I124" i="19" s="1"/>
  <c r="J124" i="19" s="1"/>
  <c r="E124" i="19"/>
  <c r="D124" i="19"/>
  <c r="F123" i="19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B123" i="19" s="1"/>
  <c r="E123" i="19"/>
  <c r="D123" i="19"/>
  <c r="D122" i="19"/>
  <c r="E122" i="19" s="1"/>
  <c r="F122" i="19" s="1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B122" i="19" s="1"/>
  <c r="I121" i="19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B121" i="19" s="1"/>
  <c r="E121" i="19"/>
  <c r="F121" i="19" s="1"/>
  <c r="G121" i="19" s="1"/>
  <c r="H121" i="19" s="1"/>
  <c r="D121" i="19"/>
  <c r="G120" i="19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B120" i="19" s="1"/>
  <c r="F120" i="19"/>
  <c r="E120" i="19"/>
  <c r="D120" i="19"/>
  <c r="G119" i="19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B119" i="19" s="1"/>
  <c r="E119" i="19"/>
  <c r="F119" i="19" s="1"/>
  <c r="D119" i="19"/>
  <c r="E118" i="19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B118" i="19" s="1"/>
  <c r="D118" i="19"/>
  <c r="M117" i="19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B117" i="19" s="1"/>
  <c r="H117" i="19"/>
  <c r="I117" i="19" s="1"/>
  <c r="J117" i="19" s="1"/>
  <c r="K117" i="19" s="1"/>
  <c r="L117" i="19" s="1"/>
  <c r="E117" i="19"/>
  <c r="F117" i="19" s="1"/>
  <c r="G117" i="19" s="1"/>
  <c r="D117" i="19"/>
  <c r="K116" i="19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B116" i="19" s="1"/>
  <c r="F116" i="19"/>
  <c r="G116" i="19" s="1"/>
  <c r="H116" i="19" s="1"/>
  <c r="I116" i="19" s="1"/>
  <c r="J116" i="19" s="1"/>
  <c r="E116" i="19"/>
  <c r="D116" i="19"/>
  <c r="F115" i="19"/>
  <c r="G115" i="19" s="1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B115" i="19" s="1"/>
  <c r="D115" i="19"/>
  <c r="E115" i="19" s="1"/>
  <c r="L114" i="19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B114" i="19" s="1"/>
  <c r="K114" i="19"/>
  <c r="H114" i="19"/>
  <c r="I114" i="19" s="1"/>
  <c r="E114" i="19"/>
  <c r="F114" i="19" s="1"/>
  <c r="G114" i="19" s="1"/>
  <c r="D114" i="19"/>
  <c r="J113" i="19"/>
  <c r="K113" i="19" s="1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B113" i="19" s="1"/>
  <c r="D113" i="19"/>
  <c r="E113" i="19" s="1"/>
  <c r="F113" i="19" s="1"/>
  <c r="G113" i="19" s="1"/>
  <c r="H113" i="19" s="1"/>
  <c r="I113" i="19" s="1"/>
  <c r="F112" i="19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B112" i="19" s="1"/>
  <c r="D112" i="19"/>
  <c r="E112" i="19" s="1"/>
  <c r="F110" i="19"/>
  <c r="G110" i="19" s="1"/>
  <c r="H110" i="19" s="1"/>
  <c r="I110" i="19" s="1"/>
  <c r="J110" i="19" s="1"/>
  <c r="K110" i="19" s="1"/>
  <c r="L110" i="19" s="1"/>
  <c r="M110" i="19" s="1"/>
  <c r="N110" i="19" s="1"/>
  <c r="O110" i="19" s="1"/>
  <c r="P110" i="19" s="1"/>
  <c r="Q110" i="19" s="1"/>
  <c r="R110" i="19" s="1"/>
  <c r="S110" i="19" s="1"/>
  <c r="T110" i="19" s="1"/>
  <c r="U110" i="19" s="1"/>
  <c r="V110" i="19" s="1"/>
  <c r="W110" i="19" s="1"/>
  <c r="X110" i="19" s="1"/>
  <c r="Y110" i="19" s="1"/>
  <c r="Z110" i="19" s="1"/>
  <c r="AA110" i="19" s="1"/>
  <c r="AB110" i="19" s="1"/>
  <c r="AC110" i="19" s="1"/>
  <c r="AD110" i="19" s="1"/>
  <c r="AE110" i="19" s="1"/>
  <c r="AF110" i="19" s="1"/>
  <c r="B110" i="19" s="1"/>
  <c r="D110" i="19"/>
  <c r="E110" i="19" s="1"/>
  <c r="D109" i="19"/>
  <c r="E109" i="19" s="1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B109" i="19" s="1"/>
  <c r="E107" i="19"/>
  <c r="F107" i="19" s="1"/>
  <c r="G107" i="19" s="1"/>
  <c r="H107" i="19" s="1"/>
  <c r="I107" i="19" s="1"/>
  <c r="J107" i="19" s="1"/>
  <c r="K107" i="19" s="1"/>
  <c r="L107" i="19" s="1"/>
  <c r="M107" i="19" s="1"/>
  <c r="N107" i="19" s="1"/>
  <c r="O107" i="19" s="1"/>
  <c r="P107" i="19" s="1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B107" i="19" s="1"/>
  <c r="D107" i="19"/>
  <c r="E106" i="19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B106" i="19" s="1"/>
  <c r="D106" i="19"/>
  <c r="D105" i="19"/>
  <c r="E105" i="19" s="1"/>
  <c r="F105" i="19" s="1"/>
  <c r="G105" i="19" s="1"/>
  <c r="H105" i="19" s="1"/>
  <c r="I105" i="19" s="1"/>
  <c r="J105" i="19" s="1"/>
  <c r="K105" i="19" s="1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B105" i="19" s="1"/>
  <c r="G104" i="19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B104" i="19" s="1"/>
  <c r="D104" i="19"/>
  <c r="E104" i="19" s="1"/>
  <c r="F104" i="19" s="1"/>
  <c r="G103" i="19"/>
  <c r="H103" i="19" s="1"/>
  <c r="E103" i="19"/>
  <c r="F103" i="19" s="1"/>
  <c r="D103" i="19"/>
  <c r="F102" i="19"/>
  <c r="E102" i="19"/>
  <c r="D102" i="19"/>
  <c r="AH100" i="19"/>
  <c r="AI100" i="19" s="1"/>
  <c r="AH99" i="19"/>
  <c r="AI99" i="19" s="1"/>
  <c r="AH98" i="19"/>
  <c r="AI98" i="19" s="1"/>
  <c r="AH97" i="19"/>
  <c r="AI97" i="19" s="1"/>
  <c r="AH96" i="19"/>
  <c r="AI96" i="19" s="1"/>
  <c r="AH95" i="19"/>
  <c r="AI95" i="19" s="1"/>
  <c r="AH94" i="19"/>
  <c r="AI94" i="19" s="1"/>
  <c r="D93" i="19"/>
  <c r="C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2" i="19"/>
  <c r="AH82" i="19"/>
  <c r="AG82" i="19"/>
  <c r="AI81" i="19"/>
  <c r="AH81" i="19"/>
  <c r="AI80" i="19"/>
  <c r="AH80" i="19"/>
  <c r="AI79" i="19"/>
  <c r="AH79" i="19"/>
  <c r="AI78" i="19"/>
  <c r="AH78" i="19"/>
  <c r="AI77" i="19"/>
  <c r="AH77" i="19"/>
  <c r="AI76" i="19"/>
  <c r="AH76" i="19"/>
  <c r="AI74" i="19"/>
  <c r="AH74" i="19"/>
  <c r="AI73" i="19"/>
  <c r="AH73" i="19"/>
  <c r="AI72" i="19"/>
  <c r="AH72" i="19"/>
  <c r="AG72" i="19"/>
  <c r="AI71" i="19"/>
  <c r="AH71" i="19"/>
  <c r="AI70" i="19"/>
  <c r="AH70" i="19"/>
  <c r="AI69" i="19"/>
  <c r="AH69" i="19"/>
  <c r="AG68" i="19"/>
  <c r="AG75" i="19" s="1"/>
  <c r="AF68" i="19"/>
  <c r="AE68" i="19"/>
  <c r="AD5" i="19" s="1"/>
  <c r="AD68" i="19"/>
  <c r="AC5" i="19" s="1"/>
  <c r="AC68" i="19"/>
  <c r="AB5" i="19" s="1"/>
  <c r="AB68" i="19"/>
  <c r="AA5" i="19" s="1"/>
  <c r="AA68" i="19"/>
  <c r="Z68" i="19"/>
  <c r="Y68" i="19"/>
  <c r="X5" i="19" s="1"/>
  <c r="X68" i="19"/>
  <c r="W5" i="19" s="1"/>
  <c r="W68" i="19"/>
  <c r="V68" i="19"/>
  <c r="U5" i="19" s="1"/>
  <c r="U68" i="19"/>
  <c r="T5" i="19" s="1"/>
  <c r="T68" i="19"/>
  <c r="S5" i="19" s="1"/>
  <c r="S68" i="19"/>
  <c r="R68" i="19"/>
  <c r="Q5" i="19" s="1"/>
  <c r="Q68" i="19"/>
  <c r="P5" i="19" s="1"/>
  <c r="P68" i="19"/>
  <c r="O5" i="19" s="1"/>
  <c r="O68" i="19"/>
  <c r="N5" i="19" s="1"/>
  <c r="N68" i="19"/>
  <c r="M5" i="19" s="1"/>
  <c r="M68" i="19"/>
  <c r="L5" i="19" s="1"/>
  <c r="L68" i="19"/>
  <c r="K5" i="19" s="1"/>
  <c r="K68" i="19"/>
  <c r="J68" i="19"/>
  <c r="I5" i="19" s="1"/>
  <c r="I68" i="19"/>
  <c r="H5" i="19" s="1"/>
  <c r="H68" i="19"/>
  <c r="G5" i="19" s="1"/>
  <c r="G68" i="19"/>
  <c r="F5" i="19" s="1"/>
  <c r="F68" i="19"/>
  <c r="E5" i="19" s="1"/>
  <c r="E68" i="19"/>
  <c r="D5" i="19" s="1"/>
  <c r="D68" i="19"/>
  <c r="C68" i="19"/>
  <c r="B68" i="19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G56" i="19"/>
  <c r="AG4" i="19" s="1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AI55" i="19"/>
  <c r="AH55" i="19"/>
  <c r="AI54" i="19"/>
  <c r="AH54" i="19"/>
  <c r="AI53" i="19"/>
  <c r="AH53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AI51" i="19"/>
  <c r="AH51" i="19"/>
  <c r="AG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F38" i="19"/>
  <c r="AE38" i="19"/>
  <c r="AD38" i="19"/>
  <c r="AC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E5" i="19"/>
  <c r="Z5" i="19"/>
  <c r="Y5" i="19"/>
  <c r="V5" i="19"/>
  <c r="R5" i="19"/>
  <c r="J5" i="19"/>
  <c r="C5" i="19"/>
  <c r="B5" i="19"/>
  <c r="K4" i="19"/>
  <c r="B4" i="19"/>
  <c r="AG3" i="19"/>
  <c r="AG2" i="19"/>
  <c r="R37" i="18"/>
  <c r="Q37" i="18"/>
  <c r="P37" i="18"/>
  <c r="M37" i="18"/>
  <c r="L37" i="18"/>
  <c r="K37" i="18"/>
  <c r="J37" i="18"/>
  <c r="I37" i="18"/>
  <c r="H37" i="18"/>
  <c r="G95" i="18"/>
  <c r="G37" i="18"/>
  <c r="F37" i="18"/>
  <c r="E37" i="18"/>
  <c r="D95" i="18"/>
  <c r="C95" i="18"/>
  <c r="B95" i="18"/>
  <c r="AF239" i="18"/>
  <c r="AE239" i="18"/>
  <c r="AD239" i="18"/>
  <c r="AC239" i="18"/>
  <c r="AB239" i="18"/>
  <c r="AA239" i="18"/>
  <c r="Z239" i="18"/>
  <c r="Y239" i="18"/>
  <c r="X239" i="18"/>
  <c r="W239" i="18"/>
  <c r="V239" i="18"/>
  <c r="U239" i="18"/>
  <c r="T239" i="18"/>
  <c r="S239" i="18"/>
  <c r="R239" i="18"/>
  <c r="Q239" i="18"/>
  <c r="P239" i="18"/>
  <c r="O239" i="18"/>
  <c r="N239" i="18"/>
  <c r="M239" i="18"/>
  <c r="L239" i="18"/>
  <c r="K239" i="18"/>
  <c r="J239" i="18"/>
  <c r="I239" i="18"/>
  <c r="H239" i="18"/>
  <c r="G239" i="18"/>
  <c r="F239" i="18"/>
  <c r="E239" i="18"/>
  <c r="D239" i="18"/>
  <c r="C239" i="18"/>
  <c r="B239" i="18"/>
  <c r="A239" i="18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B235" i="18"/>
  <c r="S210" i="18"/>
  <c r="AG200" i="18"/>
  <c r="C200" i="18"/>
  <c r="D199" i="18"/>
  <c r="E199" i="18" s="1"/>
  <c r="D235" i="18" s="1"/>
  <c r="G198" i="18"/>
  <c r="H198" i="18" s="1"/>
  <c r="I198" i="18" s="1"/>
  <c r="J198" i="18" s="1"/>
  <c r="K198" i="18" s="1"/>
  <c r="L198" i="18" s="1"/>
  <c r="M198" i="18" s="1"/>
  <c r="N198" i="18" s="1"/>
  <c r="O198" i="18" s="1"/>
  <c r="P198" i="18" s="1"/>
  <c r="Q198" i="18" s="1"/>
  <c r="R198" i="18" s="1"/>
  <c r="S198" i="18" s="1"/>
  <c r="T198" i="18" s="1"/>
  <c r="U198" i="18" s="1"/>
  <c r="V198" i="18" s="1"/>
  <c r="W198" i="18" s="1"/>
  <c r="X198" i="18" s="1"/>
  <c r="Y198" i="18" s="1"/>
  <c r="Z198" i="18" s="1"/>
  <c r="AA198" i="18" s="1"/>
  <c r="AB198" i="18" s="1"/>
  <c r="AC198" i="18" s="1"/>
  <c r="AD198" i="18" s="1"/>
  <c r="AE198" i="18" s="1"/>
  <c r="AF198" i="18" s="1"/>
  <c r="B198" i="18" s="1"/>
  <c r="D198" i="18"/>
  <c r="E198" i="18" s="1"/>
  <c r="F198" i="18" s="1"/>
  <c r="D197" i="18"/>
  <c r="E197" i="18" s="1"/>
  <c r="F197" i="18" s="1"/>
  <c r="G197" i="18" s="1"/>
  <c r="H197" i="18" s="1"/>
  <c r="I197" i="18" s="1"/>
  <c r="J197" i="18" s="1"/>
  <c r="K197" i="18" s="1"/>
  <c r="L197" i="18" s="1"/>
  <c r="M197" i="18" s="1"/>
  <c r="N197" i="18" s="1"/>
  <c r="O197" i="18" s="1"/>
  <c r="P197" i="18" s="1"/>
  <c r="Q197" i="18" s="1"/>
  <c r="R197" i="18" s="1"/>
  <c r="S197" i="18" s="1"/>
  <c r="T197" i="18" s="1"/>
  <c r="U197" i="18" s="1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7" i="18" s="1"/>
  <c r="AF197" i="18" s="1"/>
  <c r="B197" i="18" s="1"/>
  <c r="D196" i="18"/>
  <c r="E196" i="18" s="1"/>
  <c r="F196" i="18" s="1"/>
  <c r="G196" i="18" s="1"/>
  <c r="H196" i="18" s="1"/>
  <c r="I196" i="18" s="1"/>
  <c r="J196" i="18" s="1"/>
  <c r="K196" i="18" s="1"/>
  <c r="L196" i="18" s="1"/>
  <c r="M196" i="18" s="1"/>
  <c r="N196" i="18" s="1"/>
  <c r="O196" i="18" s="1"/>
  <c r="P196" i="18" s="1"/>
  <c r="Q196" i="18" s="1"/>
  <c r="R196" i="18" s="1"/>
  <c r="S196" i="18" s="1"/>
  <c r="T196" i="18" s="1"/>
  <c r="U196" i="18" s="1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6" i="18" s="1"/>
  <c r="AF196" i="18" s="1"/>
  <c r="B196" i="18" s="1"/>
  <c r="D195" i="18"/>
  <c r="D194" i="18"/>
  <c r="E194" i="18" s="1"/>
  <c r="AG192" i="18"/>
  <c r="C192" i="18"/>
  <c r="E191" i="18"/>
  <c r="F191" i="18" s="1"/>
  <c r="G191" i="18" s="1"/>
  <c r="H191" i="18" s="1"/>
  <c r="I191" i="18" s="1"/>
  <c r="J191" i="18" s="1"/>
  <c r="K191" i="18" s="1"/>
  <c r="L191" i="18" s="1"/>
  <c r="M191" i="18" s="1"/>
  <c r="N191" i="18" s="1"/>
  <c r="O191" i="18" s="1"/>
  <c r="P191" i="18" s="1"/>
  <c r="Q191" i="18" s="1"/>
  <c r="R191" i="18" s="1"/>
  <c r="S191" i="18" s="1"/>
  <c r="T191" i="18" s="1"/>
  <c r="U191" i="18" s="1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B191" i="18" s="1"/>
  <c r="D191" i="18"/>
  <c r="D190" i="18"/>
  <c r="E190" i="18" s="1"/>
  <c r="F190" i="18" s="1"/>
  <c r="G190" i="18" s="1"/>
  <c r="H190" i="18" s="1"/>
  <c r="I190" i="18" s="1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B190" i="18" s="1"/>
  <c r="D189" i="18"/>
  <c r="E189" i="18" s="1"/>
  <c r="F189" i="18" s="1"/>
  <c r="G189" i="18" s="1"/>
  <c r="H189" i="18" s="1"/>
  <c r="I189" i="18" s="1"/>
  <c r="J189" i="18" s="1"/>
  <c r="K189" i="18" s="1"/>
  <c r="L189" i="18" s="1"/>
  <c r="M189" i="18" s="1"/>
  <c r="N189" i="18" s="1"/>
  <c r="O189" i="18" s="1"/>
  <c r="P189" i="18" s="1"/>
  <c r="Q189" i="18" s="1"/>
  <c r="R189" i="18" s="1"/>
  <c r="S189" i="18" s="1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B189" i="18" s="1"/>
  <c r="D188" i="18"/>
  <c r="E188" i="18" s="1"/>
  <c r="F188" i="18" s="1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B188" i="18" s="1"/>
  <c r="E187" i="18"/>
  <c r="F187" i="18" s="1"/>
  <c r="G187" i="18" s="1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B187" i="18" s="1"/>
  <c r="D187" i="18"/>
  <c r="H186" i="18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B186" i="18" s="1"/>
  <c r="D186" i="18"/>
  <c r="E186" i="18" s="1"/>
  <c r="F186" i="18" s="1"/>
  <c r="G186" i="18" s="1"/>
  <c r="D185" i="18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B185" i="18" s="1"/>
  <c r="D184" i="18"/>
  <c r="E184" i="18" s="1"/>
  <c r="F184" i="18" s="1"/>
  <c r="G184" i="18" s="1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B184" i="18" s="1"/>
  <c r="D183" i="18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B183" i="18" s="1"/>
  <c r="D182" i="18"/>
  <c r="E182" i="18" s="1"/>
  <c r="F182" i="18" s="1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B182" i="18" s="1"/>
  <c r="D181" i="18"/>
  <c r="E181" i="18" s="1"/>
  <c r="F181" i="18" s="1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B181" i="18" s="1"/>
  <c r="D180" i="18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B180" i="18" s="1"/>
  <c r="D179" i="18"/>
  <c r="E179" i="18" s="1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B179" i="18" s="1"/>
  <c r="D177" i="18"/>
  <c r="E177" i="18" s="1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B177" i="18" s="1"/>
  <c r="D176" i="18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B176" i="18" s="1"/>
  <c r="E175" i="18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B175" i="18" s="1"/>
  <c r="D175" i="18"/>
  <c r="D174" i="18"/>
  <c r="E174" i="18" s="1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B174" i="18" s="1"/>
  <c r="D173" i="18"/>
  <c r="E173" i="18" s="1"/>
  <c r="F173" i="18" s="1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B173" i="18" s="1"/>
  <c r="D172" i="18"/>
  <c r="E172" i="18" s="1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B172" i="18" s="1"/>
  <c r="D171" i="18"/>
  <c r="E171" i="18" s="1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B171" i="18" s="1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B170" i="18" s="1"/>
  <c r="D168" i="18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B168" i="18" s="1"/>
  <c r="D167" i="18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B167" i="18" s="1"/>
  <c r="D166" i="18"/>
  <c r="E166" i="18" s="1"/>
  <c r="F166" i="18" s="1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B166" i="18" s="1"/>
  <c r="D165" i="18"/>
  <c r="E165" i="18" s="1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B165" i="18" s="1"/>
  <c r="D164" i="18"/>
  <c r="E164" i="18" s="1"/>
  <c r="F164" i="18" s="1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B164" i="18" s="1"/>
  <c r="D163" i="18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B163" i="18" s="1"/>
  <c r="D162" i="18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B162" i="18" s="1"/>
  <c r="D161" i="18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B161" i="18" s="1"/>
  <c r="D160" i="18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B160" i="18" s="1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B159" i="18" s="1"/>
  <c r="D158" i="18"/>
  <c r="E158" i="18" s="1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B158" i="18" s="1"/>
  <c r="E157" i="18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B157" i="18" s="1"/>
  <c r="D157" i="18"/>
  <c r="D156" i="18"/>
  <c r="E156" i="18" s="1"/>
  <c r="F156" i="18" s="1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B156" i="18" s="1"/>
  <c r="D154" i="18"/>
  <c r="E154" i="18" s="1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B154" i="18" s="1"/>
  <c r="D153" i="18"/>
  <c r="E153" i="18" s="1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B153" i="18" s="1"/>
  <c r="D152" i="18"/>
  <c r="E152" i="18" s="1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B152" i="18" s="1"/>
  <c r="D151" i="18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B151" i="18" s="1"/>
  <c r="F149" i="18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B149" i="18" s="1"/>
  <c r="D149" i="18"/>
  <c r="E149" i="18" s="1"/>
  <c r="K148" i="18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B148" i="18" s="1"/>
  <c r="D148" i="18"/>
  <c r="E148" i="18" s="1"/>
  <c r="F148" i="18" s="1"/>
  <c r="G148" i="18" s="1"/>
  <c r="H148" i="18" s="1"/>
  <c r="I148" i="18" s="1"/>
  <c r="J148" i="18" s="1"/>
  <c r="E146" i="18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B146" i="18" s="1"/>
  <c r="D146" i="18"/>
  <c r="D145" i="18"/>
  <c r="E145" i="18" s="1"/>
  <c r="F145" i="18" s="1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B145" i="18" s="1"/>
  <c r="D144" i="18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B144" i="18" s="1"/>
  <c r="G143" i="18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B143" i="18" s="1"/>
  <c r="D143" i="18"/>
  <c r="E143" i="18" s="1"/>
  <c r="F143" i="18" s="1"/>
  <c r="D142" i="18"/>
  <c r="E142" i="18" s="1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B142" i="18" s="1"/>
  <c r="E141" i="18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B141" i="18" s="1"/>
  <c r="D141" i="18"/>
  <c r="D140" i="18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B140" i="18" s="1"/>
  <c r="D138" i="18"/>
  <c r="E138" i="18" s="1"/>
  <c r="F138" i="18" s="1"/>
  <c r="G138" i="18" s="1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B138" i="18" s="1"/>
  <c r="D137" i="18"/>
  <c r="E137" i="18" s="1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B137" i="18" s="1"/>
  <c r="D136" i="18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B136" i="18" s="1"/>
  <c r="D135" i="18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B135" i="18" s="1"/>
  <c r="D134" i="18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B134" i="18" s="1"/>
  <c r="D133" i="18"/>
  <c r="E133" i="18" s="1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B133" i="18" s="1"/>
  <c r="E132" i="18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B132" i="18" s="1"/>
  <c r="D132" i="18"/>
  <c r="D131" i="18"/>
  <c r="E131" i="18" s="1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B131" i="18" s="1"/>
  <c r="J129" i="18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B129" i="18" s="1"/>
  <c r="D129" i="18"/>
  <c r="E129" i="18" s="1"/>
  <c r="F129" i="18" s="1"/>
  <c r="G129" i="18" s="1"/>
  <c r="H129" i="18" s="1"/>
  <c r="I129" i="18" s="1"/>
  <c r="D128" i="18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B128" i="18" s="1"/>
  <c r="D127" i="18"/>
  <c r="E127" i="18" s="1"/>
  <c r="F127" i="18" s="1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B127" i="18" s="1"/>
  <c r="F126" i="18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B126" i="18" s="1"/>
  <c r="D126" i="18"/>
  <c r="E126" i="18" s="1"/>
  <c r="J125" i="18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B125" i="18" s="1"/>
  <c r="E125" i="18"/>
  <c r="F125" i="18" s="1"/>
  <c r="G125" i="18" s="1"/>
  <c r="H125" i="18" s="1"/>
  <c r="D125" i="18"/>
  <c r="D124" i="18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B124" i="18" s="1"/>
  <c r="E123" i="18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B123" i="18" s="1"/>
  <c r="D123" i="18"/>
  <c r="E122" i="18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B122" i="18" s="1"/>
  <c r="D122" i="18"/>
  <c r="D121" i="18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B121" i="18" s="1"/>
  <c r="D120" i="18"/>
  <c r="E120" i="18" s="1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B120" i="18" s="1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B119" i="18" s="1"/>
  <c r="D118" i="18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B118" i="18" s="1"/>
  <c r="F117" i="18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B117" i="18" s="1"/>
  <c r="D117" i="18"/>
  <c r="E117" i="18" s="1"/>
  <c r="E116" i="18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B116" i="18" s="1"/>
  <c r="D116" i="18"/>
  <c r="D115" i="18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B115" i="18" s="1"/>
  <c r="L114" i="18"/>
  <c r="M114" i="18" s="1"/>
  <c r="N114" i="18" s="1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B114" i="18" s="1"/>
  <c r="K114" i="18"/>
  <c r="D114" i="18"/>
  <c r="E114" i="18" s="1"/>
  <c r="F114" i="18" s="1"/>
  <c r="G114" i="18" s="1"/>
  <c r="H114" i="18" s="1"/>
  <c r="I114" i="18" s="1"/>
  <c r="D113" i="18"/>
  <c r="E113" i="18" s="1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B113" i="18" s="1"/>
  <c r="D112" i="18"/>
  <c r="E112" i="18" s="1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B112" i="18" s="1"/>
  <c r="D110" i="18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B110" i="18" s="1"/>
  <c r="D109" i="18"/>
  <c r="E109" i="18" s="1"/>
  <c r="F109" i="18" s="1"/>
  <c r="G109" i="18" s="1"/>
  <c r="H109" i="18" s="1"/>
  <c r="I109" i="18" s="1"/>
  <c r="J109" i="18" s="1"/>
  <c r="K109" i="18" s="1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B109" i="18" s="1"/>
  <c r="D107" i="18"/>
  <c r="E107" i="18" s="1"/>
  <c r="F107" i="18" s="1"/>
  <c r="G107" i="18" s="1"/>
  <c r="H107" i="18" s="1"/>
  <c r="I107" i="18" s="1"/>
  <c r="J107" i="18" s="1"/>
  <c r="K107" i="18" s="1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B107" i="18" s="1"/>
  <c r="E106" i="18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B106" i="18" s="1"/>
  <c r="D106" i="18"/>
  <c r="D105" i="18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B105" i="18" s="1"/>
  <c r="D104" i="18"/>
  <c r="E104" i="18" s="1"/>
  <c r="F104" i="18" s="1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B104" i="18" s="1"/>
  <c r="E103" i="18"/>
  <c r="F103" i="18" s="1"/>
  <c r="D103" i="18"/>
  <c r="D102" i="18"/>
  <c r="AH100" i="18"/>
  <c r="AI100" i="18" s="1"/>
  <c r="AH99" i="18"/>
  <c r="AI99" i="18" s="1"/>
  <c r="AH98" i="18"/>
  <c r="AI98" i="18" s="1"/>
  <c r="AH97" i="18"/>
  <c r="AI97" i="18" s="1"/>
  <c r="AH96" i="18"/>
  <c r="AI96" i="18" s="1"/>
  <c r="AH95" i="18"/>
  <c r="AI95" i="18" s="1"/>
  <c r="AH94" i="18"/>
  <c r="AI94" i="18" s="1"/>
  <c r="C93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2" i="18"/>
  <c r="AH82" i="18"/>
  <c r="AG82" i="18"/>
  <c r="AI81" i="18"/>
  <c r="AH81" i="18"/>
  <c r="AI80" i="18"/>
  <c r="AH80" i="18"/>
  <c r="AI79" i="18"/>
  <c r="AH79" i="18"/>
  <c r="AI78" i="18"/>
  <c r="AH78" i="18"/>
  <c r="AI77" i="18"/>
  <c r="AH77" i="18"/>
  <c r="AI76" i="18"/>
  <c r="AH76" i="18"/>
  <c r="AI74" i="18"/>
  <c r="AH74" i="18"/>
  <c r="AI73" i="18"/>
  <c r="AH73" i="18"/>
  <c r="AI72" i="18"/>
  <c r="AH72" i="18"/>
  <c r="AG72" i="18"/>
  <c r="AI71" i="18"/>
  <c r="AH71" i="18"/>
  <c r="AI70" i="18"/>
  <c r="AH70" i="18"/>
  <c r="AI69" i="18"/>
  <c r="AH69" i="18"/>
  <c r="AG68" i="18"/>
  <c r="AF68" i="18"/>
  <c r="AE5" i="18" s="1"/>
  <c r="AE68" i="18"/>
  <c r="AD68" i="18"/>
  <c r="AC5" i="18" s="1"/>
  <c r="AC68" i="18"/>
  <c r="AB5" i="18" s="1"/>
  <c r="AB68" i="18"/>
  <c r="AA5" i="18" s="1"/>
  <c r="AA68" i="18"/>
  <c r="Z5" i="18" s="1"/>
  <c r="Z68" i="18"/>
  <c r="Y5" i="18" s="1"/>
  <c r="Y68" i="18"/>
  <c r="X5" i="18" s="1"/>
  <c r="X68" i="18"/>
  <c r="W5" i="18" s="1"/>
  <c r="W68" i="18"/>
  <c r="V5" i="18" s="1"/>
  <c r="V68" i="18"/>
  <c r="U5" i="18" s="1"/>
  <c r="U68" i="18"/>
  <c r="T5" i="18" s="1"/>
  <c r="T68" i="18"/>
  <c r="S5" i="18" s="1"/>
  <c r="S68" i="18"/>
  <c r="R5" i="18" s="1"/>
  <c r="R68" i="18"/>
  <c r="Q68" i="18"/>
  <c r="P5" i="18" s="1"/>
  <c r="P68" i="18"/>
  <c r="O5" i="18" s="1"/>
  <c r="O68" i="18"/>
  <c r="N5" i="18" s="1"/>
  <c r="N68" i="18"/>
  <c r="M5" i="18" s="1"/>
  <c r="M68" i="18"/>
  <c r="L5" i="18" s="1"/>
  <c r="L68" i="18"/>
  <c r="K5" i="18" s="1"/>
  <c r="K68" i="18"/>
  <c r="J5" i="18" s="1"/>
  <c r="J68" i="18"/>
  <c r="I5" i="18" s="1"/>
  <c r="I68" i="18"/>
  <c r="H5" i="18" s="1"/>
  <c r="H68" i="18"/>
  <c r="G5" i="18" s="1"/>
  <c r="G68" i="18"/>
  <c r="F5" i="18" s="1"/>
  <c r="F68" i="18"/>
  <c r="E5" i="18" s="1"/>
  <c r="E68" i="18"/>
  <c r="D5" i="18" s="1"/>
  <c r="D68" i="18"/>
  <c r="C5" i="18" s="1"/>
  <c r="C68" i="18"/>
  <c r="B5" i="18" s="1"/>
  <c r="B68" i="18"/>
  <c r="AF5" i="18" s="1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G56" i="18"/>
  <c r="AG4" i="18" s="1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AI55" i="18"/>
  <c r="AH55" i="18"/>
  <c r="AI54" i="18"/>
  <c r="AH54" i="18"/>
  <c r="AI53" i="18"/>
  <c r="AH53" i="18"/>
  <c r="AG52" i="18"/>
  <c r="AG3" i="18" s="1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AI51" i="18"/>
  <c r="AH51" i="18"/>
  <c r="AG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G38" i="18"/>
  <c r="AG2" i="18" s="1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D5" i="18"/>
  <c r="Q5" i="18"/>
  <c r="K4" i="18"/>
  <c r="B4" i="18"/>
  <c r="AF95" i="17"/>
  <c r="AE95" i="17"/>
  <c r="AD95" i="17"/>
  <c r="AC95" i="17"/>
  <c r="AB95" i="17"/>
  <c r="Z95" i="17"/>
  <c r="X95" i="17"/>
  <c r="X37" i="17"/>
  <c r="W95" i="17"/>
  <c r="W37" i="17"/>
  <c r="V95" i="17"/>
  <c r="U95" i="17"/>
  <c r="V37" i="17"/>
  <c r="U37" i="17"/>
  <c r="T95" i="17"/>
  <c r="T37" i="17"/>
  <c r="S95" i="17"/>
  <c r="J37" i="17"/>
  <c r="I37" i="17"/>
  <c r="H37" i="17"/>
  <c r="G37" i="17"/>
  <c r="F37" i="17"/>
  <c r="E37" i="17"/>
  <c r="D37" i="17"/>
  <c r="AF239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B239" i="17"/>
  <c r="A239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B235" i="17"/>
  <c r="S210" i="17"/>
  <c r="AG200" i="17"/>
  <c r="D200" i="17"/>
  <c r="C200" i="17"/>
  <c r="D199" i="17"/>
  <c r="C235" i="17" s="1"/>
  <c r="F198" i="17"/>
  <c r="G198" i="17" s="1"/>
  <c r="H198" i="17" s="1"/>
  <c r="I198" i="17" s="1"/>
  <c r="J198" i="17" s="1"/>
  <c r="K198" i="17" s="1"/>
  <c r="L198" i="17" s="1"/>
  <c r="M198" i="17" s="1"/>
  <c r="N198" i="17" s="1"/>
  <c r="O198" i="17" s="1"/>
  <c r="P198" i="17" s="1"/>
  <c r="Q198" i="17" s="1"/>
  <c r="R198" i="17" s="1"/>
  <c r="S198" i="17" s="1"/>
  <c r="T198" i="17" s="1"/>
  <c r="U198" i="17" s="1"/>
  <c r="V198" i="17" s="1"/>
  <c r="W198" i="17" s="1"/>
  <c r="X198" i="17" s="1"/>
  <c r="Y198" i="17" s="1"/>
  <c r="Z198" i="17" s="1"/>
  <c r="AA198" i="17" s="1"/>
  <c r="AB198" i="17" s="1"/>
  <c r="AC198" i="17" s="1"/>
  <c r="AD198" i="17" s="1"/>
  <c r="AE198" i="17" s="1"/>
  <c r="AF198" i="17" s="1"/>
  <c r="B198" i="17" s="1"/>
  <c r="E198" i="17"/>
  <c r="D198" i="17"/>
  <c r="Z197" i="17"/>
  <c r="AA197" i="17" s="1"/>
  <c r="AB197" i="17" s="1"/>
  <c r="AC197" i="17" s="1"/>
  <c r="AD197" i="17" s="1"/>
  <c r="AE197" i="17" s="1"/>
  <c r="AF197" i="17" s="1"/>
  <c r="B197" i="17" s="1"/>
  <c r="D197" i="17"/>
  <c r="E197" i="17" s="1"/>
  <c r="F197" i="17" s="1"/>
  <c r="G197" i="17" s="1"/>
  <c r="H197" i="17" s="1"/>
  <c r="I197" i="17" s="1"/>
  <c r="J197" i="17" s="1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AC196" i="17"/>
  <c r="AD196" i="17" s="1"/>
  <c r="AE196" i="17" s="1"/>
  <c r="AF196" i="17" s="1"/>
  <c r="B196" i="17" s="1"/>
  <c r="G196" i="17"/>
  <c r="H196" i="17" s="1"/>
  <c r="I196" i="17" s="1"/>
  <c r="J196" i="17" s="1"/>
  <c r="K196" i="17" s="1"/>
  <c r="L196" i="17" s="1"/>
  <c r="M196" i="17" s="1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F196" i="17"/>
  <c r="E196" i="17"/>
  <c r="D196" i="17"/>
  <c r="E195" i="17"/>
  <c r="F195" i="17" s="1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B195" i="17" s="1"/>
  <c r="D195" i="17"/>
  <c r="G194" i="17"/>
  <c r="H194" i="17" s="1"/>
  <c r="E194" i="17"/>
  <c r="F194" i="17" s="1"/>
  <c r="D194" i="17"/>
  <c r="AG192" i="17"/>
  <c r="C192" i="17"/>
  <c r="G191" i="17"/>
  <c r="H191" i="17" s="1"/>
  <c r="I191" i="17" s="1"/>
  <c r="J191" i="17" s="1"/>
  <c r="K191" i="17" s="1"/>
  <c r="L191" i="17" s="1"/>
  <c r="M191" i="17" s="1"/>
  <c r="N191" i="17" s="1"/>
  <c r="O191" i="17" s="1"/>
  <c r="P191" i="17" s="1"/>
  <c r="Q191" i="17" s="1"/>
  <c r="R191" i="17" s="1"/>
  <c r="S191" i="17" s="1"/>
  <c r="T191" i="17" s="1"/>
  <c r="U191" i="17" s="1"/>
  <c r="V191" i="17" s="1"/>
  <c r="W191" i="17" s="1"/>
  <c r="X191" i="17" s="1"/>
  <c r="Y191" i="17" s="1"/>
  <c r="Z191" i="17" s="1"/>
  <c r="AA191" i="17" s="1"/>
  <c r="AB191" i="17" s="1"/>
  <c r="AC191" i="17" s="1"/>
  <c r="AD191" i="17" s="1"/>
  <c r="AE191" i="17" s="1"/>
  <c r="AF191" i="17" s="1"/>
  <c r="B191" i="17" s="1"/>
  <c r="E191" i="17"/>
  <c r="F191" i="17" s="1"/>
  <c r="D191" i="17"/>
  <c r="F190" i="17"/>
  <c r="G190" i="17" s="1"/>
  <c r="H190" i="17" s="1"/>
  <c r="I190" i="17" s="1"/>
  <c r="J190" i="17" s="1"/>
  <c r="K190" i="17" s="1"/>
  <c r="L190" i="17" s="1"/>
  <c r="M190" i="17" s="1"/>
  <c r="N190" i="17" s="1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AA190" i="17" s="1"/>
  <c r="AB190" i="17" s="1"/>
  <c r="AC190" i="17" s="1"/>
  <c r="AD190" i="17" s="1"/>
  <c r="AE190" i="17" s="1"/>
  <c r="AF190" i="17" s="1"/>
  <c r="B190" i="17" s="1"/>
  <c r="E190" i="17"/>
  <c r="D190" i="17"/>
  <c r="F189" i="17"/>
  <c r="G189" i="17" s="1"/>
  <c r="H189" i="17" s="1"/>
  <c r="I189" i="17" s="1"/>
  <c r="J189" i="17" s="1"/>
  <c r="K189" i="17" s="1"/>
  <c r="L189" i="17" s="1"/>
  <c r="M189" i="17" s="1"/>
  <c r="N189" i="17" s="1"/>
  <c r="O189" i="17" s="1"/>
  <c r="P189" i="17" s="1"/>
  <c r="Q189" i="17" s="1"/>
  <c r="R189" i="17" s="1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B189" i="17" s="1"/>
  <c r="E189" i="17"/>
  <c r="D189" i="17"/>
  <c r="E188" i="17"/>
  <c r="F188" i="17" s="1"/>
  <c r="G188" i="17" s="1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B188" i="17" s="1"/>
  <c r="D188" i="17"/>
  <c r="R187" i="17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B187" i="17" s="1"/>
  <c r="D187" i="17"/>
  <c r="E187" i="17" s="1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O186" i="17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B186" i="17" s="1"/>
  <c r="E186" i="17"/>
  <c r="F186" i="17" s="1"/>
  <c r="G186" i="17" s="1"/>
  <c r="H186" i="17" s="1"/>
  <c r="I186" i="17" s="1"/>
  <c r="J186" i="17" s="1"/>
  <c r="K186" i="17" s="1"/>
  <c r="L186" i="17" s="1"/>
  <c r="M186" i="17" s="1"/>
  <c r="N186" i="17" s="1"/>
  <c r="D186" i="17"/>
  <c r="E185" i="17"/>
  <c r="F185" i="17" s="1"/>
  <c r="G185" i="17" s="1"/>
  <c r="H185" i="17" s="1"/>
  <c r="I185" i="17" s="1"/>
  <c r="J185" i="17" s="1"/>
  <c r="K185" i="17" s="1"/>
  <c r="L185" i="17" s="1"/>
  <c r="M185" i="17" s="1"/>
  <c r="N185" i="17" s="1"/>
  <c r="O185" i="17" s="1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B185" i="17" s="1"/>
  <c r="D185" i="17"/>
  <c r="AA184" i="17"/>
  <c r="AB184" i="17" s="1"/>
  <c r="AC184" i="17" s="1"/>
  <c r="AD184" i="17" s="1"/>
  <c r="AE184" i="17" s="1"/>
  <c r="AF184" i="17" s="1"/>
  <c r="B184" i="17" s="1"/>
  <c r="L184" i="17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E184" i="17"/>
  <c r="F184" i="17" s="1"/>
  <c r="G184" i="17" s="1"/>
  <c r="H184" i="17" s="1"/>
  <c r="I184" i="17" s="1"/>
  <c r="J184" i="17" s="1"/>
  <c r="K184" i="17" s="1"/>
  <c r="D184" i="17"/>
  <c r="E183" i="17"/>
  <c r="F183" i="17" s="1"/>
  <c r="G183" i="17" s="1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B183" i="17" s="1"/>
  <c r="D183" i="17"/>
  <c r="E182" i="17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B182" i="17" s="1"/>
  <c r="D182" i="17"/>
  <c r="I181" i="17"/>
  <c r="J181" i="17" s="1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B181" i="17" s="1"/>
  <c r="D181" i="17"/>
  <c r="E181" i="17" s="1"/>
  <c r="F181" i="17" s="1"/>
  <c r="G181" i="17" s="1"/>
  <c r="H181" i="17" s="1"/>
  <c r="S180" i="17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B180" i="17" s="1"/>
  <c r="D180" i="17"/>
  <c r="E180" i="17" s="1"/>
  <c r="F180" i="17" s="1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79" i="17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B179" i="17" s="1"/>
  <c r="G179" i="17"/>
  <c r="H179" i="17" s="1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D179" i="17"/>
  <c r="E179" i="17" s="1"/>
  <c r="F179" i="17" s="1"/>
  <c r="D177" i="17"/>
  <c r="E177" i="17" s="1"/>
  <c r="F177" i="17" s="1"/>
  <c r="G177" i="17" s="1"/>
  <c r="H177" i="17" s="1"/>
  <c r="I177" i="17" s="1"/>
  <c r="J177" i="17" s="1"/>
  <c r="K177" i="17" s="1"/>
  <c r="L177" i="17" s="1"/>
  <c r="M177" i="17" s="1"/>
  <c r="N177" i="17" s="1"/>
  <c r="O177" i="17" s="1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B177" i="17" s="1"/>
  <c r="R176" i="17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B176" i="17" s="1"/>
  <c r="E176" i="17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D176" i="17"/>
  <c r="E175" i="17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B175" i="17" s="1"/>
  <c r="D175" i="17"/>
  <c r="R174" i="17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B174" i="17" s="1"/>
  <c r="F174" i="17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D174" i="17"/>
  <c r="E174" i="17" s="1"/>
  <c r="D173" i="17"/>
  <c r="E173" i="17" s="1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B173" i="17" s="1"/>
  <c r="AE172" i="17"/>
  <c r="AF172" i="17" s="1"/>
  <c r="B172" i="17" s="1"/>
  <c r="F172" i="17"/>
  <c r="G172" i="17" s="1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E172" i="17"/>
  <c r="D172" i="17"/>
  <c r="G171" i="17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B171" i="17" s="1"/>
  <c r="F171" i="17"/>
  <c r="D171" i="17"/>
  <c r="E171" i="17" s="1"/>
  <c r="D170" i="17"/>
  <c r="E170" i="17" s="1"/>
  <c r="F170" i="17" s="1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B170" i="17" s="1"/>
  <c r="K168" i="17"/>
  <c r="L168" i="17" s="1"/>
  <c r="M168" i="17" s="1"/>
  <c r="N168" i="17" s="1"/>
  <c r="O168" i="17" s="1"/>
  <c r="P168" i="17" s="1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B168" i="17" s="1"/>
  <c r="E168" i="17"/>
  <c r="F168" i="17" s="1"/>
  <c r="G168" i="17" s="1"/>
  <c r="H168" i="17" s="1"/>
  <c r="I168" i="17" s="1"/>
  <c r="J168" i="17" s="1"/>
  <c r="D168" i="17"/>
  <c r="I167" i="17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B167" i="17" s="1"/>
  <c r="E167" i="17"/>
  <c r="F167" i="17" s="1"/>
  <c r="G167" i="17" s="1"/>
  <c r="H167" i="17" s="1"/>
  <c r="D167" i="17"/>
  <c r="K166" i="17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B166" i="17" s="1"/>
  <c r="I166" i="17"/>
  <c r="J166" i="17" s="1"/>
  <c r="E166" i="17"/>
  <c r="F166" i="17" s="1"/>
  <c r="G166" i="17" s="1"/>
  <c r="H166" i="17" s="1"/>
  <c r="D166" i="17"/>
  <c r="Y165" i="17"/>
  <c r="Z165" i="17" s="1"/>
  <c r="AA165" i="17" s="1"/>
  <c r="AB165" i="17" s="1"/>
  <c r="AC165" i="17" s="1"/>
  <c r="AD165" i="17" s="1"/>
  <c r="AE165" i="17" s="1"/>
  <c r="AF165" i="17" s="1"/>
  <c r="B165" i="17" s="1"/>
  <c r="D165" i="17"/>
  <c r="E165" i="17" s="1"/>
  <c r="F165" i="17" s="1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D164" i="17"/>
  <c r="E164" i="17" s="1"/>
  <c r="F164" i="17" s="1"/>
  <c r="G164" i="17" s="1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B164" i="17" s="1"/>
  <c r="Q163" i="17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B163" i="17" s="1"/>
  <c r="E163" i="17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D163" i="17"/>
  <c r="E162" i="17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B162" i="17" s="1"/>
  <c r="D162" i="17"/>
  <c r="D161" i="17"/>
  <c r="E161" i="17" s="1"/>
  <c r="F161" i="17" s="1"/>
  <c r="G161" i="17" s="1"/>
  <c r="H161" i="17" s="1"/>
  <c r="I161" i="17" s="1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B161" i="17" s="1"/>
  <c r="D160" i="17"/>
  <c r="E160" i="17" s="1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B160" i="17" s="1"/>
  <c r="V159" i="17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B159" i="17" s="1"/>
  <c r="G159" i="17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F159" i="17"/>
  <c r="E159" i="17"/>
  <c r="D159" i="17"/>
  <c r="D158" i="17"/>
  <c r="E158" i="17" s="1"/>
  <c r="F158" i="17" s="1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B158" i="17" s="1"/>
  <c r="AD157" i="17"/>
  <c r="AE157" i="17" s="1"/>
  <c r="AF157" i="17" s="1"/>
  <c r="B157" i="17" s="1"/>
  <c r="J157" i="17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F157" i="17"/>
  <c r="G157" i="17" s="1"/>
  <c r="H157" i="17" s="1"/>
  <c r="I157" i="17" s="1"/>
  <c r="D157" i="17"/>
  <c r="E157" i="17" s="1"/>
  <c r="E156" i="17"/>
  <c r="F156" i="17" s="1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B156" i="17" s="1"/>
  <c r="D156" i="17"/>
  <c r="E154" i="17"/>
  <c r="F154" i="17" s="1"/>
  <c r="G154" i="17" s="1"/>
  <c r="H154" i="17" s="1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Y154" i="17" s="1"/>
  <c r="Z154" i="17" s="1"/>
  <c r="AA154" i="17" s="1"/>
  <c r="AB154" i="17" s="1"/>
  <c r="AC154" i="17" s="1"/>
  <c r="AD154" i="17" s="1"/>
  <c r="AE154" i="17" s="1"/>
  <c r="AF154" i="17" s="1"/>
  <c r="B154" i="17" s="1"/>
  <c r="D154" i="17"/>
  <c r="P153" i="17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B153" i="17" s="1"/>
  <c r="D153" i="17"/>
  <c r="E153" i="17" s="1"/>
  <c r="F153" i="17" s="1"/>
  <c r="G153" i="17" s="1"/>
  <c r="H153" i="17" s="1"/>
  <c r="I153" i="17" s="1"/>
  <c r="J153" i="17" s="1"/>
  <c r="K153" i="17" s="1"/>
  <c r="L153" i="17" s="1"/>
  <c r="M153" i="17" s="1"/>
  <c r="N153" i="17" s="1"/>
  <c r="O153" i="17" s="1"/>
  <c r="F152" i="17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B152" i="17" s="1"/>
  <c r="E152" i="17"/>
  <c r="D152" i="17"/>
  <c r="E151" i="17"/>
  <c r="F151" i="17" s="1"/>
  <c r="G151" i="17" s="1"/>
  <c r="H151" i="17" s="1"/>
  <c r="I151" i="17" s="1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B151" i="17" s="1"/>
  <c r="D151" i="17"/>
  <c r="G149" i="17"/>
  <c r="H149" i="17" s="1"/>
  <c r="I149" i="17" s="1"/>
  <c r="J149" i="17" s="1"/>
  <c r="K149" i="17" s="1"/>
  <c r="L149" i="17" s="1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B149" i="17" s="1"/>
  <c r="E149" i="17"/>
  <c r="F149" i="17" s="1"/>
  <c r="D149" i="17"/>
  <c r="E148" i="17"/>
  <c r="F148" i="17" s="1"/>
  <c r="G148" i="17" s="1"/>
  <c r="H148" i="17" s="1"/>
  <c r="I148" i="17" s="1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B148" i="17" s="1"/>
  <c r="D148" i="17"/>
  <c r="I146" i="17"/>
  <c r="J146" i="17" s="1"/>
  <c r="K146" i="17" s="1"/>
  <c r="L146" i="17" s="1"/>
  <c r="M146" i="17" s="1"/>
  <c r="N146" i="17" s="1"/>
  <c r="O146" i="17" s="1"/>
  <c r="P146" i="17" s="1"/>
  <c r="Q146" i="17" s="1"/>
  <c r="R146" i="17" s="1"/>
  <c r="S146" i="17" s="1"/>
  <c r="T146" i="17" s="1"/>
  <c r="U146" i="17" s="1"/>
  <c r="V146" i="17" s="1"/>
  <c r="W146" i="17" s="1"/>
  <c r="X146" i="17" s="1"/>
  <c r="Y146" i="17" s="1"/>
  <c r="Z146" i="17" s="1"/>
  <c r="AA146" i="17" s="1"/>
  <c r="AB146" i="17" s="1"/>
  <c r="AC146" i="17" s="1"/>
  <c r="AD146" i="17" s="1"/>
  <c r="AE146" i="17" s="1"/>
  <c r="AF146" i="17" s="1"/>
  <c r="B146" i="17" s="1"/>
  <c r="F146" i="17"/>
  <c r="G146" i="17" s="1"/>
  <c r="H146" i="17" s="1"/>
  <c r="E146" i="17"/>
  <c r="D146" i="17"/>
  <c r="AE145" i="17"/>
  <c r="AF145" i="17" s="1"/>
  <c r="B145" i="17" s="1"/>
  <c r="D145" i="17"/>
  <c r="E145" i="17" s="1"/>
  <c r="F145" i="17" s="1"/>
  <c r="G145" i="17" s="1"/>
  <c r="H145" i="17" s="1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H144" i="17"/>
  <c r="I144" i="17" s="1"/>
  <c r="J144" i="17" s="1"/>
  <c r="K144" i="17" s="1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B144" i="17" s="1"/>
  <c r="D144" i="17"/>
  <c r="E144" i="17" s="1"/>
  <c r="F144" i="17" s="1"/>
  <c r="G144" i="17" s="1"/>
  <c r="H143" i="17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B143" i="17" s="1"/>
  <c r="F143" i="17"/>
  <c r="G143" i="17" s="1"/>
  <c r="E143" i="17"/>
  <c r="D143" i="17"/>
  <c r="L142" i="17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B142" i="17" s="1"/>
  <c r="D142" i="17"/>
  <c r="E142" i="17" s="1"/>
  <c r="F142" i="17" s="1"/>
  <c r="G142" i="17" s="1"/>
  <c r="H142" i="17" s="1"/>
  <c r="I142" i="17" s="1"/>
  <c r="J142" i="17" s="1"/>
  <c r="K142" i="17" s="1"/>
  <c r="U141" i="17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B141" i="17" s="1"/>
  <c r="T141" i="17"/>
  <c r="D141" i="17"/>
  <c r="E141" i="17" s="1"/>
  <c r="F141" i="17" s="1"/>
  <c r="G141" i="17" s="1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H140" i="17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B140" i="17" s="1"/>
  <c r="D140" i="17"/>
  <c r="E140" i="17" s="1"/>
  <c r="F140" i="17" s="1"/>
  <c r="G140" i="17" s="1"/>
  <c r="V138" i="17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B138" i="17" s="1"/>
  <c r="Q138" i="17"/>
  <c r="R138" i="17" s="1"/>
  <c r="S138" i="17" s="1"/>
  <c r="T138" i="17" s="1"/>
  <c r="U138" i="17" s="1"/>
  <c r="H138" i="17"/>
  <c r="I138" i="17" s="1"/>
  <c r="J138" i="17" s="1"/>
  <c r="K138" i="17" s="1"/>
  <c r="L138" i="17" s="1"/>
  <c r="M138" i="17" s="1"/>
  <c r="N138" i="17" s="1"/>
  <c r="O138" i="17" s="1"/>
  <c r="P138" i="17" s="1"/>
  <c r="F138" i="17"/>
  <c r="G138" i="17" s="1"/>
  <c r="E138" i="17"/>
  <c r="D138" i="17"/>
  <c r="L137" i="17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B137" i="17" s="1"/>
  <c r="D137" i="17"/>
  <c r="E137" i="17" s="1"/>
  <c r="F137" i="17" s="1"/>
  <c r="G137" i="17" s="1"/>
  <c r="H137" i="17" s="1"/>
  <c r="I137" i="17" s="1"/>
  <c r="J137" i="17" s="1"/>
  <c r="K137" i="17" s="1"/>
  <c r="J136" i="17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B136" i="17" s="1"/>
  <c r="F136" i="17"/>
  <c r="G136" i="17" s="1"/>
  <c r="H136" i="17" s="1"/>
  <c r="I136" i="17" s="1"/>
  <c r="E136" i="17"/>
  <c r="D136" i="17"/>
  <c r="X135" i="17"/>
  <c r="Y135" i="17" s="1"/>
  <c r="Z135" i="17" s="1"/>
  <c r="AA135" i="17" s="1"/>
  <c r="AB135" i="17" s="1"/>
  <c r="AC135" i="17" s="1"/>
  <c r="AD135" i="17" s="1"/>
  <c r="AE135" i="17" s="1"/>
  <c r="AF135" i="17" s="1"/>
  <c r="B135" i="17" s="1"/>
  <c r="T135" i="17"/>
  <c r="U135" i="17" s="1"/>
  <c r="V135" i="17" s="1"/>
  <c r="W135" i="17" s="1"/>
  <c r="H135" i="17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D135" i="17"/>
  <c r="E135" i="17" s="1"/>
  <c r="F135" i="17" s="1"/>
  <c r="G135" i="17" s="1"/>
  <c r="F134" i="17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B134" i="17" s="1"/>
  <c r="E134" i="17"/>
  <c r="D134" i="17"/>
  <c r="F133" i="17"/>
  <c r="G133" i="17" s="1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B133" i="17" s="1"/>
  <c r="E133" i="17"/>
  <c r="D133" i="17"/>
  <c r="V132" i="17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B132" i="17" s="1"/>
  <c r="M132" i="17"/>
  <c r="N132" i="17" s="1"/>
  <c r="O132" i="17" s="1"/>
  <c r="P132" i="17" s="1"/>
  <c r="Q132" i="17" s="1"/>
  <c r="R132" i="17" s="1"/>
  <c r="S132" i="17" s="1"/>
  <c r="T132" i="17" s="1"/>
  <c r="U132" i="17" s="1"/>
  <c r="L132" i="17"/>
  <c r="D132" i="17"/>
  <c r="E132" i="17" s="1"/>
  <c r="F132" i="17" s="1"/>
  <c r="G132" i="17" s="1"/>
  <c r="H132" i="17" s="1"/>
  <c r="I132" i="17" s="1"/>
  <c r="J132" i="17" s="1"/>
  <c r="K132" i="17" s="1"/>
  <c r="O131" i="17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B131" i="17" s="1"/>
  <c r="G131" i="17"/>
  <c r="H131" i="17" s="1"/>
  <c r="I131" i="17" s="1"/>
  <c r="J131" i="17" s="1"/>
  <c r="K131" i="17" s="1"/>
  <c r="L131" i="17" s="1"/>
  <c r="M131" i="17" s="1"/>
  <c r="N131" i="17" s="1"/>
  <c r="E131" i="17"/>
  <c r="F131" i="17" s="1"/>
  <c r="D131" i="17"/>
  <c r="I129" i="17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B129" i="17" s="1"/>
  <c r="H129" i="17"/>
  <c r="E129" i="17"/>
  <c r="F129" i="17" s="1"/>
  <c r="G129" i="17" s="1"/>
  <c r="D129" i="17"/>
  <c r="U128" i="17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B128" i="17" s="1"/>
  <c r="G128" i="17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D128" i="17"/>
  <c r="E128" i="17" s="1"/>
  <c r="F128" i="17" s="1"/>
  <c r="G127" i="17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B127" i="17" s="1"/>
  <c r="F127" i="17"/>
  <c r="E127" i="17"/>
  <c r="D127" i="17"/>
  <c r="P126" i="17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B126" i="17" s="1"/>
  <c r="E126" i="17"/>
  <c r="F126" i="17" s="1"/>
  <c r="G126" i="17" s="1"/>
  <c r="H126" i="17" s="1"/>
  <c r="I126" i="17" s="1"/>
  <c r="J126" i="17" s="1"/>
  <c r="K126" i="17" s="1"/>
  <c r="L126" i="17" s="1"/>
  <c r="M126" i="17" s="1"/>
  <c r="N126" i="17" s="1"/>
  <c r="O126" i="17" s="1"/>
  <c r="D126" i="17"/>
  <c r="J125" i="17"/>
  <c r="K125" i="17" s="1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B125" i="17" s="1"/>
  <c r="E125" i="17"/>
  <c r="F125" i="17" s="1"/>
  <c r="G125" i="17" s="1"/>
  <c r="H125" i="17" s="1"/>
  <c r="D125" i="17"/>
  <c r="D124" i="17"/>
  <c r="E124" i="17" s="1"/>
  <c r="F124" i="17" s="1"/>
  <c r="G124" i="17" s="1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B124" i="17" s="1"/>
  <c r="Y123" i="17"/>
  <c r="Z123" i="17" s="1"/>
  <c r="AA123" i="17" s="1"/>
  <c r="AB123" i="17" s="1"/>
  <c r="AC123" i="17" s="1"/>
  <c r="AD123" i="17" s="1"/>
  <c r="AE123" i="17" s="1"/>
  <c r="AF123" i="17" s="1"/>
  <c r="B123" i="17" s="1"/>
  <c r="G123" i="17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F123" i="17"/>
  <c r="E123" i="17"/>
  <c r="D123" i="17"/>
  <c r="W122" i="17"/>
  <c r="X122" i="17" s="1"/>
  <c r="Y122" i="17" s="1"/>
  <c r="Z122" i="17" s="1"/>
  <c r="AA122" i="17" s="1"/>
  <c r="AB122" i="17" s="1"/>
  <c r="AC122" i="17" s="1"/>
  <c r="AD122" i="17" s="1"/>
  <c r="AE122" i="17" s="1"/>
  <c r="AF122" i="17" s="1"/>
  <c r="B122" i="17" s="1"/>
  <c r="G122" i="17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E122" i="17"/>
  <c r="F122" i="17" s="1"/>
  <c r="D122" i="17"/>
  <c r="U121" i="17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B121" i="17" s="1"/>
  <c r="E121" i="17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D121" i="17"/>
  <c r="G120" i="17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B120" i="17" s="1"/>
  <c r="D120" i="17"/>
  <c r="E120" i="17" s="1"/>
  <c r="F120" i="17" s="1"/>
  <c r="V119" i="17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B119" i="17" s="1"/>
  <c r="F119" i="17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E119" i="17"/>
  <c r="D119" i="17"/>
  <c r="D118" i="17"/>
  <c r="E118" i="17" s="1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B118" i="17" s="1"/>
  <c r="Q117" i="17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B117" i="17" s="1"/>
  <c r="E117" i="17"/>
  <c r="F117" i="17" s="1"/>
  <c r="G117" i="17" s="1"/>
  <c r="H117" i="17" s="1"/>
  <c r="I117" i="17" s="1"/>
  <c r="J117" i="17" s="1"/>
  <c r="K117" i="17" s="1"/>
  <c r="L117" i="17" s="1"/>
  <c r="M117" i="17" s="1"/>
  <c r="N117" i="17" s="1"/>
  <c r="O117" i="17" s="1"/>
  <c r="P117" i="17" s="1"/>
  <c r="D117" i="17"/>
  <c r="O116" i="17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B116" i="17" s="1"/>
  <c r="G116" i="17"/>
  <c r="H116" i="17" s="1"/>
  <c r="I116" i="17" s="1"/>
  <c r="J116" i="17" s="1"/>
  <c r="K116" i="17" s="1"/>
  <c r="L116" i="17" s="1"/>
  <c r="M116" i="17" s="1"/>
  <c r="N116" i="17" s="1"/>
  <c r="D116" i="17"/>
  <c r="E116" i="17" s="1"/>
  <c r="F116" i="17" s="1"/>
  <c r="W115" i="17"/>
  <c r="X115" i="17" s="1"/>
  <c r="Y115" i="17" s="1"/>
  <c r="Z115" i="17" s="1"/>
  <c r="AA115" i="17" s="1"/>
  <c r="AB115" i="17" s="1"/>
  <c r="AC115" i="17" s="1"/>
  <c r="AD115" i="17" s="1"/>
  <c r="AE115" i="17" s="1"/>
  <c r="AF115" i="17" s="1"/>
  <c r="B115" i="17" s="1"/>
  <c r="M115" i="17"/>
  <c r="N115" i="17" s="1"/>
  <c r="O115" i="17" s="1"/>
  <c r="P115" i="17" s="1"/>
  <c r="Q115" i="17" s="1"/>
  <c r="R115" i="17" s="1"/>
  <c r="S115" i="17" s="1"/>
  <c r="T115" i="17" s="1"/>
  <c r="U115" i="17" s="1"/>
  <c r="V115" i="17" s="1"/>
  <c r="E115" i="17"/>
  <c r="F115" i="17" s="1"/>
  <c r="G115" i="17" s="1"/>
  <c r="H115" i="17" s="1"/>
  <c r="I115" i="17" s="1"/>
  <c r="J115" i="17" s="1"/>
  <c r="K115" i="17" s="1"/>
  <c r="L115" i="17" s="1"/>
  <c r="D115" i="17"/>
  <c r="L114" i="17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B114" i="17" s="1"/>
  <c r="K114" i="17"/>
  <c r="E114" i="17"/>
  <c r="F114" i="17" s="1"/>
  <c r="G114" i="17" s="1"/>
  <c r="H114" i="17" s="1"/>
  <c r="I114" i="17" s="1"/>
  <c r="D114" i="17"/>
  <c r="I113" i="17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B113" i="17" s="1"/>
  <c r="D113" i="17"/>
  <c r="E113" i="17" s="1"/>
  <c r="F113" i="17" s="1"/>
  <c r="G113" i="17" s="1"/>
  <c r="H113" i="17" s="1"/>
  <c r="K112" i="17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B112" i="17" s="1"/>
  <c r="D112" i="17"/>
  <c r="E112" i="17" s="1"/>
  <c r="F112" i="17" s="1"/>
  <c r="G112" i="17" s="1"/>
  <c r="H112" i="17" s="1"/>
  <c r="I112" i="17" s="1"/>
  <c r="J112" i="17" s="1"/>
  <c r="D110" i="17"/>
  <c r="E110" i="17" s="1"/>
  <c r="F110" i="17" s="1"/>
  <c r="G110" i="17" s="1"/>
  <c r="H110" i="17" s="1"/>
  <c r="I110" i="17" s="1"/>
  <c r="J110" i="17" s="1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B110" i="17" s="1"/>
  <c r="V109" i="17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B109" i="17" s="1"/>
  <c r="N109" i="17"/>
  <c r="O109" i="17" s="1"/>
  <c r="P109" i="17" s="1"/>
  <c r="Q109" i="17" s="1"/>
  <c r="R109" i="17" s="1"/>
  <c r="S109" i="17" s="1"/>
  <c r="T109" i="17" s="1"/>
  <c r="U109" i="17" s="1"/>
  <c r="F109" i="17"/>
  <c r="G109" i="17" s="1"/>
  <c r="H109" i="17" s="1"/>
  <c r="I109" i="17" s="1"/>
  <c r="J109" i="17" s="1"/>
  <c r="K109" i="17" s="1"/>
  <c r="L109" i="17" s="1"/>
  <c r="M109" i="17" s="1"/>
  <c r="E109" i="17"/>
  <c r="D109" i="17"/>
  <c r="D107" i="17"/>
  <c r="E107" i="17" s="1"/>
  <c r="F107" i="17" s="1"/>
  <c r="G107" i="17" s="1"/>
  <c r="H107" i="17" s="1"/>
  <c r="I107" i="17" s="1"/>
  <c r="J107" i="17" s="1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B107" i="17" s="1"/>
  <c r="D106" i="17"/>
  <c r="E106" i="17" s="1"/>
  <c r="F106" i="17" s="1"/>
  <c r="G106" i="17" s="1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B106" i="17" s="1"/>
  <c r="H105" i="17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B105" i="17" s="1"/>
  <c r="D105" i="17"/>
  <c r="E105" i="17" s="1"/>
  <c r="F105" i="17" s="1"/>
  <c r="G105" i="17" s="1"/>
  <c r="N104" i="17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B104" i="17" s="1"/>
  <c r="F104" i="17"/>
  <c r="G104" i="17" s="1"/>
  <c r="H104" i="17" s="1"/>
  <c r="I104" i="17" s="1"/>
  <c r="J104" i="17" s="1"/>
  <c r="K104" i="17" s="1"/>
  <c r="L104" i="17" s="1"/>
  <c r="M104" i="17" s="1"/>
  <c r="E104" i="17"/>
  <c r="D104" i="17"/>
  <c r="D103" i="17"/>
  <c r="D102" i="17"/>
  <c r="AH100" i="17"/>
  <c r="AI100" i="17" s="1"/>
  <c r="AH99" i="17"/>
  <c r="AI99" i="17" s="1"/>
  <c r="AH98" i="17"/>
  <c r="AI98" i="17" s="1"/>
  <c r="AH97" i="17"/>
  <c r="AI97" i="17" s="1"/>
  <c r="AH96" i="17"/>
  <c r="AI96" i="17" s="1"/>
  <c r="AH95" i="17"/>
  <c r="AI95" i="17" s="1"/>
  <c r="AH94" i="17"/>
  <c r="AI94" i="17" s="1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2" i="17"/>
  <c r="AH82" i="17"/>
  <c r="AG82" i="17"/>
  <c r="AI81" i="17"/>
  <c r="AH81" i="17"/>
  <c r="AI80" i="17"/>
  <c r="AH80" i="17"/>
  <c r="AI79" i="17"/>
  <c r="AH79" i="17"/>
  <c r="AI78" i="17"/>
  <c r="AH78" i="17"/>
  <c r="AI77" i="17"/>
  <c r="AH77" i="17"/>
  <c r="AI76" i="17"/>
  <c r="AH76" i="17"/>
  <c r="AI74" i="17"/>
  <c r="AH74" i="17"/>
  <c r="AI73" i="17"/>
  <c r="AH73" i="17"/>
  <c r="AI72" i="17"/>
  <c r="AH72" i="17"/>
  <c r="AG72" i="17"/>
  <c r="AI71" i="17"/>
  <c r="AH71" i="17"/>
  <c r="AI70" i="17"/>
  <c r="AH70" i="17"/>
  <c r="AI69" i="17"/>
  <c r="AH69" i="17"/>
  <c r="AG68" i="17"/>
  <c r="AF68" i="17"/>
  <c r="AE68" i="17"/>
  <c r="AD68" i="17"/>
  <c r="AC68" i="17"/>
  <c r="AB68" i="17"/>
  <c r="AA5" i="17" s="1"/>
  <c r="AA68" i="17"/>
  <c r="Z5" i="17" s="1"/>
  <c r="Z68" i="17"/>
  <c r="Y5" i="17" s="1"/>
  <c r="Y68" i="17"/>
  <c r="X68" i="17"/>
  <c r="W68" i="17"/>
  <c r="V68" i="17"/>
  <c r="V75" i="17" s="1"/>
  <c r="U68" i="17"/>
  <c r="T5" i="17" s="1"/>
  <c r="T68" i="17"/>
  <c r="S5" i="17" s="1"/>
  <c r="S68" i="17"/>
  <c r="R5" i="17" s="1"/>
  <c r="R68" i="17"/>
  <c r="Q5" i="17" s="1"/>
  <c r="Q68" i="17"/>
  <c r="P68" i="17"/>
  <c r="O68" i="17"/>
  <c r="N68" i="17"/>
  <c r="M5" i="17" s="1"/>
  <c r="M68" i="17"/>
  <c r="L68" i="17"/>
  <c r="K68" i="17"/>
  <c r="J5" i="17" s="1"/>
  <c r="J68" i="17"/>
  <c r="I5" i="17" s="1"/>
  <c r="I68" i="17"/>
  <c r="H5" i="17" s="1"/>
  <c r="H68" i="17"/>
  <c r="G5" i="17" s="1"/>
  <c r="G68" i="17"/>
  <c r="F68" i="17"/>
  <c r="E5" i="17" s="1"/>
  <c r="E68" i="17"/>
  <c r="D5" i="17" s="1"/>
  <c r="D68" i="17"/>
  <c r="C5" i="17" s="1"/>
  <c r="C68" i="17"/>
  <c r="B5" i="17" s="1"/>
  <c r="B68" i="17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I55" i="17"/>
  <c r="AH55" i="17"/>
  <c r="AI54" i="17"/>
  <c r="AH54" i="17"/>
  <c r="AI53" i="17"/>
  <c r="AH53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I51" i="17"/>
  <c r="AH51" i="17"/>
  <c r="AG51" i="17"/>
  <c r="AG52" i="17" s="1"/>
  <c r="AG73" i="17" s="1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F5" i="17"/>
  <c r="AE5" i="17"/>
  <c r="AC5" i="17"/>
  <c r="AB5" i="17"/>
  <c r="X5" i="17"/>
  <c r="W5" i="17"/>
  <c r="U5" i="17"/>
  <c r="P5" i="17"/>
  <c r="O5" i="17"/>
  <c r="L5" i="17"/>
  <c r="K5" i="17"/>
  <c r="AG4" i="17"/>
  <c r="K4" i="17"/>
  <c r="B4" i="17"/>
  <c r="AG3" i="17"/>
  <c r="AG2" i="17"/>
  <c r="AG6" i="17" s="1"/>
  <c r="AC37" i="16"/>
  <c r="AB37" i="16"/>
  <c r="Z95" i="16"/>
  <c r="Y95" i="16"/>
  <c r="X95" i="16"/>
  <c r="W95" i="16"/>
  <c r="V95" i="16"/>
  <c r="E4" i="18"/>
  <c r="E4" i="17"/>
  <c r="E4" i="21"/>
  <c r="E4" i="19"/>
  <c r="E4" i="20"/>
  <c r="X194" i="29" l="1"/>
  <c r="W200" i="29"/>
  <c r="V235" i="29"/>
  <c r="X199" i="29"/>
  <c r="W103" i="29"/>
  <c r="V93" i="29"/>
  <c r="U192" i="29"/>
  <c r="V102" i="29"/>
  <c r="K103" i="28"/>
  <c r="H235" i="28"/>
  <c r="J199" i="28"/>
  <c r="I192" i="28"/>
  <c r="J102" i="28"/>
  <c r="H200" i="28"/>
  <c r="I194" i="28"/>
  <c r="H93" i="28"/>
  <c r="G235" i="27"/>
  <c r="I199" i="27"/>
  <c r="H93" i="27"/>
  <c r="H200" i="27"/>
  <c r="L103" i="27"/>
  <c r="J192" i="27"/>
  <c r="K102" i="27"/>
  <c r="K194" i="27"/>
  <c r="J103" i="26"/>
  <c r="I235" i="26"/>
  <c r="K199" i="26"/>
  <c r="H192" i="26"/>
  <c r="I102" i="26"/>
  <c r="H200" i="26"/>
  <c r="I194" i="26"/>
  <c r="K194" i="25"/>
  <c r="K103" i="25"/>
  <c r="J93" i="25"/>
  <c r="H235" i="25"/>
  <c r="J199" i="25"/>
  <c r="H192" i="25"/>
  <c r="I102" i="25"/>
  <c r="K194" i="24"/>
  <c r="H192" i="24"/>
  <c r="I102" i="24"/>
  <c r="G235" i="24"/>
  <c r="I199" i="24"/>
  <c r="H200" i="24"/>
  <c r="J103" i="24"/>
  <c r="I93" i="24"/>
  <c r="I200" i="23"/>
  <c r="J194" i="23"/>
  <c r="I93" i="23"/>
  <c r="H235" i="23"/>
  <c r="J199" i="23"/>
  <c r="J192" i="23"/>
  <c r="K102" i="23"/>
  <c r="L103" i="23"/>
  <c r="G235" i="22"/>
  <c r="I199" i="22"/>
  <c r="H200" i="22"/>
  <c r="L194" i="22"/>
  <c r="H93" i="22"/>
  <c r="I102" i="22"/>
  <c r="H192" i="22"/>
  <c r="J103" i="22"/>
  <c r="I93" i="22"/>
  <c r="AC75" i="21"/>
  <c r="AB75" i="21"/>
  <c r="AA75" i="21"/>
  <c r="Z75" i="21"/>
  <c r="X5" i="21"/>
  <c r="U75" i="21"/>
  <c r="T75" i="21"/>
  <c r="V75" i="21"/>
  <c r="S75" i="21"/>
  <c r="R75" i="21"/>
  <c r="M5" i="21"/>
  <c r="I75" i="21"/>
  <c r="M75" i="21"/>
  <c r="AE214" i="21" s="1"/>
  <c r="L75" i="21"/>
  <c r="L83" i="21" s="1"/>
  <c r="K75" i="21"/>
  <c r="K7" i="21" s="1"/>
  <c r="J75" i="21"/>
  <c r="J83" i="21" s="1"/>
  <c r="H5" i="21"/>
  <c r="AH56" i="21"/>
  <c r="F75" i="21"/>
  <c r="F83" i="21" s="1"/>
  <c r="E75" i="21"/>
  <c r="W214" i="21" s="1"/>
  <c r="AH52" i="21"/>
  <c r="C75" i="21"/>
  <c r="C7" i="21" s="1"/>
  <c r="D75" i="21"/>
  <c r="V214" i="21" s="1"/>
  <c r="B5" i="21"/>
  <c r="AI38" i="21"/>
  <c r="AI56" i="21"/>
  <c r="AI52" i="21"/>
  <c r="B75" i="21"/>
  <c r="B7" i="21" s="1"/>
  <c r="H4" i="21"/>
  <c r="AM214" i="21"/>
  <c r="U83" i="21"/>
  <c r="U7" i="21"/>
  <c r="AU214" i="21"/>
  <c r="AC83" i="21"/>
  <c r="AC7" i="21"/>
  <c r="H103" i="21"/>
  <c r="X214" i="21"/>
  <c r="F7" i="21"/>
  <c r="AF214" i="21"/>
  <c r="N7" i="21"/>
  <c r="N83" i="21"/>
  <c r="AN214" i="21"/>
  <c r="V7" i="21"/>
  <c r="V83" i="21"/>
  <c r="AV214" i="21"/>
  <c r="AD7" i="21"/>
  <c r="AD83" i="21"/>
  <c r="AA214" i="21"/>
  <c r="I83" i="21"/>
  <c r="I7" i="21"/>
  <c r="AI214" i="21"/>
  <c r="Q83" i="21"/>
  <c r="Q7" i="21"/>
  <c r="AQ214" i="21"/>
  <c r="Y83" i="21"/>
  <c r="Y7" i="21"/>
  <c r="AB214" i="21"/>
  <c r="AJ214" i="21"/>
  <c r="R83" i="21"/>
  <c r="R7" i="21"/>
  <c r="AR214" i="21"/>
  <c r="Z83" i="21"/>
  <c r="Z7" i="21"/>
  <c r="AC214" i="21"/>
  <c r="K83" i="21"/>
  <c r="AK214" i="21"/>
  <c r="S83" i="21"/>
  <c r="S7" i="21"/>
  <c r="AS214" i="21"/>
  <c r="AA83" i="21"/>
  <c r="AA7" i="21"/>
  <c r="AD214" i="21"/>
  <c r="AL214" i="21"/>
  <c r="T83" i="21"/>
  <c r="T7" i="21"/>
  <c r="AT214" i="21"/>
  <c r="AB83" i="21"/>
  <c r="AB7" i="21"/>
  <c r="G115" i="21"/>
  <c r="H115" i="21" s="1"/>
  <c r="I115" i="21" s="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B115" i="21" s="1"/>
  <c r="G75" i="21"/>
  <c r="O75" i="21"/>
  <c r="W75" i="21"/>
  <c r="AE75" i="21"/>
  <c r="H75" i="21"/>
  <c r="P75" i="21"/>
  <c r="X75" i="21"/>
  <c r="AF75" i="21"/>
  <c r="S211" i="21"/>
  <c r="D211" i="21"/>
  <c r="AG75" i="21"/>
  <c r="AG83" i="21" s="1"/>
  <c r="AH68" i="21"/>
  <c r="D192" i="21"/>
  <c r="AI68" i="21"/>
  <c r="E192" i="21"/>
  <c r="F102" i="21"/>
  <c r="AH38" i="21"/>
  <c r="F198" i="21"/>
  <c r="G198" i="21" s="1"/>
  <c r="H198" i="21" s="1"/>
  <c r="I198" i="21" s="1"/>
  <c r="J198" i="21" s="1"/>
  <c r="K198" i="21" s="1"/>
  <c r="L198" i="21" s="1"/>
  <c r="M198" i="21" s="1"/>
  <c r="N198" i="21" s="1"/>
  <c r="O198" i="21" s="1"/>
  <c r="P198" i="21" s="1"/>
  <c r="Q198" i="21" s="1"/>
  <c r="R198" i="21" s="1"/>
  <c r="S198" i="21" s="1"/>
  <c r="T198" i="21" s="1"/>
  <c r="U198" i="21" s="1"/>
  <c r="V198" i="21" s="1"/>
  <c r="W198" i="21" s="1"/>
  <c r="X198" i="21" s="1"/>
  <c r="Y198" i="21" s="1"/>
  <c r="Z198" i="21" s="1"/>
  <c r="AA198" i="21" s="1"/>
  <c r="AB198" i="21" s="1"/>
  <c r="AC198" i="21" s="1"/>
  <c r="AD198" i="21" s="1"/>
  <c r="AE198" i="21" s="1"/>
  <c r="AF198" i="21" s="1"/>
  <c r="B198" i="21" s="1"/>
  <c r="D200" i="21"/>
  <c r="C235" i="21"/>
  <c r="E199" i="21"/>
  <c r="H194" i="21"/>
  <c r="B75" i="20"/>
  <c r="AB75" i="20"/>
  <c r="AT214" i="20" s="1"/>
  <c r="D93" i="20"/>
  <c r="AF5" i="20"/>
  <c r="R75" i="20"/>
  <c r="R83" i="20" s="1"/>
  <c r="Z75" i="20"/>
  <c r="AR214" i="20" s="1"/>
  <c r="W75" i="20"/>
  <c r="AO214" i="20" s="1"/>
  <c r="S75" i="20"/>
  <c r="S83" i="20" s="1"/>
  <c r="T75" i="20"/>
  <c r="AL214" i="20" s="1"/>
  <c r="M75" i="20"/>
  <c r="M7" i="20" s="1"/>
  <c r="U75" i="20"/>
  <c r="U7" i="20" s="1"/>
  <c r="AC75" i="20"/>
  <c r="AC7" i="20" s="1"/>
  <c r="C235" i="20"/>
  <c r="L75" i="20"/>
  <c r="AD214" i="20" s="1"/>
  <c r="J75" i="20"/>
  <c r="AB214" i="20" s="1"/>
  <c r="G75" i="20"/>
  <c r="E75" i="20"/>
  <c r="E7" i="20" s="1"/>
  <c r="AI68" i="20"/>
  <c r="AI56" i="20"/>
  <c r="B5" i="20"/>
  <c r="AI52" i="20"/>
  <c r="H4" i="20"/>
  <c r="I75" i="20"/>
  <c r="Q75" i="20"/>
  <c r="Y75" i="20"/>
  <c r="AG75" i="20"/>
  <c r="D75" i="20"/>
  <c r="AA75" i="20"/>
  <c r="X75" i="20"/>
  <c r="AH38" i="20"/>
  <c r="T214" i="20"/>
  <c r="B7" i="20"/>
  <c r="P75" i="20"/>
  <c r="AI38" i="20"/>
  <c r="AH56" i="20"/>
  <c r="K75" i="20"/>
  <c r="AE75" i="20"/>
  <c r="U214" i="20"/>
  <c r="C7" i="20"/>
  <c r="R5" i="20"/>
  <c r="B83" i="20"/>
  <c r="E103" i="20"/>
  <c r="H75" i="20"/>
  <c r="AH52" i="20"/>
  <c r="AE214" i="20"/>
  <c r="M83" i="20"/>
  <c r="O75" i="20"/>
  <c r="C83" i="20"/>
  <c r="AF75" i="20"/>
  <c r="AG73" i="20"/>
  <c r="D192" i="20"/>
  <c r="F75" i="20"/>
  <c r="N75" i="20"/>
  <c r="V75" i="20"/>
  <c r="AD75" i="20"/>
  <c r="F102" i="20"/>
  <c r="S211" i="20"/>
  <c r="D211" i="20"/>
  <c r="AH68" i="20"/>
  <c r="D235" i="20"/>
  <c r="F199" i="20"/>
  <c r="E200" i="20"/>
  <c r="F194" i="20"/>
  <c r="E195" i="20"/>
  <c r="F195" i="20" s="1"/>
  <c r="G195" i="20" s="1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B195" i="20" s="1"/>
  <c r="D200" i="20"/>
  <c r="AF75" i="19"/>
  <c r="AX214" i="19" s="1"/>
  <c r="AC75" i="19"/>
  <c r="AC83" i="19" s="1"/>
  <c r="AD75" i="19"/>
  <c r="AE75" i="19"/>
  <c r="AB75" i="19"/>
  <c r="AA75" i="19"/>
  <c r="Z75" i="19"/>
  <c r="X75" i="19"/>
  <c r="W75" i="19"/>
  <c r="V75" i="19"/>
  <c r="U75" i="19"/>
  <c r="T75" i="19"/>
  <c r="S75" i="19"/>
  <c r="R75" i="19"/>
  <c r="P75" i="19"/>
  <c r="O75" i="19"/>
  <c r="N75" i="19"/>
  <c r="M75" i="19"/>
  <c r="AE214" i="19" s="1"/>
  <c r="L75" i="19"/>
  <c r="L7" i="19" s="1"/>
  <c r="K75" i="19"/>
  <c r="K83" i="19" s="1"/>
  <c r="F75" i="19"/>
  <c r="G75" i="19"/>
  <c r="Y214" i="19" s="1"/>
  <c r="H75" i="19"/>
  <c r="Z214" i="19" s="1"/>
  <c r="J75" i="19"/>
  <c r="J7" i="19" s="1"/>
  <c r="E75" i="19"/>
  <c r="W214" i="19" s="1"/>
  <c r="D75" i="19"/>
  <c r="V214" i="19" s="1"/>
  <c r="AI68" i="19"/>
  <c r="AI56" i="19"/>
  <c r="AI52" i="19"/>
  <c r="AI38" i="19"/>
  <c r="C75" i="19"/>
  <c r="C7" i="19" s="1"/>
  <c r="AF5" i="19"/>
  <c r="H4" i="19"/>
  <c r="AW214" i="19"/>
  <c r="AE83" i="19"/>
  <c r="AE7" i="19"/>
  <c r="AH214" i="19"/>
  <c r="P83" i="19"/>
  <c r="P7" i="19"/>
  <c r="AP214" i="19"/>
  <c r="X7" i="19"/>
  <c r="X83" i="19"/>
  <c r="AF83" i="19"/>
  <c r="AJ214" i="19"/>
  <c r="R7" i="19"/>
  <c r="R83" i="19"/>
  <c r="AR214" i="19"/>
  <c r="Z7" i="19"/>
  <c r="Z83" i="19"/>
  <c r="AC214" i="19"/>
  <c r="AK214" i="19"/>
  <c r="S83" i="19"/>
  <c r="S7" i="19"/>
  <c r="AS214" i="19"/>
  <c r="AA83" i="19"/>
  <c r="AA7" i="19"/>
  <c r="H126" i="19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B126" i="19" s="1"/>
  <c r="AG214" i="19"/>
  <c r="O83" i="19"/>
  <c r="O7" i="19"/>
  <c r="AO214" i="19"/>
  <c r="W83" i="19"/>
  <c r="W7" i="19"/>
  <c r="L83" i="19"/>
  <c r="AL214" i="19"/>
  <c r="T83" i="19"/>
  <c r="T7" i="19"/>
  <c r="AT214" i="19"/>
  <c r="AB83" i="19"/>
  <c r="AB7" i="19"/>
  <c r="AG6" i="19"/>
  <c r="E83" i="19"/>
  <c r="E7" i="19"/>
  <c r="AM214" i="19"/>
  <c r="U83" i="19"/>
  <c r="U7" i="19"/>
  <c r="AC7" i="19"/>
  <c r="I103" i="19"/>
  <c r="X214" i="19"/>
  <c r="F83" i="19"/>
  <c r="F7" i="19"/>
  <c r="AF214" i="19"/>
  <c r="N83" i="19"/>
  <c r="N7" i="19"/>
  <c r="AN214" i="19"/>
  <c r="V83" i="19"/>
  <c r="V7" i="19"/>
  <c r="AV214" i="19"/>
  <c r="AD83" i="19"/>
  <c r="AD7" i="19"/>
  <c r="AH52" i="19"/>
  <c r="AH56" i="19"/>
  <c r="AH68" i="19"/>
  <c r="B75" i="19"/>
  <c r="Q75" i="19"/>
  <c r="I75" i="19"/>
  <c r="Y75" i="19"/>
  <c r="AH38" i="19"/>
  <c r="AG73" i="19"/>
  <c r="AG83" i="19" s="1"/>
  <c r="E192" i="19"/>
  <c r="S211" i="19"/>
  <c r="D211" i="19"/>
  <c r="F192" i="19"/>
  <c r="G102" i="19"/>
  <c r="D192" i="19"/>
  <c r="G194" i="19"/>
  <c r="C235" i="19"/>
  <c r="E199" i="19"/>
  <c r="E200" i="19" s="1"/>
  <c r="E93" i="18"/>
  <c r="C235" i="18"/>
  <c r="D93" i="18"/>
  <c r="AG73" i="18"/>
  <c r="AG6" i="18"/>
  <c r="F199" i="18"/>
  <c r="Y75" i="18"/>
  <c r="Z75" i="18"/>
  <c r="Z7" i="18" s="1"/>
  <c r="U75" i="18"/>
  <c r="AC75" i="18"/>
  <c r="AU214" i="18" s="1"/>
  <c r="V75" i="18"/>
  <c r="AD75" i="18"/>
  <c r="AV214" i="18" s="1"/>
  <c r="O75" i="18"/>
  <c r="O83" i="18" s="1"/>
  <c r="W75" i="18"/>
  <c r="W83" i="18" s="1"/>
  <c r="AE75" i="18"/>
  <c r="AE83" i="18" s="1"/>
  <c r="Q75" i="18"/>
  <c r="AI214" i="18" s="1"/>
  <c r="R75" i="18"/>
  <c r="R7" i="18" s="1"/>
  <c r="N75" i="18"/>
  <c r="M75" i="18"/>
  <c r="M7" i="18" s="1"/>
  <c r="J75" i="18"/>
  <c r="J7" i="18" s="1"/>
  <c r="I75" i="18"/>
  <c r="I7" i="18" s="1"/>
  <c r="H75" i="18"/>
  <c r="H83" i="18" s="1"/>
  <c r="G75" i="18"/>
  <c r="F75" i="18"/>
  <c r="X214" i="18" s="1"/>
  <c r="AH56" i="18"/>
  <c r="E75" i="18"/>
  <c r="E83" i="18" s="1"/>
  <c r="AI56" i="18"/>
  <c r="B75" i="18"/>
  <c r="B7" i="18" s="1"/>
  <c r="H4" i="18"/>
  <c r="Z214" i="18"/>
  <c r="AI38" i="18"/>
  <c r="AH52" i="18"/>
  <c r="AF214" i="18"/>
  <c r="N83" i="18"/>
  <c r="N7" i="18"/>
  <c r="AN214" i="18"/>
  <c r="V83" i="18"/>
  <c r="V7" i="18"/>
  <c r="AI52" i="18"/>
  <c r="AW214" i="18"/>
  <c r="AE7" i="18"/>
  <c r="P75" i="18"/>
  <c r="G7" i="18"/>
  <c r="Q83" i="18"/>
  <c r="AQ214" i="18"/>
  <c r="Y7" i="18"/>
  <c r="Y83" i="18"/>
  <c r="X75" i="18"/>
  <c r="AM214" i="18"/>
  <c r="U83" i="18"/>
  <c r="U7" i="18"/>
  <c r="AB214" i="18"/>
  <c r="AJ214" i="18"/>
  <c r="R83" i="18"/>
  <c r="AF75" i="18"/>
  <c r="G103" i="18"/>
  <c r="AG75" i="18"/>
  <c r="AG83" i="18" s="1"/>
  <c r="S211" i="18"/>
  <c r="D211" i="18"/>
  <c r="AH68" i="18"/>
  <c r="AI68" i="18"/>
  <c r="C75" i="18"/>
  <c r="K75" i="18"/>
  <c r="S75" i="18"/>
  <c r="AA75" i="18"/>
  <c r="AH38" i="18"/>
  <c r="D192" i="18"/>
  <c r="D75" i="18"/>
  <c r="L75" i="18"/>
  <c r="T75" i="18"/>
  <c r="AB75" i="18"/>
  <c r="E102" i="18"/>
  <c r="E195" i="18"/>
  <c r="F195" i="18" s="1"/>
  <c r="G195" i="18" s="1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B195" i="18" s="1"/>
  <c r="D200" i="18"/>
  <c r="F194" i="18"/>
  <c r="F93" i="18" s="1"/>
  <c r="E235" i="18"/>
  <c r="G199" i="18"/>
  <c r="AD75" i="17"/>
  <c r="AC75" i="17"/>
  <c r="AC7" i="17" s="1"/>
  <c r="AA75" i="17"/>
  <c r="Z75" i="17"/>
  <c r="Z83" i="17" s="1"/>
  <c r="Y75" i="17"/>
  <c r="Y7" i="17" s="1"/>
  <c r="U75" i="17"/>
  <c r="U7" i="17" s="1"/>
  <c r="S75" i="17"/>
  <c r="Q75" i="17"/>
  <c r="AI214" i="17" s="1"/>
  <c r="R75" i="17"/>
  <c r="AJ214" i="17" s="1"/>
  <c r="N75" i="17"/>
  <c r="N83" i="17" s="1"/>
  <c r="M75" i="17"/>
  <c r="M7" i="17" s="1"/>
  <c r="K75" i="17"/>
  <c r="J75" i="17"/>
  <c r="J83" i="17" s="1"/>
  <c r="I75" i="17"/>
  <c r="AA214" i="17" s="1"/>
  <c r="F75" i="17"/>
  <c r="X214" i="17" s="1"/>
  <c r="E75" i="17"/>
  <c r="E7" i="17" s="1"/>
  <c r="AH52" i="17"/>
  <c r="C75" i="17"/>
  <c r="AI68" i="17"/>
  <c r="AI56" i="17"/>
  <c r="AI52" i="17"/>
  <c r="B75" i="17"/>
  <c r="H4" i="17"/>
  <c r="AK214" i="17"/>
  <c r="S7" i="17"/>
  <c r="S83" i="17"/>
  <c r="AS214" i="17"/>
  <c r="AA7" i="17"/>
  <c r="AA83" i="17"/>
  <c r="I83" i="17"/>
  <c r="G75" i="17"/>
  <c r="O75" i="17"/>
  <c r="V5" i="17"/>
  <c r="W75" i="17"/>
  <c r="AD5" i="17"/>
  <c r="AE75" i="17"/>
  <c r="AQ214" i="17"/>
  <c r="Y83" i="17"/>
  <c r="H75" i="17"/>
  <c r="P75" i="17"/>
  <c r="X75" i="17"/>
  <c r="AF75" i="17"/>
  <c r="U214" i="17"/>
  <c r="C7" i="17"/>
  <c r="C83" i="17"/>
  <c r="AI38" i="17"/>
  <c r="T214" i="17"/>
  <c r="AB214" i="17"/>
  <c r="AR214" i="17"/>
  <c r="Z7" i="17"/>
  <c r="AG83" i="17"/>
  <c r="I7" i="17"/>
  <c r="AH56" i="17"/>
  <c r="S211" i="17"/>
  <c r="D211" i="17"/>
  <c r="F5" i="17"/>
  <c r="N5" i="17"/>
  <c r="D75" i="17"/>
  <c r="L75" i="17"/>
  <c r="T75" i="17"/>
  <c r="AB75" i="17"/>
  <c r="AC214" i="17"/>
  <c r="K7" i="17"/>
  <c r="K83" i="17"/>
  <c r="AU214" i="17"/>
  <c r="AC83" i="17"/>
  <c r="AM214" i="17"/>
  <c r="U83" i="17"/>
  <c r="AN214" i="17"/>
  <c r="V83" i="17"/>
  <c r="V7" i="17"/>
  <c r="AV214" i="17"/>
  <c r="AD83" i="17"/>
  <c r="AD7" i="17"/>
  <c r="D93" i="17"/>
  <c r="E103" i="17"/>
  <c r="AH38" i="17"/>
  <c r="D192" i="17"/>
  <c r="E102" i="17"/>
  <c r="AG75" i="17"/>
  <c r="AH68" i="17"/>
  <c r="I194" i="17"/>
  <c r="E199" i="17"/>
  <c r="E200" i="17" s="1"/>
  <c r="X103" i="29" l="1"/>
  <c r="W93" i="29"/>
  <c r="W235" i="29"/>
  <c r="Y199" i="29"/>
  <c r="V192" i="29"/>
  <c r="W102" i="29"/>
  <c r="Y194" i="29"/>
  <c r="X200" i="29"/>
  <c r="J192" i="28"/>
  <c r="K102" i="28"/>
  <c r="I235" i="28"/>
  <c r="K199" i="28"/>
  <c r="I200" i="28"/>
  <c r="J194" i="28"/>
  <c r="I93" i="28"/>
  <c r="L103" i="28"/>
  <c r="K192" i="27"/>
  <c r="L102" i="27"/>
  <c r="M103" i="27"/>
  <c r="H235" i="27"/>
  <c r="J199" i="27"/>
  <c r="I93" i="27"/>
  <c r="I200" i="27"/>
  <c r="L194" i="27"/>
  <c r="I192" i="26"/>
  <c r="J102" i="26"/>
  <c r="J235" i="26"/>
  <c r="L199" i="26"/>
  <c r="J93" i="26"/>
  <c r="K103" i="26"/>
  <c r="I200" i="26"/>
  <c r="J194" i="26"/>
  <c r="I93" i="26"/>
  <c r="K199" i="25"/>
  <c r="I235" i="25"/>
  <c r="L103" i="25"/>
  <c r="K93" i="25"/>
  <c r="J200" i="25"/>
  <c r="K200" i="25"/>
  <c r="L194" i="25"/>
  <c r="I192" i="25"/>
  <c r="J102" i="25"/>
  <c r="J199" i="24"/>
  <c r="H235" i="24"/>
  <c r="I200" i="24"/>
  <c r="I192" i="24"/>
  <c r="J102" i="24"/>
  <c r="L194" i="24"/>
  <c r="K103" i="24"/>
  <c r="J93" i="24"/>
  <c r="M103" i="23"/>
  <c r="K192" i="23"/>
  <c r="L102" i="23"/>
  <c r="I235" i="23"/>
  <c r="K199" i="23"/>
  <c r="J200" i="23"/>
  <c r="K194" i="23"/>
  <c r="J93" i="23"/>
  <c r="I192" i="22"/>
  <c r="J102" i="22"/>
  <c r="M194" i="22"/>
  <c r="J199" i="22"/>
  <c r="H235" i="22"/>
  <c r="I200" i="22"/>
  <c r="K103" i="22"/>
  <c r="J93" i="22"/>
  <c r="C83" i="21"/>
  <c r="U214" i="21"/>
  <c r="B83" i="21"/>
  <c r="M7" i="21"/>
  <c r="M83" i="21"/>
  <c r="L7" i="21"/>
  <c r="J7" i="21"/>
  <c r="AI75" i="21"/>
  <c r="E7" i="21"/>
  <c r="E83" i="21"/>
  <c r="D83" i="21"/>
  <c r="D7" i="21"/>
  <c r="T214" i="21"/>
  <c r="Y214" i="21"/>
  <c r="C209" i="21"/>
  <c r="B209" i="21"/>
  <c r="G7" i="21"/>
  <c r="G83" i="21"/>
  <c r="F192" i="21"/>
  <c r="G102" i="21"/>
  <c r="AX214" i="21"/>
  <c r="AF7" i="21"/>
  <c r="AF83" i="21"/>
  <c r="I194" i="21"/>
  <c r="AP214" i="21"/>
  <c r="X7" i="21"/>
  <c r="X83" i="21"/>
  <c r="I103" i="21"/>
  <c r="D235" i="21"/>
  <c r="F199" i="21"/>
  <c r="E93" i="21"/>
  <c r="AH214" i="21"/>
  <c r="P7" i="21"/>
  <c r="P83" i="21"/>
  <c r="Z214" i="21"/>
  <c r="H7" i="21"/>
  <c r="H83" i="21"/>
  <c r="AW214" i="21"/>
  <c r="AE7" i="21"/>
  <c r="AE83" i="21"/>
  <c r="AH75" i="21"/>
  <c r="E200" i="21"/>
  <c r="AO214" i="21"/>
  <c r="W7" i="21"/>
  <c r="W83" i="21"/>
  <c r="AG214" i="21"/>
  <c r="O7" i="21"/>
  <c r="O83" i="21"/>
  <c r="AC83" i="20"/>
  <c r="AU214" i="20"/>
  <c r="Z83" i="20"/>
  <c r="Z7" i="20"/>
  <c r="AB83" i="20"/>
  <c r="AB7" i="20"/>
  <c r="W7" i="20"/>
  <c r="W83" i="20"/>
  <c r="U83" i="20"/>
  <c r="AM214" i="20"/>
  <c r="S7" i="20"/>
  <c r="AK214" i="20"/>
  <c r="R7" i="20"/>
  <c r="AJ214" i="20"/>
  <c r="AU214" i="19"/>
  <c r="AF7" i="19"/>
  <c r="AG83" i="20"/>
  <c r="T83" i="20"/>
  <c r="T7" i="20"/>
  <c r="L83" i="20"/>
  <c r="L7" i="20"/>
  <c r="J83" i="20"/>
  <c r="J7" i="20"/>
  <c r="E83" i="20"/>
  <c r="W214" i="20"/>
  <c r="AH75" i="20"/>
  <c r="E93" i="20"/>
  <c r="F103" i="20"/>
  <c r="F192" i="20"/>
  <c r="G102" i="20"/>
  <c r="V214" i="20"/>
  <c r="D7" i="20"/>
  <c r="D83" i="20"/>
  <c r="G194" i="20"/>
  <c r="F200" i="20"/>
  <c r="E192" i="20"/>
  <c r="AI75" i="20"/>
  <c r="AH214" i="20"/>
  <c r="P83" i="20"/>
  <c r="P7" i="20"/>
  <c r="AV214" i="20"/>
  <c r="AD83" i="20"/>
  <c r="AD7" i="20"/>
  <c r="AX214" i="20"/>
  <c r="AF83" i="20"/>
  <c r="AF7" i="20"/>
  <c r="G199" i="20"/>
  <c r="E235" i="20"/>
  <c r="AN214" i="20"/>
  <c r="V83" i="20"/>
  <c r="V7" i="20"/>
  <c r="C209" i="20"/>
  <c r="B209" i="20"/>
  <c r="K6" i="20" s="1"/>
  <c r="Y214" i="20"/>
  <c r="G83" i="20"/>
  <c r="G7" i="20"/>
  <c r="AQ214" i="20"/>
  <c r="Y83" i="20"/>
  <c r="Y7" i="20"/>
  <c r="AS214" i="20"/>
  <c r="AA7" i="20"/>
  <c r="AA83" i="20"/>
  <c r="AF214" i="20"/>
  <c r="N83" i="20"/>
  <c r="N7" i="20"/>
  <c r="AG214" i="20"/>
  <c r="O83" i="20"/>
  <c r="O7" i="20"/>
  <c r="AI214" i="20"/>
  <c r="Q83" i="20"/>
  <c r="Q7" i="20"/>
  <c r="X214" i="20"/>
  <c r="F83" i="20"/>
  <c r="F7" i="20"/>
  <c r="AW214" i="20"/>
  <c r="AE83" i="20"/>
  <c r="AE7" i="20"/>
  <c r="AA214" i="20"/>
  <c r="I83" i="20"/>
  <c r="I7" i="20"/>
  <c r="Z214" i="20"/>
  <c r="H83" i="20"/>
  <c r="H7" i="20"/>
  <c r="AC214" i="20"/>
  <c r="K7" i="20"/>
  <c r="K83" i="20"/>
  <c r="AP214" i="20"/>
  <c r="X83" i="20"/>
  <c r="X7" i="20"/>
  <c r="M7" i="19"/>
  <c r="M83" i="19"/>
  <c r="AD214" i="19"/>
  <c r="K7" i="19"/>
  <c r="H83" i="19"/>
  <c r="H7" i="19"/>
  <c r="G7" i="19"/>
  <c r="AB214" i="19"/>
  <c r="G83" i="19"/>
  <c r="C209" i="19"/>
  <c r="J83" i="19"/>
  <c r="D7" i="19"/>
  <c r="D83" i="19"/>
  <c r="C83" i="19"/>
  <c r="U214" i="19"/>
  <c r="AI214" i="19"/>
  <c r="Q7" i="19"/>
  <c r="Q83" i="19"/>
  <c r="T214" i="19"/>
  <c r="B7" i="19"/>
  <c r="B83" i="19"/>
  <c r="AI75" i="19"/>
  <c r="AH75" i="19"/>
  <c r="J103" i="19"/>
  <c r="H194" i="19"/>
  <c r="B209" i="19"/>
  <c r="K6" i="19" s="1"/>
  <c r="G192" i="19"/>
  <c r="H102" i="19"/>
  <c r="AQ214" i="19"/>
  <c r="Y7" i="19"/>
  <c r="Y83" i="19"/>
  <c r="F199" i="19"/>
  <c r="D235" i="19"/>
  <c r="E93" i="19"/>
  <c r="AA214" i="19"/>
  <c r="I7" i="19"/>
  <c r="I83" i="19"/>
  <c r="AC7" i="18"/>
  <c r="AC83" i="18"/>
  <c r="AO214" i="18"/>
  <c r="AD7" i="18"/>
  <c r="AD83" i="18"/>
  <c r="O7" i="18"/>
  <c r="AG214" i="18"/>
  <c r="Q7" i="18"/>
  <c r="Z83" i="18"/>
  <c r="AR214" i="18"/>
  <c r="M83" i="18"/>
  <c r="J83" i="18"/>
  <c r="B83" i="18"/>
  <c r="T214" i="18"/>
  <c r="AE214" i="18"/>
  <c r="W7" i="18"/>
  <c r="W214" i="18"/>
  <c r="I83" i="18"/>
  <c r="AA214" i="18"/>
  <c r="H7" i="18"/>
  <c r="B209" i="18"/>
  <c r="C209" i="18"/>
  <c r="G83" i="18"/>
  <c r="Y214" i="18"/>
  <c r="F7" i="18"/>
  <c r="F83" i="18"/>
  <c r="E7" i="18"/>
  <c r="AS214" i="18"/>
  <c r="AA83" i="18"/>
  <c r="AA7" i="18"/>
  <c r="E192" i="18"/>
  <c r="F102" i="18"/>
  <c r="AK214" i="18"/>
  <c r="S83" i="18"/>
  <c r="S7" i="18"/>
  <c r="AH214" i="18"/>
  <c r="P7" i="18"/>
  <c r="P83" i="18"/>
  <c r="AT214" i="18"/>
  <c r="AB83" i="18"/>
  <c r="AB7" i="18"/>
  <c r="AC214" i="18"/>
  <c r="K83" i="18"/>
  <c r="K7" i="18"/>
  <c r="H103" i="18"/>
  <c r="H199" i="18"/>
  <c r="F235" i="18"/>
  <c r="AL214" i="18"/>
  <c r="T83" i="18"/>
  <c r="T7" i="18"/>
  <c r="U214" i="18"/>
  <c r="C83" i="18"/>
  <c r="C7" i="18"/>
  <c r="AH75" i="18"/>
  <c r="AP214" i="18"/>
  <c r="X7" i="18"/>
  <c r="X83" i="18"/>
  <c r="AD214" i="18"/>
  <c r="L83" i="18"/>
  <c r="L7" i="18"/>
  <c r="AX214" i="18"/>
  <c r="AF7" i="18"/>
  <c r="AF83" i="18"/>
  <c r="AI75" i="18"/>
  <c r="E200" i="18"/>
  <c r="V214" i="18"/>
  <c r="D83" i="18"/>
  <c r="D7" i="18"/>
  <c r="F200" i="18"/>
  <c r="G194" i="18"/>
  <c r="R83" i="17"/>
  <c r="R7" i="17"/>
  <c r="Q7" i="17"/>
  <c r="Q83" i="17"/>
  <c r="AF214" i="17"/>
  <c r="N7" i="17"/>
  <c r="M83" i="17"/>
  <c r="AE214" i="17"/>
  <c r="W214" i="17"/>
  <c r="E83" i="17"/>
  <c r="J7" i="17"/>
  <c r="F7" i="17"/>
  <c r="F83" i="17"/>
  <c r="AI75" i="17"/>
  <c r="B83" i="17"/>
  <c r="B7" i="17"/>
  <c r="AT214" i="17"/>
  <c r="AB7" i="17"/>
  <c r="AB83" i="17"/>
  <c r="AW214" i="17"/>
  <c r="AE83" i="17"/>
  <c r="AE7" i="17"/>
  <c r="AL214" i="17"/>
  <c r="T7" i="17"/>
  <c r="T83" i="17"/>
  <c r="E93" i="17"/>
  <c r="F103" i="17"/>
  <c r="AD214" i="17"/>
  <c r="L7" i="17"/>
  <c r="L83" i="17"/>
  <c r="AH75" i="17"/>
  <c r="AX214" i="17"/>
  <c r="AF83" i="17"/>
  <c r="AF7" i="17"/>
  <c r="AO214" i="17"/>
  <c r="W83" i="17"/>
  <c r="W7" i="17"/>
  <c r="V214" i="17"/>
  <c r="D7" i="17"/>
  <c r="D83" i="17"/>
  <c r="AP214" i="17"/>
  <c r="X83" i="17"/>
  <c r="X7" i="17"/>
  <c r="E192" i="17"/>
  <c r="F102" i="17"/>
  <c r="AH214" i="17"/>
  <c r="P83" i="17"/>
  <c r="P7" i="17"/>
  <c r="AG214" i="17"/>
  <c r="O83" i="17"/>
  <c r="O7" i="17"/>
  <c r="J194" i="17"/>
  <c r="Z214" i="17"/>
  <c r="H83" i="17"/>
  <c r="H7" i="17"/>
  <c r="C209" i="17"/>
  <c r="B209" i="17"/>
  <c r="Y214" i="17"/>
  <c r="G83" i="17"/>
  <c r="G7" i="17"/>
  <c r="F199" i="17"/>
  <c r="D235" i="17"/>
  <c r="Z194" i="29" l="1"/>
  <c r="Y200" i="29"/>
  <c r="W192" i="29"/>
  <c r="X102" i="29"/>
  <c r="X235" i="29"/>
  <c r="Z199" i="29"/>
  <c r="Y103" i="29"/>
  <c r="X93" i="29"/>
  <c r="M103" i="28"/>
  <c r="J200" i="28"/>
  <c r="K194" i="28"/>
  <c r="J93" i="28"/>
  <c r="J235" i="28"/>
  <c r="L199" i="28"/>
  <c r="K192" i="28"/>
  <c r="L102" i="28"/>
  <c r="K199" i="27"/>
  <c r="I235" i="27"/>
  <c r="J93" i="27"/>
  <c r="J200" i="27"/>
  <c r="N103" i="27"/>
  <c r="L192" i="27"/>
  <c r="M102" i="27"/>
  <c r="M194" i="27"/>
  <c r="K194" i="26"/>
  <c r="J200" i="26"/>
  <c r="K93" i="26"/>
  <c r="L103" i="26"/>
  <c r="K235" i="26"/>
  <c r="M199" i="26"/>
  <c r="J192" i="26"/>
  <c r="K102" i="26"/>
  <c r="M194" i="25"/>
  <c r="M103" i="25"/>
  <c r="J192" i="25"/>
  <c r="K102" i="25"/>
  <c r="J235" i="25"/>
  <c r="L199" i="25"/>
  <c r="L103" i="24"/>
  <c r="M194" i="24"/>
  <c r="J192" i="24"/>
  <c r="K102" i="24"/>
  <c r="K199" i="24"/>
  <c r="I235" i="24"/>
  <c r="J200" i="24"/>
  <c r="K200" i="23"/>
  <c r="L194" i="23"/>
  <c r="K93" i="23"/>
  <c r="L199" i="23"/>
  <c r="J235" i="23"/>
  <c r="L192" i="23"/>
  <c r="M102" i="23"/>
  <c r="N103" i="23"/>
  <c r="L103" i="22"/>
  <c r="K93" i="22"/>
  <c r="I235" i="22"/>
  <c r="K199" i="22"/>
  <c r="J200" i="22"/>
  <c r="N194" i="22"/>
  <c r="J192" i="22"/>
  <c r="K102" i="22"/>
  <c r="A7" i="21"/>
  <c r="AI83" i="21"/>
  <c r="K6" i="21"/>
  <c r="E235" i="21"/>
  <c r="G199" i="21"/>
  <c r="F93" i="21"/>
  <c r="J194" i="21"/>
  <c r="AH83" i="21"/>
  <c r="J103" i="21"/>
  <c r="G192" i="21"/>
  <c r="H102" i="21"/>
  <c r="F200" i="21"/>
  <c r="AI83" i="20"/>
  <c r="A7" i="20"/>
  <c r="AH83" i="20"/>
  <c r="F235" i="20"/>
  <c r="H199" i="20"/>
  <c r="H102" i="20"/>
  <c r="H194" i="20"/>
  <c r="G200" i="20"/>
  <c r="F93" i="20"/>
  <c r="G103" i="20"/>
  <c r="H192" i="19"/>
  <c r="I102" i="19"/>
  <c r="A7" i="19"/>
  <c r="AH83" i="19"/>
  <c r="AI83" i="19"/>
  <c r="E235" i="19"/>
  <c r="G199" i="19"/>
  <c r="F93" i="19"/>
  <c r="F200" i="19"/>
  <c r="I194" i="19"/>
  <c r="K103" i="19"/>
  <c r="K6" i="18"/>
  <c r="AI83" i="18"/>
  <c r="AH83" i="18"/>
  <c r="G200" i="18"/>
  <c r="H194" i="18"/>
  <c r="H93" i="18" s="1"/>
  <c r="G93" i="18"/>
  <c r="I103" i="18"/>
  <c r="F192" i="18"/>
  <c r="G102" i="18"/>
  <c r="G235" i="18"/>
  <c r="I199" i="18"/>
  <c r="A7" i="18"/>
  <c r="K6" i="17"/>
  <c r="A7" i="17"/>
  <c r="AI83" i="17"/>
  <c r="K194" i="17"/>
  <c r="F93" i="17"/>
  <c r="G103" i="17"/>
  <c r="AH83" i="17"/>
  <c r="F192" i="17"/>
  <c r="G102" i="17"/>
  <c r="G199" i="17"/>
  <c r="E235" i="17"/>
  <c r="F200" i="17"/>
  <c r="Y93" i="29" l="1"/>
  <c r="Z103" i="29"/>
  <c r="AA199" i="29"/>
  <c r="Y235" i="29"/>
  <c r="X192" i="29"/>
  <c r="Y102" i="29"/>
  <c r="Z200" i="29"/>
  <c r="AA194" i="29"/>
  <c r="K235" i="28"/>
  <c r="M199" i="28"/>
  <c r="K200" i="28"/>
  <c r="L194" i="28"/>
  <c r="K93" i="28"/>
  <c r="L192" i="28"/>
  <c r="M102" i="28"/>
  <c r="N103" i="28"/>
  <c r="M192" i="27"/>
  <c r="N102" i="27"/>
  <c r="N194" i="27"/>
  <c r="O103" i="27"/>
  <c r="J235" i="27"/>
  <c r="L199" i="27"/>
  <c r="K93" i="27"/>
  <c r="K200" i="27"/>
  <c r="K192" i="26"/>
  <c r="L102" i="26"/>
  <c r="L235" i="26"/>
  <c r="N199" i="26"/>
  <c r="M103" i="26"/>
  <c r="K200" i="26"/>
  <c r="L194" i="26"/>
  <c r="K235" i="25"/>
  <c r="M199" i="25"/>
  <c r="K192" i="25"/>
  <c r="L102" i="25"/>
  <c r="L93" i="25"/>
  <c r="M93" i="25"/>
  <c r="N103" i="25"/>
  <c r="M200" i="25"/>
  <c r="N194" i="25"/>
  <c r="L200" i="25"/>
  <c r="J235" i="24"/>
  <c r="L199" i="24"/>
  <c r="K200" i="24"/>
  <c r="K192" i="24"/>
  <c r="L102" i="24"/>
  <c r="N194" i="24"/>
  <c r="K93" i="24"/>
  <c r="M103" i="24"/>
  <c r="L93" i="24"/>
  <c r="M192" i="23"/>
  <c r="N102" i="23"/>
  <c r="M199" i="23"/>
  <c r="K235" i="23"/>
  <c r="M194" i="23"/>
  <c r="L200" i="23"/>
  <c r="L93" i="23"/>
  <c r="O103" i="23"/>
  <c r="O194" i="22"/>
  <c r="L199" i="22"/>
  <c r="J235" i="22"/>
  <c r="K200" i="22"/>
  <c r="K192" i="22"/>
  <c r="L102" i="22"/>
  <c r="L93" i="22"/>
  <c r="M103" i="22"/>
  <c r="K194" i="21"/>
  <c r="H192" i="21"/>
  <c r="I102" i="21"/>
  <c r="F235" i="21"/>
  <c r="H199" i="21"/>
  <c r="G93" i="21"/>
  <c r="G200" i="21"/>
  <c r="K103" i="21"/>
  <c r="H200" i="20"/>
  <c r="I194" i="20"/>
  <c r="G93" i="20"/>
  <c r="H103" i="20"/>
  <c r="H192" i="20"/>
  <c r="I102" i="20"/>
  <c r="G192" i="20"/>
  <c r="G235" i="20"/>
  <c r="I199" i="20"/>
  <c r="L103" i="19"/>
  <c r="F235" i="19"/>
  <c r="H199" i="19"/>
  <c r="G200" i="19"/>
  <c r="G93" i="19"/>
  <c r="J194" i="19"/>
  <c r="I192" i="19"/>
  <c r="J102" i="19"/>
  <c r="J103" i="18"/>
  <c r="G192" i="18"/>
  <c r="H102" i="18"/>
  <c r="H200" i="18"/>
  <c r="I194" i="18"/>
  <c r="H235" i="18"/>
  <c r="J199" i="18"/>
  <c r="G192" i="17"/>
  <c r="H102" i="17"/>
  <c r="G93" i="17"/>
  <c r="H103" i="17"/>
  <c r="L194" i="17"/>
  <c r="F235" i="17"/>
  <c r="H199" i="17"/>
  <c r="G200" i="17"/>
  <c r="Y192" i="29" l="1"/>
  <c r="Z102" i="29"/>
  <c r="AA200" i="29"/>
  <c r="AB194" i="29"/>
  <c r="Z235" i="29"/>
  <c r="AB199" i="29"/>
  <c r="Z93" i="29"/>
  <c r="AA103" i="29"/>
  <c r="O103" i="28"/>
  <c r="M192" i="28"/>
  <c r="N102" i="28"/>
  <c r="L200" i="28"/>
  <c r="M194" i="28"/>
  <c r="L93" i="28"/>
  <c r="L235" i="28"/>
  <c r="N199" i="28"/>
  <c r="K235" i="27"/>
  <c r="M199" i="27"/>
  <c r="L93" i="27"/>
  <c r="L200" i="27"/>
  <c r="P103" i="27"/>
  <c r="O194" i="27"/>
  <c r="N192" i="27"/>
  <c r="O102" i="27"/>
  <c r="L200" i="26"/>
  <c r="M194" i="26"/>
  <c r="L93" i="26"/>
  <c r="N103" i="26"/>
  <c r="M93" i="26"/>
  <c r="M235" i="26"/>
  <c r="O199" i="26"/>
  <c r="L192" i="26"/>
  <c r="M102" i="26"/>
  <c r="O103" i="25"/>
  <c r="L192" i="25"/>
  <c r="M102" i="25"/>
  <c r="L235" i="25"/>
  <c r="N199" i="25"/>
  <c r="N200" i="25"/>
  <c r="O194" i="25"/>
  <c r="O194" i="24"/>
  <c r="L192" i="24"/>
  <c r="M102" i="24"/>
  <c r="K235" i="24"/>
  <c r="M199" i="24"/>
  <c r="L200" i="24"/>
  <c r="N103" i="24"/>
  <c r="P103" i="23"/>
  <c r="N194" i="23"/>
  <c r="M200" i="23"/>
  <c r="M93" i="23"/>
  <c r="N199" i="23"/>
  <c r="L235" i="23"/>
  <c r="N192" i="23"/>
  <c r="O102" i="23"/>
  <c r="L192" i="22"/>
  <c r="M102" i="22"/>
  <c r="M199" i="22"/>
  <c r="K235" i="22"/>
  <c r="L200" i="22"/>
  <c r="P194" i="22"/>
  <c r="M93" i="22"/>
  <c r="N103" i="22"/>
  <c r="G235" i="21"/>
  <c r="I199" i="21"/>
  <c r="H93" i="21"/>
  <c r="H200" i="21"/>
  <c r="I192" i="21"/>
  <c r="J102" i="21"/>
  <c r="L194" i="21"/>
  <c r="L103" i="21"/>
  <c r="J102" i="20"/>
  <c r="I103" i="20"/>
  <c r="H93" i="20"/>
  <c r="J199" i="20"/>
  <c r="H235" i="20"/>
  <c r="I200" i="20"/>
  <c r="J194" i="20"/>
  <c r="J192" i="19"/>
  <c r="K102" i="19"/>
  <c r="G235" i="19"/>
  <c r="I199" i="19"/>
  <c r="H200" i="19"/>
  <c r="H93" i="19"/>
  <c r="M103" i="19"/>
  <c r="K194" i="19"/>
  <c r="I200" i="18"/>
  <c r="J194" i="18"/>
  <c r="H192" i="18"/>
  <c r="I102" i="18"/>
  <c r="I235" i="18"/>
  <c r="K199" i="18"/>
  <c r="J93" i="18"/>
  <c r="K103" i="18"/>
  <c r="I93" i="18"/>
  <c r="M194" i="17"/>
  <c r="I103" i="17"/>
  <c r="H93" i="17"/>
  <c r="H192" i="17"/>
  <c r="I102" i="17"/>
  <c r="G235" i="17"/>
  <c r="I199" i="17"/>
  <c r="H200" i="17"/>
  <c r="AC199" i="29" l="1"/>
  <c r="AA235" i="29"/>
  <c r="AA93" i="29"/>
  <c r="AB103" i="29"/>
  <c r="AB200" i="29"/>
  <c r="AC194" i="29"/>
  <c r="Z192" i="29"/>
  <c r="AA102" i="29"/>
  <c r="M200" i="28"/>
  <c r="N194" i="28"/>
  <c r="M93" i="28"/>
  <c r="N192" i="28"/>
  <c r="O102" i="28"/>
  <c r="P103" i="28"/>
  <c r="O199" i="28"/>
  <c r="M235" i="28"/>
  <c r="P194" i="27"/>
  <c r="Q103" i="27"/>
  <c r="O192" i="27"/>
  <c r="P102" i="27"/>
  <c r="L235" i="27"/>
  <c r="N199" i="27"/>
  <c r="M93" i="27"/>
  <c r="M200" i="27"/>
  <c r="N235" i="26"/>
  <c r="P199" i="26"/>
  <c r="O103" i="26"/>
  <c r="N93" i="26"/>
  <c r="M200" i="26"/>
  <c r="N194" i="26"/>
  <c r="M192" i="26"/>
  <c r="N102" i="26"/>
  <c r="P194" i="25"/>
  <c r="O199" i="25"/>
  <c r="M235" i="25"/>
  <c r="M192" i="25"/>
  <c r="N102" i="25"/>
  <c r="O93" i="25"/>
  <c r="P103" i="25"/>
  <c r="N93" i="25"/>
  <c r="N199" i="24"/>
  <c r="L235" i="24"/>
  <c r="M200" i="24"/>
  <c r="M192" i="24"/>
  <c r="N102" i="24"/>
  <c r="N93" i="24"/>
  <c r="O103" i="24"/>
  <c r="M93" i="24"/>
  <c r="P194" i="24"/>
  <c r="M235" i="23"/>
  <c r="O199" i="23"/>
  <c r="O194" i="23"/>
  <c r="N200" i="23"/>
  <c r="N93" i="23"/>
  <c r="O192" i="23"/>
  <c r="P102" i="23"/>
  <c r="Q103" i="23"/>
  <c r="Q194" i="22"/>
  <c r="L235" i="22"/>
  <c r="N199" i="22"/>
  <c r="M200" i="22"/>
  <c r="O103" i="22"/>
  <c r="N93" i="22"/>
  <c r="M192" i="22"/>
  <c r="N102" i="22"/>
  <c r="J192" i="21"/>
  <c r="K102" i="21"/>
  <c r="H235" i="21"/>
  <c r="J199" i="21"/>
  <c r="I93" i="21"/>
  <c r="I200" i="21"/>
  <c r="M103" i="21"/>
  <c r="M194" i="21"/>
  <c r="J103" i="20"/>
  <c r="I93" i="20"/>
  <c r="J192" i="20"/>
  <c r="K102" i="20"/>
  <c r="I192" i="20"/>
  <c r="I235" i="20"/>
  <c r="K199" i="20"/>
  <c r="J200" i="20"/>
  <c r="K194" i="20"/>
  <c r="H235" i="19"/>
  <c r="J199" i="19"/>
  <c r="I200" i="19"/>
  <c r="I93" i="19"/>
  <c r="L194" i="19"/>
  <c r="K192" i="19"/>
  <c r="L102" i="19"/>
  <c r="N103" i="19"/>
  <c r="L103" i="18"/>
  <c r="J235" i="18"/>
  <c r="L199" i="18"/>
  <c r="K194" i="18"/>
  <c r="J200" i="18"/>
  <c r="I192" i="18"/>
  <c r="J102" i="18"/>
  <c r="N194" i="17"/>
  <c r="J103" i="17"/>
  <c r="I93" i="17"/>
  <c r="I192" i="17"/>
  <c r="J102" i="17"/>
  <c r="J199" i="17"/>
  <c r="H235" i="17"/>
  <c r="I200" i="17"/>
  <c r="AC200" i="29" l="1"/>
  <c r="AD194" i="29"/>
  <c r="AB93" i="29"/>
  <c r="AC103" i="29"/>
  <c r="AA192" i="29"/>
  <c r="AB102" i="29"/>
  <c r="AB235" i="29"/>
  <c r="AD199" i="29"/>
  <c r="O192" i="28"/>
  <c r="P102" i="28"/>
  <c r="Q103" i="28"/>
  <c r="N235" i="28"/>
  <c r="P199" i="28"/>
  <c r="O194" i="28"/>
  <c r="N200" i="28"/>
  <c r="N93" i="28"/>
  <c r="P192" i="27"/>
  <c r="Q102" i="27"/>
  <c r="R103" i="27"/>
  <c r="Q194" i="27"/>
  <c r="O199" i="27"/>
  <c r="M235" i="27"/>
  <c r="N93" i="27"/>
  <c r="N200" i="27"/>
  <c r="N200" i="26"/>
  <c r="O194" i="26"/>
  <c r="N192" i="26"/>
  <c r="O102" i="26"/>
  <c r="P103" i="26"/>
  <c r="O93" i="26"/>
  <c r="O235" i="26"/>
  <c r="Q199" i="26"/>
  <c r="N192" i="25"/>
  <c r="O102" i="25"/>
  <c r="N235" i="25"/>
  <c r="P199" i="25"/>
  <c r="P93" i="25"/>
  <c r="Q103" i="25"/>
  <c r="P200" i="25"/>
  <c r="Q194" i="25"/>
  <c r="O200" i="25"/>
  <c r="P103" i="24"/>
  <c r="N192" i="24"/>
  <c r="O102" i="24"/>
  <c r="Q194" i="24"/>
  <c r="M235" i="24"/>
  <c r="O199" i="24"/>
  <c r="N200" i="24"/>
  <c r="O200" i="23"/>
  <c r="P194" i="23"/>
  <c r="O93" i="23"/>
  <c r="P192" i="23"/>
  <c r="Q102" i="23"/>
  <c r="P199" i="23"/>
  <c r="N235" i="23"/>
  <c r="R103" i="23"/>
  <c r="P103" i="22"/>
  <c r="O93" i="22"/>
  <c r="M235" i="22"/>
  <c r="O199" i="22"/>
  <c r="N200" i="22"/>
  <c r="R194" i="22"/>
  <c r="N192" i="22"/>
  <c r="O102" i="22"/>
  <c r="K199" i="21"/>
  <c r="I235" i="21"/>
  <c r="J200" i="21"/>
  <c r="N103" i="21"/>
  <c r="N194" i="21"/>
  <c r="K192" i="21"/>
  <c r="L102" i="21"/>
  <c r="L199" i="20"/>
  <c r="J235" i="20"/>
  <c r="L102" i="20"/>
  <c r="K200" i="20"/>
  <c r="L194" i="20"/>
  <c r="K103" i="20"/>
  <c r="J93" i="20"/>
  <c r="M194" i="19"/>
  <c r="O103" i="19"/>
  <c r="I235" i="19"/>
  <c r="K199" i="19"/>
  <c r="J200" i="19"/>
  <c r="J93" i="19"/>
  <c r="L192" i="19"/>
  <c r="M102" i="19"/>
  <c r="M199" i="18"/>
  <c r="K235" i="18"/>
  <c r="L194" i="18"/>
  <c r="K200" i="18"/>
  <c r="J192" i="18"/>
  <c r="K102" i="18"/>
  <c r="L93" i="18"/>
  <c r="M103" i="18"/>
  <c r="K93" i="18"/>
  <c r="K199" i="17"/>
  <c r="I235" i="17"/>
  <c r="J200" i="17"/>
  <c r="J192" i="17"/>
  <c r="K102" i="17"/>
  <c r="K103" i="17"/>
  <c r="J93" i="17"/>
  <c r="O194" i="17"/>
  <c r="AB192" i="29" l="1"/>
  <c r="AC102" i="29"/>
  <c r="AC93" i="29"/>
  <c r="AD103" i="29"/>
  <c r="AC235" i="29"/>
  <c r="AE199" i="29"/>
  <c r="AE194" i="29"/>
  <c r="AD200" i="29"/>
  <c r="P194" i="28"/>
  <c r="O200" i="28"/>
  <c r="O93" i="28"/>
  <c r="O235" i="28"/>
  <c r="Q199" i="28"/>
  <c r="R103" i="28"/>
  <c r="P192" i="28"/>
  <c r="Q102" i="28"/>
  <c r="P199" i="27"/>
  <c r="N235" i="27"/>
  <c r="O200" i="27"/>
  <c r="O93" i="27"/>
  <c r="R194" i="27"/>
  <c r="S103" i="27"/>
  <c r="Q192" i="27"/>
  <c r="R102" i="27"/>
  <c r="Q103" i="26"/>
  <c r="P235" i="26"/>
  <c r="R199" i="26"/>
  <c r="O192" i="26"/>
  <c r="P102" i="26"/>
  <c r="P194" i="26"/>
  <c r="O200" i="26"/>
  <c r="R194" i="25"/>
  <c r="Q93" i="25"/>
  <c r="R103" i="25"/>
  <c r="O235" i="25"/>
  <c r="Q199" i="25"/>
  <c r="Q200" i="25" s="1"/>
  <c r="O192" i="25"/>
  <c r="P102" i="25"/>
  <c r="N235" i="24"/>
  <c r="P199" i="24"/>
  <c r="O200" i="24"/>
  <c r="R194" i="24"/>
  <c r="O192" i="24"/>
  <c r="P102" i="24"/>
  <c r="P93" i="24"/>
  <c r="Q103" i="24"/>
  <c r="O93" i="24"/>
  <c r="O235" i="23"/>
  <c r="Q199" i="23"/>
  <c r="Q192" i="23"/>
  <c r="R102" i="23"/>
  <c r="S103" i="23"/>
  <c r="P200" i="23"/>
  <c r="Q194" i="23"/>
  <c r="P93" i="23"/>
  <c r="S194" i="22"/>
  <c r="N235" i="22"/>
  <c r="P199" i="22"/>
  <c r="O200" i="22"/>
  <c r="O192" i="22"/>
  <c r="P102" i="22"/>
  <c r="Q103" i="22"/>
  <c r="P93" i="22"/>
  <c r="O194" i="21"/>
  <c r="O103" i="21"/>
  <c r="L192" i="21"/>
  <c r="M102" i="21"/>
  <c r="J235" i="21"/>
  <c r="L199" i="21"/>
  <c r="K200" i="21"/>
  <c r="K93" i="21"/>
  <c r="K93" i="20"/>
  <c r="L103" i="20"/>
  <c r="L192" i="20"/>
  <c r="M102" i="20"/>
  <c r="K192" i="20"/>
  <c r="L200" i="20"/>
  <c r="M194" i="20"/>
  <c r="M199" i="20"/>
  <c r="K235" i="20"/>
  <c r="P103" i="19"/>
  <c r="J235" i="19"/>
  <c r="L199" i="19"/>
  <c r="K93" i="19"/>
  <c r="K200" i="19"/>
  <c r="M192" i="19"/>
  <c r="N102" i="19"/>
  <c r="N194" i="19"/>
  <c r="M194" i="18"/>
  <c r="L200" i="18"/>
  <c r="K192" i="18"/>
  <c r="L102" i="18"/>
  <c r="N103" i="18"/>
  <c r="M93" i="18"/>
  <c r="L235" i="18"/>
  <c r="N199" i="18"/>
  <c r="K93" i="17"/>
  <c r="L103" i="17"/>
  <c r="P194" i="17"/>
  <c r="K192" i="17"/>
  <c r="L102" i="17"/>
  <c r="J235" i="17"/>
  <c r="L199" i="17"/>
  <c r="K200" i="17"/>
  <c r="U95" i="16"/>
  <c r="T95" i="16"/>
  <c r="S37" i="16"/>
  <c r="AD235" i="29" l="1"/>
  <c r="AF199" i="29"/>
  <c r="AE103" i="29"/>
  <c r="AD93" i="29"/>
  <c r="AC192" i="29"/>
  <c r="AD102" i="29"/>
  <c r="AF194" i="29"/>
  <c r="AE200" i="29"/>
  <c r="P235" i="28"/>
  <c r="R199" i="28"/>
  <c r="S103" i="28"/>
  <c r="Q192" i="28"/>
  <c r="R102" i="28"/>
  <c r="Q194" i="28"/>
  <c r="P200" i="28"/>
  <c r="P93" i="28"/>
  <c r="T103" i="27"/>
  <c r="S194" i="27"/>
  <c r="R192" i="27"/>
  <c r="S102" i="27"/>
  <c r="Q199" i="27"/>
  <c r="O235" i="27"/>
  <c r="P93" i="27"/>
  <c r="P200" i="27"/>
  <c r="Q235" i="26"/>
  <c r="S199" i="26"/>
  <c r="P192" i="26"/>
  <c r="Q102" i="26"/>
  <c r="Q194" i="26"/>
  <c r="P200" i="26"/>
  <c r="Q93" i="26"/>
  <c r="R103" i="26"/>
  <c r="P93" i="26"/>
  <c r="S103" i="25"/>
  <c r="P192" i="25"/>
  <c r="Q102" i="25"/>
  <c r="P235" i="25"/>
  <c r="R199" i="25"/>
  <c r="S194" i="25"/>
  <c r="R200" i="25"/>
  <c r="P192" i="24"/>
  <c r="Q102" i="24"/>
  <c r="O235" i="24"/>
  <c r="Q199" i="24"/>
  <c r="P200" i="24"/>
  <c r="S194" i="24"/>
  <c r="R103" i="24"/>
  <c r="R192" i="23"/>
  <c r="S102" i="23"/>
  <c r="Q200" i="23"/>
  <c r="R194" i="23"/>
  <c r="Q93" i="23"/>
  <c r="T103" i="23"/>
  <c r="P235" i="23"/>
  <c r="R199" i="23"/>
  <c r="R103" i="22"/>
  <c r="P192" i="22"/>
  <c r="Q102" i="22"/>
  <c r="O235" i="22"/>
  <c r="Q199" i="22"/>
  <c r="P200" i="22"/>
  <c r="T194" i="22"/>
  <c r="K235" i="21"/>
  <c r="M199" i="21"/>
  <c r="L200" i="21"/>
  <c r="L93" i="21"/>
  <c r="M192" i="21"/>
  <c r="N102" i="21"/>
  <c r="P103" i="21"/>
  <c r="P194" i="21"/>
  <c r="L235" i="20"/>
  <c r="N199" i="20"/>
  <c r="M200" i="20"/>
  <c r="N194" i="20"/>
  <c r="N102" i="20"/>
  <c r="L93" i="20"/>
  <c r="M103" i="20"/>
  <c r="M192" i="20" s="1"/>
  <c r="N192" i="19"/>
  <c r="O102" i="19"/>
  <c r="K235" i="19"/>
  <c r="M199" i="19"/>
  <c r="L200" i="19"/>
  <c r="L93" i="19"/>
  <c r="Q103" i="19"/>
  <c r="O194" i="19"/>
  <c r="M235" i="18"/>
  <c r="O199" i="18"/>
  <c r="O103" i="18"/>
  <c r="N93" i="18"/>
  <c r="L192" i="18"/>
  <c r="M102" i="18"/>
  <c r="N194" i="18"/>
  <c r="M200" i="18"/>
  <c r="K235" i="17"/>
  <c r="M199" i="17"/>
  <c r="L200" i="17"/>
  <c r="L192" i="17"/>
  <c r="M102" i="17"/>
  <c r="Q194" i="17"/>
  <c r="L93" i="17"/>
  <c r="M103" i="17"/>
  <c r="R95" i="16"/>
  <c r="R37" i="16"/>
  <c r="AD192" i="29" l="1"/>
  <c r="AE102" i="29"/>
  <c r="AF103" i="29"/>
  <c r="AE93" i="29"/>
  <c r="B194" i="29"/>
  <c r="AF200" i="29"/>
  <c r="B199" i="29"/>
  <c r="AF235" i="29" s="1"/>
  <c r="AE235" i="29"/>
  <c r="R194" i="28"/>
  <c r="Q200" i="28"/>
  <c r="Q93" i="28"/>
  <c r="R192" i="28"/>
  <c r="S102" i="28"/>
  <c r="T103" i="28"/>
  <c r="S199" i="28"/>
  <c r="Q235" i="28"/>
  <c r="P235" i="27"/>
  <c r="R199" i="27"/>
  <c r="Q93" i="27"/>
  <c r="Q200" i="27"/>
  <c r="S192" i="27"/>
  <c r="T102" i="27"/>
  <c r="T194" i="27"/>
  <c r="U103" i="27"/>
  <c r="R93" i="26"/>
  <c r="S103" i="26"/>
  <c r="R194" i="26"/>
  <c r="Q200" i="26"/>
  <c r="Q192" i="26"/>
  <c r="R102" i="26"/>
  <c r="R235" i="26"/>
  <c r="T199" i="26"/>
  <c r="T194" i="25"/>
  <c r="Q192" i="25"/>
  <c r="R102" i="25"/>
  <c r="S199" i="25"/>
  <c r="Q235" i="25"/>
  <c r="T103" i="25"/>
  <c r="S93" i="25"/>
  <c r="R93" i="25"/>
  <c r="S103" i="24"/>
  <c r="R93" i="24"/>
  <c r="R199" i="24"/>
  <c r="P235" i="24"/>
  <c r="Q200" i="24"/>
  <c r="T194" i="24"/>
  <c r="Q192" i="24"/>
  <c r="R102" i="24"/>
  <c r="Q93" i="24"/>
  <c r="R200" i="23"/>
  <c r="S194" i="23"/>
  <c r="R93" i="23"/>
  <c r="U103" i="23"/>
  <c r="S192" i="23"/>
  <c r="T102" i="23"/>
  <c r="Q235" i="23"/>
  <c r="S199" i="23"/>
  <c r="R199" i="22"/>
  <c r="P235" i="22"/>
  <c r="Q200" i="22"/>
  <c r="Q192" i="22"/>
  <c r="R102" i="22"/>
  <c r="Q93" i="22"/>
  <c r="U194" i="22"/>
  <c r="R93" i="22"/>
  <c r="S103" i="22"/>
  <c r="Q103" i="21"/>
  <c r="N192" i="21"/>
  <c r="O102" i="21"/>
  <c r="L235" i="21"/>
  <c r="N199" i="21"/>
  <c r="M93" i="21"/>
  <c r="M200" i="21"/>
  <c r="Q194" i="21"/>
  <c r="M235" i="20"/>
  <c r="O199" i="20"/>
  <c r="M93" i="20"/>
  <c r="N103" i="20"/>
  <c r="N192" i="20"/>
  <c r="O102" i="20"/>
  <c r="O194" i="20"/>
  <c r="N200" i="20"/>
  <c r="P194" i="19"/>
  <c r="R103" i="19"/>
  <c r="N199" i="19"/>
  <c r="L235" i="19"/>
  <c r="M200" i="19"/>
  <c r="M93" i="19"/>
  <c r="O192" i="19"/>
  <c r="P102" i="19"/>
  <c r="N200" i="18"/>
  <c r="O194" i="18"/>
  <c r="M192" i="18"/>
  <c r="N102" i="18"/>
  <c r="P199" i="18"/>
  <c r="N235" i="18"/>
  <c r="P103" i="18"/>
  <c r="O93" i="18"/>
  <c r="R194" i="17"/>
  <c r="M192" i="17"/>
  <c r="N102" i="17"/>
  <c r="L235" i="17"/>
  <c r="N199" i="17"/>
  <c r="M200" i="17"/>
  <c r="M93" i="17"/>
  <c r="N103" i="17"/>
  <c r="B200" i="29" l="1"/>
  <c r="AF93" i="29"/>
  <c r="B103" i="29"/>
  <c r="B93" i="29" s="1"/>
  <c r="AE192" i="29"/>
  <c r="AF102" i="29"/>
  <c r="R235" i="28"/>
  <c r="T199" i="28"/>
  <c r="U103" i="28"/>
  <c r="S192" i="28"/>
  <c r="T102" i="28"/>
  <c r="R200" i="28"/>
  <c r="S194" i="28"/>
  <c r="R93" i="28"/>
  <c r="T192" i="27"/>
  <c r="U102" i="27"/>
  <c r="U194" i="27"/>
  <c r="S199" i="27"/>
  <c r="Q235" i="27"/>
  <c r="R93" i="27"/>
  <c r="R200" i="27"/>
  <c r="V103" i="27"/>
  <c r="R192" i="26"/>
  <c r="S102" i="26"/>
  <c r="R200" i="26"/>
  <c r="S194" i="26"/>
  <c r="S235" i="26"/>
  <c r="U199" i="26"/>
  <c r="S93" i="26"/>
  <c r="T103" i="26"/>
  <c r="U103" i="25"/>
  <c r="T93" i="25"/>
  <c r="R235" i="25"/>
  <c r="T199" i="25"/>
  <c r="R192" i="25"/>
  <c r="S102" i="25"/>
  <c r="T200" i="25"/>
  <c r="U194" i="25"/>
  <c r="S200" i="25"/>
  <c r="U194" i="24"/>
  <c r="S199" i="24"/>
  <c r="Q235" i="24"/>
  <c r="R200" i="24"/>
  <c r="R192" i="24"/>
  <c r="S102" i="24"/>
  <c r="T103" i="24"/>
  <c r="S93" i="24"/>
  <c r="T192" i="23"/>
  <c r="U102" i="23"/>
  <c r="S200" i="23"/>
  <c r="T194" i="23"/>
  <c r="S93" i="23"/>
  <c r="V103" i="23"/>
  <c r="T199" i="23"/>
  <c r="R235" i="23"/>
  <c r="R192" i="22"/>
  <c r="S102" i="22"/>
  <c r="T103" i="22"/>
  <c r="S93" i="22"/>
  <c r="V194" i="22"/>
  <c r="S199" i="22"/>
  <c r="Q235" i="22"/>
  <c r="R200" i="22"/>
  <c r="M235" i="21"/>
  <c r="O199" i="21"/>
  <c r="N200" i="21"/>
  <c r="N93" i="21"/>
  <c r="O192" i="21"/>
  <c r="P102" i="21"/>
  <c r="R194" i="21"/>
  <c r="R103" i="21"/>
  <c r="P194" i="20"/>
  <c r="O200" i="20"/>
  <c r="P102" i="20"/>
  <c r="N93" i="20"/>
  <c r="O103" i="20"/>
  <c r="N235" i="20"/>
  <c r="P199" i="20"/>
  <c r="M235" i="19"/>
  <c r="O199" i="19"/>
  <c r="N200" i="19"/>
  <c r="N93" i="19"/>
  <c r="S103" i="19"/>
  <c r="P192" i="19"/>
  <c r="Q102" i="19"/>
  <c r="Q194" i="19"/>
  <c r="O235" i="18"/>
  <c r="Q199" i="18"/>
  <c r="N192" i="18"/>
  <c r="O102" i="18"/>
  <c r="P93" i="18"/>
  <c r="Q103" i="18"/>
  <c r="P194" i="18"/>
  <c r="O200" i="18"/>
  <c r="N192" i="17"/>
  <c r="O102" i="17"/>
  <c r="O199" i="17"/>
  <c r="M235" i="17"/>
  <c r="N200" i="17"/>
  <c r="N93" i="17"/>
  <c r="O103" i="17"/>
  <c r="S194" i="17"/>
  <c r="AI93" i="29" l="1"/>
  <c r="AH93" i="29"/>
  <c r="AF192" i="29"/>
  <c r="B102" i="29"/>
  <c r="B192" i="29" s="1"/>
  <c r="V103" i="28"/>
  <c r="S200" i="28"/>
  <c r="T194" i="28"/>
  <c r="S93" i="28"/>
  <c r="T192" i="28"/>
  <c r="U102" i="28"/>
  <c r="U199" i="28"/>
  <c r="S235" i="28"/>
  <c r="R235" i="27"/>
  <c r="T199" i="27"/>
  <c r="S93" i="27"/>
  <c r="S200" i="27"/>
  <c r="V194" i="27"/>
  <c r="W103" i="27"/>
  <c r="U192" i="27"/>
  <c r="V102" i="27"/>
  <c r="S200" i="26"/>
  <c r="T194" i="26"/>
  <c r="S192" i="26"/>
  <c r="T102" i="26"/>
  <c r="U103" i="26"/>
  <c r="T93" i="26"/>
  <c r="V199" i="26"/>
  <c r="T235" i="26"/>
  <c r="S235" i="25"/>
  <c r="U199" i="25"/>
  <c r="U200" i="25"/>
  <c r="V194" i="25"/>
  <c r="S192" i="25"/>
  <c r="T102" i="25"/>
  <c r="U93" i="25"/>
  <c r="V103" i="25"/>
  <c r="U103" i="24"/>
  <c r="R235" i="24"/>
  <c r="T199" i="24"/>
  <c r="S200" i="24"/>
  <c r="V194" i="24"/>
  <c r="S192" i="24"/>
  <c r="T102" i="24"/>
  <c r="U199" i="23"/>
  <c r="S235" i="23"/>
  <c r="T200" i="23"/>
  <c r="U194" i="23"/>
  <c r="T93" i="23"/>
  <c r="U192" i="23"/>
  <c r="V102" i="23"/>
  <c r="W103" i="23"/>
  <c r="U103" i="22"/>
  <c r="R235" i="22"/>
  <c r="T199" i="22"/>
  <c r="S200" i="22"/>
  <c r="W194" i="22"/>
  <c r="S192" i="22"/>
  <c r="T102" i="22"/>
  <c r="P192" i="21"/>
  <c r="Q102" i="21"/>
  <c r="N235" i="21"/>
  <c r="P199" i="21"/>
  <c r="O200" i="21"/>
  <c r="O93" i="21"/>
  <c r="S194" i="21"/>
  <c r="S103" i="21"/>
  <c r="O235" i="20"/>
  <c r="Q199" i="20"/>
  <c r="O93" i="20"/>
  <c r="P103" i="20"/>
  <c r="P192" i="20"/>
  <c r="Q102" i="20"/>
  <c r="O192" i="20"/>
  <c r="P200" i="20"/>
  <c r="Q194" i="20"/>
  <c r="Q192" i="19"/>
  <c r="R102" i="19"/>
  <c r="T103" i="19"/>
  <c r="R194" i="19"/>
  <c r="N235" i="19"/>
  <c r="P199" i="19"/>
  <c r="O200" i="19"/>
  <c r="O93" i="19"/>
  <c r="P200" i="18"/>
  <c r="Q194" i="18"/>
  <c r="Q93" i="18"/>
  <c r="R103" i="18"/>
  <c r="O192" i="18"/>
  <c r="P102" i="18"/>
  <c r="P235" i="18"/>
  <c r="R199" i="18"/>
  <c r="O93" i="17"/>
  <c r="P103" i="17"/>
  <c r="N235" i="17"/>
  <c r="P199" i="17"/>
  <c r="O200" i="17"/>
  <c r="O192" i="17"/>
  <c r="P102" i="17"/>
  <c r="T194" i="17"/>
  <c r="T235" i="28" l="1"/>
  <c r="V199" i="28"/>
  <c r="T200" i="28"/>
  <c r="U194" i="28"/>
  <c r="T93" i="28"/>
  <c r="U192" i="28"/>
  <c r="V102" i="28"/>
  <c r="W103" i="28"/>
  <c r="X103" i="27"/>
  <c r="W194" i="27"/>
  <c r="V192" i="27"/>
  <c r="W102" i="27"/>
  <c r="S235" i="27"/>
  <c r="U199" i="27"/>
  <c r="T200" i="27"/>
  <c r="T93" i="27"/>
  <c r="V103" i="26"/>
  <c r="U93" i="26"/>
  <c r="U194" i="26"/>
  <c r="T200" i="26"/>
  <c r="W199" i="26"/>
  <c r="U235" i="26"/>
  <c r="T192" i="26"/>
  <c r="U102" i="26"/>
  <c r="T192" i="25"/>
  <c r="U102" i="25"/>
  <c r="W194" i="25"/>
  <c r="V93" i="25"/>
  <c r="W103" i="25"/>
  <c r="T235" i="25"/>
  <c r="V199" i="25"/>
  <c r="W194" i="24"/>
  <c r="S235" i="24"/>
  <c r="U199" i="24"/>
  <c r="T200" i="24"/>
  <c r="U93" i="24"/>
  <c r="V103" i="24"/>
  <c r="T192" i="24"/>
  <c r="U102" i="24"/>
  <c r="T93" i="24"/>
  <c r="X103" i="23"/>
  <c r="V192" i="23"/>
  <c r="W102" i="23"/>
  <c r="V194" i="23"/>
  <c r="U200" i="23"/>
  <c r="U93" i="23"/>
  <c r="T235" i="23"/>
  <c r="V199" i="23"/>
  <c r="U199" i="22"/>
  <c r="S235" i="22"/>
  <c r="T200" i="22"/>
  <c r="X194" i="22"/>
  <c r="U93" i="22"/>
  <c r="V103" i="22"/>
  <c r="T192" i="22"/>
  <c r="U102" i="22"/>
  <c r="T93" i="22"/>
  <c r="T194" i="21"/>
  <c r="Q192" i="21"/>
  <c r="R102" i="21"/>
  <c r="O235" i="21"/>
  <c r="Q199" i="21"/>
  <c r="P200" i="21"/>
  <c r="P93" i="21"/>
  <c r="T103" i="21"/>
  <c r="R102" i="20"/>
  <c r="Q103" i="20"/>
  <c r="P93" i="20"/>
  <c r="R199" i="20"/>
  <c r="P235" i="20"/>
  <c r="Q200" i="20"/>
  <c r="R194" i="20"/>
  <c r="S194" i="19"/>
  <c r="U103" i="19"/>
  <c r="R192" i="19"/>
  <c r="S102" i="19"/>
  <c r="O235" i="19"/>
  <c r="Q199" i="19"/>
  <c r="P200" i="19"/>
  <c r="P93" i="19"/>
  <c r="Q235" i="18"/>
  <c r="S199" i="18"/>
  <c r="P192" i="18"/>
  <c r="Q102" i="18"/>
  <c r="R93" i="18"/>
  <c r="S103" i="18"/>
  <c r="Q200" i="18"/>
  <c r="R194" i="18"/>
  <c r="O235" i="17"/>
  <c r="Q199" i="17"/>
  <c r="P200" i="17"/>
  <c r="Q103" i="17"/>
  <c r="P93" i="17"/>
  <c r="P192" i="17"/>
  <c r="Q102" i="17"/>
  <c r="U194" i="17"/>
  <c r="V192" i="28" l="1"/>
  <c r="W102" i="28"/>
  <c r="X103" i="28"/>
  <c r="U200" i="28"/>
  <c r="V194" i="28"/>
  <c r="U93" i="28"/>
  <c r="U235" i="28"/>
  <c r="W199" i="28"/>
  <c r="W192" i="27"/>
  <c r="X102" i="27"/>
  <c r="X194" i="27"/>
  <c r="T235" i="27"/>
  <c r="V199" i="27"/>
  <c r="U93" i="27"/>
  <c r="U200" i="27"/>
  <c r="Y103" i="27"/>
  <c r="U192" i="26"/>
  <c r="V102" i="26"/>
  <c r="X199" i="26"/>
  <c r="V235" i="26"/>
  <c r="U200" i="26"/>
  <c r="V194" i="26"/>
  <c r="W103" i="26"/>
  <c r="V93" i="26"/>
  <c r="W199" i="25"/>
  <c r="U235" i="25"/>
  <c r="V200" i="25"/>
  <c r="W200" i="25"/>
  <c r="X194" i="25"/>
  <c r="U192" i="25"/>
  <c r="V102" i="25"/>
  <c r="W93" i="25"/>
  <c r="X103" i="25"/>
  <c r="V93" i="24"/>
  <c r="W103" i="24"/>
  <c r="V199" i="24"/>
  <c r="T235" i="24"/>
  <c r="U200" i="24"/>
  <c r="U192" i="24"/>
  <c r="V102" i="24"/>
  <c r="X194" i="24"/>
  <c r="W192" i="23"/>
  <c r="X102" i="23"/>
  <c r="V200" i="23"/>
  <c r="W194" i="23"/>
  <c r="V93" i="23"/>
  <c r="Y103" i="23"/>
  <c r="U235" i="23"/>
  <c r="W199" i="23"/>
  <c r="W103" i="22"/>
  <c r="Y194" i="22"/>
  <c r="U192" i="22"/>
  <c r="V102" i="22"/>
  <c r="V199" i="22"/>
  <c r="T235" i="22"/>
  <c r="U200" i="22"/>
  <c r="R192" i="21"/>
  <c r="S102" i="21"/>
  <c r="U194" i="21"/>
  <c r="P235" i="21"/>
  <c r="R199" i="21"/>
  <c r="Q93" i="21"/>
  <c r="Q200" i="21"/>
  <c r="U103" i="21"/>
  <c r="R200" i="20"/>
  <c r="S194" i="20"/>
  <c r="S199" i="20"/>
  <c r="Q235" i="20"/>
  <c r="S102" i="20"/>
  <c r="R103" i="20"/>
  <c r="R192" i="20" s="1"/>
  <c r="Q93" i="20"/>
  <c r="Q192" i="20"/>
  <c r="V103" i="19"/>
  <c r="T194" i="19"/>
  <c r="S192" i="19"/>
  <c r="T102" i="19"/>
  <c r="P235" i="19"/>
  <c r="R199" i="19"/>
  <c r="Q200" i="19"/>
  <c r="Q93" i="19"/>
  <c r="S194" i="18"/>
  <c r="R200" i="18"/>
  <c r="S93" i="18"/>
  <c r="T103" i="18"/>
  <c r="Q192" i="18"/>
  <c r="R102" i="18"/>
  <c r="R235" i="18"/>
  <c r="T199" i="18"/>
  <c r="Q192" i="17"/>
  <c r="R102" i="17"/>
  <c r="R199" i="17"/>
  <c r="P235" i="17"/>
  <c r="Q200" i="17"/>
  <c r="R103" i="17"/>
  <c r="Q93" i="17"/>
  <c r="V194" i="17"/>
  <c r="Q95" i="16"/>
  <c r="W194" i="28" l="1"/>
  <c r="V200" i="28"/>
  <c r="V93" i="28"/>
  <c r="Y103" i="28"/>
  <c r="W192" i="28"/>
  <c r="X102" i="28"/>
  <c r="V235" i="28"/>
  <c r="X199" i="28"/>
  <c r="W199" i="27"/>
  <c r="U235" i="27"/>
  <c r="V93" i="27"/>
  <c r="V200" i="27"/>
  <c r="Y194" i="27"/>
  <c r="Z103" i="27"/>
  <c r="X192" i="27"/>
  <c r="Y102" i="27"/>
  <c r="X103" i="26"/>
  <c r="W235" i="26"/>
  <c r="Y199" i="26"/>
  <c r="V192" i="26"/>
  <c r="W102" i="26"/>
  <c r="V200" i="26"/>
  <c r="W194" i="26"/>
  <c r="V192" i="25"/>
  <c r="W102" i="25"/>
  <c r="Y194" i="25"/>
  <c r="X93" i="25"/>
  <c r="Y103" i="25"/>
  <c r="V235" i="25"/>
  <c r="X199" i="25"/>
  <c r="X200" i="25" s="1"/>
  <c r="V192" i="24"/>
  <c r="W102" i="24"/>
  <c r="U235" i="24"/>
  <c r="W199" i="24"/>
  <c r="V200" i="24"/>
  <c r="Y194" i="24"/>
  <c r="W93" i="24"/>
  <c r="X103" i="24"/>
  <c r="Z103" i="23"/>
  <c r="X194" i="23"/>
  <c r="W200" i="23"/>
  <c r="W93" i="23"/>
  <c r="X192" i="23"/>
  <c r="Y102" i="23"/>
  <c r="X199" i="23"/>
  <c r="V235" i="23"/>
  <c r="U235" i="22"/>
  <c r="W199" i="22"/>
  <c r="V200" i="22"/>
  <c r="V192" i="22"/>
  <c r="W102" i="22"/>
  <c r="V93" i="22"/>
  <c r="Z194" i="22"/>
  <c r="X103" i="22"/>
  <c r="W93" i="22"/>
  <c r="S192" i="21"/>
  <c r="T102" i="21"/>
  <c r="S199" i="21"/>
  <c r="Q235" i="21"/>
  <c r="R93" i="21"/>
  <c r="R200" i="21"/>
  <c r="V194" i="21"/>
  <c r="V103" i="21"/>
  <c r="T102" i="20"/>
  <c r="R235" i="20"/>
  <c r="T199" i="20"/>
  <c r="S200" i="20"/>
  <c r="T194" i="20"/>
  <c r="S103" i="20"/>
  <c r="R93" i="20"/>
  <c r="U194" i="19"/>
  <c r="T192" i="19"/>
  <c r="U102" i="19"/>
  <c r="Q235" i="19"/>
  <c r="S199" i="19"/>
  <c r="R200" i="19"/>
  <c r="R93" i="19"/>
  <c r="W103" i="19"/>
  <c r="U199" i="18"/>
  <c r="S235" i="18"/>
  <c r="R192" i="18"/>
  <c r="S102" i="18"/>
  <c r="T93" i="18"/>
  <c r="U103" i="18"/>
  <c r="T194" i="18"/>
  <c r="S200" i="18"/>
  <c r="S103" i="17"/>
  <c r="R93" i="17"/>
  <c r="S199" i="17"/>
  <c r="Q235" i="17"/>
  <c r="R200" i="17"/>
  <c r="R192" i="17"/>
  <c r="S102" i="17"/>
  <c r="W194" i="17"/>
  <c r="P95" i="16"/>
  <c r="P37" i="16"/>
  <c r="X192" i="28" l="1"/>
  <c r="Y102" i="28"/>
  <c r="Z103" i="28"/>
  <c r="W235" i="28"/>
  <c r="Y199" i="28"/>
  <c r="X194" i="28"/>
  <c r="W200" i="28"/>
  <c r="W93" i="28"/>
  <c r="Z194" i="27"/>
  <c r="AA103" i="27"/>
  <c r="Y192" i="27"/>
  <c r="Z102" i="27"/>
  <c r="V235" i="27"/>
  <c r="X199" i="27"/>
  <c r="W93" i="27"/>
  <c r="W200" i="27"/>
  <c r="X194" i="26"/>
  <c r="W200" i="26"/>
  <c r="W192" i="26"/>
  <c r="X102" i="26"/>
  <c r="X235" i="26"/>
  <c r="Z199" i="26"/>
  <c r="W93" i="26"/>
  <c r="X93" i="26"/>
  <c r="Y103" i="26"/>
  <c r="Z103" i="25"/>
  <c r="Z194" i="25"/>
  <c r="W192" i="25"/>
  <c r="X102" i="25"/>
  <c r="W235" i="25"/>
  <c r="Y199" i="25"/>
  <c r="Z194" i="24"/>
  <c r="W192" i="24"/>
  <c r="X102" i="24"/>
  <c r="V235" i="24"/>
  <c r="X199" i="24"/>
  <c r="W200" i="24"/>
  <c r="X93" i="24"/>
  <c r="Y103" i="24"/>
  <c r="W235" i="23"/>
  <c r="Y199" i="23"/>
  <c r="Y192" i="23"/>
  <c r="Z102" i="23"/>
  <c r="Y194" i="23"/>
  <c r="X200" i="23"/>
  <c r="X93" i="23"/>
  <c r="AA103" i="23"/>
  <c r="AA194" i="22"/>
  <c r="W192" i="22"/>
  <c r="X102" i="22"/>
  <c r="V235" i="22"/>
  <c r="X199" i="22"/>
  <c r="W200" i="22"/>
  <c r="Y103" i="22"/>
  <c r="R235" i="21"/>
  <c r="T199" i="21"/>
  <c r="S200" i="21"/>
  <c r="S93" i="21"/>
  <c r="W194" i="21"/>
  <c r="W103" i="21"/>
  <c r="T192" i="21"/>
  <c r="U102" i="21"/>
  <c r="S93" i="20"/>
  <c r="T103" i="20"/>
  <c r="T192" i="20"/>
  <c r="U102" i="20"/>
  <c r="T200" i="20"/>
  <c r="U194" i="20"/>
  <c r="S235" i="20"/>
  <c r="U199" i="20"/>
  <c r="S192" i="20"/>
  <c r="R235" i="19"/>
  <c r="T199" i="19"/>
  <c r="S200" i="19"/>
  <c r="S93" i="19"/>
  <c r="U192" i="19"/>
  <c r="V102" i="19"/>
  <c r="X103" i="19"/>
  <c r="V194" i="19"/>
  <c r="U194" i="18"/>
  <c r="T200" i="18"/>
  <c r="V103" i="18"/>
  <c r="U93" i="18"/>
  <c r="S192" i="18"/>
  <c r="T102" i="18"/>
  <c r="T235" i="18"/>
  <c r="V199" i="18"/>
  <c r="S192" i="17"/>
  <c r="T102" i="17"/>
  <c r="T199" i="17"/>
  <c r="R235" i="17"/>
  <c r="S200" i="17"/>
  <c r="X194" i="17"/>
  <c r="S93" i="17"/>
  <c r="T103" i="17"/>
  <c r="O95" i="16"/>
  <c r="O37" i="16"/>
  <c r="K93" i="16"/>
  <c r="L93" i="16"/>
  <c r="M68" i="16"/>
  <c r="L37" i="16"/>
  <c r="K37" i="16"/>
  <c r="K38" i="16"/>
  <c r="J37" i="16"/>
  <c r="I37" i="16"/>
  <c r="H37" i="16"/>
  <c r="D95" i="16"/>
  <c r="D37" i="16"/>
  <c r="C95" i="16"/>
  <c r="C37" i="16"/>
  <c r="B37" i="16"/>
  <c r="B95" i="16"/>
  <c r="B93" i="16"/>
  <c r="B68" i="16"/>
  <c r="B56" i="16"/>
  <c r="B52" i="16"/>
  <c r="B38" i="16"/>
  <c r="AF239" i="16"/>
  <c r="AE239" i="16"/>
  <c r="AD239" i="16"/>
  <c r="AC239" i="16"/>
  <c r="AB239" i="16"/>
  <c r="AA239" i="16"/>
  <c r="Z239" i="16"/>
  <c r="Y239" i="16"/>
  <c r="X239" i="16"/>
  <c r="W239" i="16"/>
  <c r="V239" i="16"/>
  <c r="U239" i="16"/>
  <c r="T239" i="16"/>
  <c r="S239" i="16"/>
  <c r="R239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C239" i="16"/>
  <c r="B239" i="16"/>
  <c r="A239" i="16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238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B235" i="16"/>
  <c r="S210" i="16"/>
  <c r="AG200" i="16"/>
  <c r="D200" i="16"/>
  <c r="C200" i="16"/>
  <c r="D199" i="16"/>
  <c r="F198" i="16"/>
  <c r="G198" i="16" s="1"/>
  <c r="H198" i="16" s="1"/>
  <c r="I198" i="16" s="1"/>
  <c r="J198" i="16" s="1"/>
  <c r="K198" i="16" s="1"/>
  <c r="L198" i="16" s="1"/>
  <c r="M198" i="16" s="1"/>
  <c r="N198" i="16" s="1"/>
  <c r="O198" i="16" s="1"/>
  <c r="P198" i="16" s="1"/>
  <c r="Q198" i="16" s="1"/>
  <c r="R198" i="16" s="1"/>
  <c r="S198" i="16" s="1"/>
  <c r="T198" i="16" s="1"/>
  <c r="U198" i="16" s="1"/>
  <c r="V198" i="16" s="1"/>
  <c r="W198" i="16" s="1"/>
  <c r="X198" i="16" s="1"/>
  <c r="Y198" i="16" s="1"/>
  <c r="Z198" i="16" s="1"/>
  <c r="AA198" i="16" s="1"/>
  <c r="AB198" i="16" s="1"/>
  <c r="AC198" i="16" s="1"/>
  <c r="AD198" i="16" s="1"/>
  <c r="AE198" i="16" s="1"/>
  <c r="AF198" i="16" s="1"/>
  <c r="B198" i="16" s="1"/>
  <c r="E198" i="16"/>
  <c r="D198" i="16"/>
  <c r="R197" i="16"/>
  <c r="S197" i="16" s="1"/>
  <c r="T197" i="16" s="1"/>
  <c r="U197" i="16" s="1"/>
  <c r="V197" i="16" s="1"/>
  <c r="W197" i="16" s="1"/>
  <c r="X197" i="16" s="1"/>
  <c r="Y197" i="16" s="1"/>
  <c r="Z197" i="16" s="1"/>
  <c r="AA197" i="16" s="1"/>
  <c r="AB197" i="16" s="1"/>
  <c r="AC197" i="16" s="1"/>
  <c r="AD197" i="16" s="1"/>
  <c r="AE197" i="16" s="1"/>
  <c r="AF197" i="16" s="1"/>
  <c r="B197" i="16" s="1"/>
  <c r="D197" i="16"/>
  <c r="E197" i="16" s="1"/>
  <c r="F197" i="16" s="1"/>
  <c r="G197" i="16" s="1"/>
  <c r="H197" i="16" s="1"/>
  <c r="I197" i="16" s="1"/>
  <c r="J197" i="16" s="1"/>
  <c r="K197" i="16" s="1"/>
  <c r="L197" i="16" s="1"/>
  <c r="M197" i="16" s="1"/>
  <c r="N197" i="16" s="1"/>
  <c r="O197" i="16" s="1"/>
  <c r="P197" i="16" s="1"/>
  <c r="Q197" i="16" s="1"/>
  <c r="F196" i="16"/>
  <c r="G196" i="16" s="1"/>
  <c r="H196" i="16" s="1"/>
  <c r="I196" i="16" s="1"/>
  <c r="J196" i="16" s="1"/>
  <c r="K196" i="16" s="1"/>
  <c r="L196" i="16" s="1"/>
  <c r="M196" i="16" s="1"/>
  <c r="N196" i="16" s="1"/>
  <c r="O196" i="16" s="1"/>
  <c r="P196" i="16" s="1"/>
  <c r="Q196" i="16" s="1"/>
  <c r="R196" i="16" s="1"/>
  <c r="S196" i="16" s="1"/>
  <c r="T196" i="16" s="1"/>
  <c r="U196" i="16" s="1"/>
  <c r="V196" i="16" s="1"/>
  <c r="W196" i="16" s="1"/>
  <c r="X196" i="16" s="1"/>
  <c r="Y196" i="16" s="1"/>
  <c r="Z196" i="16" s="1"/>
  <c r="AA196" i="16" s="1"/>
  <c r="AB196" i="16" s="1"/>
  <c r="AC196" i="16" s="1"/>
  <c r="AD196" i="16" s="1"/>
  <c r="AE196" i="16" s="1"/>
  <c r="AF196" i="16" s="1"/>
  <c r="B196" i="16" s="1"/>
  <c r="E196" i="16"/>
  <c r="D196" i="16"/>
  <c r="E195" i="16"/>
  <c r="F195" i="16" s="1"/>
  <c r="G195" i="16" s="1"/>
  <c r="H195" i="16" s="1"/>
  <c r="I195" i="16" s="1"/>
  <c r="J195" i="16" s="1"/>
  <c r="K195" i="16" s="1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B195" i="16" s="1"/>
  <c r="D195" i="16"/>
  <c r="D194" i="16"/>
  <c r="E194" i="16" s="1"/>
  <c r="AG192" i="16"/>
  <c r="C192" i="16"/>
  <c r="H191" i="16"/>
  <c r="I191" i="16" s="1"/>
  <c r="J191" i="16" s="1"/>
  <c r="K191" i="16" s="1"/>
  <c r="L191" i="16" s="1"/>
  <c r="M191" i="16" s="1"/>
  <c r="N191" i="16" s="1"/>
  <c r="O191" i="16" s="1"/>
  <c r="P191" i="16" s="1"/>
  <c r="Q191" i="16" s="1"/>
  <c r="R191" i="16" s="1"/>
  <c r="S191" i="16" s="1"/>
  <c r="T191" i="16" s="1"/>
  <c r="U191" i="16" s="1"/>
  <c r="V191" i="16" s="1"/>
  <c r="W191" i="16" s="1"/>
  <c r="X191" i="16" s="1"/>
  <c r="Y191" i="16" s="1"/>
  <c r="Z191" i="16" s="1"/>
  <c r="AA191" i="16" s="1"/>
  <c r="AB191" i="16" s="1"/>
  <c r="AC191" i="16" s="1"/>
  <c r="AD191" i="16" s="1"/>
  <c r="AE191" i="16" s="1"/>
  <c r="AF191" i="16" s="1"/>
  <c r="B191" i="16" s="1"/>
  <c r="D191" i="16"/>
  <c r="E191" i="16" s="1"/>
  <c r="F191" i="16" s="1"/>
  <c r="G191" i="16" s="1"/>
  <c r="F190" i="16"/>
  <c r="G190" i="16" s="1"/>
  <c r="H190" i="16" s="1"/>
  <c r="I190" i="16" s="1"/>
  <c r="J190" i="16" s="1"/>
  <c r="K190" i="16" s="1"/>
  <c r="L190" i="16" s="1"/>
  <c r="M190" i="16" s="1"/>
  <c r="N190" i="16" s="1"/>
  <c r="O190" i="16" s="1"/>
  <c r="P190" i="16" s="1"/>
  <c r="Q190" i="16" s="1"/>
  <c r="R190" i="16" s="1"/>
  <c r="S190" i="16" s="1"/>
  <c r="T190" i="16" s="1"/>
  <c r="U190" i="16" s="1"/>
  <c r="V190" i="16" s="1"/>
  <c r="W190" i="16" s="1"/>
  <c r="X190" i="16" s="1"/>
  <c r="Y190" i="16" s="1"/>
  <c r="Z190" i="16" s="1"/>
  <c r="AA190" i="16" s="1"/>
  <c r="AB190" i="16" s="1"/>
  <c r="AC190" i="16" s="1"/>
  <c r="AD190" i="16" s="1"/>
  <c r="AE190" i="16" s="1"/>
  <c r="AF190" i="16" s="1"/>
  <c r="B190" i="16" s="1"/>
  <c r="E190" i="16"/>
  <c r="D190" i="16"/>
  <c r="K189" i="16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AD189" i="16" s="1"/>
  <c r="AE189" i="16" s="1"/>
  <c r="AF189" i="16" s="1"/>
  <c r="B189" i="16" s="1"/>
  <c r="F189" i="16"/>
  <c r="G189" i="16" s="1"/>
  <c r="H189" i="16" s="1"/>
  <c r="I189" i="16" s="1"/>
  <c r="J189" i="16" s="1"/>
  <c r="E189" i="16"/>
  <c r="D189" i="16"/>
  <c r="D188" i="16"/>
  <c r="E188" i="16" s="1"/>
  <c r="F188" i="16" s="1"/>
  <c r="G188" i="16" s="1"/>
  <c r="H188" i="16" s="1"/>
  <c r="I188" i="16" s="1"/>
  <c r="J188" i="16" s="1"/>
  <c r="K188" i="16" s="1"/>
  <c r="L188" i="16" s="1"/>
  <c r="M188" i="16" s="1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AD188" i="16" s="1"/>
  <c r="AE188" i="16" s="1"/>
  <c r="AF188" i="16" s="1"/>
  <c r="B188" i="16" s="1"/>
  <c r="W187" i="16"/>
  <c r="X187" i="16" s="1"/>
  <c r="Y187" i="16" s="1"/>
  <c r="Z187" i="16" s="1"/>
  <c r="AA187" i="16" s="1"/>
  <c r="AB187" i="16" s="1"/>
  <c r="AC187" i="16" s="1"/>
  <c r="AD187" i="16" s="1"/>
  <c r="AE187" i="16" s="1"/>
  <c r="AF187" i="16" s="1"/>
  <c r="B187" i="16" s="1"/>
  <c r="D187" i="16"/>
  <c r="E187" i="16" s="1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E186" i="16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B186" i="16" s="1"/>
  <c r="D186" i="16"/>
  <c r="N185" i="16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B185" i="16" s="1"/>
  <c r="L185" i="16"/>
  <c r="M185" i="16" s="1"/>
  <c r="D185" i="16"/>
  <c r="E185" i="16" s="1"/>
  <c r="F185" i="16" s="1"/>
  <c r="G185" i="16" s="1"/>
  <c r="H185" i="16" s="1"/>
  <c r="I185" i="16" s="1"/>
  <c r="J185" i="16" s="1"/>
  <c r="K185" i="16" s="1"/>
  <c r="L184" i="16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F184" i="16"/>
  <c r="G184" i="16" s="1"/>
  <c r="H184" i="16" s="1"/>
  <c r="I184" i="16" s="1"/>
  <c r="J184" i="16" s="1"/>
  <c r="K184" i="16" s="1"/>
  <c r="D184" i="16"/>
  <c r="E184" i="16" s="1"/>
  <c r="B184" i="16"/>
  <c r="I183" i="16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B183" i="16" s="1"/>
  <c r="G183" i="16"/>
  <c r="H183" i="16" s="1"/>
  <c r="D183" i="16"/>
  <c r="E183" i="16" s="1"/>
  <c r="F183" i="16" s="1"/>
  <c r="AE182" i="16"/>
  <c r="AF182" i="16" s="1"/>
  <c r="B182" i="16" s="1"/>
  <c r="G182" i="16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E182" i="16"/>
  <c r="F182" i="16" s="1"/>
  <c r="D182" i="16"/>
  <c r="F181" i="16"/>
  <c r="G181" i="16" s="1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B181" i="16" s="1"/>
  <c r="D181" i="16"/>
  <c r="E181" i="16" s="1"/>
  <c r="Z180" i="16"/>
  <c r="AA180" i="16" s="1"/>
  <c r="AB180" i="16" s="1"/>
  <c r="AC180" i="16" s="1"/>
  <c r="AD180" i="16" s="1"/>
  <c r="AE180" i="16" s="1"/>
  <c r="AF180" i="16" s="1"/>
  <c r="B180" i="16" s="1"/>
  <c r="D180" i="16"/>
  <c r="E180" i="16" s="1"/>
  <c r="F180" i="16" s="1"/>
  <c r="G180" i="16" s="1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H179" i="16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B179" i="16" s="1"/>
  <c r="D179" i="16"/>
  <c r="E179" i="16" s="1"/>
  <c r="F179" i="16" s="1"/>
  <c r="G179" i="16" s="1"/>
  <c r="AD177" i="16"/>
  <c r="AE177" i="16" s="1"/>
  <c r="AF177" i="16" s="1"/>
  <c r="B177" i="16" s="1"/>
  <c r="H177" i="16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F177" i="16"/>
  <c r="G177" i="16" s="1"/>
  <c r="E177" i="16"/>
  <c r="D177" i="16"/>
  <c r="I176" i="16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B176" i="16" s="1"/>
  <c r="D176" i="16"/>
  <c r="E176" i="16" s="1"/>
  <c r="F176" i="16" s="1"/>
  <c r="G176" i="16" s="1"/>
  <c r="H176" i="16" s="1"/>
  <c r="D175" i="16"/>
  <c r="E175" i="16" s="1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B175" i="16" s="1"/>
  <c r="U174" i="16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B174" i="16" s="1"/>
  <c r="E174" i="16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D174" i="16"/>
  <c r="E173" i="16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B173" i="16" s="1"/>
  <c r="D173" i="16"/>
  <c r="Q172" i="16"/>
  <c r="R172" i="16" s="1"/>
  <c r="S172" i="16" s="1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B172" i="16" s="1"/>
  <c r="F172" i="16"/>
  <c r="G172" i="16" s="1"/>
  <c r="H172" i="16" s="1"/>
  <c r="I172" i="16" s="1"/>
  <c r="J172" i="16" s="1"/>
  <c r="K172" i="16" s="1"/>
  <c r="L172" i="16" s="1"/>
  <c r="M172" i="16" s="1"/>
  <c r="N172" i="16" s="1"/>
  <c r="O172" i="16" s="1"/>
  <c r="P172" i="16" s="1"/>
  <c r="D172" i="16"/>
  <c r="E172" i="16" s="1"/>
  <c r="D171" i="16"/>
  <c r="E171" i="16" s="1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AF171" i="16" s="1"/>
  <c r="B171" i="16" s="1"/>
  <c r="T170" i="16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B170" i="16" s="1"/>
  <c r="O170" i="16"/>
  <c r="P170" i="16" s="1"/>
  <c r="Q170" i="16" s="1"/>
  <c r="R170" i="16" s="1"/>
  <c r="S170" i="16" s="1"/>
  <c r="F170" i="16"/>
  <c r="G170" i="16" s="1"/>
  <c r="H170" i="16" s="1"/>
  <c r="I170" i="16" s="1"/>
  <c r="J170" i="16" s="1"/>
  <c r="K170" i="16" s="1"/>
  <c r="L170" i="16" s="1"/>
  <c r="M170" i="16" s="1"/>
  <c r="N170" i="16" s="1"/>
  <c r="E170" i="16"/>
  <c r="D170" i="16"/>
  <c r="D168" i="16"/>
  <c r="E168" i="16" s="1"/>
  <c r="F168" i="16" s="1"/>
  <c r="G168" i="16" s="1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AD168" i="16" s="1"/>
  <c r="AE168" i="16" s="1"/>
  <c r="AF168" i="16" s="1"/>
  <c r="B168" i="16" s="1"/>
  <c r="G167" i="16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B167" i="16" s="1"/>
  <c r="D167" i="16"/>
  <c r="E167" i="16" s="1"/>
  <c r="F167" i="16" s="1"/>
  <c r="AE166" i="16"/>
  <c r="AF166" i="16" s="1"/>
  <c r="B166" i="16" s="1"/>
  <c r="X166" i="16"/>
  <c r="Y166" i="16" s="1"/>
  <c r="Z166" i="16" s="1"/>
  <c r="AA166" i="16" s="1"/>
  <c r="AB166" i="16" s="1"/>
  <c r="AC166" i="16" s="1"/>
  <c r="AD166" i="16" s="1"/>
  <c r="E166" i="16"/>
  <c r="F166" i="16" s="1"/>
  <c r="G166" i="16" s="1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D166" i="16"/>
  <c r="E165" i="16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B165" i="16" s="1"/>
  <c r="D165" i="16"/>
  <c r="T164" i="16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B164" i="16" s="1"/>
  <c r="N164" i="16"/>
  <c r="O164" i="16" s="1"/>
  <c r="P164" i="16" s="1"/>
  <c r="Q164" i="16" s="1"/>
  <c r="R164" i="16" s="1"/>
  <c r="S164" i="16" s="1"/>
  <c r="D164" i="16"/>
  <c r="E164" i="16" s="1"/>
  <c r="F164" i="16" s="1"/>
  <c r="G164" i="16" s="1"/>
  <c r="H164" i="16" s="1"/>
  <c r="I164" i="16" s="1"/>
  <c r="J164" i="16" s="1"/>
  <c r="K164" i="16" s="1"/>
  <c r="L164" i="16" s="1"/>
  <c r="M164" i="16" s="1"/>
  <c r="W163" i="16"/>
  <c r="X163" i="16" s="1"/>
  <c r="Y163" i="16" s="1"/>
  <c r="Z163" i="16" s="1"/>
  <c r="AA163" i="16" s="1"/>
  <c r="AB163" i="16" s="1"/>
  <c r="AC163" i="16" s="1"/>
  <c r="AD163" i="16" s="1"/>
  <c r="AE163" i="16" s="1"/>
  <c r="AF163" i="16" s="1"/>
  <c r="B163" i="16" s="1"/>
  <c r="D163" i="16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N162" i="16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B162" i="16" s="1"/>
  <c r="F162" i="16"/>
  <c r="G162" i="16" s="1"/>
  <c r="H162" i="16" s="1"/>
  <c r="I162" i="16" s="1"/>
  <c r="J162" i="16" s="1"/>
  <c r="K162" i="16" s="1"/>
  <c r="L162" i="16" s="1"/>
  <c r="M162" i="16" s="1"/>
  <c r="D162" i="16"/>
  <c r="E162" i="16" s="1"/>
  <c r="M161" i="16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B161" i="16" s="1"/>
  <c r="E161" i="16"/>
  <c r="F161" i="16" s="1"/>
  <c r="G161" i="16" s="1"/>
  <c r="H161" i="16" s="1"/>
  <c r="I161" i="16" s="1"/>
  <c r="J161" i="16" s="1"/>
  <c r="K161" i="16" s="1"/>
  <c r="L161" i="16" s="1"/>
  <c r="D161" i="16"/>
  <c r="O160" i="16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B160" i="16" s="1"/>
  <c r="K160" i="16"/>
  <c r="L160" i="16" s="1"/>
  <c r="M160" i="16" s="1"/>
  <c r="N160" i="16" s="1"/>
  <c r="E160" i="16"/>
  <c r="F160" i="16" s="1"/>
  <c r="G160" i="16" s="1"/>
  <c r="H160" i="16" s="1"/>
  <c r="I160" i="16" s="1"/>
  <c r="J160" i="16" s="1"/>
  <c r="D160" i="16"/>
  <c r="E159" i="16"/>
  <c r="F159" i="16" s="1"/>
  <c r="G159" i="16" s="1"/>
  <c r="H159" i="16" s="1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B159" i="16" s="1"/>
  <c r="D159" i="16"/>
  <c r="J158" i="16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B158" i="16" s="1"/>
  <c r="G158" i="16"/>
  <c r="H158" i="16" s="1"/>
  <c r="I158" i="16" s="1"/>
  <c r="F158" i="16"/>
  <c r="D158" i="16"/>
  <c r="E158" i="16" s="1"/>
  <c r="D157" i="16"/>
  <c r="E157" i="16" s="1"/>
  <c r="F157" i="16" s="1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B157" i="16" s="1"/>
  <c r="E156" i="16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B156" i="16" s="1"/>
  <c r="D156" i="16"/>
  <c r="D154" i="16"/>
  <c r="E154" i="16" s="1"/>
  <c r="F154" i="16" s="1"/>
  <c r="G154" i="16" s="1"/>
  <c r="H154" i="16" s="1"/>
  <c r="I154" i="16" s="1"/>
  <c r="J154" i="16" s="1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U154" i="16" s="1"/>
  <c r="V154" i="16" s="1"/>
  <c r="W154" i="16" s="1"/>
  <c r="X154" i="16" s="1"/>
  <c r="Y154" i="16" s="1"/>
  <c r="Z154" i="16" s="1"/>
  <c r="AA154" i="16" s="1"/>
  <c r="AB154" i="16" s="1"/>
  <c r="AC154" i="16" s="1"/>
  <c r="AD154" i="16" s="1"/>
  <c r="AE154" i="16" s="1"/>
  <c r="AF154" i="16" s="1"/>
  <c r="B154" i="16" s="1"/>
  <c r="G153" i="16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B153" i="16" s="1"/>
  <c r="F153" i="16"/>
  <c r="D153" i="16"/>
  <c r="E153" i="16" s="1"/>
  <c r="E152" i="16"/>
  <c r="F152" i="16" s="1"/>
  <c r="G152" i="16" s="1"/>
  <c r="H152" i="16" s="1"/>
  <c r="I152" i="16" s="1"/>
  <c r="J152" i="16" s="1"/>
  <c r="K152" i="16" s="1"/>
  <c r="L152" i="16" s="1"/>
  <c r="M152" i="16" s="1"/>
  <c r="N152" i="16" s="1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B152" i="16" s="1"/>
  <c r="D152" i="16"/>
  <c r="P151" i="16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B151" i="16" s="1"/>
  <c r="N151" i="16"/>
  <c r="O151" i="16" s="1"/>
  <c r="F151" i="16"/>
  <c r="G151" i="16" s="1"/>
  <c r="H151" i="16" s="1"/>
  <c r="I151" i="16" s="1"/>
  <c r="J151" i="16" s="1"/>
  <c r="K151" i="16" s="1"/>
  <c r="L151" i="16" s="1"/>
  <c r="M151" i="16" s="1"/>
  <c r="E151" i="16"/>
  <c r="D151" i="16"/>
  <c r="O149" i="16"/>
  <c r="P149" i="16" s="1"/>
  <c r="Q149" i="16" s="1"/>
  <c r="R149" i="16" s="1"/>
  <c r="S149" i="16" s="1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AD149" i="16" s="1"/>
  <c r="AE149" i="16" s="1"/>
  <c r="AF149" i="16" s="1"/>
  <c r="B149" i="16" s="1"/>
  <c r="H149" i="16"/>
  <c r="I149" i="16" s="1"/>
  <c r="J149" i="16" s="1"/>
  <c r="K149" i="16" s="1"/>
  <c r="L149" i="16" s="1"/>
  <c r="M149" i="16" s="1"/>
  <c r="N149" i="16" s="1"/>
  <c r="F149" i="16"/>
  <c r="G149" i="16" s="1"/>
  <c r="E149" i="16"/>
  <c r="D149" i="16"/>
  <c r="R148" i="16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B148" i="16" s="1"/>
  <c r="K148" i="16"/>
  <c r="L148" i="16" s="1"/>
  <c r="M148" i="16" s="1"/>
  <c r="N148" i="16" s="1"/>
  <c r="O148" i="16" s="1"/>
  <c r="P148" i="16" s="1"/>
  <c r="Q148" i="16" s="1"/>
  <c r="D148" i="16"/>
  <c r="E148" i="16" s="1"/>
  <c r="F148" i="16" s="1"/>
  <c r="G148" i="16" s="1"/>
  <c r="H148" i="16" s="1"/>
  <c r="I148" i="16" s="1"/>
  <c r="J148" i="16" s="1"/>
  <c r="K146" i="16"/>
  <c r="L146" i="16" s="1"/>
  <c r="M146" i="16" s="1"/>
  <c r="N146" i="16" s="1"/>
  <c r="O146" i="16" s="1"/>
  <c r="P146" i="16" s="1"/>
  <c r="Q146" i="16" s="1"/>
  <c r="R146" i="16" s="1"/>
  <c r="S146" i="16" s="1"/>
  <c r="T146" i="16" s="1"/>
  <c r="U146" i="16" s="1"/>
  <c r="V146" i="16" s="1"/>
  <c r="W146" i="16" s="1"/>
  <c r="X146" i="16" s="1"/>
  <c r="Y146" i="16" s="1"/>
  <c r="Z146" i="16" s="1"/>
  <c r="AA146" i="16" s="1"/>
  <c r="AB146" i="16" s="1"/>
  <c r="AC146" i="16" s="1"/>
  <c r="AD146" i="16" s="1"/>
  <c r="AE146" i="16" s="1"/>
  <c r="AF146" i="16" s="1"/>
  <c r="B146" i="16" s="1"/>
  <c r="D146" i="16"/>
  <c r="E146" i="16" s="1"/>
  <c r="F146" i="16" s="1"/>
  <c r="G146" i="16" s="1"/>
  <c r="H146" i="16" s="1"/>
  <c r="I146" i="16" s="1"/>
  <c r="J146" i="16" s="1"/>
  <c r="Y145" i="16"/>
  <c r="Z145" i="16" s="1"/>
  <c r="AA145" i="16" s="1"/>
  <c r="AB145" i="16" s="1"/>
  <c r="AC145" i="16" s="1"/>
  <c r="AD145" i="16" s="1"/>
  <c r="AE145" i="16" s="1"/>
  <c r="AF145" i="16" s="1"/>
  <c r="B145" i="16" s="1"/>
  <c r="H145" i="16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F145" i="16"/>
  <c r="G145" i="16" s="1"/>
  <c r="E145" i="16"/>
  <c r="D145" i="16"/>
  <c r="D144" i="16"/>
  <c r="E144" i="16" s="1"/>
  <c r="F144" i="16" s="1"/>
  <c r="G144" i="16" s="1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B144" i="16" s="1"/>
  <c r="J143" i="16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B143" i="16" s="1"/>
  <c r="D143" i="16"/>
  <c r="E143" i="16" s="1"/>
  <c r="F143" i="16" s="1"/>
  <c r="G143" i="16" s="1"/>
  <c r="H143" i="16" s="1"/>
  <c r="I143" i="16" s="1"/>
  <c r="X142" i="16"/>
  <c r="Y142" i="16" s="1"/>
  <c r="Z142" i="16" s="1"/>
  <c r="AA142" i="16" s="1"/>
  <c r="AB142" i="16" s="1"/>
  <c r="AC142" i="16" s="1"/>
  <c r="AD142" i="16" s="1"/>
  <c r="AE142" i="16" s="1"/>
  <c r="AF142" i="16" s="1"/>
  <c r="B142" i="16" s="1"/>
  <c r="H142" i="16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D142" i="16"/>
  <c r="E142" i="16" s="1"/>
  <c r="F142" i="16" s="1"/>
  <c r="G142" i="16" s="1"/>
  <c r="F141" i="16"/>
  <c r="G141" i="16" s="1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B141" i="16" s="1"/>
  <c r="E141" i="16"/>
  <c r="D141" i="16"/>
  <c r="AB140" i="16"/>
  <c r="AC140" i="16" s="1"/>
  <c r="AD140" i="16" s="1"/>
  <c r="AE140" i="16" s="1"/>
  <c r="AF140" i="16" s="1"/>
  <c r="B140" i="16" s="1"/>
  <c r="F140" i="16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D140" i="16"/>
  <c r="E140" i="16" s="1"/>
  <c r="E138" i="16"/>
  <c r="F138" i="16" s="1"/>
  <c r="G138" i="16" s="1"/>
  <c r="H138" i="16" s="1"/>
  <c r="I138" i="16" s="1"/>
  <c r="J138" i="16" s="1"/>
  <c r="K138" i="16" s="1"/>
  <c r="L138" i="16" s="1"/>
  <c r="M138" i="16" s="1"/>
  <c r="N138" i="16" s="1"/>
  <c r="O138" i="16" s="1"/>
  <c r="P138" i="16" s="1"/>
  <c r="Q138" i="16" s="1"/>
  <c r="R138" i="16" s="1"/>
  <c r="S138" i="16" s="1"/>
  <c r="T138" i="16" s="1"/>
  <c r="U138" i="16" s="1"/>
  <c r="V138" i="16" s="1"/>
  <c r="W138" i="16" s="1"/>
  <c r="X138" i="16" s="1"/>
  <c r="Y138" i="16" s="1"/>
  <c r="Z138" i="16" s="1"/>
  <c r="AA138" i="16" s="1"/>
  <c r="AB138" i="16" s="1"/>
  <c r="AC138" i="16" s="1"/>
  <c r="AD138" i="16" s="1"/>
  <c r="AE138" i="16" s="1"/>
  <c r="AF138" i="16" s="1"/>
  <c r="B138" i="16" s="1"/>
  <c r="D138" i="16"/>
  <c r="M137" i="16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B137" i="16" s="1"/>
  <c r="D137" i="16"/>
  <c r="E137" i="16" s="1"/>
  <c r="F137" i="16" s="1"/>
  <c r="G137" i="16" s="1"/>
  <c r="H137" i="16" s="1"/>
  <c r="I137" i="16" s="1"/>
  <c r="J137" i="16" s="1"/>
  <c r="K137" i="16" s="1"/>
  <c r="L137" i="16" s="1"/>
  <c r="R136" i="16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B136" i="16" s="1"/>
  <c r="F136" i="16"/>
  <c r="G136" i="16" s="1"/>
  <c r="H136" i="16" s="1"/>
  <c r="I136" i="16" s="1"/>
  <c r="J136" i="16" s="1"/>
  <c r="K136" i="16" s="1"/>
  <c r="L136" i="16" s="1"/>
  <c r="M136" i="16" s="1"/>
  <c r="N136" i="16" s="1"/>
  <c r="O136" i="16" s="1"/>
  <c r="P136" i="16" s="1"/>
  <c r="Q136" i="16" s="1"/>
  <c r="E136" i="16"/>
  <c r="D136" i="16"/>
  <c r="D135" i="16"/>
  <c r="E135" i="16" s="1"/>
  <c r="F135" i="16" s="1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B135" i="16" s="1"/>
  <c r="D134" i="16"/>
  <c r="E134" i="16" s="1"/>
  <c r="F134" i="16" s="1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B134" i="16" s="1"/>
  <c r="D133" i="16"/>
  <c r="E133" i="16" s="1"/>
  <c r="F133" i="16" s="1"/>
  <c r="G133" i="16" s="1"/>
  <c r="H133" i="16" s="1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B133" i="16" s="1"/>
  <c r="F132" i="16"/>
  <c r="G132" i="16" s="1"/>
  <c r="H132" i="16" s="1"/>
  <c r="I132" i="16" s="1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B132" i="16" s="1"/>
  <c r="D132" i="16"/>
  <c r="E132" i="16" s="1"/>
  <c r="F131" i="16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B131" i="16" s="1"/>
  <c r="D131" i="16"/>
  <c r="E131" i="16" s="1"/>
  <c r="J129" i="16"/>
  <c r="K129" i="16" s="1"/>
  <c r="L129" i="16" s="1"/>
  <c r="M129" i="16" s="1"/>
  <c r="N129" i="16" s="1"/>
  <c r="O129" i="16" s="1"/>
  <c r="P129" i="16" s="1"/>
  <c r="Q129" i="16" s="1"/>
  <c r="R129" i="16" s="1"/>
  <c r="S129" i="16" s="1"/>
  <c r="T129" i="16" s="1"/>
  <c r="U129" i="16" s="1"/>
  <c r="V129" i="16" s="1"/>
  <c r="W129" i="16" s="1"/>
  <c r="X129" i="16" s="1"/>
  <c r="Y129" i="16" s="1"/>
  <c r="Z129" i="16" s="1"/>
  <c r="AA129" i="16" s="1"/>
  <c r="AB129" i="16" s="1"/>
  <c r="AC129" i="16" s="1"/>
  <c r="AD129" i="16" s="1"/>
  <c r="AE129" i="16" s="1"/>
  <c r="AF129" i="16" s="1"/>
  <c r="B129" i="16" s="1"/>
  <c r="D129" i="16"/>
  <c r="E129" i="16" s="1"/>
  <c r="F129" i="16" s="1"/>
  <c r="G129" i="16" s="1"/>
  <c r="H129" i="16" s="1"/>
  <c r="I129" i="16" s="1"/>
  <c r="M128" i="16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B128" i="16" s="1"/>
  <c r="E128" i="16"/>
  <c r="F128" i="16" s="1"/>
  <c r="G128" i="16" s="1"/>
  <c r="H128" i="16" s="1"/>
  <c r="I128" i="16" s="1"/>
  <c r="J128" i="16" s="1"/>
  <c r="K128" i="16" s="1"/>
  <c r="L128" i="16" s="1"/>
  <c r="D128" i="16"/>
  <c r="H127" i="16"/>
  <c r="I127" i="16" s="1"/>
  <c r="J127" i="16" s="1"/>
  <c r="K127" i="16" s="1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B127" i="16" s="1"/>
  <c r="F127" i="16"/>
  <c r="G127" i="16" s="1"/>
  <c r="D127" i="16"/>
  <c r="E127" i="16" s="1"/>
  <c r="F126" i="16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B126" i="16" s="1"/>
  <c r="D126" i="16"/>
  <c r="E126" i="16" s="1"/>
  <c r="O125" i="16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B125" i="16" s="1"/>
  <c r="J125" i="16"/>
  <c r="K125" i="16" s="1"/>
  <c r="L125" i="16" s="1"/>
  <c r="M125" i="16" s="1"/>
  <c r="N125" i="16" s="1"/>
  <c r="F125" i="16"/>
  <c r="G125" i="16" s="1"/>
  <c r="H125" i="16" s="1"/>
  <c r="D125" i="16"/>
  <c r="E125" i="16" s="1"/>
  <c r="K124" i="16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B124" i="16" s="1"/>
  <c r="I124" i="16"/>
  <c r="J124" i="16" s="1"/>
  <c r="G124" i="16"/>
  <c r="H124" i="16" s="1"/>
  <c r="D124" i="16"/>
  <c r="E124" i="16" s="1"/>
  <c r="F124" i="16" s="1"/>
  <c r="U123" i="16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B123" i="16" s="1"/>
  <c r="E123" i="16"/>
  <c r="F123" i="16" s="1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D123" i="16"/>
  <c r="N122" i="16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B122" i="16" s="1"/>
  <c r="E122" i="16"/>
  <c r="F122" i="16" s="1"/>
  <c r="G122" i="16" s="1"/>
  <c r="H122" i="16" s="1"/>
  <c r="I122" i="16" s="1"/>
  <c r="J122" i="16" s="1"/>
  <c r="K122" i="16" s="1"/>
  <c r="L122" i="16" s="1"/>
  <c r="M122" i="16" s="1"/>
  <c r="D122" i="16"/>
  <c r="L121" i="16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B121" i="16" s="1"/>
  <c r="E121" i="16"/>
  <c r="F121" i="16" s="1"/>
  <c r="G121" i="16" s="1"/>
  <c r="H121" i="16" s="1"/>
  <c r="I121" i="16" s="1"/>
  <c r="J121" i="16" s="1"/>
  <c r="K121" i="16" s="1"/>
  <c r="D121" i="16"/>
  <c r="L120" i="16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B120" i="16" s="1"/>
  <c r="G120" i="16"/>
  <c r="H120" i="16" s="1"/>
  <c r="I120" i="16" s="1"/>
  <c r="J120" i="16" s="1"/>
  <c r="K120" i="16" s="1"/>
  <c r="D120" i="16"/>
  <c r="E120" i="16" s="1"/>
  <c r="F120" i="16" s="1"/>
  <c r="P119" i="16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B119" i="16" s="1"/>
  <c r="E119" i="16"/>
  <c r="F119" i="16" s="1"/>
  <c r="G119" i="16" s="1"/>
  <c r="H119" i="16" s="1"/>
  <c r="I119" i="16" s="1"/>
  <c r="J119" i="16" s="1"/>
  <c r="K119" i="16" s="1"/>
  <c r="L119" i="16" s="1"/>
  <c r="M119" i="16" s="1"/>
  <c r="N119" i="16" s="1"/>
  <c r="O119" i="16" s="1"/>
  <c r="D119" i="16"/>
  <c r="F118" i="16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B118" i="16" s="1"/>
  <c r="E118" i="16"/>
  <c r="D118" i="16"/>
  <c r="F117" i="16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B117" i="16" s="1"/>
  <c r="E117" i="16"/>
  <c r="D117" i="16"/>
  <c r="I116" i="16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B116" i="16" s="1"/>
  <c r="D116" i="16"/>
  <c r="E116" i="16" s="1"/>
  <c r="F116" i="16" s="1"/>
  <c r="G116" i="16" s="1"/>
  <c r="H116" i="16" s="1"/>
  <c r="G115" i="16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B115" i="16" s="1"/>
  <c r="E115" i="16"/>
  <c r="F115" i="16" s="1"/>
  <c r="D115" i="16"/>
  <c r="P114" i="16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B114" i="16" s="1"/>
  <c r="K114" i="16"/>
  <c r="L114" i="16" s="1"/>
  <c r="M114" i="16" s="1"/>
  <c r="N114" i="16" s="1"/>
  <c r="O114" i="16" s="1"/>
  <c r="D114" i="16"/>
  <c r="E114" i="16" s="1"/>
  <c r="F114" i="16" s="1"/>
  <c r="G114" i="16" s="1"/>
  <c r="H114" i="16" s="1"/>
  <c r="I114" i="16" s="1"/>
  <c r="I113" i="16"/>
  <c r="J113" i="16" s="1"/>
  <c r="K113" i="16" s="1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B113" i="16" s="1"/>
  <c r="D113" i="16"/>
  <c r="E113" i="16" s="1"/>
  <c r="F113" i="16" s="1"/>
  <c r="G113" i="16" s="1"/>
  <c r="H113" i="16" s="1"/>
  <c r="F112" i="16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B112" i="16" s="1"/>
  <c r="D112" i="16"/>
  <c r="E112" i="16" s="1"/>
  <c r="I110" i="16"/>
  <c r="J110" i="16" s="1"/>
  <c r="K110" i="16" s="1"/>
  <c r="L110" i="16" s="1"/>
  <c r="M110" i="16" s="1"/>
  <c r="N110" i="16" s="1"/>
  <c r="O110" i="16" s="1"/>
  <c r="P110" i="16" s="1"/>
  <c r="Q110" i="16" s="1"/>
  <c r="R110" i="16" s="1"/>
  <c r="S110" i="16" s="1"/>
  <c r="T110" i="16" s="1"/>
  <c r="U110" i="16" s="1"/>
  <c r="V110" i="16" s="1"/>
  <c r="W110" i="16" s="1"/>
  <c r="X110" i="16" s="1"/>
  <c r="Y110" i="16" s="1"/>
  <c r="Z110" i="16" s="1"/>
  <c r="AA110" i="16" s="1"/>
  <c r="AB110" i="16" s="1"/>
  <c r="AC110" i="16" s="1"/>
  <c r="AD110" i="16" s="1"/>
  <c r="AE110" i="16" s="1"/>
  <c r="AF110" i="16" s="1"/>
  <c r="B110" i="16" s="1"/>
  <c r="D110" i="16"/>
  <c r="E110" i="16" s="1"/>
  <c r="F110" i="16" s="1"/>
  <c r="G110" i="16" s="1"/>
  <c r="H110" i="16" s="1"/>
  <c r="E109" i="16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B109" i="16" s="1"/>
  <c r="D109" i="16"/>
  <c r="E107" i="16"/>
  <c r="F107" i="16" s="1"/>
  <c r="G107" i="16" s="1"/>
  <c r="H107" i="16" s="1"/>
  <c r="I107" i="16" s="1"/>
  <c r="J107" i="16" s="1"/>
  <c r="K107" i="16" s="1"/>
  <c r="L107" i="16" s="1"/>
  <c r="M107" i="16" s="1"/>
  <c r="N107" i="16" s="1"/>
  <c r="O107" i="16" s="1"/>
  <c r="P107" i="16" s="1"/>
  <c r="Q107" i="16" s="1"/>
  <c r="R107" i="16" s="1"/>
  <c r="S107" i="16" s="1"/>
  <c r="T107" i="16" s="1"/>
  <c r="U107" i="16" s="1"/>
  <c r="V107" i="16" s="1"/>
  <c r="W107" i="16" s="1"/>
  <c r="X107" i="16" s="1"/>
  <c r="Y107" i="16" s="1"/>
  <c r="Z107" i="16" s="1"/>
  <c r="AA107" i="16" s="1"/>
  <c r="AB107" i="16" s="1"/>
  <c r="AC107" i="16" s="1"/>
  <c r="AD107" i="16" s="1"/>
  <c r="AE107" i="16" s="1"/>
  <c r="AF107" i="16" s="1"/>
  <c r="B107" i="16" s="1"/>
  <c r="D107" i="16"/>
  <c r="J106" i="16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B106" i="16" s="1"/>
  <c r="D106" i="16"/>
  <c r="E106" i="16" s="1"/>
  <c r="F106" i="16" s="1"/>
  <c r="G106" i="16" s="1"/>
  <c r="H106" i="16" s="1"/>
  <c r="I106" i="16" s="1"/>
  <c r="H105" i="16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B105" i="16" s="1"/>
  <c r="D105" i="16"/>
  <c r="E105" i="16" s="1"/>
  <c r="F105" i="16" s="1"/>
  <c r="G105" i="16" s="1"/>
  <c r="D104" i="16"/>
  <c r="E104" i="16" s="1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B104" i="16" s="1"/>
  <c r="D103" i="16"/>
  <c r="D93" i="16" s="1"/>
  <c r="D102" i="16"/>
  <c r="AH100" i="16"/>
  <c r="AI100" i="16" s="1"/>
  <c r="AH99" i="16"/>
  <c r="AI99" i="16" s="1"/>
  <c r="AH98" i="16"/>
  <c r="AI98" i="16" s="1"/>
  <c r="AH97" i="16"/>
  <c r="AI97" i="16" s="1"/>
  <c r="AH96" i="16"/>
  <c r="AI96" i="16" s="1"/>
  <c r="AH95" i="16"/>
  <c r="AI95" i="16" s="1"/>
  <c r="AH94" i="16"/>
  <c r="AI94" i="16" s="1"/>
  <c r="C93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2" i="16"/>
  <c r="AH82" i="16"/>
  <c r="AG82" i="16"/>
  <c r="AI81" i="16"/>
  <c r="AH81" i="16"/>
  <c r="AI80" i="16"/>
  <c r="AH80" i="16"/>
  <c r="AI79" i="16"/>
  <c r="AH79" i="16"/>
  <c r="AI78" i="16"/>
  <c r="AH78" i="16"/>
  <c r="AI77" i="16"/>
  <c r="AH77" i="16"/>
  <c r="AI76" i="16"/>
  <c r="AH76" i="16"/>
  <c r="I75" i="16"/>
  <c r="AI74" i="16"/>
  <c r="AH74" i="16"/>
  <c r="AI73" i="16"/>
  <c r="AH73" i="16"/>
  <c r="AI72" i="16"/>
  <c r="AH72" i="16"/>
  <c r="AG72" i="16"/>
  <c r="AI71" i="16"/>
  <c r="AH71" i="16"/>
  <c r="AI70" i="16"/>
  <c r="AH70" i="16"/>
  <c r="AI69" i="16"/>
  <c r="AH69" i="16"/>
  <c r="AG68" i="16"/>
  <c r="AF68" i="16"/>
  <c r="AE5" i="16" s="1"/>
  <c r="AE68" i="16"/>
  <c r="AD5" i="16" s="1"/>
  <c r="AD68" i="16"/>
  <c r="AC5" i="16" s="1"/>
  <c r="AC68" i="16"/>
  <c r="AB68" i="16"/>
  <c r="AA5" i="16" s="1"/>
  <c r="AA68" i="16"/>
  <c r="Z68" i="16"/>
  <c r="Y5" i="16" s="1"/>
  <c r="Y68" i="16"/>
  <c r="X5" i="16" s="1"/>
  <c r="X68" i="16"/>
  <c r="W5" i="16" s="1"/>
  <c r="W68" i="16"/>
  <c r="V5" i="16" s="1"/>
  <c r="V68" i="16"/>
  <c r="U68" i="16"/>
  <c r="T68" i="16"/>
  <c r="S68" i="16"/>
  <c r="R68" i="16"/>
  <c r="Q5" i="16" s="1"/>
  <c r="Q68" i="16"/>
  <c r="P68" i="16"/>
  <c r="O5" i="16" s="1"/>
  <c r="O68" i="16"/>
  <c r="N5" i="16" s="1"/>
  <c r="N68" i="16"/>
  <c r="L68" i="16"/>
  <c r="K5" i="16" s="1"/>
  <c r="K68" i="16"/>
  <c r="J5" i="16" s="1"/>
  <c r="J68" i="16"/>
  <c r="I5" i="16" s="1"/>
  <c r="I68" i="16"/>
  <c r="H68" i="16"/>
  <c r="G5" i="16" s="1"/>
  <c r="G68" i="16"/>
  <c r="F5" i="16" s="1"/>
  <c r="F68" i="16"/>
  <c r="E68" i="16"/>
  <c r="D68" i="16"/>
  <c r="C68" i="16"/>
  <c r="AI67" i="16"/>
  <c r="AH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I55" i="16"/>
  <c r="AH55" i="16"/>
  <c r="AI54" i="16"/>
  <c r="AH54" i="16"/>
  <c r="AI53" i="16"/>
  <c r="AH53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I51" i="16"/>
  <c r="AH51" i="16"/>
  <c r="AG51" i="16"/>
  <c r="AG52" i="16" s="1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J38" i="16"/>
  <c r="I38" i="16"/>
  <c r="H38" i="16"/>
  <c r="G38" i="16"/>
  <c r="F38" i="16"/>
  <c r="E38" i="16"/>
  <c r="D38" i="16"/>
  <c r="C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AB5" i="16"/>
  <c r="Z5" i="16"/>
  <c r="U5" i="16"/>
  <c r="T5" i="16"/>
  <c r="R5" i="16"/>
  <c r="M5" i="16"/>
  <c r="H5" i="16"/>
  <c r="E5" i="16"/>
  <c r="AG4" i="16"/>
  <c r="K4" i="16"/>
  <c r="B4" i="16"/>
  <c r="AG2" i="16"/>
  <c r="AF95" i="15"/>
  <c r="AF37" i="15"/>
  <c r="AE95" i="15"/>
  <c r="AE68" i="15"/>
  <c r="AE37" i="15"/>
  <c r="AD37" i="15"/>
  <c r="AC37" i="15"/>
  <c r="AA95" i="15"/>
  <c r="Z95" i="15"/>
  <c r="X95" i="15"/>
  <c r="W97" i="15"/>
  <c r="W95" i="15"/>
  <c r="V97" i="15"/>
  <c r="V95" i="15"/>
  <c r="U95" i="15"/>
  <c r="T37" i="15"/>
  <c r="S95" i="15"/>
  <c r="S37" i="15"/>
  <c r="R37" i="15"/>
  <c r="Q37" i="15"/>
  <c r="P37" i="15"/>
  <c r="O37" i="15"/>
  <c r="N37" i="15"/>
  <c r="M37" i="15"/>
  <c r="L37" i="15"/>
  <c r="K37" i="15"/>
  <c r="I37" i="15"/>
  <c r="H37" i="15"/>
  <c r="G37" i="15"/>
  <c r="F37" i="15"/>
  <c r="B68" i="15"/>
  <c r="B56" i="15"/>
  <c r="B52" i="15"/>
  <c r="B38" i="15"/>
  <c r="AF239" i="15"/>
  <c r="AE239" i="15"/>
  <c r="AD239" i="15"/>
  <c r="AC239" i="15"/>
  <c r="AB239" i="15"/>
  <c r="AA239" i="15"/>
  <c r="Z239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B235" i="15"/>
  <c r="S210" i="15"/>
  <c r="AG200" i="15"/>
  <c r="C200" i="15"/>
  <c r="E199" i="15"/>
  <c r="D199" i="15"/>
  <c r="C235" i="15" s="1"/>
  <c r="E198" i="15"/>
  <c r="F198" i="15" s="1"/>
  <c r="G198" i="15" s="1"/>
  <c r="H198" i="15" s="1"/>
  <c r="I198" i="15" s="1"/>
  <c r="J198" i="15" s="1"/>
  <c r="K198" i="15" s="1"/>
  <c r="L198" i="15" s="1"/>
  <c r="M198" i="15" s="1"/>
  <c r="N198" i="15" s="1"/>
  <c r="O198" i="15" s="1"/>
  <c r="P198" i="15" s="1"/>
  <c r="Q198" i="15" s="1"/>
  <c r="R198" i="15" s="1"/>
  <c r="S198" i="15" s="1"/>
  <c r="T198" i="15" s="1"/>
  <c r="U198" i="15" s="1"/>
  <c r="V198" i="15" s="1"/>
  <c r="W198" i="15" s="1"/>
  <c r="X198" i="15" s="1"/>
  <c r="Y198" i="15" s="1"/>
  <c r="Z198" i="15" s="1"/>
  <c r="AA198" i="15" s="1"/>
  <c r="AB198" i="15" s="1"/>
  <c r="AC198" i="15" s="1"/>
  <c r="AD198" i="15" s="1"/>
  <c r="AE198" i="15" s="1"/>
  <c r="AF198" i="15" s="1"/>
  <c r="B198" i="15" s="1"/>
  <c r="D198" i="15"/>
  <c r="D197" i="15"/>
  <c r="E197" i="15" s="1"/>
  <c r="F197" i="15" s="1"/>
  <c r="G197" i="15" s="1"/>
  <c r="H197" i="15" s="1"/>
  <c r="I197" i="15" s="1"/>
  <c r="J197" i="15" s="1"/>
  <c r="K197" i="15" s="1"/>
  <c r="L197" i="15" s="1"/>
  <c r="M197" i="15" s="1"/>
  <c r="N197" i="15" s="1"/>
  <c r="O197" i="15" s="1"/>
  <c r="P197" i="15" s="1"/>
  <c r="Q197" i="15" s="1"/>
  <c r="R197" i="15" s="1"/>
  <c r="S197" i="15" s="1"/>
  <c r="T197" i="15" s="1"/>
  <c r="U197" i="15" s="1"/>
  <c r="V197" i="15" s="1"/>
  <c r="W197" i="15" s="1"/>
  <c r="X197" i="15" s="1"/>
  <c r="Y197" i="15" s="1"/>
  <c r="Z197" i="15" s="1"/>
  <c r="AA197" i="15" s="1"/>
  <c r="AB197" i="15" s="1"/>
  <c r="AC197" i="15" s="1"/>
  <c r="AD197" i="15" s="1"/>
  <c r="AE197" i="15" s="1"/>
  <c r="AF197" i="15" s="1"/>
  <c r="B197" i="15" s="1"/>
  <c r="E196" i="15"/>
  <c r="F196" i="15" s="1"/>
  <c r="G196" i="15" s="1"/>
  <c r="H196" i="15" s="1"/>
  <c r="I196" i="15" s="1"/>
  <c r="J196" i="15" s="1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AE196" i="15" s="1"/>
  <c r="AF196" i="15" s="1"/>
  <c r="B196" i="15" s="1"/>
  <c r="D196" i="15"/>
  <c r="D195" i="15"/>
  <c r="E195" i="15" s="1"/>
  <c r="F195" i="15" s="1"/>
  <c r="G195" i="15" s="1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B195" i="15" s="1"/>
  <c r="D194" i="15"/>
  <c r="AG192" i="15"/>
  <c r="C192" i="15"/>
  <c r="P191" i="15"/>
  <c r="Q191" i="15" s="1"/>
  <c r="R191" i="15" s="1"/>
  <c r="S191" i="15" s="1"/>
  <c r="T191" i="15" s="1"/>
  <c r="U191" i="15" s="1"/>
  <c r="V191" i="15" s="1"/>
  <c r="W191" i="15" s="1"/>
  <c r="X191" i="15" s="1"/>
  <c r="Y191" i="15" s="1"/>
  <c r="Z191" i="15" s="1"/>
  <c r="AA191" i="15" s="1"/>
  <c r="AB191" i="15" s="1"/>
  <c r="AC191" i="15" s="1"/>
  <c r="AD191" i="15" s="1"/>
  <c r="AE191" i="15" s="1"/>
  <c r="AF191" i="15" s="1"/>
  <c r="B191" i="15" s="1"/>
  <c r="D191" i="15"/>
  <c r="E191" i="15" s="1"/>
  <c r="F191" i="15" s="1"/>
  <c r="G191" i="15" s="1"/>
  <c r="H191" i="15" s="1"/>
  <c r="I191" i="15" s="1"/>
  <c r="J191" i="15" s="1"/>
  <c r="K191" i="15" s="1"/>
  <c r="L191" i="15" s="1"/>
  <c r="M191" i="15" s="1"/>
  <c r="N191" i="15" s="1"/>
  <c r="O191" i="15" s="1"/>
  <c r="F190" i="15"/>
  <c r="G190" i="15" s="1"/>
  <c r="H190" i="15" s="1"/>
  <c r="I190" i="15" s="1"/>
  <c r="J190" i="15" s="1"/>
  <c r="K190" i="15" s="1"/>
  <c r="L190" i="15" s="1"/>
  <c r="M190" i="15" s="1"/>
  <c r="N190" i="15" s="1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B190" i="15" s="1"/>
  <c r="E190" i="15"/>
  <c r="D190" i="15"/>
  <c r="L189" i="15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D189" i="15"/>
  <c r="E189" i="15" s="1"/>
  <c r="F189" i="15" s="1"/>
  <c r="G189" i="15" s="1"/>
  <c r="H189" i="15" s="1"/>
  <c r="I189" i="15" s="1"/>
  <c r="J189" i="15" s="1"/>
  <c r="K189" i="15" s="1"/>
  <c r="B189" i="15"/>
  <c r="E188" i="15"/>
  <c r="F188" i="15" s="1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D188" i="15"/>
  <c r="B188" i="15"/>
  <c r="H187" i="15"/>
  <c r="I187" i="15" s="1"/>
  <c r="J187" i="15" s="1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B187" i="15" s="1"/>
  <c r="D187" i="15"/>
  <c r="E187" i="15" s="1"/>
  <c r="F187" i="15" s="1"/>
  <c r="G187" i="15" s="1"/>
  <c r="P186" i="15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B186" i="15" s="1"/>
  <c r="E186" i="15"/>
  <c r="F186" i="15" s="1"/>
  <c r="G186" i="15" s="1"/>
  <c r="H186" i="15" s="1"/>
  <c r="I186" i="15" s="1"/>
  <c r="J186" i="15" s="1"/>
  <c r="K186" i="15" s="1"/>
  <c r="L186" i="15" s="1"/>
  <c r="M186" i="15" s="1"/>
  <c r="N186" i="15" s="1"/>
  <c r="O186" i="15" s="1"/>
  <c r="D186" i="15"/>
  <c r="F185" i="15"/>
  <c r="G185" i="15" s="1"/>
  <c r="H185" i="15" s="1"/>
  <c r="I185" i="15" s="1"/>
  <c r="J185" i="15" s="1"/>
  <c r="K185" i="15" s="1"/>
  <c r="L185" i="15" s="1"/>
  <c r="M185" i="15" s="1"/>
  <c r="N185" i="15" s="1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B185" i="15" s="1"/>
  <c r="D185" i="15"/>
  <c r="E185" i="15" s="1"/>
  <c r="Q184" i="15"/>
  <c r="R184" i="15" s="1"/>
  <c r="S184" i="15" s="1"/>
  <c r="T184" i="15" s="1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B184" i="15" s="1"/>
  <c r="K184" i="15"/>
  <c r="L184" i="15" s="1"/>
  <c r="M184" i="15" s="1"/>
  <c r="N184" i="15" s="1"/>
  <c r="O184" i="15" s="1"/>
  <c r="P184" i="15" s="1"/>
  <c r="D184" i="15"/>
  <c r="E184" i="15" s="1"/>
  <c r="F184" i="15" s="1"/>
  <c r="G184" i="15" s="1"/>
  <c r="H184" i="15" s="1"/>
  <c r="I184" i="15" s="1"/>
  <c r="J184" i="15" s="1"/>
  <c r="G183" i="15"/>
  <c r="H183" i="15" s="1"/>
  <c r="I183" i="15" s="1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B183" i="15" s="1"/>
  <c r="D183" i="15"/>
  <c r="E183" i="15" s="1"/>
  <c r="F183" i="15" s="1"/>
  <c r="U182" i="15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B182" i="15" s="1"/>
  <c r="E182" i="15"/>
  <c r="F182" i="15" s="1"/>
  <c r="G182" i="15" s="1"/>
  <c r="H182" i="15" s="1"/>
  <c r="I182" i="15" s="1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D182" i="15"/>
  <c r="G181" i="15"/>
  <c r="H181" i="15" s="1"/>
  <c r="I181" i="15" s="1"/>
  <c r="J181" i="15" s="1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B181" i="15" s="1"/>
  <c r="E181" i="15"/>
  <c r="F181" i="15" s="1"/>
  <c r="D181" i="15"/>
  <c r="E180" i="15"/>
  <c r="F180" i="15" s="1"/>
  <c r="G180" i="15" s="1"/>
  <c r="H180" i="15" s="1"/>
  <c r="I180" i="15" s="1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B180" i="15" s="1"/>
  <c r="D180" i="15"/>
  <c r="X179" i="15"/>
  <c r="Y179" i="15" s="1"/>
  <c r="Z179" i="15" s="1"/>
  <c r="AA179" i="15" s="1"/>
  <c r="AB179" i="15" s="1"/>
  <c r="AC179" i="15" s="1"/>
  <c r="AD179" i="15" s="1"/>
  <c r="AE179" i="15" s="1"/>
  <c r="AF179" i="15" s="1"/>
  <c r="B179" i="15" s="1"/>
  <c r="F179" i="15"/>
  <c r="G179" i="15" s="1"/>
  <c r="H179" i="15" s="1"/>
  <c r="I179" i="15" s="1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D179" i="15"/>
  <c r="E179" i="15" s="1"/>
  <c r="D177" i="15"/>
  <c r="E177" i="15" s="1"/>
  <c r="F177" i="15" s="1"/>
  <c r="G177" i="15" s="1"/>
  <c r="H177" i="15" s="1"/>
  <c r="I177" i="15" s="1"/>
  <c r="J177" i="15" s="1"/>
  <c r="K177" i="15" s="1"/>
  <c r="L177" i="15" s="1"/>
  <c r="M177" i="15" s="1"/>
  <c r="N177" i="15" s="1"/>
  <c r="O177" i="15" s="1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B177" i="15" s="1"/>
  <c r="D176" i="15"/>
  <c r="E176" i="15" s="1"/>
  <c r="F176" i="15" s="1"/>
  <c r="G176" i="15" s="1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B176" i="15" s="1"/>
  <c r="D175" i="15"/>
  <c r="E175" i="15" s="1"/>
  <c r="F175" i="15" s="1"/>
  <c r="G175" i="15" s="1"/>
  <c r="H175" i="15" s="1"/>
  <c r="I175" i="15" s="1"/>
  <c r="J175" i="15" s="1"/>
  <c r="K175" i="15" s="1"/>
  <c r="L175" i="15" s="1"/>
  <c r="M175" i="15" s="1"/>
  <c r="N175" i="15" s="1"/>
  <c r="O175" i="15" s="1"/>
  <c r="P175" i="15" s="1"/>
  <c r="Q175" i="15" s="1"/>
  <c r="R175" i="15" s="1"/>
  <c r="S175" i="15" s="1"/>
  <c r="T175" i="15" s="1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B175" i="15" s="1"/>
  <c r="G174" i="15"/>
  <c r="H174" i="15" s="1"/>
  <c r="I174" i="15" s="1"/>
  <c r="J174" i="15" s="1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B174" i="15" s="1"/>
  <c r="D174" i="15"/>
  <c r="E174" i="15" s="1"/>
  <c r="F174" i="15" s="1"/>
  <c r="E173" i="15"/>
  <c r="F173" i="15" s="1"/>
  <c r="G173" i="15" s="1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B173" i="15" s="1"/>
  <c r="D173" i="15"/>
  <c r="E172" i="15"/>
  <c r="F172" i="15" s="1"/>
  <c r="G172" i="15" s="1"/>
  <c r="H172" i="15" s="1"/>
  <c r="I172" i="15" s="1"/>
  <c r="J172" i="15" s="1"/>
  <c r="K172" i="15" s="1"/>
  <c r="L172" i="15" s="1"/>
  <c r="M172" i="15" s="1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B172" i="15" s="1"/>
  <c r="D172" i="15"/>
  <c r="Z171" i="15"/>
  <c r="AA171" i="15" s="1"/>
  <c r="AB171" i="15" s="1"/>
  <c r="AC171" i="15" s="1"/>
  <c r="AD171" i="15" s="1"/>
  <c r="AE171" i="15" s="1"/>
  <c r="AF171" i="15" s="1"/>
  <c r="B171" i="15" s="1"/>
  <c r="H171" i="15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F171" i="15"/>
  <c r="G171" i="15" s="1"/>
  <c r="D171" i="15"/>
  <c r="E171" i="15" s="1"/>
  <c r="H170" i="15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B170" i="15" s="1"/>
  <c r="D170" i="15"/>
  <c r="E170" i="15" s="1"/>
  <c r="F170" i="15" s="1"/>
  <c r="G170" i="15" s="1"/>
  <c r="D168" i="15"/>
  <c r="E168" i="15" s="1"/>
  <c r="F168" i="15" s="1"/>
  <c r="G168" i="15" s="1"/>
  <c r="H168" i="15" s="1"/>
  <c r="I168" i="15" s="1"/>
  <c r="J168" i="15" s="1"/>
  <c r="K168" i="15" s="1"/>
  <c r="L168" i="15" s="1"/>
  <c r="M168" i="15" s="1"/>
  <c r="N168" i="15" s="1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AF168" i="15" s="1"/>
  <c r="B168" i="15" s="1"/>
  <c r="N167" i="15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B167" i="15" s="1"/>
  <c r="D167" i="15"/>
  <c r="E167" i="15" s="1"/>
  <c r="F167" i="15" s="1"/>
  <c r="G167" i="15" s="1"/>
  <c r="H167" i="15" s="1"/>
  <c r="I167" i="15" s="1"/>
  <c r="J167" i="15" s="1"/>
  <c r="K167" i="15" s="1"/>
  <c r="L167" i="15" s="1"/>
  <c r="M167" i="15" s="1"/>
  <c r="E166" i="15"/>
  <c r="F166" i="15" s="1"/>
  <c r="G166" i="15" s="1"/>
  <c r="H166" i="15" s="1"/>
  <c r="I166" i="15" s="1"/>
  <c r="J166" i="15" s="1"/>
  <c r="K166" i="15" s="1"/>
  <c r="L166" i="15" s="1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B166" i="15" s="1"/>
  <c r="D166" i="15"/>
  <c r="D165" i="15"/>
  <c r="E165" i="15" s="1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B165" i="15" s="1"/>
  <c r="D164" i="15"/>
  <c r="E164" i="15" s="1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B164" i="15" s="1"/>
  <c r="E163" i="15"/>
  <c r="F163" i="15" s="1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B163" i="15" s="1"/>
  <c r="D163" i="15"/>
  <c r="D162" i="15"/>
  <c r="E162" i="15" s="1"/>
  <c r="F162" i="15" s="1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B162" i="15" s="1"/>
  <c r="H161" i="15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B161" i="15" s="1"/>
  <c r="D161" i="15"/>
  <c r="E161" i="15" s="1"/>
  <c r="F161" i="15" s="1"/>
  <c r="G161" i="15" s="1"/>
  <c r="Z160" i="15"/>
  <c r="AA160" i="15" s="1"/>
  <c r="AB160" i="15" s="1"/>
  <c r="AC160" i="15" s="1"/>
  <c r="AD160" i="15" s="1"/>
  <c r="AE160" i="15" s="1"/>
  <c r="AF160" i="15" s="1"/>
  <c r="B160" i="15" s="1"/>
  <c r="P160" i="15"/>
  <c r="Q160" i="15" s="1"/>
  <c r="R160" i="15" s="1"/>
  <c r="S160" i="15" s="1"/>
  <c r="T160" i="15" s="1"/>
  <c r="U160" i="15" s="1"/>
  <c r="V160" i="15" s="1"/>
  <c r="W160" i="15" s="1"/>
  <c r="X160" i="15" s="1"/>
  <c r="Y160" i="15" s="1"/>
  <c r="F160" i="15"/>
  <c r="G160" i="15" s="1"/>
  <c r="H160" i="15" s="1"/>
  <c r="I160" i="15" s="1"/>
  <c r="J160" i="15" s="1"/>
  <c r="K160" i="15" s="1"/>
  <c r="L160" i="15" s="1"/>
  <c r="M160" i="15" s="1"/>
  <c r="N160" i="15" s="1"/>
  <c r="O160" i="15" s="1"/>
  <c r="D160" i="15"/>
  <c r="E160" i="15" s="1"/>
  <c r="D159" i="15"/>
  <c r="E159" i="15" s="1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B159" i="15" s="1"/>
  <c r="M158" i="15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B158" i="15" s="1"/>
  <c r="L158" i="15"/>
  <c r="E158" i="15"/>
  <c r="F158" i="15" s="1"/>
  <c r="G158" i="15" s="1"/>
  <c r="H158" i="15" s="1"/>
  <c r="I158" i="15" s="1"/>
  <c r="J158" i="15" s="1"/>
  <c r="K158" i="15" s="1"/>
  <c r="D158" i="15"/>
  <c r="L157" i="15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B157" i="15" s="1"/>
  <c r="K157" i="15"/>
  <c r="F157" i="15"/>
  <c r="G157" i="15" s="1"/>
  <c r="H157" i="15" s="1"/>
  <c r="I157" i="15" s="1"/>
  <c r="J157" i="15" s="1"/>
  <c r="D157" i="15"/>
  <c r="E157" i="15" s="1"/>
  <c r="X156" i="15"/>
  <c r="Y156" i="15" s="1"/>
  <c r="Z156" i="15" s="1"/>
  <c r="AA156" i="15" s="1"/>
  <c r="AB156" i="15" s="1"/>
  <c r="AC156" i="15" s="1"/>
  <c r="AD156" i="15" s="1"/>
  <c r="AE156" i="15" s="1"/>
  <c r="AF156" i="15" s="1"/>
  <c r="B156" i="15" s="1"/>
  <c r="D156" i="15"/>
  <c r="E156" i="15" s="1"/>
  <c r="F156" i="15" s="1"/>
  <c r="G156" i="15" s="1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D154" i="15"/>
  <c r="E154" i="15" s="1"/>
  <c r="F154" i="15" s="1"/>
  <c r="G154" i="15" s="1"/>
  <c r="H154" i="15" s="1"/>
  <c r="I154" i="15" s="1"/>
  <c r="J154" i="15" s="1"/>
  <c r="K154" i="15" s="1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AF154" i="15" s="1"/>
  <c r="B154" i="15" s="1"/>
  <c r="Z153" i="15"/>
  <c r="AA153" i="15" s="1"/>
  <c r="AB153" i="15" s="1"/>
  <c r="AC153" i="15" s="1"/>
  <c r="AD153" i="15" s="1"/>
  <c r="AE153" i="15" s="1"/>
  <c r="AF153" i="15" s="1"/>
  <c r="B153" i="15" s="1"/>
  <c r="E153" i="15"/>
  <c r="F153" i="15" s="1"/>
  <c r="G153" i="15" s="1"/>
  <c r="H153" i="15" s="1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D153" i="15"/>
  <c r="K152" i="15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X152" i="15" s="1"/>
  <c r="Y152" i="15" s="1"/>
  <c r="Z152" i="15" s="1"/>
  <c r="AA152" i="15" s="1"/>
  <c r="AB152" i="15" s="1"/>
  <c r="AC152" i="15" s="1"/>
  <c r="AD152" i="15" s="1"/>
  <c r="AE152" i="15" s="1"/>
  <c r="AF152" i="15" s="1"/>
  <c r="B152" i="15" s="1"/>
  <c r="H152" i="15"/>
  <c r="I152" i="15" s="1"/>
  <c r="J152" i="15" s="1"/>
  <c r="D152" i="15"/>
  <c r="E152" i="15" s="1"/>
  <c r="F152" i="15" s="1"/>
  <c r="G152" i="15" s="1"/>
  <c r="G151" i="15"/>
  <c r="H151" i="15" s="1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B151" i="15" s="1"/>
  <c r="D151" i="15"/>
  <c r="E151" i="15" s="1"/>
  <c r="F151" i="15" s="1"/>
  <c r="D149" i="15"/>
  <c r="E149" i="15" s="1"/>
  <c r="F149" i="15" s="1"/>
  <c r="G149" i="15" s="1"/>
  <c r="H149" i="15" s="1"/>
  <c r="I149" i="15" s="1"/>
  <c r="J149" i="15" s="1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B149" i="15" s="1"/>
  <c r="E148" i="15"/>
  <c r="F148" i="15" s="1"/>
  <c r="G148" i="15" s="1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B148" i="15" s="1"/>
  <c r="D148" i="15"/>
  <c r="D146" i="15"/>
  <c r="E146" i="15" s="1"/>
  <c r="F146" i="15" s="1"/>
  <c r="G146" i="15" s="1"/>
  <c r="H146" i="15" s="1"/>
  <c r="I146" i="15" s="1"/>
  <c r="J146" i="15" s="1"/>
  <c r="K146" i="15" s="1"/>
  <c r="L146" i="15" s="1"/>
  <c r="M146" i="15" s="1"/>
  <c r="N146" i="15" s="1"/>
  <c r="O146" i="15" s="1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B146" i="15" s="1"/>
  <c r="D145" i="15"/>
  <c r="E145" i="15" s="1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B145" i="15" s="1"/>
  <c r="G144" i="15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B144" i="15" s="1"/>
  <c r="D144" i="15"/>
  <c r="E144" i="15" s="1"/>
  <c r="F144" i="15" s="1"/>
  <c r="K143" i="15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B143" i="15" s="1"/>
  <c r="G143" i="15"/>
  <c r="H143" i="15" s="1"/>
  <c r="I143" i="15" s="1"/>
  <c r="J143" i="15" s="1"/>
  <c r="F143" i="15"/>
  <c r="E143" i="15"/>
  <c r="D143" i="15"/>
  <c r="M142" i="15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B142" i="15" s="1"/>
  <c r="D142" i="15"/>
  <c r="E142" i="15" s="1"/>
  <c r="F142" i="15" s="1"/>
  <c r="G142" i="15" s="1"/>
  <c r="H142" i="15" s="1"/>
  <c r="I142" i="15" s="1"/>
  <c r="J142" i="15" s="1"/>
  <c r="K142" i="15" s="1"/>
  <c r="L142" i="15" s="1"/>
  <c r="R141" i="15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B141" i="15" s="1"/>
  <c r="I141" i="15"/>
  <c r="J141" i="15" s="1"/>
  <c r="K141" i="15" s="1"/>
  <c r="L141" i="15" s="1"/>
  <c r="M141" i="15" s="1"/>
  <c r="N141" i="15" s="1"/>
  <c r="O141" i="15" s="1"/>
  <c r="P141" i="15" s="1"/>
  <c r="Q141" i="15" s="1"/>
  <c r="F141" i="15"/>
  <c r="G141" i="15" s="1"/>
  <c r="H141" i="15" s="1"/>
  <c r="D141" i="15"/>
  <c r="E141" i="15" s="1"/>
  <c r="J140" i="15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B140" i="15" s="1"/>
  <c r="H140" i="15"/>
  <c r="I140" i="15" s="1"/>
  <c r="E140" i="15"/>
  <c r="F140" i="15" s="1"/>
  <c r="G140" i="15" s="1"/>
  <c r="D140" i="15"/>
  <c r="M138" i="15"/>
  <c r="N138" i="15" s="1"/>
  <c r="O138" i="15" s="1"/>
  <c r="P138" i="15" s="1"/>
  <c r="Q138" i="15" s="1"/>
  <c r="R138" i="15" s="1"/>
  <c r="S138" i="15" s="1"/>
  <c r="T138" i="15" s="1"/>
  <c r="U138" i="15" s="1"/>
  <c r="V138" i="15" s="1"/>
  <c r="W138" i="15" s="1"/>
  <c r="X138" i="15" s="1"/>
  <c r="Y138" i="15" s="1"/>
  <c r="Z138" i="15" s="1"/>
  <c r="AA138" i="15" s="1"/>
  <c r="AB138" i="15" s="1"/>
  <c r="AC138" i="15" s="1"/>
  <c r="AD138" i="15" s="1"/>
  <c r="AE138" i="15" s="1"/>
  <c r="AF138" i="15" s="1"/>
  <c r="B138" i="15" s="1"/>
  <c r="K138" i="15"/>
  <c r="L138" i="15" s="1"/>
  <c r="D138" i="15"/>
  <c r="E138" i="15" s="1"/>
  <c r="F138" i="15" s="1"/>
  <c r="G138" i="15" s="1"/>
  <c r="H138" i="15" s="1"/>
  <c r="I138" i="15" s="1"/>
  <c r="J138" i="15" s="1"/>
  <c r="Y137" i="15"/>
  <c r="Z137" i="15" s="1"/>
  <c r="AA137" i="15" s="1"/>
  <c r="AB137" i="15" s="1"/>
  <c r="AC137" i="15" s="1"/>
  <c r="AD137" i="15" s="1"/>
  <c r="AE137" i="15" s="1"/>
  <c r="AF137" i="15" s="1"/>
  <c r="B137" i="15" s="1"/>
  <c r="F137" i="15"/>
  <c r="G137" i="15" s="1"/>
  <c r="H137" i="15" s="1"/>
  <c r="I137" i="15" s="1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D137" i="15"/>
  <c r="E137" i="15" s="1"/>
  <c r="D136" i="15"/>
  <c r="E136" i="15" s="1"/>
  <c r="F136" i="15" s="1"/>
  <c r="G136" i="15" s="1"/>
  <c r="H136" i="15" s="1"/>
  <c r="I136" i="15" s="1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B136" i="15" s="1"/>
  <c r="R135" i="15"/>
  <c r="S135" i="15" s="1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B135" i="15" s="1"/>
  <c r="E135" i="15"/>
  <c r="F135" i="15" s="1"/>
  <c r="G135" i="15" s="1"/>
  <c r="H135" i="15" s="1"/>
  <c r="I135" i="15" s="1"/>
  <c r="J135" i="15" s="1"/>
  <c r="K135" i="15" s="1"/>
  <c r="L135" i="15" s="1"/>
  <c r="M135" i="15" s="1"/>
  <c r="N135" i="15" s="1"/>
  <c r="O135" i="15" s="1"/>
  <c r="P135" i="15" s="1"/>
  <c r="Q135" i="15" s="1"/>
  <c r="D135" i="15"/>
  <c r="X134" i="15"/>
  <c r="Y134" i="15" s="1"/>
  <c r="Z134" i="15" s="1"/>
  <c r="AA134" i="15" s="1"/>
  <c r="AB134" i="15" s="1"/>
  <c r="AC134" i="15" s="1"/>
  <c r="AD134" i="15" s="1"/>
  <c r="AE134" i="15" s="1"/>
  <c r="AF134" i="15" s="1"/>
  <c r="B134" i="15" s="1"/>
  <c r="H134" i="15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F134" i="15"/>
  <c r="G134" i="15" s="1"/>
  <c r="E134" i="15"/>
  <c r="D134" i="15"/>
  <c r="AD133" i="15"/>
  <c r="AE133" i="15" s="1"/>
  <c r="AF133" i="15" s="1"/>
  <c r="B133" i="15" s="1"/>
  <c r="D133" i="15"/>
  <c r="E133" i="15" s="1"/>
  <c r="F133" i="15" s="1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L132" i="15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B132" i="15" s="1"/>
  <c r="J132" i="15"/>
  <c r="K132" i="15" s="1"/>
  <c r="D132" i="15"/>
  <c r="E132" i="15" s="1"/>
  <c r="F132" i="15" s="1"/>
  <c r="G132" i="15" s="1"/>
  <c r="H132" i="15" s="1"/>
  <c r="I132" i="15" s="1"/>
  <c r="J131" i="15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B131" i="15" s="1"/>
  <c r="H131" i="15"/>
  <c r="I131" i="15" s="1"/>
  <c r="E131" i="15"/>
  <c r="F131" i="15" s="1"/>
  <c r="G131" i="15" s="1"/>
  <c r="D131" i="15"/>
  <c r="AF129" i="15"/>
  <c r="B129" i="15" s="1"/>
  <c r="D129" i="15"/>
  <c r="E129" i="15" s="1"/>
  <c r="F129" i="15" s="1"/>
  <c r="G129" i="15" s="1"/>
  <c r="H129" i="15" s="1"/>
  <c r="I129" i="15" s="1"/>
  <c r="J129" i="15" s="1"/>
  <c r="K129" i="15" s="1"/>
  <c r="L129" i="15" s="1"/>
  <c r="M129" i="15" s="1"/>
  <c r="N129" i="15" s="1"/>
  <c r="O129" i="15" s="1"/>
  <c r="P129" i="15" s="1"/>
  <c r="Q129" i="15" s="1"/>
  <c r="R129" i="15" s="1"/>
  <c r="S129" i="15" s="1"/>
  <c r="T129" i="15" s="1"/>
  <c r="U129" i="15" s="1"/>
  <c r="V129" i="15" s="1"/>
  <c r="W129" i="15" s="1"/>
  <c r="X129" i="15" s="1"/>
  <c r="Y129" i="15" s="1"/>
  <c r="Z129" i="15" s="1"/>
  <c r="AA129" i="15" s="1"/>
  <c r="AB129" i="15" s="1"/>
  <c r="AC129" i="15" s="1"/>
  <c r="AD129" i="15" s="1"/>
  <c r="AE129" i="15" s="1"/>
  <c r="D128" i="15"/>
  <c r="E128" i="15" s="1"/>
  <c r="F128" i="15" s="1"/>
  <c r="G128" i="15" s="1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B128" i="15" s="1"/>
  <c r="D127" i="15"/>
  <c r="E127" i="15" s="1"/>
  <c r="F127" i="15" s="1"/>
  <c r="G127" i="15" s="1"/>
  <c r="H127" i="15" s="1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B127" i="15" s="1"/>
  <c r="E126" i="15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B126" i="15" s="1"/>
  <c r="D126" i="15"/>
  <c r="K125" i="15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B125" i="15" s="1"/>
  <c r="J125" i="15"/>
  <c r="G125" i="15"/>
  <c r="H125" i="15" s="1"/>
  <c r="E125" i="15"/>
  <c r="F125" i="15" s="1"/>
  <c r="D125" i="15"/>
  <c r="M124" i="15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B124" i="15" s="1"/>
  <c r="K124" i="15"/>
  <c r="L124" i="15" s="1"/>
  <c r="E124" i="15"/>
  <c r="F124" i="15" s="1"/>
  <c r="G124" i="15" s="1"/>
  <c r="H124" i="15" s="1"/>
  <c r="I124" i="15" s="1"/>
  <c r="J124" i="15" s="1"/>
  <c r="D124" i="15"/>
  <c r="Q123" i="15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B123" i="15" s="1"/>
  <c r="F123" i="15"/>
  <c r="G123" i="15" s="1"/>
  <c r="H123" i="15" s="1"/>
  <c r="I123" i="15" s="1"/>
  <c r="J123" i="15" s="1"/>
  <c r="K123" i="15" s="1"/>
  <c r="L123" i="15" s="1"/>
  <c r="M123" i="15" s="1"/>
  <c r="N123" i="15" s="1"/>
  <c r="O123" i="15" s="1"/>
  <c r="P123" i="15" s="1"/>
  <c r="E123" i="15"/>
  <c r="D123" i="15"/>
  <c r="I122" i="15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B122" i="15" s="1"/>
  <c r="D122" i="15"/>
  <c r="E122" i="15" s="1"/>
  <c r="F122" i="15" s="1"/>
  <c r="G122" i="15" s="1"/>
  <c r="H122" i="15" s="1"/>
  <c r="J121" i="15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B121" i="15" s="1"/>
  <c r="E121" i="15"/>
  <c r="F121" i="15" s="1"/>
  <c r="G121" i="15" s="1"/>
  <c r="H121" i="15" s="1"/>
  <c r="I121" i="15" s="1"/>
  <c r="D121" i="15"/>
  <c r="E120" i="15"/>
  <c r="F120" i="15" s="1"/>
  <c r="G120" i="15" s="1"/>
  <c r="H120" i="15" s="1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B120" i="15" s="1"/>
  <c r="D120" i="15"/>
  <c r="I119" i="15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B119" i="15" s="1"/>
  <c r="E119" i="15"/>
  <c r="F119" i="15" s="1"/>
  <c r="G119" i="15" s="1"/>
  <c r="H119" i="15" s="1"/>
  <c r="D119" i="15"/>
  <c r="D118" i="15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B118" i="15" s="1"/>
  <c r="J117" i="15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B117" i="15" s="1"/>
  <c r="D117" i="15"/>
  <c r="E117" i="15" s="1"/>
  <c r="F117" i="15" s="1"/>
  <c r="G117" i="15" s="1"/>
  <c r="H117" i="15" s="1"/>
  <c r="I117" i="15" s="1"/>
  <c r="H116" i="15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B116" i="15" s="1"/>
  <c r="G116" i="15"/>
  <c r="E116" i="15"/>
  <c r="F116" i="15" s="1"/>
  <c r="D116" i="15"/>
  <c r="AC115" i="15"/>
  <c r="AD115" i="15" s="1"/>
  <c r="AE115" i="15" s="1"/>
  <c r="AF115" i="15" s="1"/>
  <c r="B115" i="15" s="1"/>
  <c r="Q115" i="15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G115" i="15"/>
  <c r="H115" i="15" s="1"/>
  <c r="I115" i="15" s="1"/>
  <c r="J115" i="15" s="1"/>
  <c r="K115" i="15" s="1"/>
  <c r="L115" i="15" s="1"/>
  <c r="M115" i="15" s="1"/>
  <c r="N115" i="15" s="1"/>
  <c r="O115" i="15" s="1"/>
  <c r="P115" i="15" s="1"/>
  <c r="F115" i="15"/>
  <c r="E115" i="15"/>
  <c r="D115" i="15"/>
  <c r="L114" i="15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B114" i="15" s="1"/>
  <c r="K114" i="15"/>
  <c r="E114" i="15"/>
  <c r="F114" i="15" s="1"/>
  <c r="G114" i="15" s="1"/>
  <c r="H114" i="15" s="1"/>
  <c r="I114" i="15" s="1"/>
  <c r="D114" i="15"/>
  <c r="N113" i="15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B113" i="15" s="1"/>
  <c r="D113" i="15"/>
  <c r="E113" i="15" s="1"/>
  <c r="F113" i="15" s="1"/>
  <c r="G113" i="15" s="1"/>
  <c r="H113" i="15" s="1"/>
  <c r="I113" i="15" s="1"/>
  <c r="J113" i="15" s="1"/>
  <c r="K113" i="15" s="1"/>
  <c r="L113" i="15" s="1"/>
  <c r="M113" i="15" s="1"/>
  <c r="W112" i="15"/>
  <c r="X112" i="15" s="1"/>
  <c r="Y112" i="15" s="1"/>
  <c r="Z112" i="15" s="1"/>
  <c r="AA112" i="15" s="1"/>
  <c r="AB112" i="15" s="1"/>
  <c r="AC112" i="15" s="1"/>
  <c r="AD112" i="15" s="1"/>
  <c r="AE112" i="15" s="1"/>
  <c r="AF112" i="15" s="1"/>
  <c r="B112" i="15" s="1"/>
  <c r="L112" i="15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G112" i="15"/>
  <c r="H112" i="15" s="1"/>
  <c r="I112" i="15" s="1"/>
  <c r="J112" i="15" s="1"/>
  <c r="K112" i="15" s="1"/>
  <c r="F112" i="15"/>
  <c r="D112" i="15"/>
  <c r="E112" i="15" s="1"/>
  <c r="E110" i="15"/>
  <c r="F110" i="15" s="1"/>
  <c r="G110" i="15" s="1"/>
  <c r="H110" i="15" s="1"/>
  <c r="I110" i="15" s="1"/>
  <c r="J110" i="15" s="1"/>
  <c r="K110" i="15" s="1"/>
  <c r="L110" i="15" s="1"/>
  <c r="M110" i="15" s="1"/>
  <c r="N110" i="15" s="1"/>
  <c r="O110" i="15" s="1"/>
  <c r="P110" i="15" s="1"/>
  <c r="Q110" i="15" s="1"/>
  <c r="R110" i="15" s="1"/>
  <c r="S110" i="15" s="1"/>
  <c r="T110" i="15" s="1"/>
  <c r="U110" i="15" s="1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B110" i="15" s="1"/>
  <c r="D110" i="15"/>
  <c r="D109" i="15"/>
  <c r="E109" i="15" s="1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B109" i="15" s="1"/>
  <c r="F107" i="15"/>
  <c r="G107" i="15" s="1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B107" i="15" s="1"/>
  <c r="D107" i="15"/>
  <c r="E107" i="15" s="1"/>
  <c r="D106" i="15"/>
  <c r="E106" i="15" s="1"/>
  <c r="F106" i="15" s="1"/>
  <c r="G106" i="15" s="1"/>
  <c r="H106" i="15" s="1"/>
  <c r="I106" i="15" s="1"/>
  <c r="J106" i="15" s="1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B106" i="15" s="1"/>
  <c r="D105" i="15"/>
  <c r="E105" i="15" s="1"/>
  <c r="F105" i="15" s="1"/>
  <c r="G105" i="15" s="1"/>
  <c r="H105" i="15" s="1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B105" i="15" s="1"/>
  <c r="AF104" i="15"/>
  <c r="B104" i="15" s="1"/>
  <c r="U104" i="15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K104" i="15"/>
  <c r="L104" i="15" s="1"/>
  <c r="M104" i="15" s="1"/>
  <c r="N104" i="15" s="1"/>
  <c r="O104" i="15" s="1"/>
  <c r="P104" i="15" s="1"/>
  <c r="Q104" i="15" s="1"/>
  <c r="R104" i="15" s="1"/>
  <c r="S104" i="15" s="1"/>
  <c r="T104" i="15" s="1"/>
  <c r="E104" i="15"/>
  <c r="F104" i="15" s="1"/>
  <c r="G104" i="15" s="1"/>
  <c r="H104" i="15" s="1"/>
  <c r="I104" i="15" s="1"/>
  <c r="J104" i="15" s="1"/>
  <c r="D104" i="15"/>
  <c r="D103" i="15"/>
  <c r="E103" i="15" s="1"/>
  <c r="F103" i="15" s="1"/>
  <c r="D102" i="15"/>
  <c r="AH100" i="15"/>
  <c r="AI100" i="15" s="1"/>
  <c r="AH99" i="15"/>
  <c r="AI99" i="15" s="1"/>
  <c r="AH98" i="15"/>
  <c r="AI98" i="15" s="1"/>
  <c r="AH97" i="15"/>
  <c r="AI97" i="15" s="1"/>
  <c r="AH96" i="15"/>
  <c r="AI96" i="15" s="1"/>
  <c r="AH95" i="15"/>
  <c r="AI95" i="15" s="1"/>
  <c r="AH94" i="15"/>
  <c r="AI94" i="15" s="1"/>
  <c r="D93" i="15"/>
  <c r="C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2" i="15"/>
  <c r="AH82" i="15"/>
  <c r="AG82" i="15"/>
  <c r="AI81" i="15"/>
  <c r="AH81" i="15"/>
  <c r="AI80" i="15"/>
  <c r="AH80" i="15"/>
  <c r="AI79" i="15"/>
  <c r="AH79" i="15"/>
  <c r="AI78" i="15"/>
  <c r="AH78" i="15"/>
  <c r="AI77" i="15"/>
  <c r="AH77" i="15"/>
  <c r="AI76" i="15"/>
  <c r="AH76" i="15"/>
  <c r="AI74" i="15"/>
  <c r="AH74" i="15"/>
  <c r="AI73" i="15"/>
  <c r="AH73" i="15"/>
  <c r="AI72" i="15"/>
  <c r="AH72" i="15"/>
  <c r="AG72" i="15"/>
  <c r="AI71" i="15"/>
  <c r="AH71" i="15"/>
  <c r="AI70" i="15"/>
  <c r="AH70" i="15"/>
  <c r="AI69" i="15"/>
  <c r="AH69" i="15"/>
  <c r="AG68" i="15"/>
  <c r="AF68" i="15"/>
  <c r="AE5" i="15" s="1"/>
  <c r="AD5" i="15"/>
  <c r="AD68" i="15"/>
  <c r="AC68" i="15"/>
  <c r="AB68" i="15"/>
  <c r="AA68" i="15"/>
  <c r="Z68" i="15"/>
  <c r="Y5" i="15" s="1"/>
  <c r="Y68" i="15"/>
  <c r="X5" i="15" s="1"/>
  <c r="X68" i="15"/>
  <c r="W5" i="15" s="1"/>
  <c r="W68" i="15"/>
  <c r="V5" i="15" s="1"/>
  <c r="V68" i="15"/>
  <c r="V75" i="15" s="1"/>
  <c r="V7" i="15" s="1"/>
  <c r="U68" i="15"/>
  <c r="T68" i="15"/>
  <c r="S5" i="15" s="1"/>
  <c r="S68" i="15"/>
  <c r="R5" i="15" s="1"/>
  <c r="R68" i="15"/>
  <c r="Q68" i="15"/>
  <c r="P68" i="15"/>
  <c r="O5" i="15" s="1"/>
  <c r="O68" i="15"/>
  <c r="N5" i="15" s="1"/>
  <c r="N68" i="15"/>
  <c r="M68" i="15"/>
  <c r="L5" i="15" s="1"/>
  <c r="L68" i="15"/>
  <c r="K5" i="15" s="1"/>
  <c r="K68" i="15"/>
  <c r="J5" i="15" s="1"/>
  <c r="J68" i="15"/>
  <c r="I5" i="15" s="1"/>
  <c r="I68" i="15"/>
  <c r="H5" i="15" s="1"/>
  <c r="H68" i="15"/>
  <c r="G68" i="15"/>
  <c r="F5" i="15" s="1"/>
  <c r="F68" i="15"/>
  <c r="E5" i="15" s="1"/>
  <c r="E68" i="15"/>
  <c r="D68" i="15"/>
  <c r="C5" i="15" s="1"/>
  <c r="C68" i="15"/>
  <c r="B5" i="15" s="1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AI55" i="15"/>
  <c r="AH55" i="15"/>
  <c r="AI54" i="15"/>
  <c r="AH54" i="15"/>
  <c r="AI53" i="15"/>
  <c r="AH53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AI51" i="15"/>
  <c r="AH51" i="15"/>
  <c r="AG51" i="15"/>
  <c r="AG52" i="15" s="1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F5" i="15"/>
  <c r="AC5" i="15"/>
  <c r="AB5" i="15"/>
  <c r="AA5" i="15"/>
  <c r="Z5" i="15"/>
  <c r="U5" i="15"/>
  <c r="T5" i="15"/>
  <c r="Q5" i="15"/>
  <c r="P5" i="15"/>
  <c r="M5" i="15"/>
  <c r="G5" i="15"/>
  <c r="D5" i="15"/>
  <c r="AG4" i="15"/>
  <c r="K4" i="15"/>
  <c r="B4" i="15"/>
  <c r="AG3" i="15"/>
  <c r="AG2" i="15"/>
  <c r="AG6" i="15" s="1"/>
  <c r="AB37" i="14"/>
  <c r="Y37" i="14"/>
  <c r="E4" i="16"/>
  <c r="E4" i="15"/>
  <c r="X200" i="28" l="1"/>
  <c r="Y194" i="28"/>
  <c r="X93" i="28"/>
  <c r="X235" i="28"/>
  <c r="Z199" i="28"/>
  <c r="AA103" i="28"/>
  <c r="Y192" i="28"/>
  <c r="Z102" i="28"/>
  <c r="Y199" i="27"/>
  <c r="W235" i="27"/>
  <c r="X93" i="27"/>
  <c r="X200" i="27"/>
  <c r="Z192" i="27"/>
  <c r="AA102" i="27"/>
  <c r="AB103" i="27"/>
  <c r="AA194" i="27"/>
  <c r="Y235" i="26"/>
  <c r="AA199" i="26"/>
  <c r="X192" i="26"/>
  <c r="Y102" i="26"/>
  <c r="Y93" i="26"/>
  <c r="Z103" i="26"/>
  <c r="X200" i="26"/>
  <c r="Y194" i="26"/>
  <c r="X235" i="25"/>
  <c r="Z199" i="25"/>
  <c r="X192" i="25"/>
  <c r="Y102" i="25"/>
  <c r="Y200" i="25"/>
  <c r="AA194" i="25"/>
  <c r="Z200" i="25"/>
  <c r="Z93" i="25"/>
  <c r="AA103" i="25"/>
  <c r="Y93" i="25"/>
  <c r="W235" i="24"/>
  <c r="Y199" i="24"/>
  <c r="X200" i="24"/>
  <c r="X192" i="24"/>
  <c r="Y102" i="24"/>
  <c r="AA194" i="24"/>
  <c r="Z103" i="24"/>
  <c r="Y93" i="24"/>
  <c r="AB103" i="23"/>
  <c r="Y200" i="23"/>
  <c r="Z194" i="23"/>
  <c r="Y93" i="23"/>
  <c r="Z192" i="23"/>
  <c r="AA102" i="23"/>
  <c r="X235" i="23"/>
  <c r="Z199" i="23"/>
  <c r="Z103" i="22"/>
  <c r="W235" i="22"/>
  <c r="Y199" i="22"/>
  <c r="X200" i="22"/>
  <c r="X192" i="22"/>
  <c r="Y102" i="22"/>
  <c r="AB194" i="22"/>
  <c r="X93" i="22"/>
  <c r="X194" i="21"/>
  <c r="X103" i="21"/>
  <c r="U192" i="21"/>
  <c r="V102" i="21"/>
  <c r="S235" i="21"/>
  <c r="U199" i="21"/>
  <c r="T93" i="21"/>
  <c r="T200" i="21"/>
  <c r="V199" i="20"/>
  <c r="T235" i="20"/>
  <c r="V194" i="20"/>
  <c r="U200" i="20"/>
  <c r="V102" i="20"/>
  <c r="T93" i="20"/>
  <c r="U103" i="20"/>
  <c r="Y103" i="19"/>
  <c r="V192" i="19"/>
  <c r="W102" i="19"/>
  <c r="S235" i="19"/>
  <c r="U199" i="19"/>
  <c r="T200" i="19"/>
  <c r="T93" i="19"/>
  <c r="W194" i="19"/>
  <c r="U235" i="18"/>
  <c r="W199" i="18"/>
  <c r="T192" i="18"/>
  <c r="U102" i="18"/>
  <c r="W103" i="18"/>
  <c r="V93" i="18"/>
  <c r="V194" i="18"/>
  <c r="U200" i="18"/>
  <c r="Y194" i="17"/>
  <c r="U199" i="17"/>
  <c r="S235" i="17"/>
  <c r="T200" i="17"/>
  <c r="T192" i="17"/>
  <c r="U102" i="17"/>
  <c r="T93" i="17"/>
  <c r="U103" i="17"/>
  <c r="AC75" i="16"/>
  <c r="AA75" i="16"/>
  <c r="Y75" i="16"/>
  <c r="W75" i="16"/>
  <c r="U75" i="16"/>
  <c r="T75" i="16"/>
  <c r="S75" i="16"/>
  <c r="Q75" i="16"/>
  <c r="P5" i="16"/>
  <c r="M75" i="16"/>
  <c r="M7" i="16" s="1"/>
  <c r="K75" i="16"/>
  <c r="G75" i="16"/>
  <c r="G7" i="16" s="1"/>
  <c r="AB75" i="16"/>
  <c r="AT214" i="16" s="1"/>
  <c r="E75" i="16"/>
  <c r="W214" i="16" s="1"/>
  <c r="AI68" i="16"/>
  <c r="AI56" i="16"/>
  <c r="AH52" i="16"/>
  <c r="D75" i="16"/>
  <c r="V214" i="16" s="1"/>
  <c r="B5" i="16"/>
  <c r="AI52" i="16"/>
  <c r="AH38" i="16"/>
  <c r="B75" i="16"/>
  <c r="B83" i="16" s="1"/>
  <c r="H4" i="16"/>
  <c r="AI214" i="16"/>
  <c r="Q83" i="16"/>
  <c r="Q7" i="16"/>
  <c r="AQ214" i="16"/>
  <c r="Y83" i="16"/>
  <c r="Y7" i="16"/>
  <c r="AG73" i="16"/>
  <c r="AG83" i="16" s="1"/>
  <c r="AG3" i="16"/>
  <c r="AG75" i="16"/>
  <c r="AK214" i="16"/>
  <c r="S83" i="16"/>
  <c r="S7" i="16"/>
  <c r="AL214" i="16"/>
  <c r="T7" i="16"/>
  <c r="T83" i="16"/>
  <c r="AC214" i="16"/>
  <c r="K83" i="16"/>
  <c r="K7" i="16"/>
  <c r="AS214" i="16"/>
  <c r="AA7" i="16"/>
  <c r="AA83" i="16"/>
  <c r="AM214" i="16"/>
  <c r="U83" i="16"/>
  <c r="U7" i="16"/>
  <c r="AU214" i="16"/>
  <c r="AC83" i="16"/>
  <c r="AC7" i="16"/>
  <c r="S5" i="16"/>
  <c r="AA214" i="16"/>
  <c r="I83" i="16"/>
  <c r="V75" i="16"/>
  <c r="AG6" i="16"/>
  <c r="C5" i="16"/>
  <c r="L5" i="16"/>
  <c r="L75" i="16"/>
  <c r="N75" i="16"/>
  <c r="X75" i="16"/>
  <c r="S211" i="16"/>
  <c r="D211" i="16"/>
  <c r="C75" i="16"/>
  <c r="O75" i="16"/>
  <c r="AO214" i="16"/>
  <c r="W83" i="16"/>
  <c r="I7" i="16"/>
  <c r="H75" i="16"/>
  <c r="AF75" i="16"/>
  <c r="J75" i="16"/>
  <c r="R75" i="16"/>
  <c r="Z75" i="16"/>
  <c r="F75" i="16"/>
  <c r="AD75" i="16"/>
  <c r="D5" i="16"/>
  <c r="AI38" i="16"/>
  <c r="P75" i="16"/>
  <c r="D192" i="16"/>
  <c r="E102" i="16"/>
  <c r="W7" i="16"/>
  <c r="AH56" i="16"/>
  <c r="AE75" i="16"/>
  <c r="E103" i="16"/>
  <c r="AH68" i="16"/>
  <c r="F194" i="16"/>
  <c r="C235" i="16"/>
  <c r="E199" i="16"/>
  <c r="AE75" i="15"/>
  <c r="AD75" i="15"/>
  <c r="AD7" i="15" s="1"/>
  <c r="AA75" i="15"/>
  <c r="AA83" i="15" s="1"/>
  <c r="AB75" i="15"/>
  <c r="AT214" i="15" s="1"/>
  <c r="Z75" i="15"/>
  <c r="Z7" i="15" s="1"/>
  <c r="W75" i="15"/>
  <c r="T75" i="15"/>
  <c r="S75" i="15"/>
  <c r="S83" i="15" s="1"/>
  <c r="R75" i="15"/>
  <c r="R7" i="15" s="1"/>
  <c r="P75" i="15"/>
  <c r="O75" i="15"/>
  <c r="O83" i="15" s="1"/>
  <c r="N75" i="15"/>
  <c r="N7" i="15" s="1"/>
  <c r="L75" i="15"/>
  <c r="K75" i="15"/>
  <c r="K83" i="15" s="1"/>
  <c r="J75" i="15"/>
  <c r="J83" i="15" s="1"/>
  <c r="H75" i="15"/>
  <c r="H7" i="15" s="1"/>
  <c r="G75" i="15"/>
  <c r="G83" i="15" s="1"/>
  <c r="F75" i="15"/>
  <c r="F7" i="15" s="1"/>
  <c r="AI52" i="15"/>
  <c r="D75" i="15"/>
  <c r="V214" i="15" s="1"/>
  <c r="AH52" i="15"/>
  <c r="C75" i="15"/>
  <c r="C7" i="15" s="1"/>
  <c r="B75" i="15"/>
  <c r="B83" i="15" s="1"/>
  <c r="H4" i="15"/>
  <c r="AB7" i="15"/>
  <c r="AB83" i="15"/>
  <c r="AL214" i="15"/>
  <c r="T7" i="15"/>
  <c r="T83" i="15"/>
  <c r="AH214" i="15"/>
  <c r="P83" i="15"/>
  <c r="P7" i="15"/>
  <c r="AD214" i="15"/>
  <c r="L7" i="15"/>
  <c r="L83" i="15"/>
  <c r="AW214" i="15"/>
  <c r="AE7" i="15"/>
  <c r="G103" i="15"/>
  <c r="Y214" i="15"/>
  <c r="G7" i="15"/>
  <c r="AO214" i="15"/>
  <c r="W7" i="15"/>
  <c r="I75" i="15"/>
  <c r="Q75" i="15"/>
  <c r="Y75" i="15"/>
  <c r="AG75" i="15"/>
  <c r="AJ214" i="15"/>
  <c r="R83" i="15"/>
  <c r="AK214" i="15"/>
  <c r="S7" i="15"/>
  <c r="AI38" i="15"/>
  <c r="AH56" i="15"/>
  <c r="X75" i="15"/>
  <c r="S211" i="15"/>
  <c r="D211" i="15"/>
  <c r="AR214" i="15"/>
  <c r="Z83" i="15"/>
  <c r="AC214" i="15"/>
  <c r="AS214" i="15"/>
  <c r="AA7" i="15"/>
  <c r="W83" i="15"/>
  <c r="AI56" i="15"/>
  <c r="E75" i="15"/>
  <c r="M75" i="15"/>
  <c r="U75" i="15"/>
  <c r="AC75" i="15"/>
  <c r="AE83" i="15"/>
  <c r="AB214" i="15"/>
  <c r="AF214" i="15"/>
  <c r="N83" i="15"/>
  <c r="AN214" i="15"/>
  <c r="V83" i="15"/>
  <c r="AV214" i="15"/>
  <c r="AD83" i="15"/>
  <c r="AF75" i="15"/>
  <c r="AH38" i="15"/>
  <c r="AG73" i="15"/>
  <c r="AG83" i="15" s="1"/>
  <c r="D192" i="15"/>
  <c r="E102" i="15"/>
  <c r="AH68" i="15"/>
  <c r="AI68" i="15"/>
  <c r="D200" i="15"/>
  <c r="E194" i="15"/>
  <c r="E93" i="15" s="1"/>
  <c r="D235" i="15"/>
  <c r="F199" i="15"/>
  <c r="AB103" i="28" l="1"/>
  <c r="Y235" i="28"/>
  <c r="AA199" i="28"/>
  <c r="Y200" i="28"/>
  <c r="Z194" i="28"/>
  <c r="Y93" i="28"/>
  <c r="Z192" i="28"/>
  <c r="AA102" i="28"/>
  <c r="AC103" i="27"/>
  <c r="AA192" i="27"/>
  <c r="AB102" i="27"/>
  <c r="AB194" i="27"/>
  <c r="X235" i="27"/>
  <c r="Z199" i="27"/>
  <c r="Y93" i="27"/>
  <c r="Y200" i="27"/>
  <c r="Y200" i="26"/>
  <c r="Z194" i="26"/>
  <c r="Z93" i="26"/>
  <c r="AA103" i="26"/>
  <c r="Y192" i="26"/>
  <c r="Z102" i="26"/>
  <c r="Z235" i="26"/>
  <c r="AB199" i="26"/>
  <c r="AB194" i="25"/>
  <c r="Y192" i="25"/>
  <c r="Z102" i="25"/>
  <c r="AA199" i="25"/>
  <c r="Y235" i="25"/>
  <c r="AB103" i="25"/>
  <c r="AA93" i="25"/>
  <c r="AA103" i="24"/>
  <c r="AB194" i="24"/>
  <c r="Y192" i="24"/>
  <c r="Z102" i="24"/>
  <c r="Z199" i="24"/>
  <c r="X235" i="24"/>
  <c r="Y200" i="24"/>
  <c r="AA192" i="23"/>
  <c r="AB102" i="23"/>
  <c r="Z200" i="23"/>
  <c r="AA194" i="23"/>
  <c r="Z93" i="23"/>
  <c r="Y235" i="23"/>
  <c r="AA199" i="23"/>
  <c r="AC103" i="23"/>
  <c r="Y192" i="22"/>
  <c r="Z102" i="22"/>
  <c r="Z199" i="22"/>
  <c r="X235" i="22"/>
  <c r="Y200" i="22"/>
  <c r="Y93" i="22"/>
  <c r="AC194" i="22"/>
  <c r="Z93" i="22"/>
  <c r="AA103" i="22"/>
  <c r="V192" i="21"/>
  <c r="W102" i="21"/>
  <c r="Y103" i="21"/>
  <c r="T235" i="21"/>
  <c r="V199" i="21"/>
  <c r="U93" i="21"/>
  <c r="U200" i="21"/>
  <c r="Y194" i="21"/>
  <c r="U93" i="20"/>
  <c r="V103" i="20"/>
  <c r="V192" i="20"/>
  <c r="W102" i="20"/>
  <c r="U192" i="20"/>
  <c r="W194" i="20"/>
  <c r="V200" i="20"/>
  <c r="W199" i="20"/>
  <c r="U235" i="20"/>
  <c r="T235" i="19"/>
  <c r="V199" i="19"/>
  <c r="U200" i="19"/>
  <c r="U93" i="19"/>
  <c r="W192" i="19"/>
  <c r="X102" i="19"/>
  <c r="Z103" i="19"/>
  <c r="X194" i="19"/>
  <c r="V200" i="18"/>
  <c r="W194" i="18"/>
  <c r="X103" i="18"/>
  <c r="W93" i="18"/>
  <c r="U192" i="18"/>
  <c r="V102" i="18"/>
  <c r="X199" i="18"/>
  <c r="V235" i="18"/>
  <c r="U192" i="17"/>
  <c r="V102" i="17"/>
  <c r="T235" i="17"/>
  <c r="V199" i="17"/>
  <c r="U200" i="17"/>
  <c r="Z194" i="17"/>
  <c r="U93" i="17"/>
  <c r="V103" i="17"/>
  <c r="M83" i="16"/>
  <c r="AE214" i="16"/>
  <c r="G83" i="16"/>
  <c r="Y214" i="16"/>
  <c r="AB83" i="16"/>
  <c r="AB7" i="16"/>
  <c r="E7" i="16"/>
  <c r="E83" i="16"/>
  <c r="D83" i="16"/>
  <c r="D7" i="16"/>
  <c r="E93" i="16"/>
  <c r="F103" i="16"/>
  <c r="Z214" i="16"/>
  <c r="H7" i="16"/>
  <c r="H83" i="16"/>
  <c r="AW214" i="16"/>
  <c r="AE83" i="16"/>
  <c r="AE7" i="16"/>
  <c r="AV214" i="16"/>
  <c r="AD7" i="16"/>
  <c r="AD83" i="16"/>
  <c r="AP214" i="16"/>
  <c r="X7" i="16"/>
  <c r="X83" i="16"/>
  <c r="X214" i="16"/>
  <c r="F83" i="16"/>
  <c r="F7" i="16"/>
  <c r="AF214" i="16"/>
  <c r="N7" i="16"/>
  <c r="N83" i="16"/>
  <c r="F199" i="16"/>
  <c r="D235" i="16"/>
  <c r="AR214" i="16"/>
  <c r="Z7" i="16"/>
  <c r="Z83" i="16"/>
  <c r="AN214" i="16"/>
  <c r="V83" i="16"/>
  <c r="V7" i="16"/>
  <c r="E192" i="16"/>
  <c r="F102" i="16"/>
  <c r="AJ214" i="16"/>
  <c r="R83" i="16"/>
  <c r="R7" i="16"/>
  <c r="AG214" i="16"/>
  <c r="O83" i="16"/>
  <c r="O7" i="16"/>
  <c r="E200" i="16"/>
  <c r="AB214" i="16"/>
  <c r="J83" i="16"/>
  <c r="J7" i="16"/>
  <c r="U214" i="16"/>
  <c r="C83" i="16"/>
  <c r="C7" i="16"/>
  <c r="B209" i="16"/>
  <c r="G194" i="16"/>
  <c r="F200" i="16"/>
  <c r="AH214" i="16"/>
  <c r="P7" i="16"/>
  <c r="P83" i="16"/>
  <c r="T214" i="16"/>
  <c r="AH75" i="16"/>
  <c r="B7" i="16"/>
  <c r="AI75" i="16"/>
  <c r="C209" i="16"/>
  <c r="AX214" i="16"/>
  <c r="AF7" i="16"/>
  <c r="AF83" i="16"/>
  <c r="AD214" i="16"/>
  <c r="L7" i="16"/>
  <c r="L83" i="16"/>
  <c r="O7" i="15"/>
  <c r="AG214" i="15"/>
  <c r="H83" i="15"/>
  <c r="K7" i="15"/>
  <c r="J7" i="15"/>
  <c r="Z214" i="15"/>
  <c r="T214" i="15"/>
  <c r="F83" i="15"/>
  <c r="X214" i="15"/>
  <c r="B7" i="15"/>
  <c r="D83" i="15"/>
  <c r="D7" i="15"/>
  <c r="C83" i="15"/>
  <c r="U214" i="15"/>
  <c r="AM214" i="15"/>
  <c r="U7" i="15"/>
  <c r="U83" i="15"/>
  <c r="AA214" i="15"/>
  <c r="I83" i="15"/>
  <c r="I7" i="15"/>
  <c r="B209" i="15"/>
  <c r="AE214" i="15"/>
  <c r="M7" i="15"/>
  <c r="M83" i="15"/>
  <c r="C209" i="15"/>
  <c r="AX214" i="15"/>
  <c r="AF83" i="15"/>
  <c r="AF7" i="15"/>
  <c r="W214" i="15"/>
  <c r="E7" i="15"/>
  <c r="E83" i="15"/>
  <c r="H103" i="15"/>
  <c r="AH75" i="15"/>
  <c r="E192" i="15"/>
  <c r="F102" i="15"/>
  <c r="AP214" i="15"/>
  <c r="X83" i="15"/>
  <c r="X7" i="15"/>
  <c r="E235" i="15"/>
  <c r="G199" i="15"/>
  <c r="AI75" i="15"/>
  <c r="AQ214" i="15"/>
  <c r="Y83" i="15"/>
  <c r="Y7" i="15"/>
  <c r="F194" i="15"/>
  <c r="E200" i="15"/>
  <c r="AU214" i="15"/>
  <c r="AC7" i="15"/>
  <c r="AC83" i="15"/>
  <c r="AI214" i="15"/>
  <c r="Q83" i="15"/>
  <c r="Q7" i="15"/>
  <c r="Z200" i="28" l="1"/>
  <c r="AA194" i="28"/>
  <c r="Z93" i="28"/>
  <c r="Z235" i="28"/>
  <c r="AB199" i="28"/>
  <c r="AA192" i="28"/>
  <c r="AB102" i="28"/>
  <c r="AC103" i="28"/>
  <c r="AA199" i="27"/>
  <c r="Y235" i="27"/>
  <c r="Z93" i="27"/>
  <c r="Z200" i="27"/>
  <c r="AC194" i="27"/>
  <c r="AB192" i="27"/>
  <c r="AC102" i="27"/>
  <c r="AD103" i="27"/>
  <c r="Z192" i="26"/>
  <c r="AA102" i="26"/>
  <c r="AB103" i="26"/>
  <c r="AC199" i="26"/>
  <c r="AA235" i="26"/>
  <c r="Z200" i="26"/>
  <c r="AA194" i="26"/>
  <c r="AC103" i="25"/>
  <c r="AB93" i="25"/>
  <c r="Z235" i="25"/>
  <c r="AB199" i="25"/>
  <c r="Z192" i="25"/>
  <c r="AA102" i="25"/>
  <c r="AB200" i="25"/>
  <c r="AC194" i="25"/>
  <c r="AA200" i="25"/>
  <c r="Y235" i="24"/>
  <c r="AA199" i="24"/>
  <c r="Z200" i="24"/>
  <c r="AC194" i="24"/>
  <c r="Z192" i="24"/>
  <c r="AA102" i="24"/>
  <c r="Z93" i="24"/>
  <c r="AB103" i="24"/>
  <c r="AA93" i="24"/>
  <c r="Z235" i="23"/>
  <c r="AB199" i="23"/>
  <c r="AA200" i="23"/>
  <c r="AB194" i="23"/>
  <c r="AA93" i="23"/>
  <c r="AB192" i="23"/>
  <c r="AC102" i="23"/>
  <c r="AD103" i="23"/>
  <c r="AD194" i="22"/>
  <c r="Y235" i="22"/>
  <c r="AA199" i="22"/>
  <c r="Z200" i="22"/>
  <c r="AB103" i="22"/>
  <c r="Z192" i="22"/>
  <c r="AA102" i="22"/>
  <c r="U235" i="21"/>
  <c r="W199" i="21"/>
  <c r="V200" i="21"/>
  <c r="V93" i="21"/>
  <c r="Z103" i="21"/>
  <c r="W192" i="21"/>
  <c r="X102" i="21"/>
  <c r="Z194" i="21"/>
  <c r="X194" i="20"/>
  <c r="W200" i="20"/>
  <c r="V235" i="20"/>
  <c r="X199" i="20"/>
  <c r="X102" i="20"/>
  <c r="V93" i="20"/>
  <c r="W103" i="20"/>
  <c r="W192" i="20" s="1"/>
  <c r="AA103" i="19"/>
  <c r="X192" i="19"/>
  <c r="Y102" i="19"/>
  <c r="U235" i="19"/>
  <c r="W199" i="19"/>
  <c r="V200" i="19"/>
  <c r="V93" i="19"/>
  <c r="Y194" i="19"/>
  <c r="W235" i="18"/>
  <c r="Y199" i="18"/>
  <c r="V192" i="18"/>
  <c r="W102" i="18"/>
  <c r="Y103" i="18"/>
  <c r="X194" i="18"/>
  <c r="X93" i="18" s="1"/>
  <c r="W200" i="18"/>
  <c r="U235" i="17"/>
  <c r="W199" i="17"/>
  <c r="V200" i="17"/>
  <c r="AA194" i="17"/>
  <c r="V192" i="17"/>
  <c r="W102" i="17"/>
  <c r="V93" i="17"/>
  <c r="W103" i="17"/>
  <c r="F192" i="16"/>
  <c r="G102" i="16"/>
  <c r="E235" i="16"/>
  <c r="G199" i="16"/>
  <c r="H194" i="16"/>
  <c r="G200" i="16"/>
  <c r="K6" i="16"/>
  <c r="AI83" i="16"/>
  <c r="AH83" i="16"/>
  <c r="A7" i="16"/>
  <c r="G103" i="16"/>
  <c r="F93" i="16"/>
  <c r="AH83" i="15"/>
  <c r="AI83" i="15"/>
  <c r="A7" i="15"/>
  <c r="I103" i="15"/>
  <c r="F235" i="15"/>
  <c r="H199" i="15"/>
  <c r="G194" i="15"/>
  <c r="F200" i="15"/>
  <c r="F93" i="15"/>
  <c r="K6" i="15"/>
  <c r="F192" i="15"/>
  <c r="G102" i="15"/>
  <c r="AD103" i="28" l="1"/>
  <c r="AB192" i="28"/>
  <c r="AC102" i="28"/>
  <c r="AC199" i="28"/>
  <c r="AA235" i="28"/>
  <c r="AA200" i="28"/>
  <c r="AB194" i="28"/>
  <c r="AA93" i="28"/>
  <c r="AD194" i="27"/>
  <c r="AC192" i="27"/>
  <c r="AD102" i="27"/>
  <c r="AE103" i="27"/>
  <c r="Z235" i="27"/>
  <c r="AB199" i="27"/>
  <c r="AA93" i="27"/>
  <c r="AA200" i="27"/>
  <c r="AB235" i="26"/>
  <c r="AD199" i="26"/>
  <c r="AC103" i="26"/>
  <c r="AB93" i="26"/>
  <c r="AA200" i="26"/>
  <c r="AB194" i="26"/>
  <c r="AA93" i="26"/>
  <c r="AA192" i="26"/>
  <c r="AB102" i="26"/>
  <c r="AD194" i="25"/>
  <c r="AA192" i="25"/>
  <c r="AB102" i="25"/>
  <c r="AA235" i="25"/>
  <c r="AC199" i="25"/>
  <c r="AC93" i="25"/>
  <c r="AD103" i="25"/>
  <c r="AA192" i="24"/>
  <c r="AB102" i="24"/>
  <c r="AD194" i="24"/>
  <c r="Z235" i="24"/>
  <c r="AB199" i="24"/>
  <c r="AA200" i="24"/>
  <c r="AC103" i="24"/>
  <c r="AB93" i="24"/>
  <c r="AC192" i="23"/>
  <c r="AD102" i="23"/>
  <c r="AB200" i="23"/>
  <c r="AC194" i="23"/>
  <c r="AB93" i="23"/>
  <c r="AA235" i="23"/>
  <c r="AC199" i="23"/>
  <c r="AE103" i="23"/>
  <c r="AC103" i="22"/>
  <c r="Z235" i="22"/>
  <c r="AB199" i="22"/>
  <c r="AA200" i="22"/>
  <c r="AE194" i="22"/>
  <c r="AA192" i="22"/>
  <c r="AB102" i="22"/>
  <c r="AA103" i="21"/>
  <c r="X192" i="21"/>
  <c r="Y102" i="21"/>
  <c r="AA194" i="21"/>
  <c r="V235" i="21"/>
  <c r="X199" i="21"/>
  <c r="W200" i="21"/>
  <c r="W93" i="21"/>
  <c r="W93" i="20"/>
  <c r="X103" i="20"/>
  <c r="W235" i="20"/>
  <c r="Y199" i="20"/>
  <c r="X192" i="20"/>
  <c r="Y102" i="20"/>
  <c r="Y194" i="20"/>
  <c r="X200" i="20"/>
  <c r="V235" i="19"/>
  <c r="X199" i="19"/>
  <c r="W200" i="19"/>
  <c r="W93" i="19"/>
  <c r="Y192" i="19"/>
  <c r="Z102" i="19"/>
  <c r="Z194" i="19"/>
  <c r="AB103" i="19"/>
  <c r="X200" i="18"/>
  <c r="Y194" i="18"/>
  <c r="Y93" i="18"/>
  <c r="Z103" i="18"/>
  <c r="W192" i="18"/>
  <c r="X102" i="18"/>
  <c r="X235" i="18"/>
  <c r="Z199" i="18"/>
  <c r="W192" i="17"/>
  <c r="X102" i="17"/>
  <c r="AB194" i="17"/>
  <c r="X199" i="17"/>
  <c r="V235" i="17"/>
  <c r="W200" i="17"/>
  <c r="W93" i="17"/>
  <c r="X103" i="17"/>
  <c r="I194" i="16"/>
  <c r="H200" i="16"/>
  <c r="F235" i="16"/>
  <c r="H199" i="16"/>
  <c r="G93" i="16"/>
  <c r="H103" i="16"/>
  <c r="G192" i="16"/>
  <c r="H102" i="16"/>
  <c r="H194" i="15"/>
  <c r="G200" i="15"/>
  <c r="G93" i="15"/>
  <c r="G235" i="15"/>
  <c r="I199" i="15"/>
  <c r="G192" i="15"/>
  <c r="H102" i="15"/>
  <c r="J103" i="15"/>
  <c r="R95" i="14"/>
  <c r="Q95" i="14"/>
  <c r="AC194" i="28" l="1"/>
  <c r="AB200" i="28"/>
  <c r="AB93" i="28"/>
  <c r="AD199" i="28"/>
  <c r="AB235" i="28"/>
  <c r="AC192" i="28"/>
  <c r="AD102" i="28"/>
  <c r="AE103" i="28"/>
  <c r="AF103" i="27"/>
  <c r="AD192" i="27"/>
  <c r="AE102" i="27"/>
  <c r="AE194" i="27"/>
  <c r="AA235" i="27"/>
  <c r="AC199" i="27"/>
  <c r="AB93" i="27"/>
  <c r="AB200" i="27"/>
  <c r="AC194" i="26"/>
  <c r="AB200" i="26"/>
  <c r="AD103" i="26"/>
  <c r="AC93" i="26"/>
  <c r="AC235" i="26"/>
  <c r="AE199" i="26"/>
  <c r="AB192" i="26"/>
  <c r="AC102" i="26"/>
  <c r="AB235" i="25"/>
  <c r="AD199" i="25"/>
  <c r="AB192" i="25"/>
  <c r="AC102" i="25"/>
  <c r="AD200" i="25"/>
  <c r="AE194" i="25"/>
  <c r="AD93" i="25"/>
  <c r="AE103" i="25"/>
  <c r="AC200" i="25"/>
  <c r="AA235" i="24"/>
  <c r="AC199" i="24"/>
  <c r="AB200" i="24"/>
  <c r="AE194" i="24"/>
  <c r="AC93" i="24"/>
  <c r="AD103" i="24"/>
  <c r="AB192" i="24"/>
  <c r="AC102" i="24"/>
  <c r="AF103" i="23"/>
  <c r="AD194" i="23"/>
  <c r="AC200" i="23"/>
  <c r="AC93" i="23"/>
  <c r="AB235" i="23"/>
  <c r="AD199" i="23"/>
  <c r="AD192" i="23"/>
  <c r="AE102" i="23"/>
  <c r="AA235" i="22"/>
  <c r="AC199" i="22"/>
  <c r="AB200" i="22"/>
  <c r="AF194" i="22"/>
  <c r="AC93" i="22"/>
  <c r="AD103" i="22"/>
  <c r="AB192" i="22"/>
  <c r="AC102" i="22"/>
  <c r="AB93" i="22"/>
  <c r="W235" i="21"/>
  <c r="Y199" i="21"/>
  <c r="X200" i="21"/>
  <c r="X93" i="21"/>
  <c r="AB194" i="21"/>
  <c r="Y192" i="21"/>
  <c r="Z102" i="21"/>
  <c r="AB103" i="21"/>
  <c r="Z199" i="20"/>
  <c r="X235" i="20"/>
  <c r="Z194" i="20"/>
  <c r="Y200" i="20"/>
  <c r="Y103" i="20"/>
  <c r="X93" i="20"/>
  <c r="Y192" i="20"/>
  <c r="Z102" i="20"/>
  <c r="AA194" i="19"/>
  <c r="Z192" i="19"/>
  <c r="AA102" i="19"/>
  <c r="AC103" i="19"/>
  <c r="W235" i="19"/>
  <c r="Y199" i="19"/>
  <c r="X200" i="19"/>
  <c r="X93" i="19"/>
  <c r="AA103" i="18"/>
  <c r="Y235" i="18"/>
  <c r="AA199" i="18"/>
  <c r="X192" i="18"/>
  <c r="Y102" i="18"/>
  <c r="Y200" i="18"/>
  <c r="Z194" i="18"/>
  <c r="W235" i="17"/>
  <c r="Y199" i="17"/>
  <c r="X200" i="17"/>
  <c r="AC194" i="17"/>
  <c r="X192" i="17"/>
  <c r="Y102" i="17"/>
  <c r="Y103" i="17"/>
  <c r="X93" i="17"/>
  <c r="I103" i="16"/>
  <c r="H93" i="16"/>
  <c r="G235" i="16"/>
  <c r="I199" i="16"/>
  <c r="J194" i="16"/>
  <c r="I200" i="16"/>
  <c r="H192" i="16"/>
  <c r="I102" i="16"/>
  <c r="H235" i="15"/>
  <c r="J199" i="15"/>
  <c r="K103" i="15"/>
  <c r="H192" i="15"/>
  <c r="I102" i="15"/>
  <c r="H200" i="15"/>
  <c r="I194" i="15"/>
  <c r="H93" i="15"/>
  <c r="AD192" i="28" l="1"/>
  <c r="AE102" i="28"/>
  <c r="AC235" i="28"/>
  <c r="AE199" i="28"/>
  <c r="AF103" i="28"/>
  <c r="AD194" i="28"/>
  <c r="AC200" i="28"/>
  <c r="AC93" i="28"/>
  <c r="AF194" i="27"/>
  <c r="AB235" i="27"/>
  <c r="AD199" i="27"/>
  <c r="AC200" i="27"/>
  <c r="AC93" i="27"/>
  <c r="AE192" i="27"/>
  <c r="AF102" i="27"/>
  <c r="B103" i="27"/>
  <c r="AD235" i="26"/>
  <c r="AF199" i="26"/>
  <c r="AC192" i="26"/>
  <c r="AD102" i="26"/>
  <c r="AE103" i="26"/>
  <c r="AD93" i="26"/>
  <c r="AC200" i="26"/>
  <c r="AD194" i="26"/>
  <c r="AF194" i="25"/>
  <c r="AF103" i="25"/>
  <c r="AC192" i="25"/>
  <c r="AD102" i="25"/>
  <c r="AC235" i="25"/>
  <c r="AE199" i="25"/>
  <c r="AE103" i="24"/>
  <c r="AF194" i="24"/>
  <c r="AB235" i="24"/>
  <c r="AD199" i="24"/>
  <c r="AC200" i="24"/>
  <c r="AC192" i="24"/>
  <c r="AD102" i="24"/>
  <c r="AC235" i="23"/>
  <c r="AE199" i="23"/>
  <c r="AD200" i="23"/>
  <c r="AE194" i="23"/>
  <c r="AD93" i="23"/>
  <c r="B103" i="23"/>
  <c r="AE192" i="23"/>
  <c r="AF102" i="23"/>
  <c r="B194" i="22"/>
  <c r="AD199" i="22"/>
  <c r="AB235" i="22"/>
  <c r="AC200" i="22"/>
  <c r="AD93" i="22"/>
  <c r="AE103" i="22"/>
  <c r="AC192" i="22"/>
  <c r="AD102" i="22"/>
  <c r="Z192" i="21"/>
  <c r="AA102" i="21"/>
  <c r="X235" i="21"/>
  <c r="Z199" i="21"/>
  <c r="Y200" i="21"/>
  <c r="Y93" i="21"/>
  <c r="AC194" i="21"/>
  <c r="AC103" i="21"/>
  <c r="AA102" i="20"/>
  <c r="Z200" i="20"/>
  <c r="AA194" i="20"/>
  <c r="Z103" i="20"/>
  <c r="Y93" i="20"/>
  <c r="Y235" i="20"/>
  <c r="AA199" i="20"/>
  <c r="AD103" i="19"/>
  <c r="AA192" i="19"/>
  <c r="AB102" i="19"/>
  <c r="AB194" i="19"/>
  <c r="X235" i="19"/>
  <c r="Z199" i="19"/>
  <c r="Y93" i="19"/>
  <c r="Y200" i="19"/>
  <c r="Z235" i="18"/>
  <c r="AB199" i="18"/>
  <c r="AA194" i="18"/>
  <c r="Z200" i="18"/>
  <c r="Y192" i="18"/>
  <c r="Z102" i="18"/>
  <c r="AA93" i="18"/>
  <c r="AB103" i="18"/>
  <c r="Z93" i="18"/>
  <c r="AD194" i="17"/>
  <c r="Z103" i="17"/>
  <c r="Y93" i="17"/>
  <c r="Z199" i="17"/>
  <c r="X235" i="17"/>
  <c r="Y200" i="17"/>
  <c r="Y192" i="17"/>
  <c r="Z102" i="17"/>
  <c r="K194" i="16"/>
  <c r="J103" i="16"/>
  <c r="I93" i="16"/>
  <c r="J199" i="16"/>
  <c r="H235" i="16"/>
  <c r="I192" i="16"/>
  <c r="J102" i="16"/>
  <c r="I192" i="15"/>
  <c r="J102" i="15"/>
  <c r="L103" i="15"/>
  <c r="K199" i="15"/>
  <c r="I235" i="15"/>
  <c r="I200" i="15"/>
  <c r="J194" i="15"/>
  <c r="I93" i="15"/>
  <c r="B103" i="28" l="1"/>
  <c r="AD235" i="28"/>
  <c r="AF199" i="28"/>
  <c r="AE194" i="28"/>
  <c r="AD200" i="28"/>
  <c r="AD93" i="28"/>
  <c r="AE192" i="28"/>
  <c r="AF102" i="28"/>
  <c r="AC235" i="27"/>
  <c r="AE199" i="27"/>
  <c r="AD93" i="27"/>
  <c r="AD200" i="27"/>
  <c r="AF192" i="27"/>
  <c r="B102" i="27"/>
  <c r="B192" i="27" s="1"/>
  <c r="B194" i="27"/>
  <c r="AF103" i="26"/>
  <c r="AD200" i="26"/>
  <c r="AE194" i="26"/>
  <c r="AD192" i="26"/>
  <c r="AE102" i="26"/>
  <c r="AE235" i="26"/>
  <c r="B199" i="26"/>
  <c r="AF235" i="26" s="1"/>
  <c r="B103" i="25"/>
  <c r="AF93" i="25"/>
  <c r="AD235" i="25"/>
  <c r="AF199" i="25"/>
  <c r="AE93" i="25"/>
  <c r="AF200" i="25"/>
  <c r="B194" i="25"/>
  <c r="AD192" i="25"/>
  <c r="AE102" i="25"/>
  <c r="AE200" i="25"/>
  <c r="B194" i="24"/>
  <c r="AC235" i="24"/>
  <c r="AE199" i="24"/>
  <c r="AD200" i="24"/>
  <c r="AE93" i="24"/>
  <c r="AF103" i="24"/>
  <c r="AD192" i="24"/>
  <c r="AE102" i="24"/>
  <c r="AD93" i="24"/>
  <c r="AF199" i="23"/>
  <c r="AD235" i="23"/>
  <c r="AE200" i="23"/>
  <c r="AF194" i="23"/>
  <c r="AE93" i="23"/>
  <c r="AF192" i="23"/>
  <c r="B102" i="23"/>
  <c r="B192" i="23" s="1"/>
  <c r="AF103" i="22"/>
  <c r="AC235" i="22"/>
  <c r="AE199" i="22"/>
  <c r="AD200" i="22"/>
  <c r="AD192" i="22"/>
  <c r="AE102" i="22"/>
  <c r="AD194" i="21"/>
  <c r="AA199" i="21"/>
  <c r="Y235" i="21"/>
  <c r="Z93" i="21"/>
  <c r="Z200" i="21"/>
  <c r="AA192" i="21"/>
  <c r="AB102" i="21"/>
  <c r="AD103" i="21"/>
  <c r="Z235" i="20"/>
  <c r="AB199" i="20"/>
  <c r="AA103" i="20"/>
  <c r="Z93" i="20"/>
  <c r="AA200" i="20"/>
  <c r="AB194" i="20"/>
  <c r="AA192" i="20"/>
  <c r="AB102" i="20"/>
  <c r="Z192" i="20"/>
  <c r="AC194" i="19"/>
  <c r="AB192" i="19"/>
  <c r="AC102" i="19"/>
  <c r="Y235" i="19"/>
  <c r="AA199" i="19"/>
  <c r="Z200" i="19"/>
  <c r="Z93" i="19"/>
  <c r="AE103" i="19"/>
  <c r="AC103" i="18"/>
  <c r="Z192" i="18"/>
  <c r="AA102" i="18"/>
  <c r="AA200" i="18"/>
  <c r="AB194" i="18"/>
  <c r="AA235" i="18"/>
  <c r="AC199" i="18"/>
  <c r="Y235" i="17"/>
  <c r="AA199" i="17"/>
  <c r="Z200" i="17"/>
  <c r="AA103" i="17"/>
  <c r="Z93" i="17"/>
  <c r="AE194" i="17"/>
  <c r="Z192" i="17"/>
  <c r="AA102" i="17"/>
  <c r="J192" i="16"/>
  <c r="K102" i="16"/>
  <c r="I235" i="16"/>
  <c r="K199" i="16"/>
  <c r="K103" i="16"/>
  <c r="J93" i="16"/>
  <c r="K200" i="16"/>
  <c r="L194" i="16"/>
  <c r="J200" i="16"/>
  <c r="L199" i="15"/>
  <c r="J235" i="15"/>
  <c r="M103" i="15"/>
  <c r="J192" i="15"/>
  <c r="K102" i="15"/>
  <c r="J200" i="15"/>
  <c r="K194" i="15"/>
  <c r="J93" i="15"/>
  <c r="AF194" i="28" l="1"/>
  <c r="AE200" i="28"/>
  <c r="AE93" i="28"/>
  <c r="AE235" i="28"/>
  <c r="B199" i="28"/>
  <c r="AF235" i="28" s="1"/>
  <c r="AF192" i="28"/>
  <c r="B102" i="28"/>
  <c r="B192" i="28" s="1"/>
  <c r="AD235" i="27"/>
  <c r="AF199" i="27"/>
  <c r="AE200" i="27"/>
  <c r="AE93" i="27"/>
  <c r="AE192" i="26"/>
  <c r="AF102" i="26"/>
  <c r="AF194" i="26"/>
  <c r="AE200" i="26"/>
  <c r="AE93" i="26"/>
  <c r="AF93" i="26"/>
  <c r="B103" i="26"/>
  <c r="B199" i="25"/>
  <c r="AF235" i="25" s="1"/>
  <c r="AE235" i="25"/>
  <c r="AI93" i="25"/>
  <c r="AH93" i="25"/>
  <c r="AE192" i="25"/>
  <c r="AF102" i="25"/>
  <c r="B93" i="25"/>
  <c r="AD235" i="24"/>
  <c r="AF199" i="24"/>
  <c r="AF93" i="24" s="1"/>
  <c r="AE200" i="24"/>
  <c r="AE192" i="24"/>
  <c r="AF102" i="24"/>
  <c r="AF200" i="23"/>
  <c r="B194" i="23"/>
  <c r="AF93" i="23"/>
  <c r="AE235" i="23"/>
  <c r="B199" i="23"/>
  <c r="AF235" i="23" s="1"/>
  <c r="AD235" i="22"/>
  <c r="AF199" i="22"/>
  <c r="AE200" i="22"/>
  <c r="AE192" i="22"/>
  <c r="AF102" i="22"/>
  <c r="AE93" i="22"/>
  <c r="B103" i="22"/>
  <c r="AF93" i="22"/>
  <c r="AB192" i="21"/>
  <c r="AC102" i="21"/>
  <c r="Z235" i="21"/>
  <c r="AB199" i="21"/>
  <c r="AA93" i="21"/>
  <c r="AA200" i="21"/>
  <c r="AE103" i="21"/>
  <c r="AE194" i="21"/>
  <c r="AB200" i="20"/>
  <c r="AC194" i="20"/>
  <c r="AA93" i="20"/>
  <c r="AB103" i="20"/>
  <c r="AA235" i="20"/>
  <c r="AC199" i="20"/>
  <c r="AB192" i="20"/>
  <c r="AC102" i="20"/>
  <c r="Z235" i="19"/>
  <c r="AB199" i="19"/>
  <c r="AA200" i="19"/>
  <c r="AA93" i="19"/>
  <c r="AC192" i="19"/>
  <c r="AD102" i="19"/>
  <c r="AF103" i="19"/>
  <c r="AD194" i="19"/>
  <c r="AA192" i="18"/>
  <c r="AB102" i="18"/>
  <c r="AB235" i="18"/>
  <c r="AD199" i="18"/>
  <c r="AC194" i="18"/>
  <c r="AB200" i="18"/>
  <c r="AD103" i="18"/>
  <c r="AC93" i="18"/>
  <c r="AB93" i="18"/>
  <c r="AF194" i="17"/>
  <c r="Z235" i="17"/>
  <c r="AB199" i="17"/>
  <c r="AA200" i="17"/>
  <c r="AA93" i="17"/>
  <c r="AB103" i="17"/>
  <c r="AA192" i="17"/>
  <c r="AB102" i="17"/>
  <c r="M194" i="16"/>
  <c r="J235" i="16"/>
  <c r="L199" i="16"/>
  <c r="L103" i="16"/>
  <c r="K192" i="16"/>
  <c r="L102" i="16"/>
  <c r="K200" i="15"/>
  <c r="L194" i="15"/>
  <c r="K93" i="15"/>
  <c r="K192" i="15"/>
  <c r="L102" i="15"/>
  <c r="N103" i="15"/>
  <c r="M199" i="15"/>
  <c r="K235" i="15"/>
  <c r="AF200" i="28" l="1"/>
  <c r="B194" i="28"/>
  <c r="AF93" i="28"/>
  <c r="B199" i="27"/>
  <c r="AE235" i="27"/>
  <c r="AF93" i="27"/>
  <c r="AF200" i="27"/>
  <c r="AI93" i="26"/>
  <c r="AH93" i="26"/>
  <c r="B194" i="26"/>
  <c r="B200" i="26" s="1"/>
  <c r="AF200" i="26"/>
  <c r="B93" i="26"/>
  <c r="AF192" i="26"/>
  <c r="B102" i="26"/>
  <c r="B192" i="26" s="1"/>
  <c r="AF192" i="25"/>
  <c r="B102" i="25"/>
  <c r="B192" i="25" s="1"/>
  <c r="B200" i="25"/>
  <c r="AF192" i="24"/>
  <c r="B192" i="24"/>
  <c r="AE235" i="24"/>
  <c r="B199" i="24"/>
  <c r="AF200" i="24"/>
  <c r="AH93" i="24"/>
  <c r="AI93" i="24"/>
  <c r="AI93" i="23"/>
  <c r="AH93" i="23"/>
  <c r="B200" i="23"/>
  <c r="B93" i="23"/>
  <c r="AH93" i="22"/>
  <c r="AI93" i="22"/>
  <c r="AF192" i="22"/>
  <c r="B102" i="22"/>
  <c r="B192" i="22" s="1"/>
  <c r="AE235" i="22"/>
  <c r="B199" i="22"/>
  <c r="AF200" i="22"/>
  <c r="AA235" i="21"/>
  <c r="AC199" i="21"/>
  <c r="AB93" i="21"/>
  <c r="AB200" i="21"/>
  <c r="AC192" i="21"/>
  <c r="AD102" i="21"/>
  <c r="AF103" i="21"/>
  <c r="AF194" i="21"/>
  <c r="AD102" i="20"/>
  <c r="AB235" i="20"/>
  <c r="AD199" i="20"/>
  <c r="AB93" i="20"/>
  <c r="AC103" i="20"/>
  <c r="AC200" i="20"/>
  <c r="AD194" i="20"/>
  <c r="B103" i="19"/>
  <c r="AA235" i="19"/>
  <c r="AC199" i="19"/>
  <c r="AB200" i="19"/>
  <c r="AB93" i="19"/>
  <c r="AD192" i="19"/>
  <c r="AE102" i="19"/>
  <c r="AE194" i="19"/>
  <c r="AE103" i="18"/>
  <c r="AD93" i="18"/>
  <c r="AD194" i="18"/>
  <c r="AC200" i="18"/>
  <c r="AC235" i="18"/>
  <c r="AE199" i="18"/>
  <c r="AB192" i="18"/>
  <c r="AC102" i="18"/>
  <c r="AB93" i="17"/>
  <c r="AC103" i="17"/>
  <c r="AC199" i="17"/>
  <c r="AA235" i="17"/>
  <c r="AB200" i="17"/>
  <c r="AB192" i="17"/>
  <c r="AC102" i="17"/>
  <c r="B194" i="17"/>
  <c r="L192" i="16"/>
  <c r="M102" i="16"/>
  <c r="M103" i="16"/>
  <c r="K235" i="16"/>
  <c r="M199" i="16"/>
  <c r="M200" i="16" s="1"/>
  <c r="N194" i="16"/>
  <c r="L200" i="16"/>
  <c r="N199" i="15"/>
  <c r="L235" i="15"/>
  <c r="O103" i="15"/>
  <c r="L192" i="15"/>
  <c r="M102" i="15"/>
  <c r="L200" i="15"/>
  <c r="M194" i="15"/>
  <c r="L93" i="15"/>
  <c r="AI93" i="28" l="1"/>
  <c r="AH93" i="28"/>
  <c r="B200" i="28"/>
  <c r="B93" i="28"/>
  <c r="AI93" i="27"/>
  <c r="AH93" i="27"/>
  <c r="AF235" i="27"/>
  <c r="B200" i="27"/>
  <c r="AF235" i="24"/>
  <c r="B200" i="24"/>
  <c r="AF235" i="22"/>
  <c r="B200" i="22"/>
  <c r="AD192" i="21"/>
  <c r="AE102" i="21"/>
  <c r="B103" i="21"/>
  <c r="AB235" i="21"/>
  <c r="AD199" i="21"/>
  <c r="AC200" i="21"/>
  <c r="AC93" i="21"/>
  <c r="B194" i="21"/>
  <c r="AE194" i="20"/>
  <c r="AD200" i="20"/>
  <c r="AC235" i="20"/>
  <c r="AE199" i="20"/>
  <c r="AE102" i="20"/>
  <c r="AC93" i="20"/>
  <c r="AD103" i="20"/>
  <c r="AD192" i="20" s="1"/>
  <c r="AC192" i="20"/>
  <c r="AE192" i="19"/>
  <c r="AF102" i="19"/>
  <c r="AB235" i="19"/>
  <c r="AD199" i="19"/>
  <c r="AC200" i="19"/>
  <c r="AC93" i="19"/>
  <c r="AF194" i="19"/>
  <c r="AC192" i="18"/>
  <c r="AD102" i="18"/>
  <c r="AF199" i="18"/>
  <c r="AD235" i="18"/>
  <c r="AD200" i="18"/>
  <c r="AE194" i="18"/>
  <c r="AF103" i="18"/>
  <c r="AE93" i="18"/>
  <c r="AB235" i="17"/>
  <c r="AD199" i="17"/>
  <c r="AC200" i="17"/>
  <c r="AC93" i="17"/>
  <c r="AD103" i="17"/>
  <c r="AC192" i="17"/>
  <c r="AD102" i="17"/>
  <c r="O194" i="16"/>
  <c r="N199" i="16"/>
  <c r="L235" i="16"/>
  <c r="M93" i="16"/>
  <c r="N103" i="16"/>
  <c r="M192" i="16"/>
  <c r="N102" i="16"/>
  <c r="N194" i="15"/>
  <c r="M200" i="15"/>
  <c r="M93" i="15"/>
  <c r="M192" i="15"/>
  <c r="N102" i="15"/>
  <c r="P103" i="15"/>
  <c r="M235" i="15"/>
  <c r="O199" i="15"/>
  <c r="AC235" i="21" l="1"/>
  <c r="AE199" i="21"/>
  <c r="AD200" i="21"/>
  <c r="AD93" i="21"/>
  <c r="AE192" i="21"/>
  <c r="AF102" i="21"/>
  <c r="AF102" i="20"/>
  <c r="AD235" i="20"/>
  <c r="AF199" i="20"/>
  <c r="AD93" i="20"/>
  <c r="AE103" i="20"/>
  <c r="AF194" i="20"/>
  <c r="AE200" i="20"/>
  <c r="B194" i="19"/>
  <c r="AF192" i="19"/>
  <c r="B102" i="19"/>
  <c r="B192" i="19" s="1"/>
  <c r="AC235" i="19"/>
  <c r="AE199" i="19"/>
  <c r="AD200" i="19"/>
  <c r="AD93" i="19"/>
  <c r="B103" i="18"/>
  <c r="AF194" i="18"/>
  <c r="AE200" i="18"/>
  <c r="AD192" i="18"/>
  <c r="AE102" i="18"/>
  <c r="AE235" i="18"/>
  <c r="B199" i="18"/>
  <c r="AF235" i="18" s="1"/>
  <c r="AD192" i="17"/>
  <c r="AE102" i="17"/>
  <c r="AD93" i="17"/>
  <c r="AE103" i="17"/>
  <c r="AC235" i="17"/>
  <c r="AE199" i="17"/>
  <c r="AD200" i="17"/>
  <c r="N192" i="16"/>
  <c r="O102" i="16"/>
  <c r="O103" i="16"/>
  <c r="N93" i="16"/>
  <c r="M235" i="16"/>
  <c r="O199" i="16"/>
  <c r="N200" i="16"/>
  <c r="P194" i="16"/>
  <c r="Q103" i="15"/>
  <c r="N192" i="15"/>
  <c r="O102" i="15"/>
  <c r="N235" i="15"/>
  <c r="P199" i="15"/>
  <c r="O194" i="15"/>
  <c r="N200" i="15"/>
  <c r="N93" i="15"/>
  <c r="AF192" i="21" l="1"/>
  <c r="B102" i="21"/>
  <c r="B192" i="21" s="1"/>
  <c r="AD235" i="21"/>
  <c r="AF199" i="21"/>
  <c r="AE200" i="21"/>
  <c r="AE93" i="21"/>
  <c r="AF200" i="20"/>
  <c r="B194" i="20"/>
  <c r="AE93" i="20"/>
  <c r="AF103" i="20"/>
  <c r="AE235" i="20"/>
  <c r="B199" i="20"/>
  <c r="AF235" i="20" s="1"/>
  <c r="AF192" i="20"/>
  <c r="B102" i="20"/>
  <c r="AE192" i="20"/>
  <c r="AD235" i="19"/>
  <c r="AF199" i="19"/>
  <c r="AE200" i="19"/>
  <c r="AE93" i="19"/>
  <c r="AE192" i="18"/>
  <c r="AF102" i="18"/>
  <c r="AF200" i="18"/>
  <c r="B194" i="18"/>
  <c r="B200" i="18" s="1"/>
  <c r="B93" i="18"/>
  <c r="AF93" i="18"/>
  <c r="AD235" i="17"/>
  <c r="AF199" i="17"/>
  <c r="AE200" i="17"/>
  <c r="AE93" i="17"/>
  <c r="AF103" i="17"/>
  <c r="AE192" i="17"/>
  <c r="AF102" i="17"/>
  <c r="Q194" i="16"/>
  <c r="N235" i="16"/>
  <c r="P199" i="16"/>
  <c r="O93" i="16"/>
  <c r="P103" i="16"/>
  <c r="O192" i="16"/>
  <c r="P102" i="16"/>
  <c r="O200" i="16"/>
  <c r="P194" i="15"/>
  <c r="O200" i="15"/>
  <c r="O93" i="15"/>
  <c r="O235" i="15"/>
  <c r="Q199" i="15"/>
  <c r="O192" i="15"/>
  <c r="P102" i="15"/>
  <c r="R103" i="15"/>
  <c r="B199" i="21" l="1"/>
  <c r="AE235" i="21"/>
  <c r="AF200" i="21"/>
  <c r="AF93" i="21"/>
  <c r="B103" i="20"/>
  <c r="B93" i="20" s="1"/>
  <c r="AF93" i="20"/>
  <c r="B200" i="20"/>
  <c r="AE235" i="19"/>
  <c r="B199" i="19"/>
  <c r="AF200" i="19"/>
  <c r="AF93" i="19"/>
  <c r="AF192" i="18"/>
  <c r="B102" i="18"/>
  <c r="B192" i="18" s="1"/>
  <c r="AI93" i="18"/>
  <c r="AH93" i="18"/>
  <c r="AF192" i="17"/>
  <c r="B102" i="17"/>
  <c r="B103" i="17"/>
  <c r="AF93" i="17"/>
  <c r="AE235" i="17"/>
  <c r="B199" i="17"/>
  <c r="AF200" i="17"/>
  <c r="Q103" i="16"/>
  <c r="P93" i="16"/>
  <c r="O235" i="16"/>
  <c r="Q199" i="16"/>
  <c r="P192" i="16"/>
  <c r="Q102" i="16"/>
  <c r="Q200" i="16"/>
  <c r="R194" i="16"/>
  <c r="P200" i="16"/>
  <c r="P192" i="15"/>
  <c r="Q102" i="15"/>
  <c r="P235" i="15"/>
  <c r="R199" i="15"/>
  <c r="S103" i="15"/>
  <c r="P200" i="15"/>
  <c r="Q194" i="15"/>
  <c r="P93" i="15"/>
  <c r="AF239" i="14"/>
  <c r="AE239" i="14"/>
  <c r="AD239" i="14"/>
  <c r="AC239" i="14"/>
  <c r="AB239" i="14"/>
  <c r="AA239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A239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B235" i="14"/>
  <c r="S210" i="14"/>
  <c r="AG200" i="14"/>
  <c r="C200" i="14"/>
  <c r="D199" i="14"/>
  <c r="C235" i="14" s="1"/>
  <c r="D198" i="14"/>
  <c r="E198" i="14" s="1"/>
  <c r="F198" i="14" s="1"/>
  <c r="G198" i="14" s="1"/>
  <c r="H198" i="14" s="1"/>
  <c r="I198" i="14" s="1"/>
  <c r="J198" i="14" s="1"/>
  <c r="K198" i="14" s="1"/>
  <c r="L198" i="14" s="1"/>
  <c r="M198" i="14" s="1"/>
  <c r="N198" i="14" s="1"/>
  <c r="O198" i="14" s="1"/>
  <c r="P198" i="14" s="1"/>
  <c r="Q198" i="14" s="1"/>
  <c r="R198" i="14" s="1"/>
  <c r="S198" i="14" s="1"/>
  <c r="T198" i="14" s="1"/>
  <c r="U198" i="14" s="1"/>
  <c r="V198" i="14" s="1"/>
  <c r="W198" i="14" s="1"/>
  <c r="X198" i="14" s="1"/>
  <c r="Y198" i="14" s="1"/>
  <c r="Z198" i="14" s="1"/>
  <c r="AA198" i="14" s="1"/>
  <c r="AB198" i="14" s="1"/>
  <c r="AC198" i="14" s="1"/>
  <c r="AD198" i="14" s="1"/>
  <c r="AE198" i="14" s="1"/>
  <c r="AF198" i="14" s="1"/>
  <c r="B198" i="14" s="1"/>
  <c r="D197" i="14"/>
  <c r="E197" i="14" s="1"/>
  <c r="F197" i="14" s="1"/>
  <c r="G197" i="14" s="1"/>
  <c r="H197" i="14" s="1"/>
  <c r="I197" i="14" s="1"/>
  <c r="J197" i="14" s="1"/>
  <c r="K197" i="14" s="1"/>
  <c r="L197" i="14" s="1"/>
  <c r="M197" i="14" s="1"/>
  <c r="N197" i="14" s="1"/>
  <c r="O197" i="14" s="1"/>
  <c r="P197" i="14" s="1"/>
  <c r="Q197" i="14" s="1"/>
  <c r="R197" i="14" s="1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B197" i="14" s="1"/>
  <c r="E196" i="14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Q196" i="14" s="1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B196" i="14" s="1"/>
  <c r="D196" i="14"/>
  <c r="D195" i="14"/>
  <c r="D194" i="14"/>
  <c r="E194" i="14" s="1"/>
  <c r="AG192" i="14"/>
  <c r="C192" i="14"/>
  <c r="G191" i="14"/>
  <c r="H191" i="14" s="1"/>
  <c r="I191" i="14" s="1"/>
  <c r="J191" i="14" s="1"/>
  <c r="K191" i="14" s="1"/>
  <c r="L191" i="14" s="1"/>
  <c r="M191" i="14" s="1"/>
  <c r="N191" i="14" s="1"/>
  <c r="O191" i="14" s="1"/>
  <c r="P191" i="14" s="1"/>
  <c r="Q191" i="14" s="1"/>
  <c r="R191" i="14" s="1"/>
  <c r="S191" i="14" s="1"/>
  <c r="T191" i="14" s="1"/>
  <c r="U191" i="14" s="1"/>
  <c r="V191" i="14" s="1"/>
  <c r="W191" i="14" s="1"/>
  <c r="X191" i="14" s="1"/>
  <c r="Y191" i="14" s="1"/>
  <c r="Z191" i="14" s="1"/>
  <c r="AA191" i="14" s="1"/>
  <c r="AB191" i="14" s="1"/>
  <c r="AC191" i="14" s="1"/>
  <c r="AD191" i="14" s="1"/>
  <c r="AE191" i="14" s="1"/>
  <c r="AF191" i="14" s="1"/>
  <c r="B191" i="14" s="1"/>
  <c r="D191" i="14"/>
  <c r="E191" i="14" s="1"/>
  <c r="F191" i="14" s="1"/>
  <c r="D190" i="14"/>
  <c r="E190" i="14" s="1"/>
  <c r="F190" i="14" s="1"/>
  <c r="G190" i="14" s="1"/>
  <c r="H190" i="14" s="1"/>
  <c r="I190" i="14" s="1"/>
  <c r="J190" i="14" s="1"/>
  <c r="K190" i="14" s="1"/>
  <c r="L190" i="14" s="1"/>
  <c r="M190" i="14" s="1"/>
  <c r="N190" i="14" s="1"/>
  <c r="O190" i="14" s="1"/>
  <c r="P190" i="14" s="1"/>
  <c r="Q190" i="14" s="1"/>
  <c r="R190" i="14" s="1"/>
  <c r="S190" i="14" s="1"/>
  <c r="T190" i="14" s="1"/>
  <c r="U190" i="14" s="1"/>
  <c r="V190" i="14" s="1"/>
  <c r="W190" i="14" s="1"/>
  <c r="X190" i="14" s="1"/>
  <c r="Y190" i="14" s="1"/>
  <c r="Z190" i="14" s="1"/>
  <c r="AA190" i="14" s="1"/>
  <c r="AB190" i="14" s="1"/>
  <c r="AC190" i="14" s="1"/>
  <c r="AD190" i="14" s="1"/>
  <c r="AE190" i="14" s="1"/>
  <c r="AF190" i="14" s="1"/>
  <c r="B190" i="14" s="1"/>
  <c r="D189" i="14"/>
  <c r="E189" i="14" s="1"/>
  <c r="F189" i="14" s="1"/>
  <c r="G189" i="14" s="1"/>
  <c r="H189" i="14" s="1"/>
  <c r="I189" i="14" s="1"/>
  <c r="J189" i="14" s="1"/>
  <c r="K189" i="14" s="1"/>
  <c r="L189" i="14" s="1"/>
  <c r="M189" i="14" s="1"/>
  <c r="N189" i="14" s="1"/>
  <c r="O189" i="14" s="1"/>
  <c r="P189" i="14" s="1"/>
  <c r="Q189" i="14" s="1"/>
  <c r="R189" i="14" s="1"/>
  <c r="S189" i="14" s="1"/>
  <c r="T189" i="14" s="1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B189" i="14" s="1"/>
  <c r="F188" i="14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Y188" i="14" s="1"/>
  <c r="Z188" i="14" s="1"/>
  <c r="AA188" i="14" s="1"/>
  <c r="AB188" i="14" s="1"/>
  <c r="AC188" i="14" s="1"/>
  <c r="AD188" i="14" s="1"/>
  <c r="AE188" i="14" s="1"/>
  <c r="AF188" i="14" s="1"/>
  <c r="B188" i="14" s="1"/>
  <c r="E188" i="14"/>
  <c r="D188" i="14"/>
  <c r="F187" i="14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B187" i="14" s="1"/>
  <c r="D187" i="14"/>
  <c r="E187" i="14" s="1"/>
  <c r="D186" i="14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B186" i="14" s="1"/>
  <c r="E185" i="14"/>
  <c r="F185" i="14" s="1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B185" i="14" s="1"/>
  <c r="D185" i="14"/>
  <c r="M184" i="14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B184" i="14" s="1"/>
  <c r="D184" i="14"/>
  <c r="E184" i="14" s="1"/>
  <c r="F184" i="14" s="1"/>
  <c r="G184" i="14" s="1"/>
  <c r="H184" i="14" s="1"/>
  <c r="I184" i="14" s="1"/>
  <c r="J184" i="14" s="1"/>
  <c r="K184" i="14" s="1"/>
  <c r="L184" i="14" s="1"/>
  <c r="F183" i="14"/>
  <c r="G183" i="14" s="1"/>
  <c r="H183" i="14" s="1"/>
  <c r="I183" i="14" s="1"/>
  <c r="J183" i="14" s="1"/>
  <c r="K183" i="14" s="1"/>
  <c r="L183" i="14" s="1"/>
  <c r="M183" i="14" s="1"/>
  <c r="N183" i="14" s="1"/>
  <c r="O183" i="14" s="1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B183" i="14" s="1"/>
  <c r="D183" i="14"/>
  <c r="E183" i="14" s="1"/>
  <c r="D182" i="14"/>
  <c r="E182" i="14" s="1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B182" i="14" s="1"/>
  <c r="F181" i="14"/>
  <c r="G181" i="14" s="1"/>
  <c r="H181" i="14" s="1"/>
  <c r="I181" i="14" s="1"/>
  <c r="J181" i="14" s="1"/>
  <c r="K181" i="14" s="1"/>
  <c r="L181" i="14" s="1"/>
  <c r="M181" i="14" s="1"/>
  <c r="N181" i="14" s="1"/>
  <c r="O181" i="14" s="1"/>
  <c r="P181" i="14" s="1"/>
  <c r="Q181" i="14" s="1"/>
  <c r="R181" i="14" s="1"/>
  <c r="S181" i="14" s="1"/>
  <c r="T181" i="14" s="1"/>
  <c r="U181" i="14" s="1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B181" i="14" s="1"/>
  <c r="D181" i="14"/>
  <c r="E181" i="14" s="1"/>
  <c r="D180" i="14"/>
  <c r="E180" i="14" s="1"/>
  <c r="F180" i="14" s="1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B180" i="14" s="1"/>
  <c r="E179" i="14"/>
  <c r="F179" i="14" s="1"/>
  <c r="G179" i="14" s="1"/>
  <c r="H179" i="14" s="1"/>
  <c r="I179" i="14" s="1"/>
  <c r="J179" i="14" s="1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B179" i="14" s="1"/>
  <c r="D179" i="14"/>
  <c r="D177" i="14"/>
  <c r="E177" i="14" s="1"/>
  <c r="F177" i="14" s="1"/>
  <c r="G177" i="14" s="1"/>
  <c r="H177" i="14" s="1"/>
  <c r="I177" i="14" s="1"/>
  <c r="J177" i="14" s="1"/>
  <c r="K177" i="14" s="1"/>
  <c r="L177" i="14" s="1"/>
  <c r="M177" i="14" s="1"/>
  <c r="N177" i="14" s="1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AA177" i="14" s="1"/>
  <c r="AB177" i="14" s="1"/>
  <c r="AC177" i="14" s="1"/>
  <c r="AD177" i="14" s="1"/>
  <c r="AE177" i="14" s="1"/>
  <c r="AF177" i="14" s="1"/>
  <c r="B177" i="14" s="1"/>
  <c r="D176" i="14"/>
  <c r="E176" i="14" s="1"/>
  <c r="F176" i="14" s="1"/>
  <c r="G176" i="14" s="1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B176" i="14" s="1"/>
  <c r="H175" i="14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B175" i="14" s="1"/>
  <c r="D175" i="14"/>
  <c r="E175" i="14" s="1"/>
  <c r="F175" i="14" s="1"/>
  <c r="G175" i="14" s="1"/>
  <c r="H174" i="14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B174" i="14" s="1"/>
  <c r="D174" i="14"/>
  <c r="E174" i="14" s="1"/>
  <c r="F174" i="14" s="1"/>
  <c r="G174" i="14" s="1"/>
  <c r="D173" i="14"/>
  <c r="E173" i="14" s="1"/>
  <c r="F173" i="14" s="1"/>
  <c r="G173" i="14" s="1"/>
  <c r="H173" i="14" s="1"/>
  <c r="I173" i="14" s="1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B173" i="14" s="1"/>
  <c r="D172" i="14"/>
  <c r="E172" i="14" s="1"/>
  <c r="F172" i="14" s="1"/>
  <c r="G172" i="14" s="1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B172" i="14" s="1"/>
  <c r="D171" i="14"/>
  <c r="E171" i="14" s="1"/>
  <c r="F171" i="14" s="1"/>
  <c r="G171" i="14" s="1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B171" i="14" s="1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B170" i="14" s="1"/>
  <c r="D168" i="14"/>
  <c r="E168" i="14" s="1"/>
  <c r="F168" i="14" s="1"/>
  <c r="G168" i="14" s="1"/>
  <c r="H168" i="14" s="1"/>
  <c r="I168" i="14" s="1"/>
  <c r="J168" i="14" s="1"/>
  <c r="K168" i="14" s="1"/>
  <c r="L168" i="14" s="1"/>
  <c r="M168" i="14" s="1"/>
  <c r="N168" i="14" s="1"/>
  <c r="O168" i="14" s="1"/>
  <c r="P168" i="14" s="1"/>
  <c r="Q168" i="14" s="1"/>
  <c r="R168" i="14" s="1"/>
  <c r="S168" i="14" s="1"/>
  <c r="T168" i="14" s="1"/>
  <c r="U168" i="14" s="1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B168" i="14" s="1"/>
  <c r="D167" i="14"/>
  <c r="E167" i="14" s="1"/>
  <c r="F167" i="14" s="1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B167" i="14" s="1"/>
  <c r="D166" i="14"/>
  <c r="E166" i="14" s="1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B166" i="14" s="1"/>
  <c r="G165" i="14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B165" i="14" s="1"/>
  <c r="E165" i="14"/>
  <c r="F165" i="14" s="1"/>
  <c r="D165" i="14"/>
  <c r="I164" i="14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B164" i="14" s="1"/>
  <c r="E164" i="14"/>
  <c r="F164" i="14" s="1"/>
  <c r="G164" i="14" s="1"/>
  <c r="H164" i="14" s="1"/>
  <c r="D164" i="14"/>
  <c r="D163" i="14"/>
  <c r="E163" i="14" s="1"/>
  <c r="F163" i="14" s="1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B163" i="14" s="1"/>
  <c r="F162" i="14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B162" i="14" s="1"/>
  <c r="E162" i="14"/>
  <c r="D162" i="14"/>
  <c r="E161" i="14"/>
  <c r="F161" i="14" s="1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B161" i="14" s="1"/>
  <c r="D161" i="14"/>
  <c r="F160" i="14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T160" i="14" s="1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B160" i="14" s="1"/>
  <c r="E160" i="14"/>
  <c r="D160" i="14"/>
  <c r="O159" i="14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B159" i="14" s="1"/>
  <c r="D159" i="14"/>
  <c r="E159" i="14" s="1"/>
  <c r="F159" i="14" s="1"/>
  <c r="G159" i="14" s="1"/>
  <c r="H159" i="14" s="1"/>
  <c r="I159" i="14" s="1"/>
  <c r="J159" i="14" s="1"/>
  <c r="K159" i="14" s="1"/>
  <c r="L159" i="14" s="1"/>
  <c r="M159" i="14" s="1"/>
  <c r="N159" i="14" s="1"/>
  <c r="D158" i="14"/>
  <c r="E158" i="14" s="1"/>
  <c r="F158" i="14" s="1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B158" i="14" s="1"/>
  <c r="F157" i="14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B157" i="14" s="1"/>
  <c r="D157" i="14"/>
  <c r="E157" i="14" s="1"/>
  <c r="D156" i="14"/>
  <c r="E156" i="14" s="1"/>
  <c r="F156" i="14" s="1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B156" i="14" s="1"/>
  <c r="J154" i="14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B154" i="14" s="1"/>
  <c r="F154" i="14"/>
  <c r="G154" i="14" s="1"/>
  <c r="H154" i="14" s="1"/>
  <c r="I154" i="14" s="1"/>
  <c r="D154" i="14"/>
  <c r="E154" i="14" s="1"/>
  <c r="E153" i="14"/>
  <c r="F153" i="14" s="1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B153" i="14" s="1"/>
  <c r="D153" i="14"/>
  <c r="D152" i="14"/>
  <c r="E152" i="14" s="1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B152" i="14" s="1"/>
  <c r="H151" i="14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B151" i="14" s="1"/>
  <c r="D151" i="14"/>
  <c r="E151" i="14" s="1"/>
  <c r="F151" i="14" s="1"/>
  <c r="G151" i="14" s="1"/>
  <c r="G149" i="14"/>
  <c r="H149" i="14" s="1"/>
  <c r="I149" i="14" s="1"/>
  <c r="J149" i="14" s="1"/>
  <c r="K149" i="14" s="1"/>
  <c r="L149" i="14" s="1"/>
  <c r="M149" i="14" s="1"/>
  <c r="N149" i="14" s="1"/>
  <c r="O149" i="14" s="1"/>
  <c r="P149" i="14" s="1"/>
  <c r="Q149" i="14" s="1"/>
  <c r="R149" i="14" s="1"/>
  <c r="S149" i="14" s="1"/>
  <c r="T149" i="14" s="1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B149" i="14" s="1"/>
  <c r="F149" i="14"/>
  <c r="D149" i="14"/>
  <c r="E149" i="14" s="1"/>
  <c r="D148" i="14"/>
  <c r="E148" i="14" s="1"/>
  <c r="F148" i="14" s="1"/>
  <c r="G148" i="14" s="1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B148" i="14" s="1"/>
  <c r="D146" i="14"/>
  <c r="E146" i="14" s="1"/>
  <c r="F146" i="14" s="1"/>
  <c r="G146" i="14" s="1"/>
  <c r="H146" i="14" s="1"/>
  <c r="I146" i="14" s="1"/>
  <c r="J146" i="14" s="1"/>
  <c r="K146" i="14" s="1"/>
  <c r="L146" i="14" s="1"/>
  <c r="M146" i="14" s="1"/>
  <c r="N146" i="14" s="1"/>
  <c r="O146" i="14" s="1"/>
  <c r="P146" i="14" s="1"/>
  <c r="Q146" i="14" s="1"/>
  <c r="R146" i="14" s="1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B146" i="14" s="1"/>
  <c r="D145" i="14"/>
  <c r="E145" i="14" s="1"/>
  <c r="F145" i="14" s="1"/>
  <c r="G145" i="14" s="1"/>
  <c r="H145" i="14" s="1"/>
  <c r="I145" i="14" s="1"/>
  <c r="J145" i="14" s="1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B145" i="14" s="1"/>
  <c r="E144" i="14"/>
  <c r="F144" i="14" s="1"/>
  <c r="G144" i="14" s="1"/>
  <c r="H144" i="14" s="1"/>
  <c r="I144" i="14" s="1"/>
  <c r="J144" i="14" s="1"/>
  <c r="K144" i="14" s="1"/>
  <c r="L144" i="14" s="1"/>
  <c r="M144" i="14" s="1"/>
  <c r="N144" i="14" s="1"/>
  <c r="O144" i="14" s="1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B144" i="14" s="1"/>
  <c r="D144" i="14"/>
  <c r="D143" i="14"/>
  <c r="E143" i="14" s="1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B143" i="14" s="1"/>
  <c r="H142" i="14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B142" i="14" s="1"/>
  <c r="D142" i="14"/>
  <c r="E142" i="14" s="1"/>
  <c r="F142" i="14" s="1"/>
  <c r="G142" i="14" s="1"/>
  <c r="D141" i="14"/>
  <c r="E141" i="14" s="1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B141" i="14" s="1"/>
  <c r="D140" i="14"/>
  <c r="E140" i="14" s="1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B140" i="14" s="1"/>
  <c r="D138" i="14"/>
  <c r="E138" i="14" s="1"/>
  <c r="F138" i="14" s="1"/>
  <c r="G138" i="14" s="1"/>
  <c r="H138" i="14" s="1"/>
  <c r="I138" i="14" s="1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B138" i="14" s="1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B137" i="14" s="1"/>
  <c r="H136" i="14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B136" i="14" s="1"/>
  <c r="D136" i="14"/>
  <c r="E136" i="14" s="1"/>
  <c r="F136" i="14" s="1"/>
  <c r="G136" i="14" s="1"/>
  <c r="D135" i="14"/>
  <c r="E135" i="14" s="1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B135" i="14" s="1"/>
  <c r="H134" i="14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B134" i="14" s="1"/>
  <c r="F134" i="14"/>
  <c r="G134" i="14" s="1"/>
  <c r="D134" i="14"/>
  <c r="E134" i="14" s="1"/>
  <c r="D133" i="14"/>
  <c r="E133" i="14" s="1"/>
  <c r="F133" i="14" s="1"/>
  <c r="G133" i="14" s="1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B133" i="14" s="1"/>
  <c r="D132" i="14"/>
  <c r="E132" i="14" s="1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B132" i="14" s="1"/>
  <c r="D131" i="14"/>
  <c r="E131" i="14" s="1"/>
  <c r="F131" i="14" s="1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B131" i="14" s="1"/>
  <c r="D129" i="14"/>
  <c r="E129" i="14" s="1"/>
  <c r="F129" i="14" s="1"/>
  <c r="G129" i="14" s="1"/>
  <c r="H129" i="14" s="1"/>
  <c r="I129" i="14" s="1"/>
  <c r="J129" i="14" s="1"/>
  <c r="K129" i="14" s="1"/>
  <c r="L129" i="14" s="1"/>
  <c r="M129" i="14" s="1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B129" i="14" s="1"/>
  <c r="D128" i="14"/>
  <c r="E128" i="14" s="1"/>
  <c r="F128" i="14" s="1"/>
  <c r="G128" i="14" s="1"/>
  <c r="H128" i="14" s="1"/>
  <c r="I128" i="14" s="1"/>
  <c r="J128" i="14" s="1"/>
  <c r="K128" i="14" s="1"/>
  <c r="L128" i="14" s="1"/>
  <c r="M128" i="14" s="1"/>
  <c r="N128" i="14" s="1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B128" i="14" s="1"/>
  <c r="D127" i="14"/>
  <c r="E127" i="14" s="1"/>
  <c r="F127" i="14" s="1"/>
  <c r="G127" i="14" s="1"/>
  <c r="H127" i="14" s="1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B127" i="14" s="1"/>
  <c r="D126" i="14"/>
  <c r="E126" i="14" s="1"/>
  <c r="F126" i="14" s="1"/>
  <c r="G126" i="14" s="1"/>
  <c r="H126" i="14" s="1"/>
  <c r="I126" i="14" s="1"/>
  <c r="J126" i="14" s="1"/>
  <c r="K126" i="14" s="1"/>
  <c r="L126" i="14" s="1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B126" i="14" s="1"/>
  <c r="J125" i="14"/>
  <c r="K125" i="14" s="1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B125" i="14" s="1"/>
  <c r="D125" i="14"/>
  <c r="E125" i="14" s="1"/>
  <c r="F125" i="14" s="1"/>
  <c r="G125" i="14" s="1"/>
  <c r="H125" i="14" s="1"/>
  <c r="K124" i="14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B124" i="14" s="1"/>
  <c r="D124" i="14"/>
  <c r="E124" i="14" s="1"/>
  <c r="F124" i="14" s="1"/>
  <c r="G124" i="14" s="1"/>
  <c r="H124" i="14" s="1"/>
  <c r="I124" i="14" s="1"/>
  <c r="J124" i="14" s="1"/>
  <c r="I123" i="14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B123" i="14" s="1"/>
  <c r="E123" i="14"/>
  <c r="F123" i="14" s="1"/>
  <c r="G123" i="14" s="1"/>
  <c r="H123" i="14" s="1"/>
  <c r="D123" i="14"/>
  <c r="D122" i="14"/>
  <c r="E122" i="14" s="1"/>
  <c r="F122" i="14" s="1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B122" i="14" s="1"/>
  <c r="D121" i="14"/>
  <c r="E121" i="14" s="1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B121" i="14" s="1"/>
  <c r="D120" i="14"/>
  <c r="E120" i="14" s="1"/>
  <c r="F120" i="14" s="1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B120" i="14" s="1"/>
  <c r="E119" i="14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B119" i="14" s="1"/>
  <c r="D119" i="14"/>
  <c r="E118" i="14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B118" i="14" s="1"/>
  <c r="D118" i="14"/>
  <c r="E117" i="14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B117" i="14" s="1"/>
  <c r="D117" i="14"/>
  <c r="D116" i="14"/>
  <c r="E116" i="14" s="1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B116" i="14" s="1"/>
  <c r="E115" i="14"/>
  <c r="F115" i="14" s="1"/>
  <c r="G115" i="14" s="1"/>
  <c r="H115" i="14" s="1"/>
  <c r="I115" i="14" s="1"/>
  <c r="J115" i="14" s="1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B115" i="14" s="1"/>
  <c r="D115" i="14"/>
  <c r="K114" i="14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B114" i="14" s="1"/>
  <c r="F114" i="14"/>
  <c r="G114" i="14" s="1"/>
  <c r="H114" i="14" s="1"/>
  <c r="I114" i="14" s="1"/>
  <c r="D114" i="14"/>
  <c r="E114" i="14" s="1"/>
  <c r="D113" i="14"/>
  <c r="E113" i="14" s="1"/>
  <c r="F113" i="14" s="1"/>
  <c r="G113" i="14" s="1"/>
  <c r="H113" i="14" s="1"/>
  <c r="I113" i="14" s="1"/>
  <c r="J113" i="14" s="1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B113" i="14" s="1"/>
  <c r="E112" i="14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B112" i="14" s="1"/>
  <c r="D112" i="14"/>
  <c r="D110" i="14"/>
  <c r="E110" i="14" s="1"/>
  <c r="F110" i="14" s="1"/>
  <c r="G110" i="14" s="1"/>
  <c r="H110" i="14" s="1"/>
  <c r="I110" i="14" s="1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B110" i="14" s="1"/>
  <c r="F109" i="14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B109" i="14" s="1"/>
  <c r="D109" i="14"/>
  <c r="E109" i="14" s="1"/>
  <c r="G107" i="14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B107" i="14" s="1"/>
  <c r="D107" i="14"/>
  <c r="E107" i="14" s="1"/>
  <c r="F107" i="14" s="1"/>
  <c r="E106" i="14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B106" i="14" s="1"/>
  <c r="D106" i="14"/>
  <c r="D105" i="14"/>
  <c r="E105" i="14" s="1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B105" i="14" s="1"/>
  <c r="D104" i="14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B104" i="14" s="1"/>
  <c r="D103" i="14"/>
  <c r="E103" i="14" s="1"/>
  <c r="D102" i="14"/>
  <c r="E102" i="14" s="1"/>
  <c r="AH100" i="14"/>
  <c r="AI100" i="14" s="1"/>
  <c r="AH99" i="14"/>
  <c r="AI99" i="14" s="1"/>
  <c r="AH98" i="14"/>
  <c r="AI98" i="14" s="1"/>
  <c r="AH97" i="14"/>
  <c r="AI97" i="14" s="1"/>
  <c r="AH96" i="14"/>
  <c r="AI96" i="14" s="1"/>
  <c r="AH95" i="14"/>
  <c r="AI95" i="14" s="1"/>
  <c r="AH94" i="14"/>
  <c r="AI94" i="14" s="1"/>
  <c r="C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2" i="14"/>
  <c r="AH82" i="14"/>
  <c r="AG82" i="14"/>
  <c r="AI81" i="14"/>
  <c r="AH81" i="14"/>
  <c r="AI80" i="14"/>
  <c r="AH80" i="14"/>
  <c r="AI79" i="14"/>
  <c r="AH79" i="14"/>
  <c r="AI78" i="14"/>
  <c r="AH78" i="14"/>
  <c r="AI77" i="14"/>
  <c r="AH77" i="14"/>
  <c r="AI76" i="14"/>
  <c r="AH76" i="14"/>
  <c r="AI74" i="14"/>
  <c r="AH74" i="14"/>
  <c r="AI73" i="14"/>
  <c r="AH73" i="14"/>
  <c r="AI72" i="14"/>
  <c r="AH72" i="14"/>
  <c r="AG72" i="14"/>
  <c r="AI71" i="14"/>
  <c r="AH71" i="14"/>
  <c r="AI70" i="14"/>
  <c r="AH70" i="14"/>
  <c r="AI69" i="14"/>
  <c r="AH69" i="14"/>
  <c r="AG68" i="14"/>
  <c r="AF68" i="14"/>
  <c r="AE68" i="14"/>
  <c r="AD68" i="14"/>
  <c r="AC68" i="14"/>
  <c r="AB68" i="14"/>
  <c r="AA5" i="14" s="1"/>
  <c r="AA68" i="14"/>
  <c r="Z68" i="14"/>
  <c r="Y68" i="14"/>
  <c r="X68" i="14"/>
  <c r="X75" i="14" s="1"/>
  <c r="W68" i="14"/>
  <c r="V5" i="14" s="1"/>
  <c r="V68" i="14"/>
  <c r="U68" i="14"/>
  <c r="T68" i="14"/>
  <c r="S5" i="14" s="1"/>
  <c r="S68" i="14"/>
  <c r="R68" i="14"/>
  <c r="Q68" i="14"/>
  <c r="P68" i="14"/>
  <c r="O5" i="14" s="1"/>
  <c r="O68" i="14"/>
  <c r="N5" i="14" s="1"/>
  <c r="N68" i="14"/>
  <c r="M68" i="14"/>
  <c r="L5" i="14" s="1"/>
  <c r="L68" i="14"/>
  <c r="K5" i="14" s="1"/>
  <c r="K68" i="14"/>
  <c r="J68" i="14"/>
  <c r="I5" i="14" s="1"/>
  <c r="I68" i="14"/>
  <c r="H5" i="14" s="1"/>
  <c r="H68" i="14"/>
  <c r="G68" i="14"/>
  <c r="F5" i="14" s="1"/>
  <c r="F68" i="14"/>
  <c r="E68" i="14"/>
  <c r="D5" i="14" s="1"/>
  <c r="D68" i="14"/>
  <c r="C5" i="14" s="1"/>
  <c r="C68" i="14"/>
  <c r="B5" i="14" s="1"/>
  <c r="B68" i="14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I55" i="14"/>
  <c r="AH55" i="14"/>
  <c r="AI54" i="14"/>
  <c r="AH54" i="14"/>
  <c r="AI53" i="14"/>
  <c r="AH53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I51" i="14"/>
  <c r="AH51" i="14"/>
  <c r="AG51" i="14"/>
  <c r="AG52" i="14" s="1"/>
  <c r="AG3" i="14" s="1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G2" i="14" s="1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F5" i="14"/>
  <c r="AD5" i="14"/>
  <c r="AB5" i="14"/>
  <c r="Z5" i="14"/>
  <c r="Y5" i="14"/>
  <c r="X5" i="14"/>
  <c r="T5" i="14"/>
  <c r="R5" i="14"/>
  <c r="Q5" i="14"/>
  <c r="P5" i="14"/>
  <c r="J5" i="14"/>
  <c r="AG4" i="14"/>
  <c r="K4" i="14"/>
  <c r="B4" i="14"/>
  <c r="L37" i="13"/>
  <c r="K37" i="13"/>
  <c r="J37" i="13"/>
  <c r="F95" i="13"/>
  <c r="D95" i="13"/>
  <c r="C95" i="13"/>
  <c r="B95" i="13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B235" i="13"/>
  <c r="S210" i="13"/>
  <c r="AG200" i="13"/>
  <c r="C200" i="13"/>
  <c r="D199" i="13"/>
  <c r="F198" i="13"/>
  <c r="G198" i="13" s="1"/>
  <c r="H198" i="13" s="1"/>
  <c r="I198" i="13" s="1"/>
  <c r="J198" i="13" s="1"/>
  <c r="K198" i="13" s="1"/>
  <c r="L198" i="13" s="1"/>
  <c r="M198" i="13" s="1"/>
  <c r="N198" i="13" s="1"/>
  <c r="O198" i="13" s="1"/>
  <c r="P198" i="13" s="1"/>
  <c r="Q198" i="13" s="1"/>
  <c r="R198" i="13" s="1"/>
  <c r="S198" i="13" s="1"/>
  <c r="T198" i="13" s="1"/>
  <c r="U198" i="13" s="1"/>
  <c r="V198" i="13" s="1"/>
  <c r="W198" i="13" s="1"/>
  <c r="X198" i="13" s="1"/>
  <c r="Y198" i="13" s="1"/>
  <c r="Z198" i="13" s="1"/>
  <c r="AA198" i="13" s="1"/>
  <c r="AB198" i="13" s="1"/>
  <c r="AC198" i="13" s="1"/>
  <c r="AD198" i="13" s="1"/>
  <c r="AE198" i="13" s="1"/>
  <c r="AF198" i="13" s="1"/>
  <c r="B198" i="13" s="1"/>
  <c r="E198" i="13"/>
  <c r="D198" i="13"/>
  <c r="D197" i="13"/>
  <c r="E197" i="13" s="1"/>
  <c r="F197" i="13" s="1"/>
  <c r="G197" i="13" s="1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B197" i="13" s="1"/>
  <c r="F196" i="13"/>
  <c r="G196" i="13" s="1"/>
  <c r="H196" i="13" s="1"/>
  <c r="I196" i="13" s="1"/>
  <c r="J196" i="13" s="1"/>
  <c r="K196" i="13" s="1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B196" i="13" s="1"/>
  <c r="E196" i="13"/>
  <c r="D196" i="13"/>
  <c r="I195" i="13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B195" i="13" s="1"/>
  <c r="E195" i="13"/>
  <c r="F195" i="13" s="1"/>
  <c r="G195" i="13" s="1"/>
  <c r="H195" i="13" s="1"/>
  <c r="D195" i="13"/>
  <c r="D200" i="13" s="1"/>
  <c r="E194" i="13"/>
  <c r="F194" i="13" s="1"/>
  <c r="D194" i="13"/>
  <c r="AG192" i="13"/>
  <c r="C192" i="13"/>
  <c r="E191" i="13"/>
  <c r="F191" i="13" s="1"/>
  <c r="G191" i="13" s="1"/>
  <c r="H191" i="13" s="1"/>
  <c r="I191" i="13" s="1"/>
  <c r="J191" i="13" s="1"/>
  <c r="K191" i="13" s="1"/>
  <c r="L191" i="13" s="1"/>
  <c r="M191" i="13" s="1"/>
  <c r="N191" i="13" s="1"/>
  <c r="O191" i="13" s="1"/>
  <c r="P191" i="13" s="1"/>
  <c r="Q191" i="13" s="1"/>
  <c r="R191" i="13" s="1"/>
  <c r="S191" i="13" s="1"/>
  <c r="T191" i="13" s="1"/>
  <c r="U191" i="13" s="1"/>
  <c r="V191" i="13" s="1"/>
  <c r="W191" i="13" s="1"/>
  <c r="X191" i="13" s="1"/>
  <c r="Y191" i="13" s="1"/>
  <c r="Z191" i="13" s="1"/>
  <c r="AA191" i="13" s="1"/>
  <c r="AB191" i="13" s="1"/>
  <c r="AC191" i="13" s="1"/>
  <c r="AD191" i="13" s="1"/>
  <c r="AE191" i="13" s="1"/>
  <c r="AF191" i="13" s="1"/>
  <c r="B191" i="13" s="1"/>
  <c r="D191" i="13"/>
  <c r="N190" i="13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B190" i="13" s="1"/>
  <c r="E190" i="13"/>
  <c r="F190" i="13" s="1"/>
  <c r="G190" i="13" s="1"/>
  <c r="H190" i="13" s="1"/>
  <c r="I190" i="13" s="1"/>
  <c r="J190" i="13" s="1"/>
  <c r="K190" i="13" s="1"/>
  <c r="L190" i="13" s="1"/>
  <c r="M190" i="13" s="1"/>
  <c r="D190" i="13"/>
  <c r="E189" i="13"/>
  <c r="F189" i="13" s="1"/>
  <c r="G189" i="13" s="1"/>
  <c r="H189" i="13" s="1"/>
  <c r="I189" i="13" s="1"/>
  <c r="J189" i="13" s="1"/>
  <c r="K189" i="13" s="1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V189" i="13" s="1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B189" i="13" s="1"/>
  <c r="D189" i="13"/>
  <c r="E188" i="13"/>
  <c r="F188" i="13" s="1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B188" i="13" s="1"/>
  <c r="D188" i="13"/>
  <c r="D187" i="13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B187" i="13" s="1"/>
  <c r="E186" i="13"/>
  <c r="F186" i="13" s="1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AE186" i="13" s="1"/>
  <c r="AF186" i="13" s="1"/>
  <c r="B186" i="13" s="1"/>
  <c r="D186" i="13"/>
  <c r="AF185" i="13"/>
  <c r="B185" i="13" s="1"/>
  <c r="E185" i="13"/>
  <c r="F185" i="13" s="1"/>
  <c r="G185" i="13" s="1"/>
  <c r="H185" i="13" s="1"/>
  <c r="I185" i="13" s="1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D185" i="13"/>
  <c r="D184" i="13"/>
  <c r="E184" i="13" s="1"/>
  <c r="F184" i="13" s="1"/>
  <c r="G184" i="13" s="1"/>
  <c r="H184" i="13" s="1"/>
  <c r="I184" i="13" s="1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B184" i="13" s="1"/>
  <c r="G183" i="13"/>
  <c r="H183" i="13" s="1"/>
  <c r="I183" i="13" s="1"/>
  <c r="J183" i="13" s="1"/>
  <c r="K183" i="13" s="1"/>
  <c r="L183" i="13" s="1"/>
  <c r="M183" i="13" s="1"/>
  <c r="N183" i="13" s="1"/>
  <c r="O183" i="13" s="1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B183" i="13" s="1"/>
  <c r="D183" i="13"/>
  <c r="E183" i="13" s="1"/>
  <c r="F183" i="13" s="1"/>
  <c r="F182" i="13"/>
  <c r="G182" i="13" s="1"/>
  <c r="H182" i="13" s="1"/>
  <c r="I182" i="13" s="1"/>
  <c r="J182" i="13" s="1"/>
  <c r="K182" i="13" s="1"/>
  <c r="L182" i="13" s="1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B182" i="13" s="1"/>
  <c r="E182" i="13"/>
  <c r="D182" i="13"/>
  <c r="G181" i="13"/>
  <c r="H181" i="13" s="1"/>
  <c r="I181" i="13" s="1"/>
  <c r="J181" i="13" s="1"/>
  <c r="K181" i="13" s="1"/>
  <c r="L181" i="13" s="1"/>
  <c r="M181" i="13" s="1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B181" i="13" s="1"/>
  <c r="D181" i="13"/>
  <c r="E181" i="13" s="1"/>
  <c r="F181" i="13" s="1"/>
  <c r="D180" i="13"/>
  <c r="E180" i="13" s="1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B180" i="13" s="1"/>
  <c r="I179" i="13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B179" i="13" s="1"/>
  <c r="E179" i="13"/>
  <c r="F179" i="13" s="1"/>
  <c r="G179" i="13" s="1"/>
  <c r="H179" i="13" s="1"/>
  <c r="D179" i="13"/>
  <c r="I177" i="13"/>
  <c r="J177" i="13" s="1"/>
  <c r="K177" i="13" s="1"/>
  <c r="L177" i="13" s="1"/>
  <c r="M177" i="13" s="1"/>
  <c r="N177" i="13" s="1"/>
  <c r="O177" i="13" s="1"/>
  <c r="P177" i="13" s="1"/>
  <c r="Q177" i="13" s="1"/>
  <c r="R177" i="13" s="1"/>
  <c r="S177" i="13" s="1"/>
  <c r="T177" i="13" s="1"/>
  <c r="U177" i="13" s="1"/>
  <c r="V177" i="13" s="1"/>
  <c r="W177" i="13" s="1"/>
  <c r="X177" i="13" s="1"/>
  <c r="Y177" i="13" s="1"/>
  <c r="Z177" i="13" s="1"/>
  <c r="AA177" i="13" s="1"/>
  <c r="AB177" i="13" s="1"/>
  <c r="AC177" i="13" s="1"/>
  <c r="AD177" i="13" s="1"/>
  <c r="AE177" i="13" s="1"/>
  <c r="AF177" i="13" s="1"/>
  <c r="B177" i="13" s="1"/>
  <c r="D177" i="13"/>
  <c r="E177" i="13" s="1"/>
  <c r="F177" i="13" s="1"/>
  <c r="G177" i="13" s="1"/>
  <c r="H177" i="13" s="1"/>
  <c r="R176" i="13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B176" i="13" s="1"/>
  <c r="F176" i="13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E176" i="13"/>
  <c r="D176" i="13"/>
  <c r="P175" i="13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B175" i="13" s="1"/>
  <c r="D175" i="13"/>
  <c r="E175" i="13" s="1"/>
  <c r="F175" i="13" s="1"/>
  <c r="G175" i="13" s="1"/>
  <c r="H175" i="13" s="1"/>
  <c r="I175" i="13" s="1"/>
  <c r="J175" i="13" s="1"/>
  <c r="K175" i="13" s="1"/>
  <c r="L175" i="13" s="1"/>
  <c r="M175" i="13" s="1"/>
  <c r="N175" i="13" s="1"/>
  <c r="O175" i="13" s="1"/>
  <c r="N174" i="13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B174" i="13" s="1"/>
  <c r="D174" i="13"/>
  <c r="E174" i="13" s="1"/>
  <c r="F174" i="13" s="1"/>
  <c r="G174" i="13" s="1"/>
  <c r="H174" i="13" s="1"/>
  <c r="I174" i="13" s="1"/>
  <c r="J174" i="13" s="1"/>
  <c r="K174" i="13" s="1"/>
  <c r="L174" i="13" s="1"/>
  <c r="M174" i="13" s="1"/>
  <c r="D173" i="13"/>
  <c r="E173" i="13" s="1"/>
  <c r="F173" i="13" s="1"/>
  <c r="G173" i="13" s="1"/>
  <c r="H173" i="13" s="1"/>
  <c r="I173" i="13" s="1"/>
  <c r="J173" i="13" s="1"/>
  <c r="K173" i="13" s="1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B173" i="13" s="1"/>
  <c r="K172" i="13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B172" i="13" s="1"/>
  <c r="D172" i="13"/>
  <c r="E172" i="13" s="1"/>
  <c r="F172" i="13" s="1"/>
  <c r="G172" i="13" s="1"/>
  <c r="H172" i="13" s="1"/>
  <c r="I172" i="13" s="1"/>
  <c r="J172" i="13" s="1"/>
  <c r="I171" i="13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B171" i="13" s="1"/>
  <c r="E171" i="13"/>
  <c r="F171" i="13" s="1"/>
  <c r="G171" i="13" s="1"/>
  <c r="H171" i="13" s="1"/>
  <c r="D171" i="13"/>
  <c r="K170" i="13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B170" i="13" s="1"/>
  <c r="G170" i="13"/>
  <c r="H170" i="13" s="1"/>
  <c r="I170" i="13" s="1"/>
  <c r="J170" i="13" s="1"/>
  <c r="F170" i="13"/>
  <c r="E170" i="13"/>
  <c r="D170" i="13"/>
  <c r="U168" i="13"/>
  <c r="V168" i="13" s="1"/>
  <c r="W168" i="13" s="1"/>
  <c r="X168" i="13" s="1"/>
  <c r="Y168" i="13" s="1"/>
  <c r="Z168" i="13" s="1"/>
  <c r="AA168" i="13" s="1"/>
  <c r="AB168" i="13" s="1"/>
  <c r="AC168" i="13" s="1"/>
  <c r="AD168" i="13" s="1"/>
  <c r="AE168" i="13" s="1"/>
  <c r="AF168" i="13" s="1"/>
  <c r="B168" i="13" s="1"/>
  <c r="I168" i="13"/>
  <c r="J168" i="13" s="1"/>
  <c r="K168" i="13" s="1"/>
  <c r="L168" i="13" s="1"/>
  <c r="M168" i="13" s="1"/>
  <c r="N168" i="13" s="1"/>
  <c r="O168" i="13" s="1"/>
  <c r="P168" i="13" s="1"/>
  <c r="Q168" i="13" s="1"/>
  <c r="R168" i="13" s="1"/>
  <c r="S168" i="13" s="1"/>
  <c r="T168" i="13" s="1"/>
  <c r="E168" i="13"/>
  <c r="F168" i="13" s="1"/>
  <c r="G168" i="13" s="1"/>
  <c r="H168" i="13" s="1"/>
  <c r="D168" i="13"/>
  <c r="D167" i="13"/>
  <c r="E167" i="13" s="1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B167" i="13" s="1"/>
  <c r="E166" i="13"/>
  <c r="F166" i="13" s="1"/>
  <c r="G166" i="13" s="1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B166" i="13" s="1"/>
  <c r="D166" i="13"/>
  <c r="G165" i="13"/>
  <c r="H165" i="13" s="1"/>
  <c r="I165" i="13" s="1"/>
  <c r="J165" i="13" s="1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B165" i="13" s="1"/>
  <c r="D165" i="13"/>
  <c r="E165" i="13" s="1"/>
  <c r="F165" i="13" s="1"/>
  <c r="M164" i="13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B164" i="13" s="1"/>
  <c r="E164" i="13"/>
  <c r="F164" i="13" s="1"/>
  <c r="G164" i="13" s="1"/>
  <c r="H164" i="13" s="1"/>
  <c r="I164" i="13" s="1"/>
  <c r="J164" i="13" s="1"/>
  <c r="K164" i="13" s="1"/>
  <c r="L164" i="13" s="1"/>
  <c r="D164" i="13"/>
  <c r="K163" i="13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B163" i="13" s="1"/>
  <c r="D163" i="13"/>
  <c r="E163" i="13" s="1"/>
  <c r="F163" i="13" s="1"/>
  <c r="G163" i="13" s="1"/>
  <c r="H163" i="13" s="1"/>
  <c r="I163" i="13" s="1"/>
  <c r="J163" i="13" s="1"/>
  <c r="E162" i="13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B162" i="13" s="1"/>
  <c r="D162" i="13"/>
  <c r="G161" i="13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B161" i="13" s="1"/>
  <c r="D161" i="13"/>
  <c r="E161" i="13" s="1"/>
  <c r="F161" i="13" s="1"/>
  <c r="E160" i="13"/>
  <c r="F160" i="13" s="1"/>
  <c r="G160" i="13" s="1"/>
  <c r="H160" i="13" s="1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B160" i="13" s="1"/>
  <c r="D160" i="13"/>
  <c r="D159" i="13"/>
  <c r="E159" i="13" s="1"/>
  <c r="F159" i="13" s="1"/>
  <c r="G159" i="13" s="1"/>
  <c r="H159" i="13" s="1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B159" i="13" s="1"/>
  <c r="D158" i="13"/>
  <c r="E158" i="13" s="1"/>
  <c r="F158" i="13" s="1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B158" i="13" s="1"/>
  <c r="R157" i="13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B157" i="13" s="1"/>
  <c r="D157" i="13"/>
  <c r="E157" i="13" s="1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D156" i="13"/>
  <c r="E156" i="13" s="1"/>
  <c r="F156" i="13" s="1"/>
  <c r="G156" i="13" s="1"/>
  <c r="H156" i="13" s="1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B156" i="13" s="1"/>
  <c r="T154" i="13"/>
  <c r="U154" i="13" s="1"/>
  <c r="V154" i="13" s="1"/>
  <c r="W154" i="13" s="1"/>
  <c r="X154" i="13" s="1"/>
  <c r="Y154" i="13" s="1"/>
  <c r="Z154" i="13" s="1"/>
  <c r="AA154" i="13" s="1"/>
  <c r="AB154" i="13" s="1"/>
  <c r="AC154" i="13" s="1"/>
  <c r="AD154" i="13" s="1"/>
  <c r="AE154" i="13" s="1"/>
  <c r="AF154" i="13" s="1"/>
  <c r="B154" i="13" s="1"/>
  <c r="G154" i="13"/>
  <c r="H154" i="13" s="1"/>
  <c r="I154" i="13" s="1"/>
  <c r="J154" i="13" s="1"/>
  <c r="K154" i="13" s="1"/>
  <c r="L154" i="13" s="1"/>
  <c r="M154" i="13" s="1"/>
  <c r="N154" i="13" s="1"/>
  <c r="O154" i="13" s="1"/>
  <c r="P154" i="13" s="1"/>
  <c r="Q154" i="13" s="1"/>
  <c r="R154" i="13" s="1"/>
  <c r="S154" i="13" s="1"/>
  <c r="D154" i="13"/>
  <c r="E154" i="13" s="1"/>
  <c r="F154" i="13" s="1"/>
  <c r="H153" i="13"/>
  <c r="I153" i="13" s="1"/>
  <c r="J153" i="13" s="1"/>
  <c r="K153" i="13" s="1"/>
  <c r="L153" i="13" s="1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B153" i="13" s="1"/>
  <c r="E153" i="13"/>
  <c r="F153" i="13" s="1"/>
  <c r="G153" i="13" s="1"/>
  <c r="D153" i="13"/>
  <c r="D152" i="13"/>
  <c r="E152" i="13" s="1"/>
  <c r="F152" i="13" s="1"/>
  <c r="G152" i="13" s="1"/>
  <c r="H152" i="13" s="1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B152" i="13" s="1"/>
  <c r="E151" i="13"/>
  <c r="F151" i="13" s="1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B151" i="13" s="1"/>
  <c r="D151" i="13"/>
  <c r="L149" i="13"/>
  <c r="M149" i="13" s="1"/>
  <c r="N149" i="13" s="1"/>
  <c r="O149" i="13" s="1"/>
  <c r="P149" i="13" s="1"/>
  <c r="Q149" i="13" s="1"/>
  <c r="R149" i="13" s="1"/>
  <c r="S149" i="13" s="1"/>
  <c r="T149" i="13" s="1"/>
  <c r="U149" i="13" s="1"/>
  <c r="V149" i="13" s="1"/>
  <c r="W149" i="13" s="1"/>
  <c r="X149" i="13" s="1"/>
  <c r="Y149" i="13" s="1"/>
  <c r="Z149" i="13" s="1"/>
  <c r="AA149" i="13" s="1"/>
  <c r="AB149" i="13" s="1"/>
  <c r="AC149" i="13" s="1"/>
  <c r="AD149" i="13" s="1"/>
  <c r="AE149" i="13" s="1"/>
  <c r="AF149" i="13" s="1"/>
  <c r="B149" i="13" s="1"/>
  <c r="G149" i="13"/>
  <c r="H149" i="13" s="1"/>
  <c r="I149" i="13" s="1"/>
  <c r="J149" i="13" s="1"/>
  <c r="K149" i="13" s="1"/>
  <c r="D149" i="13"/>
  <c r="E149" i="13" s="1"/>
  <c r="F149" i="13" s="1"/>
  <c r="E148" i="13"/>
  <c r="F148" i="13" s="1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B148" i="13" s="1"/>
  <c r="D148" i="13"/>
  <c r="D146" i="13"/>
  <c r="E146" i="13" s="1"/>
  <c r="F146" i="13" s="1"/>
  <c r="G146" i="13" s="1"/>
  <c r="H146" i="13" s="1"/>
  <c r="I146" i="13" s="1"/>
  <c r="J146" i="13" s="1"/>
  <c r="K146" i="13" s="1"/>
  <c r="L146" i="13" s="1"/>
  <c r="M146" i="13" s="1"/>
  <c r="N146" i="13" s="1"/>
  <c r="O146" i="13" s="1"/>
  <c r="P146" i="13" s="1"/>
  <c r="Q146" i="13" s="1"/>
  <c r="R146" i="13" s="1"/>
  <c r="S146" i="13" s="1"/>
  <c r="T146" i="13" s="1"/>
  <c r="U146" i="13" s="1"/>
  <c r="V146" i="13" s="1"/>
  <c r="W146" i="13" s="1"/>
  <c r="X146" i="13" s="1"/>
  <c r="Y146" i="13" s="1"/>
  <c r="Z146" i="13" s="1"/>
  <c r="AA146" i="13" s="1"/>
  <c r="AB146" i="13" s="1"/>
  <c r="AC146" i="13" s="1"/>
  <c r="AD146" i="13" s="1"/>
  <c r="AE146" i="13" s="1"/>
  <c r="AF146" i="13" s="1"/>
  <c r="B146" i="13" s="1"/>
  <c r="D145" i="13"/>
  <c r="E145" i="13" s="1"/>
  <c r="F145" i="13" s="1"/>
  <c r="G145" i="13" s="1"/>
  <c r="H145" i="13" s="1"/>
  <c r="I145" i="13" s="1"/>
  <c r="J145" i="13" s="1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B145" i="13" s="1"/>
  <c r="H144" i="13"/>
  <c r="I144" i="13" s="1"/>
  <c r="J144" i="13" s="1"/>
  <c r="K144" i="13" s="1"/>
  <c r="L144" i="13" s="1"/>
  <c r="M144" i="13" s="1"/>
  <c r="N144" i="13" s="1"/>
  <c r="O144" i="13" s="1"/>
  <c r="P144" i="13" s="1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AA144" i="13" s="1"/>
  <c r="AB144" i="13" s="1"/>
  <c r="AC144" i="13" s="1"/>
  <c r="AD144" i="13" s="1"/>
  <c r="AE144" i="13" s="1"/>
  <c r="AF144" i="13" s="1"/>
  <c r="B144" i="13" s="1"/>
  <c r="G144" i="13"/>
  <c r="D144" i="13"/>
  <c r="E144" i="13" s="1"/>
  <c r="F144" i="13" s="1"/>
  <c r="E143" i="13"/>
  <c r="F143" i="13" s="1"/>
  <c r="G143" i="13" s="1"/>
  <c r="H143" i="13" s="1"/>
  <c r="I143" i="13" s="1"/>
  <c r="J143" i="13" s="1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B143" i="13" s="1"/>
  <c r="D143" i="13"/>
  <c r="G142" i="13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B142" i="13" s="1"/>
  <c r="D142" i="13"/>
  <c r="E142" i="13" s="1"/>
  <c r="F142" i="13" s="1"/>
  <c r="L141" i="13"/>
  <c r="M141" i="13" s="1"/>
  <c r="N141" i="13" s="1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B141" i="13" s="1"/>
  <c r="I141" i="13"/>
  <c r="J141" i="13" s="1"/>
  <c r="K141" i="13" s="1"/>
  <c r="E141" i="13"/>
  <c r="F141" i="13" s="1"/>
  <c r="G141" i="13" s="1"/>
  <c r="H141" i="13" s="1"/>
  <c r="D141" i="13"/>
  <c r="G140" i="13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B140" i="13" s="1"/>
  <c r="D140" i="13"/>
  <c r="E140" i="13" s="1"/>
  <c r="F140" i="13" s="1"/>
  <c r="F138" i="13"/>
  <c r="G138" i="13" s="1"/>
  <c r="H138" i="13" s="1"/>
  <c r="I138" i="13" s="1"/>
  <c r="J138" i="13" s="1"/>
  <c r="K138" i="13" s="1"/>
  <c r="L138" i="13" s="1"/>
  <c r="M138" i="13" s="1"/>
  <c r="N138" i="13" s="1"/>
  <c r="O138" i="13" s="1"/>
  <c r="P138" i="13" s="1"/>
  <c r="Q138" i="13" s="1"/>
  <c r="R138" i="13" s="1"/>
  <c r="S138" i="13" s="1"/>
  <c r="T138" i="13" s="1"/>
  <c r="U138" i="13" s="1"/>
  <c r="V138" i="13" s="1"/>
  <c r="W138" i="13" s="1"/>
  <c r="X138" i="13" s="1"/>
  <c r="Y138" i="13" s="1"/>
  <c r="Z138" i="13" s="1"/>
  <c r="AA138" i="13" s="1"/>
  <c r="AB138" i="13" s="1"/>
  <c r="AC138" i="13" s="1"/>
  <c r="AD138" i="13" s="1"/>
  <c r="AE138" i="13" s="1"/>
  <c r="AF138" i="13" s="1"/>
  <c r="B138" i="13" s="1"/>
  <c r="E138" i="13"/>
  <c r="D138" i="13"/>
  <c r="N137" i="13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B137" i="13" s="1"/>
  <c r="D137" i="13"/>
  <c r="E137" i="13" s="1"/>
  <c r="F137" i="13" s="1"/>
  <c r="G137" i="13" s="1"/>
  <c r="H137" i="13" s="1"/>
  <c r="I137" i="13" s="1"/>
  <c r="J137" i="13" s="1"/>
  <c r="K137" i="13" s="1"/>
  <c r="L137" i="13" s="1"/>
  <c r="M137" i="13" s="1"/>
  <c r="E136" i="13"/>
  <c r="F136" i="13" s="1"/>
  <c r="G136" i="13" s="1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V136" i="13" s="1"/>
  <c r="W136" i="13" s="1"/>
  <c r="X136" i="13" s="1"/>
  <c r="Y136" i="13" s="1"/>
  <c r="Z136" i="13" s="1"/>
  <c r="AA136" i="13" s="1"/>
  <c r="AB136" i="13" s="1"/>
  <c r="AC136" i="13" s="1"/>
  <c r="AD136" i="13" s="1"/>
  <c r="AE136" i="13" s="1"/>
  <c r="AF136" i="13" s="1"/>
  <c r="B136" i="13" s="1"/>
  <c r="D136" i="13"/>
  <c r="AB135" i="13"/>
  <c r="AC135" i="13" s="1"/>
  <c r="AD135" i="13" s="1"/>
  <c r="AE135" i="13" s="1"/>
  <c r="AF135" i="13" s="1"/>
  <c r="B135" i="13" s="1"/>
  <c r="D135" i="13"/>
  <c r="E135" i="13" s="1"/>
  <c r="F135" i="13" s="1"/>
  <c r="G135" i="13" s="1"/>
  <c r="H135" i="13" s="1"/>
  <c r="I135" i="13" s="1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D134" i="13"/>
  <c r="E134" i="13" s="1"/>
  <c r="F134" i="13" s="1"/>
  <c r="G134" i="13" s="1"/>
  <c r="H134" i="13" s="1"/>
  <c r="I134" i="13" s="1"/>
  <c r="J134" i="13" s="1"/>
  <c r="K134" i="13" s="1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B134" i="13" s="1"/>
  <c r="D133" i="13"/>
  <c r="E133" i="13" s="1"/>
  <c r="F133" i="13" s="1"/>
  <c r="G133" i="13" s="1"/>
  <c r="H133" i="13" s="1"/>
  <c r="I133" i="13" s="1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B133" i="13" s="1"/>
  <c r="P132" i="13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B132" i="13" s="1"/>
  <c r="N132" i="13"/>
  <c r="O132" i="13" s="1"/>
  <c r="D132" i="13"/>
  <c r="E132" i="13" s="1"/>
  <c r="F132" i="13" s="1"/>
  <c r="G132" i="13" s="1"/>
  <c r="H132" i="13" s="1"/>
  <c r="I132" i="13" s="1"/>
  <c r="J132" i="13" s="1"/>
  <c r="K132" i="13" s="1"/>
  <c r="L132" i="13" s="1"/>
  <c r="M132" i="13" s="1"/>
  <c r="N131" i="13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B131" i="13" s="1"/>
  <c r="D131" i="13"/>
  <c r="E131" i="13" s="1"/>
  <c r="F131" i="13" s="1"/>
  <c r="G131" i="13" s="1"/>
  <c r="H131" i="13" s="1"/>
  <c r="I131" i="13" s="1"/>
  <c r="J131" i="13" s="1"/>
  <c r="K131" i="13" s="1"/>
  <c r="L131" i="13" s="1"/>
  <c r="M131" i="13" s="1"/>
  <c r="L129" i="13"/>
  <c r="M129" i="13" s="1"/>
  <c r="N129" i="13" s="1"/>
  <c r="O129" i="13" s="1"/>
  <c r="P129" i="13" s="1"/>
  <c r="Q129" i="13" s="1"/>
  <c r="R129" i="13" s="1"/>
  <c r="S129" i="13" s="1"/>
  <c r="T129" i="13" s="1"/>
  <c r="U129" i="13" s="1"/>
  <c r="V129" i="13" s="1"/>
  <c r="W129" i="13" s="1"/>
  <c r="X129" i="13" s="1"/>
  <c r="Y129" i="13" s="1"/>
  <c r="Z129" i="13" s="1"/>
  <c r="AA129" i="13" s="1"/>
  <c r="AB129" i="13" s="1"/>
  <c r="AC129" i="13" s="1"/>
  <c r="AD129" i="13" s="1"/>
  <c r="AE129" i="13" s="1"/>
  <c r="AF129" i="13" s="1"/>
  <c r="B129" i="13" s="1"/>
  <c r="E129" i="13"/>
  <c r="F129" i="13" s="1"/>
  <c r="G129" i="13" s="1"/>
  <c r="H129" i="13" s="1"/>
  <c r="I129" i="13" s="1"/>
  <c r="J129" i="13" s="1"/>
  <c r="K129" i="13" s="1"/>
  <c r="D129" i="13"/>
  <c r="J128" i="13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B128" i="13" s="1"/>
  <c r="D128" i="13"/>
  <c r="E128" i="13" s="1"/>
  <c r="F128" i="13" s="1"/>
  <c r="G128" i="13" s="1"/>
  <c r="H128" i="13" s="1"/>
  <c r="I128" i="13" s="1"/>
  <c r="D127" i="13"/>
  <c r="E127" i="13" s="1"/>
  <c r="F127" i="13" s="1"/>
  <c r="G127" i="13" s="1"/>
  <c r="H127" i="13" s="1"/>
  <c r="I127" i="13" s="1"/>
  <c r="J127" i="13" s="1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B127" i="13" s="1"/>
  <c r="G126" i="13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B126" i="13" s="1"/>
  <c r="F126" i="13"/>
  <c r="D126" i="13"/>
  <c r="E126" i="13" s="1"/>
  <c r="N125" i="13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B125" i="13" s="1"/>
  <c r="L125" i="13"/>
  <c r="M125" i="13" s="1"/>
  <c r="J125" i="13"/>
  <c r="K125" i="13" s="1"/>
  <c r="D125" i="13"/>
  <c r="E125" i="13" s="1"/>
  <c r="F125" i="13" s="1"/>
  <c r="G125" i="13" s="1"/>
  <c r="H125" i="13" s="1"/>
  <c r="K124" i="13"/>
  <c r="L124" i="13" s="1"/>
  <c r="M124" i="13" s="1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B124" i="13" s="1"/>
  <c r="D124" i="13"/>
  <c r="E124" i="13" s="1"/>
  <c r="F124" i="13" s="1"/>
  <c r="G124" i="13" s="1"/>
  <c r="H124" i="13" s="1"/>
  <c r="I124" i="13" s="1"/>
  <c r="J124" i="13" s="1"/>
  <c r="G123" i="13"/>
  <c r="H123" i="13" s="1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B123" i="13" s="1"/>
  <c r="E123" i="13"/>
  <c r="F123" i="13" s="1"/>
  <c r="D123" i="13"/>
  <c r="K122" i="13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B122" i="13" s="1"/>
  <c r="F122" i="13"/>
  <c r="G122" i="13" s="1"/>
  <c r="H122" i="13" s="1"/>
  <c r="I122" i="13" s="1"/>
  <c r="J122" i="13" s="1"/>
  <c r="E122" i="13"/>
  <c r="D122" i="13"/>
  <c r="F121" i="13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B121" i="13" s="1"/>
  <c r="E121" i="13"/>
  <c r="D121" i="13"/>
  <c r="K120" i="13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B120" i="13" s="1"/>
  <c r="D120" i="13"/>
  <c r="E120" i="13" s="1"/>
  <c r="F120" i="13" s="1"/>
  <c r="G120" i="13" s="1"/>
  <c r="H120" i="13" s="1"/>
  <c r="I120" i="13" s="1"/>
  <c r="J120" i="13" s="1"/>
  <c r="I119" i="13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B119" i="13" s="1"/>
  <c r="E119" i="13"/>
  <c r="F119" i="13" s="1"/>
  <c r="G119" i="13" s="1"/>
  <c r="H119" i="13" s="1"/>
  <c r="D119" i="13"/>
  <c r="E118" i="13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B118" i="13" s="1"/>
  <c r="D118" i="13"/>
  <c r="F117" i="13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B117" i="13" s="1"/>
  <c r="E117" i="13"/>
  <c r="D117" i="13"/>
  <c r="K116" i="13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B116" i="13" s="1"/>
  <c r="D116" i="13"/>
  <c r="E116" i="13" s="1"/>
  <c r="F116" i="13" s="1"/>
  <c r="G116" i="13" s="1"/>
  <c r="H116" i="13" s="1"/>
  <c r="I116" i="13" s="1"/>
  <c r="J116" i="13" s="1"/>
  <c r="I115" i="13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B115" i="13" s="1"/>
  <c r="E115" i="13"/>
  <c r="F115" i="13" s="1"/>
  <c r="G115" i="13" s="1"/>
  <c r="H115" i="13" s="1"/>
  <c r="D115" i="13"/>
  <c r="O114" i="13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B114" i="13" s="1"/>
  <c r="K114" i="13"/>
  <c r="L114" i="13" s="1"/>
  <c r="M114" i="13" s="1"/>
  <c r="N114" i="13" s="1"/>
  <c r="F114" i="13"/>
  <c r="G114" i="13" s="1"/>
  <c r="H114" i="13" s="1"/>
  <c r="I114" i="13" s="1"/>
  <c r="D114" i="13"/>
  <c r="E114" i="13" s="1"/>
  <c r="D113" i="13"/>
  <c r="E113" i="13" s="1"/>
  <c r="F113" i="13" s="1"/>
  <c r="G113" i="13" s="1"/>
  <c r="H113" i="13" s="1"/>
  <c r="I113" i="13" s="1"/>
  <c r="J113" i="13" s="1"/>
  <c r="K113" i="13" s="1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B113" i="13" s="1"/>
  <c r="F112" i="13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B112" i="13" s="1"/>
  <c r="E112" i="13"/>
  <c r="D112" i="13"/>
  <c r="D110" i="13"/>
  <c r="E110" i="13" s="1"/>
  <c r="F110" i="13" s="1"/>
  <c r="G110" i="13" s="1"/>
  <c r="H110" i="13" s="1"/>
  <c r="I110" i="13" s="1"/>
  <c r="J110" i="13" s="1"/>
  <c r="K110" i="13" s="1"/>
  <c r="L110" i="13" s="1"/>
  <c r="M110" i="13" s="1"/>
  <c r="N110" i="13" s="1"/>
  <c r="O110" i="13" s="1"/>
  <c r="P110" i="13" s="1"/>
  <c r="Q110" i="13" s="1"/>
  <c r="R110" i="13" s="1"/>
  <c r="S110" i="13" s="1"/>
  <c r="T110" i="13" s="1"/>
  <c r="U110" i="13" s="1"/>
  <c r="V110" i="13" s="1"/>
  <c r="W110" i="13" s="1"/>
  <c r="X110" i="13" s="1"/>
  <c r="Y110" i="13" s="1"/>
  <c r="Z110" i="13" s="1"/>
  <c r="AA110" i="13" s="1"/>
  <c r="AB110" i="13" s="1"/>
  <c r="AC110" i="13" s="1"/>
  <c r="AD110" i="13" s="1"/>
  <c r="AE110" i="13" s="1"/>
  <c r="AF110" i="13" s="1"/>
  <c r="B110" i="13" s="1"/>
  <c r="F109" i="13"/>
  <c r="G109" i="13" s="1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B109" i="13" s="1"/>
  <c r="D109" i="13"/>
  <c r="E109" i="13" s="1"/>
  <c r="D107" i="13"/>
  <c r="E107" i="13" s="1"/>
  <c r="F107" i="13" s="1"/>
  <c r="G107" i="13" s="1"/>
  <c r="H107" i="13" s="1"/>
  <c r="I107" i="13" s="1"/>
  <c r="J107" i="13" s="1"/>
  <c r="K107" i="13" s="1"/>
  <c r="L107" i="13" s="1"/>
  <c r="M107" i="13" s="1"/>
  <c r="N107" i="13" s="1"/>
  <c r="O107" i="13" s="1"/>
  <c r="P107" i="13" s="1"/>
  <c r="Q107" i="13" s="1"/>
  <c r="R107" i="13" s="1"/>
  <c r="S107" i="13" s="1"/>
  <c r="T107" i="13" s="1"/>
  <c r="U107" i="13" s="1"/>
  <c r="V107" i="13" s="1"/>
  <c r="W107" i="13" s="1"/>
  <c r="X107" i="13" s="1"/>
  <c r="Y107" i="13" s="1"/>
  <c r="Z107" i="13" s="1"/>
  <c r="AA107" i="13" s="1"/>
  <c r="AB107" i="13" s="1"/>
  <c r="AC107" i="13" s="1"/>
  <c r="AD107" i="13" s="1"/>
  <c r="AE107" i="13" s="1"/>
  <c r="AF107" i="13" s="1"/>
  <c r="B107" i="13" s="1"/>
  <c r="F106" i="13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B106" i="13" s="1"/>
  <c r="E106" i="13"/>
  <c r="D106" i="13"/>
  <c r="H105" i="13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B105" i="13" s="1"/>
  <c r="D105" i="13"/>
  <c r="E105" i="13" s="1"/>
  <c r="F105" i="13" s="1"/>
  <c r="G105" i="13" s="1"/>
  <c r="F104" i="13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B104" i="13" s="1"/>
  <c r="D104" i="13"/>
  <c r="E104" i="13" s="1"/>
  <c r="E103" i="13"/>
  <c r="F103" i="13" s="1"/>
  <c r="D103" i="13"/>
  <c r="E102" i="13"/>
  <c r="D102" i="13"/>
  <c r="AH100" i="13"/>
  <c r="AI100" i="13" s="1"/>
  <c r="AH99" i="13"/>
  <c r="AI99" i="13" s="1"/>
  <c r="AH98" i="13"/>
  <c r="AI98" i="13" s="1"/>
  <c r="AH97" i="13"/>
  <c r="AI97" i="13" s="1"/>
  <c r="AH96" i="13"/>
  <c r="AI96" i="13" s="1"/>
  <c r="AH95" i="13"/>
  <c r="AI95" i="13" s="1"/>
  <c r="AH94" i="13"/>
  <c r="AI94" i="13" s="1"/>
  <c r="D93" i="13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2" i="13"/>
  <c r="AH82" i="13"/>
  <c r="AG82" i="13"/>
  <c r="AI81" i="13"/>
  <c r="AH81" i="13"/>
  <c r="AI80" i="13"/>
  <c r="AH80" i="13"/>
  <c r="AI79" i="13"/>
  <c r="AH79" i="13"/>
  <c r="AI78" i="13"/>
  <c r="AH78" i="13"/>
  <c r="AI77" i="13"/>
  <c r="AH77" i="13"/>
  <c r="AI76" i="13"/>
  <c r="AH76" i="13"/>
  <c r="AI74" i="13"/>
  <c r="AH74" i="13"/>
  <c r="AI73" i="13"/>
  <c r="AH73" i="13"/>
  <c r="AI72" i="13"/>
  <c r="AH72" i="13"/>
  <c r="AG72" i="13"/>
  <c r="AI71" i="13"/>
  <c r="AH71" i="13"/>
  <c r="AI70" i="13"/>
  <c r="AH70" i="13"/>
  <c r="AI69" i="13"/>
  <c r="AH69" i="13"/>
  <c r="AG68" i="13"/>
  <c r="AG75" i="13" s="1"/>
  <c r="AF68" i="13"/>
  <c r="AE68" i="13"/>
  <c r="AD68" i="13"/>
  <c r="AC5" i="13" s="1"/>
  <c r="AC68" i="13"/>
  <c r="AC75" i="13" s="1"/>
  <c r="AB68" i="13"/>
  <c r="AA5" i="13" s="1"/>
  <c r="AA68" i="13"/>
  <c r="Z68" i="13"/>
  <c r="Y5" i="13" s="1"/>
  <c r="Y68" i="13"/>
  <c r="X68" i="13"/>
  <c r="W68" i="13"/>
  <c r="V68" i="13"/>
  <c r="U5" i="13" s="1"/>
  <c r="U68" i="13"/>
  <c r="U75" i="13" s="1"/>
  <c r="T68" i="13"/>
  <c r="S68" i="13"/>
  <c r="R5" i="13" s="1"/>
  <c r="R68" i="13"/>
  <c r="Q68" i="13"/>
  <c r="P68" i="13"/>
  <c r="O68" i="13"/>
  <c r="N68" i="13"/>
  <c r="M5" i="13" s="1"/>
  <c r="M68" i="13"/>
  <c r="L5" i="13" s="1"/>
  <c r="L68" i="13"/>
  <c r="K5" i="13" s="1"/>
  <c r="K68" i="13"/>
  <c r="J5" i="13" s="1"/>
  <c r="J68" i="13"/>
  <c r="I68" i="13"/>
  <c r="H5" i="13" s="1"/>
  <c r="H68" i="13"/>
  <c r="G68" i="13"/>
  <c r="F5" i="13" s="1"/>
  <c r="F68" i="13"/>
  <c r="E5" i="13" s="1"/>
  <c r="E68" i="13"/>
  <c r="D5" i="13" s="1"/>
  <c r="D68" i="13"/>
  <c r="C68" i="13"/>
  <c r="B5" i="13" s="1"/>
  <c r="B68" i="13"/>
  <c r="AF5" i="13" s="1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G56" i="13"/>
  <c r="AG4" i="13" s="1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I55" i="13"/>
  <c r="AH55" i="13"/>
  <c r="AI54" i="13"/>
  <c r="AH54" i="13"/>
  <c r="AI53" i="13"/>
  <c r="AH53" i="13"/>
  <c r="AG52" i="13"/>
  <c r="AG3" i="13" s="1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I51" i="13"/>
  <c r="AH51" i="13"/>
  <c r="AG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G2" i="13" s="1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E5" i="13"/>
  <c r="AD5" i="13"/>
  <c r="X5" i="13"/>
  <c r="W5" i="13"/>
  <c r="V5" i="13"/>
  <c r="Q5" i="13"/>
  <c r="P5" i="13"/>
  <c r="O5" i="13"/>
  <c r="N5" i="13"/>
  <c r="I5" i="13"/>
  <c r="G5" i="13"/>
  <c r="K4" i="13"/>
  <c r="B4" i="13"/>
  <c r="AE95" i="12"/>
  <c r="S37" i="12"/>
  <c r="E4" i="14"/>
  <c r="E4" i="13"/>
  <c r="AI93" i="21" l="1"/>
  <c r="AH93" i="21"/>
  <c r="AF235" i="21"/>
  <c r="B93" i="21"/>
  <c r="B200" i="21"/>
  <c r="AH93" i="20"/>
  <c r="AI93" i="20"/>
  <c r="B192" i="20"/>
  <c r="AH93" i="19"/>
  <c r="AI93" i="19"/>
  <c r="AF235" i="19"/>
  <c r="B200" i="19"/>
  <c r="B93" i="19"/>
  <c r="AF235" i="17"/>
  <c r="B200" i="17"/>
  <c r="AI93" i="17"/>
  <c r="AH93" i="17"/>
  <c r="B93" i="17"/>
  <c r="B192" i="17"/>
  <c r="S194" i="16"/>
  <c r="Q192" i="16"/>
  <c r="R102" i="16"/>
  <c r="R199" i="16"/>
  <c r="P235" i="16"/>
  <c r="R103" i="16"/>
  <c r="Q93" i="16"/>
  <c r="Q200" i="15"/>
  <c r="R194" i="15"/>
  <c r="Q93" i="15"/>
  <c r="T103" i="15"/>
  <c r="S199" i="15"/>
  <c r="Q235" i="15"/>
  <c r="Q192" i="15"/>
  <c r="R102" i="15"/>
  <c r="AF75" i="14"/>
  <c r="AG73" i="14"/>
  <c r="AG6" i="14"/>
  <c r="E199" i="14"/>
  <c r="D235" i="14" s="1"/>
  <c r="AA75" i="14"/>
  <c r="U75" i="14"/>
  <c r="AE75" i="14"/>
  <c r="AW214" i="14" s="1"/>
  <c r="AD75" i="14"/>
  <c r="AV214" i="14" s="1"/>
  <c r="AC75" i="14"/>
  <c r="Z75" i="14"/>
  <c r="Y75" i="14"/>
  <c r="W75" i="14"/>
  <c r="V75" i="14"/>
  <c r="R75" i="14"/>
  <c r="S75" i="14"/>
  <c r="Q75" i="14"/>
  <c r="P75" i="14"/>
  <c r="AH214" i="14" s="1"/>
  <c r="O75" i="14"/>
  <c r="N75" i="14"/>
  <c r="AF214" i="14" s="1"/>
  <c r="M75" i="14"/>
  <c r="K75" i="14"/>
  <c r="AC214" i="14" s="1"/>
  <c r="J75" i="14"/>
  <c r="AB214" i="14" s="1"/>
  <c r="I75" i="14"/>
  <c r="I83" i="14" s="1"/>
  <c r="H75" i="14"/>
  <c r="Z214" i="14" s="1"/>
  <c r="G75" i="14"/>
  <c r="G7" i="14" s="1"/>
  <c r="F75" i="14"/>
  <c r="F83" i="14" s="1"/>
  <c r="E75" i="14"/>
  <c r="E7" i="14" s="1"/>
  <c r="AI56" i="14"/>
  <c r="AI68" i="14"/>
  <c r="AI52" i="14"/>
  <c r="AI38" i="14"/>
  <c r="AH38" i="14"/>
  <c r="C75" i="14"/>
  <c r="C83" i="14" s="1"/>
  <c r="H4" i="14"/>
  <c r="Y214" i="14"/>
  <c r="AG214" i="14"/>
  <c r="O83" i="14"/>
  <c r="O7" i="14"/>
  <c r="AO214" i="14"/>
  <c r="W7" i="14"/>
  <c r="W83" i="14"/>
  <c r="AN214" i="14"/>
  <c r="V83" i="14"/>
  <c r="V7" i="14"/>
  <c r="AP214" i="14"/>
  <c r="X7" i="14"/>
  <c r="X83" i="14"/>
  <c r="AX214" i="14"/>
  <c r="AF7" i="14"/>
  <c r="AF83" i="14"/>
  <c r="AI214" i="14"/>
  <c r="Q7" i="14"/>
  <c r="Q83" i="14"/>
  <c r="AQ214" i="14"/>
  <c r="Y7" i="14"/>
  <c r="Y83" i="14"/>
  <c r="AJ214" i="14"/>
  <c r="R7" i="14"/>
  <c r="R83" i="14"/>
  <c r="AR214" i="14"/>
  <c r="Z83" i="14"/>
  <c r="Z7" i="14"/>
  <c r="AK214" i="14"/>
  <c r="S83" i="14"/>
  <c r="S7" i="14"/>
  <c r="AS214" i="14"/>
  <c r="AA83" i="14"/>
  <c r="AA7" i="14"/>
  <c r="W214" i="14"/>
  <c r="E83" i="14"/>
  <c r="AE214" i="14"/>
  <c r="M83" i="14"/>
  <c r="M7" i="14"/>
  <c r="AM214" i="14"/>
  <c r="U83" i="14"/>
  <c r="U7" i="14"/>
  <c r="AU214" i="14"/>
  <c r="AC83" i="14"/>
  <c r="AC7" i="14"/>
  <c r="S211" i="14"/>
  <c r="D211" i="14"/>
  <c r="E5" i="14"/>
  <c r="M5" i="14"/>
  <c r="U5" i="14"/>
  <c r="AC5" i="14"/>
  <c r="AG75" i="14"/>
  <c r="P83" i="14"/>
  <c r="E192" i="14"/>
  <c r="AH52" i="14"/>
  <c r="AH56" i="14"/>
  <c r="AH68" i="14"/>
  <c r="AG83" i="14"/>
  <c r="B75" i="14"/>
  <c r="F102" i="14"/>
  <c r="G5" i="14"/>
  <c r="W5" i="14"/>
  <c r="AE5" i="14"/>
  <c r="D75" i="14"/>
  <c r="L75" i="14"/>
  <c r="T75" i="14"/>
  <c r="AB75" i="14"/>
  <c r="E93" i="14"/>
  <c r="F103" i="14"/>
  <c r="D93" i="14"/>
  <c r="P7" i="14"/>
  <c r="D192" i="14"/>
  <c r="F194" i="14"/>
  <c r="D200" i="14"/>
  <c r="E195" i="14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B195" i="14" s="1"/>
  <c r="F199" i="14"/>
  <c r="AF75" i="13"/>
  <c r="AE75" i="13"/>
  <c r="AB5" i="13"/>
  <c r="AA75" i="13"/>
  <c r="Z75" i="13"/>
  <c r="Y75" i="13"/>
  <c r="Z5" i="13"/>
  <c r="X75" i="13"/>
  <c r="W75" i="13"/>
  <c r="T5" i="13"/>
  <c r="T75" i="13"/>
  <c r="S75" i="13"/>
  <c r="R75" i="13"/>
  <c r="Q75" i="13"/>
  <c r="O75" i="13"/>
  <c r="M75" i="13"/>
  <c r="AE214" i="13" s="1"/>
  <c r="P75" i="13"/>
  <c r="P7" i="13" s="1"/>
  <c r="K75" i="13"/>
  <c r="K7" i="13" s="1"/>
  <c r="J75" i="13"/>
  <c r="AB214" i="13" s="1"/>
  <c r="I75" i="13"/>
  <c r="AA214" i="13" s="1"/>
  <c r="H75" i="13"/>
  <c r="H83" i="13" s="1"/>
  <c r="G75" i="13"/>
  <c r="Y214" i="13" s="1"/>
  <c r="AH56" i="13"/>
  <c r="AH38" i="13"/>
  <c r="E75" i="13"/>
  <c r="E7" i="13" s="1"/>
  <c r="D75" i="13"/>
  <c r="V214" i="13" s="1"/>
  <c r="AH52" i="13"/>
  <c r="C75" i="13"/>
  <c r="C83" i="13" s="1"/>
  <c r="AI56" i="13"/>
  <c r="AI52" i="13"/>
  <c r="AI38" i="13"/>
  <c r="B75" i="13"/>
  <c r="H4" i="13"/>
  <c r="AK214" i="13"/>
  <c r="S83" i="13"/>
  <c r="S7" i="13"/>
  <c r="D83" i="13"/>
  <c r="AL214" i="13"/>
  <c r="T7" i="13"/>
  <c r="T83" i="13"/>
  <c r="W214" i="13"/>
  <c r="AM214" i="13"/>
  <c r="U7" i="13"/>
  <c r="U83" i="13"/>
  <c r="AU214" i="13"/>
  <c r="AC7" i="13"/>
  <c r="AC83" i="13"/>
  <c r="G83" i="13"/>
  <c r="AG214" i="13"/>
  <c r="O83" i="13"/>
  <c r="O7" i="13"/>
  <c r="AO214" i="13"/>
  <c r="W83" i="13"/>
  <c r="W7" i="13"/>
  <c r="AW214" i="13"/>
  <c r="AE83" i="13"/>
  <c r="AE7" i="13"/>
  <c r="AP214" i="13"/>
  <c r="X83" i="13"/>
  <c r="X7" i="13"/>
  <c r="Z214" i="13"/>
  <c r="AS214" i="13"/>
  <c r="AA7" i="13"/>
  <c r="AA83" i="13"/>
  <c r="AX214" i="13"/>
  <c r="AF83" i="13"/>
  <c r="AF7" i="13"/>
  <c r="AI214" i="13"/>
  <c r="Q83" i="13"/>
  <c r="Q7" i="13"/>
  <c r="AQ214" i="13"/>
  <c r="Y83" i="13"/>
  <c r="Y7" i="13"/>
  <c r="AG6" i="13"/>
  <c r="T214" i="13"/>
  <c r="B83" i="13"/>
  <c r="B7" i="13"/>
  <c r="AJ214" i="13"/>
  <c r="R83" i="13"/>
  <c r="R7" i="13"/>
  <c r="AR214" i="13"/>
  <c r="Z83" i="13"/>
  <c r="Z7" i="13"/>
  <c r="L75" i="13"/>
  <c r="AB75" i="13"/>
  <c r="AG73" i="13"/>
  <c r="AG83" i="13" s="1"/>
  <c r="F75" i="13"/>
  <c r="N75" i="13"/>
  <c r="V75" i="13"/>
  <c r="AD75" i="13"/>
  <c r="C5" i="13"/>
  <c r="S5" i="13"/>
  <c r="E192" i="13"/>
  <c r="G103" i="13"/>
  <c r="E93" i="13"/>
  <c r="F102" i="13"/>
  <c r="S211" i="13"/>
  <c r="D211" i="13"/>
  <c r="AH68" i="13"/>
  <c r="AI68" i="13"/>
  <c r="D192" i="13"/>
  <c r="G194" i="13"/>
  <c r="C235" i="13"/>
  <c r="E199" i="13"/>
  <c r="D95" i="12"/>
  <c r="C95" i="12"/>
  <c r="B95" i="12"/>
  <c r="B93" i="12"/>
  <c r="B68" i="12"/>
  <c r="B56" i="12"/>
  <c r="B52" i="12"/>
  <c r="B38" i="12"/>
  <c r="AF239" i="12"/>
  <c r="AE239" i="12"/>
  <c r="AD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B239" i="12"/>
  <c r="A239" i="12"/>
  <c r="AF238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AF237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B235" i="12"/>
  <c r="S210" i="12"/>
  <c r="AG200" i="12"/>
  <c r="C200" i="12"/>
  <c r="D199" i="12"/>
  <c r="F198" i="12"/>
  <c r="G198" i="12" s="1"/>
  <c r="H198" i="12" s="1"/>
  <c r="I198" i="12" s="1"/>
  <c r="J198" i="12" s="1"/>
  <c r="K198" i="12" s="1"/>
  <c r="L198" i="12" s="1"/>
  <c r="M198" i="12" s="1"/>
  <c r="N198" i="12" s="1"/>
  <c r="O198" i="12" s="1"/>
  <c r="P198" i="12" s="1"/>
  <c r="Q198" i="12" s="1"/>
  <c r="R198" i="12" s="1"/>
  <c r="S198" i="12" s="1"/>
  <c r="T198" i="12" s="1"/>
  <c r="U198" i="12" s="1"/>
  <c r="V198" i="12" s="1"/>
  <c r="W198" i="12" s="1"/>
  <c r="X198" i="12" s="1"/>
  <c r="Y198" i="12" s="1"/>
  <c r="Z198" i="12" s="1"/>
  <c r="AA198" i="12" s="1"/>
  <c r="AB198" i="12" s="1"/>
  <c r="AC198" i="12" s="1"/>
  <c r="AD198" i="12" s="1"/>
  <c r="AE198" i="12" s="1"/>
  <c r="AF198" i="12" s="1"/>
  <c r="B198" i="12" s="1"/>
  <c r="E198" i="12"/>
  <c r="D198" i="12"/>
  <c r="D197" i="12"/>
  <c r="E197" i="12" s="1"/>
  <c r="F197" i="12" s="1"/>
  <c r="G197" i="12" s="1"/>
  <c r="H197" i="12" s="1"/>
  <c r="I197" i="12" s="1"/>
  <c r="J197" i="12" s="1"/>
  <c r="K197" i="12" s="1"/>
  <c r="L197" i="12" s="1"/>
  <c r="M197" i="12" s="1"/>
  <c r="N197" i="12" s="1"/>
  <c r="O197" i="12" s="1"/>
  <c r="P197" i="12" s="1"/>
  <c r="Q197" i="12" s="1"/>
  <c r="R197" i="12" s="1"/>
  <c r="S197" i="12" s="1"/>
  <c r="T197" i="12" s="1"/>
  <c r="U197" i="12" s="1"/>
  <c r="V197" i="12" s="1"/>
  <c r="W197" i="12" s="1"/>
  <c r="X197" i="12" s="1"/>
  <c r="Y197" i="12" s="1"/>
  <c r="Z197" i="12" s="1"/>
  <c r="AA197" i="12" s="1"/>
  <c r="AB197" i="12" s="1"/>
  <c r="AC197" i="12" s="1"/>
  <c r="AD197" i="12" s="1"/>
  <c r="AE197" i="12" s="1"/>
  <c r="AF197" i="12" s="1"/>
  <c r="B197" i="12" s="1"/>
  <c r="E196" i="12"/>
  <c r="F196" i="12" s="1"/>
  <c r="G196" i="12" s="1"/>
  <c r="H196" i="12" s="1"/>
  <c r="I196" i="12" s="1"/>
  <c r="J196" i="12" s="1"/>
  <c r="K196" i="12" s="1"/>
  <c r="L196" i="12" s="1"/>
  <c r="M196" i="12" s="1"/>
  <c r="N196" i="12" s="1"/>
  <c r="O196" i="12" s="1"/>
  <c r="P196" i="12" s="1"/>
  <c r="Q196" i="12" s="1"/>
  <c r="R196" i="12" s="1"/>
  <c r="S196" i="12" s="1"/>
  <c r="T196" i="12" s="1"/>
  <c r="U196" i="12" s="1"/>
  <c r="V196" i="12" s="1"/>
  <c r="W196" i="12" s="1"/>
  <c r="X196" i="12" s="1"/>
  <c r="Y196" i="12" s="1"/>
  <c r="Z196" i="12" s="1"/>
  <c r="AA196" i="12" s="1"/>
  <c r="AB196" i="12" s="1"/>
  <c r="AC196" i="12" s="1"/>
  <c r="AD196" i="12" s="1"/>
  <c r="AE196" i="12" s="1"/>
  <c r="AF196" i="12" s="1"/>
  <c r="B196" i="12" s="1"/>
  <c r="D196" i="12"/>
  <c r="D195" i="12"/>
  <c r="G194" i="12"/>
  <c r="F194" i="12"/>
  <c r="E194" i="12"/>
  <c r="D194" i="12"/>
  <c r="AG192" i="12"/>
  <c r="C192" i="12"/>
  <c r="D191" i="12"/>
  <c r="E191" i="12" s="1"/>
  <c r="F191" i="12" s="1"/>
  <c r="G191" i="12" s="1"/>
  <c r="H191" i="12" s="1"/>
  <c r="I191" i="12" s="1"/>
  <c r="J191" i="12" s="1"/>
  <c r="K191" i="12" s="1"/>
  <c r="L191" i="12" s="1"/>
  <c r="M191" i="12" s="1"/>
  <c r="N191" i="12" s="1"/>
  <c r="O191" i="12" s="1"/>
  <c r="P191" i="12" s="1"/>
  <c r="Q191" i="12" s="1"/>
  <c r="R191" i="12" s="1"/>
  <c r="S191" i="12" s="1"/>
  <c r="T191" i="12" s="1"/>
  <c r="U191" i="12" s="1"/>
  <c r="V191" i="12" s="1"/>
  <c r="W191" i="12" s="1"/>
  <c r="X191" i="12" s="1"/>
  <c r="Y191" i="12" s="1"/>
  <c r="Z191" i="12" s="1"/>
  <c r="AA191" i="12" s="1"/>
  <c r="AB191" i="12" s="1"/>
  <c r="AC191" i="12" s="1"/>
  <c r="AD191" i="12" s="1"/>
  <c r="AE191" i="12" s="1"/>
  <c r="AF191" i="12" s="1"/>
  <c r="B191" i="12" s="1"/>
  <c r="F190" i="12"/>
  <c r="G190" i="12" s="1"/>
  <c r="H190" i="12" s="1"/>
  <c r="I190" i="12" s="1"/>
  <c r="J190" i="12" s="1"/>
  <c r="K190" i="12" s="1"/>
  <c r="L190" i="12" s="1"/>
  <c r="M190" i="12" s="1"/>
  <c r="N190" i="12" s="1"/>
  <c r="O190" i="12" s="1"/>
  <c r="P190" i="12" s="1"/>
  <c r="Q190" i="12" s="1"/>
  <c r="R190" i="12" s="1"/>
  <c r="S190" i="12" s="1"/>
  <c r="T190" i="12" s="1"/>
  <c r="U190" i="12" s="1"/>
  <c r="V190" i="12" s="1"/>
  <c r="W190" i="12" s="1"/>
  <c r="X190" i="12" s="1"/>
  <c r="Y190" i="12" s="1"/>
  <c r="Z190" i="12" s="1"/>
  <c r="AA190" i="12" s="1"/>
  <c r="AB190" i="12" s="1"/>
  <c r="AC190" i="12" s="1"/>
  <c r="AD190" i="12" s="1"/>
  <c r="AE190" i="12" s="1"/>
  <c r="AF190" i="12" s="1"/>
  <c r="B190" i="12" s="1"/>
  <c r="E190" i="12"/>
  <c r="D190" i="12"/>
  <c r="D189" i="12"/>
  <c r="E189" i="12" s="1"/>
  <c r="F189" i="12" s="1"/>
  <c r="G189" i="12" s="1"/>
  <c r="H189" i="12" s="1"/>
  <c r="I189" i="12" s="1"/>
  <c r="J189" i="12" s="1"/>
  <c r="K189" i="12" s="1"/>
  <c r="L189" i="12" s="1"/>
  <c r="M189" i="12" s="1"/>
  <c r="N189" i="12" s="1"/>
  <c r="O189" i="12" s="1"/>
  <c r="P189" i="12" s="1"/>
  <c r="Q189" i="12" s="1"/>
  <c r="R189" i="12" s="1"/>
  <c r="S189" i="12" s="1"/>
  <c r="T189" i="12" s="1"/>
  <c r="U189" i="12" s="1"/>
  <c r="V189" i="12" s="1"/>
  <c r="W189" i="12" s="1"/>
  <c r="X189" i="12" s="1"/>
  <c r="Y189" i="12" s="1"/>
  <c r="Z189" i="12" s="1"/>
  <c r="AA189" i="12" s="1"/>
  <c r="AB189" i="12" s="1"/>
  <c r="AC189" i="12" s="1"/>
  <c r="AD189" i="12" s="1"/>
  <c r="AE189" i="12" s="1"/>
  <c r="AF189" i="12" s="1"/>
  <c r="B189" i="12" s="1"/>
  <c r="D188" i="12"/>
  <c r="E188" i="12" s="1"/>
  <c r="F188" i="12" s="1"/>
  <c r="G188" i="12" s="1"/>
  <c r="H188" i="12" s="1"/>
  <c r="I188" i="12" s="1"/>
  <c r="J188" i="12" s="1"/>
  <c r="K188" i="12" s="1"/>
  <c r="L188" i="12" s="1"/>
  <c r="M188" i="12" s="1"/>
  <c r="N188" i="12" s="1"/>
  <c r="O188" i="12" s="1"/>
  <c r="P188" i="12" s="1"/>
  <c r="Q188" i="12" s="1"/>
  <c r="R188" i="12" s="1"/>
  <c r="S188" i="12" s="1"/>
  <c r="T188" i="12" s="1"/>
  <c r="U188" i="12" s="1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B188" i="12" s="1"/>
  <c r="E187" i="12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Q187" i="12" s="1"/>
  <c r="R187" i="12" s="1"/>
  <c r="S187" i="12" s="1"/>
  <c r="T187" i="12" s="1"/>
  <c r="U187" i="12" s="1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B187" i="12" s="1"/>
  <c r="D187" i="12"/>
  <c r="E186" i="12"/>
  <c r="F186" i="12" s="1"/>
  <c r="G186" i="12" s="1"/>
  <c r="H186" i="12" s="1"/>
  <c r="I186" i="12" s="1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X186" i="12" s="1"/>
  <c r="Y186" i="12" s="1"/>
  <c r="Z186" i="12" s="1"/>
  <c r="AA186" i="12" s="1"/>
  <c r="AB186" i="12" s="1"/>
  <c r="AC186" i="12" s="1"/>
  <c r="AD186" i="12" s="1"/>
  <c r="AE186" i="12" s="1"/>
  <c r="AF186" i="12" s="1"/>
  <c r="B186" i="12" s="1"/>
  <c r="D186" i="12"/>
  <c r="D185" i="12"/>
  <c r="E185" i="12" s="1"/>
  <c r="F185" i="12" s="1"/>
  <c r="G185" i="12" s="1"/>
  <c r="H185" i="12" s="1"/>
  <c r="I185" i="12" s="1"/>
  <c r="J185" i="12" s="1"/>
  <c r="K185" i="12" s="1"/>
  <c r="L185" i="12" s="1"/>
  <c r="M185" i="12" s="1"/>
  <c r="N185" i="12" s="1"/>
  <c r="O185" i="12" s="1"/>
  <c r="P185" i="12" s="1"/>
  <c r="Q185" i="12" s="1"/>
  <c r="R185" i="12" s="1"/>
  <c r="S185" i="12" s="1"/>
  <c r="T185" i="12" s="1"/>
  <c r="U185" i="12" s="1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B185" i="12" s="1"/>
  <c r="S184" i="12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B184" i="12" s="1"/>
  <c r="F184" i="12"/>
  <c r="G184" i="12" s="1"/>
  <c r="H184" i="12" s="1"/>
  <c r="I184" i="12" s="1"/>
  <c r="J184" i="12" s="1"/>
  <c r="K184" i="12" s="1"/>
  <c r="L184" i="12" s="1"/>
  <c r="M184" i="12" s="1"/>
  <c r="N184" i="12" s="1"/>
  <c r="O184" i="12" s="1"/>
  <c r="P184" i="12" s="1"/>
  <c r="Q184" i="12" s="1"/>
  <c r="R184" i="12" s="1"/>
  <c r="E184" i="12"/>
  <c r="D184" i="12"/>
  <c r="D183" i="12"/>
  <c r="E183" i="12" s="1"/>
  <c r="F183" i="12" s="1"/>
  <c r="G183" i="12" s="1"/>
  <c r="H183" i="12" s="1"/>
  <c r="I183" i="12" s="1"/>
  <c r="J183" i="12" s="1"/>
  <c r="K183" i="12" s="1"/>
  <c r="L183" i="12" s="1"/>
  <c r="M183" i="12" s="1"/>
  <c r="N183" i="12" s="1"/>
  <c r="O183" i="12" s="1"/>
  <c r="P183" i="12" s="1"/>
  <c r="Q183" i="12" s="1"/>
  <c r="R183" i="12" s="1"/>
  <c r="S183" i="12" s="1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B183" i="12" s="1"/>
  <c r="K182" i="12"/>
  <c r="L182" i="12" s="1"/>
  <c r="M182" i="12" s="1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AE182" i="12" s="1"/>
  <c r="AF182" i="12" s="1"/>
  <c r="B182" i="12" s="1"/>
  <c r="E182" i="12"/>
  <c r="F182" i="12" s="1"/>
  <c r="G182" i="12" s="1"/>
  <c r="H182" i="12" s="1"/>
  <c r="I182" i="12" s="1"/>
  <c r="J182" i="12" s="1"/>
  <c r="D182" i="12"/>
  <c r="H181" i="12"/>
  <c r="I181" i="12" s="1"/>
  <c r="J181" i="12" s="1"/>
  <c r="K181" i="12" s="1"/>
  <c r="L181" i="12" s="1"/>
  <c r="M181" i="12" s="1"/>
  <c r="N181" i="12" s="1"/>
  <c r="O181" i="12" s="1"/>
  <c r="P181" i="12" s="1"/>
  <c r="Q181" i="12" s="1"/>
  <c r="R181" i="12" s="1"/>
  <c r="S181" i="12" s="1"/>
  <c r="T181" i="12" s="1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B181" i="12" s="1"/>
  <c r="E181" i="12"/>
  <c r="F181" i="12" s="1"/>
  <c r="G181" i="12" s="1"/>
  <c r="D181" i="12"/>
  <c r="D180" i="12"/>
  <c r="E180" i="12" s="1"/>
  <c r="F180" i="12" s="1"/>
  <c r="G180" i="12" s="1"/>
  <c r="H180" i="12" s="1"/>
  <c r="I180" i="12" s="1"/>
  <c r="J180" i="12" s="1"/>
  <c r="K180" i="12" s="1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B180" i="12" s="1"/>
  <c r="S179" i="12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B179" i="12" s="1"/>
  <c r="D179" i="12"/>
  <c r="E179" i="12" s="1"/>
  <c r="F179" i="12" s="1"/>
  <c r="G179" i="12" s="1"/>
  <c r="H179" i="12" s="1"/>
  <c r="I179" i="12" s="1"/>
  <c r="J179" i="12" s="1"/>
  <c r="K179" i="12" s="1"/>
  <c r="L179" i="12" s="1"/>
  <c r="M179" i="12" s="1"/>
  <c r="N179" i="12" s="1"/>
  <c r="O179" i="12" s="1"/>
  <c r="P179" i="12" s="1"/>
  <c r="Q179" i="12" s="1"/>
  <c r="R179" i="12" s="1"/>
  <c r="M177" i="12"/>
  <c r="N177" i="12" s="1"/>
  <c r="O177" i="12" s="1"/>
  <c r="P177" i="12" s="1"/>
  <c r="Q177" i="12" s="1"/>
  <c r="R177" i="12" s="1"/>
  <c r="S177" i="12" s="1"/>
  <c r="T177" i="12" s="1"/>
  <c r="U177" i="12" s="1"/>
  <c r="V177" i="12" s="1"/>
  <c r="W177" i="12" s="1"/>
  <c r="X177" i="12" s="1"/>
  <c r="Y177" i="12" s="1"/>
  <c r="Z177" i="12" s="1"/>
  <c r="AA177" i="12" s="1"/>
  <c r="AB177" i="12" s="1"/>
  <c r="AC177" i="12" s="1"/>
  <c r="AD177" i="12" s="1"/>
  <c r="AE177" i="12" s="1"/>
  <c r="AF177" i="12" s="1"/>
  <c r="B177" i="12" s="1"/>
  <c r="E177" i="12"/>
  <c r="F177" i="12" s="1"/>
  <c r="G177" i="12" s="1"/>
  <c r="H177" i="12" s="1"/>
  <c r="I177" i="12" s="1"/>
  <c r="J177" i="12" s="1"/>
  <c r="K177" i="12" s="1"/>
  <c r="L177" i="12" s="1"/>
  <c r="D177" i="12"/>
  <c r="L176" i="12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B176" i="12" s="1"/>
  <c r="D176" i="12"/>
  <c r="E176" i="12" s="1"/>
  <c r="F176" i="12" s="1"/>
  <c r="G176" i="12" s="1"/>
  <c r="H176" i="12" s="1"/>
  <c r="I176" i="12" s="1"/>
  <c r="J176" i="12" s="1"/>
  <c r="K176" i="12" s="1"/>
  <c r="D175" i="12"/>
  <c r="E175" i="12" s="1"/>
  <c r="F175" i="12" s="1"/>
  <c r="G175" i="12" s="1"/>
  <c r="H175" i="12" s="1"/>
  <c r="I175" i="12" s="1"/>
  <c r="J175" i="12" s="1"/>
  <c r="K175" i="12" s="1"/>
  <c r="L175" i="12" s="1"/>
  <c r="M175" i="12" s="1"/>
  <c r="N175" i="12" s="1"/>
  <c r="O175" i="12" s="1"/>
  <c r="P175" i="12" s="1"/>
  <c r="Q175" i="12" s="1"/>
  <c r="R175" i="12" s="1"/>
  <c r="S175" i="12" s="1"/>
  <c r="T175" i="12" s="1"/>
  <c r="U175" i="12" s="1"/>
  <c r="V175" i="12" s="1"/>
  <c r="W175" i="12" s="1"/>
  <c r="X175" i="12" s="1"/>
  <c r="Y175" i="12" s="1"/>
  <c r="Z175" i="12" s="1"/>
  <c r="AA175" i="12" s="1"/>
  <c r="AB175" i="12" s="1"/>
  <c r="AC175" i="12" s="1"/>
  <c r="AD175" i="12" s="1"/>
  <c r="AE175" i="12" s="1"/>
  <c r="AF175" i="12" s="1"/>
  <c r="B175" i="12" s="1"/>
  <c r="R174" i="12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AD174" i="12" s="1"/>
  <c r="AE174" i="12" s="1"/>
  <c r="AF174" i="12" s="1"/>
  <c r="B174" i="12" s="1"/>
  <c r="D174" i="12"/>
  <c r="E174" i="12" s="1"/>
  <c r="F174" i="12" s="1"/>
  <c r="G174" i="12" s="1"/>
  <c r="H174" i="12" s="1"/>
  <c r="I174" i="12" s="1"/>
  <c r="J174" i="12" s="1"/>
  <c r="K174" i="12" s="1"/>
  <c r="L174" i="12" s="1"/>
  <c r="M174" i="12" s="1"/>
  <c r="N174" i="12" s="1"/>
  <c r="O174" i="12" s="1"/>
  <c r="P174" i="12" s="1"/>
  <c r="Q174" i="12" s="1"/>
  <c r="V173" i="12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B173" i="12" s="1"/>
  <c r="K173" i="12"/>
  <c r="L173" i="12" s="1"/>
  <c r="M173" i="12" s="1"/>
  <c r="N173" i="12" s="1"/>
  <c r="O173" i="12" s="1"/>
  <c r="P173" i="12" s="1"/>
  <c r="Q173" i="12" s="1"/>
  <c r="R173" i="12" s="1"/>
  <c r="S173" i="12" s="1"/>
  <c r="T173" i="12" s="1"/>
  <c r="U173" i="12" s="1"/>
  <c r="D173" i="12"/>
  <c r="E173" i="12" s="1"/>
  <c r="F173" i="12" s="1"/>
  <c r="G173" i="12" s="1"/>
  <c r="H173" i="12" s="1"/>
  <c r="I173" i="12" s="1"/>
  <c r="J173" i="12" s="1"/>
  <c r="D172" i="12"/>
  <c r="E172" i="12" s="1"/>
  <c r="F172" i="12" s="1"/>
  <c r="G172" i="12" s="1"/>
  <c r="H172" i="12" s="1"/>
  <c r="I172" i="12" s="1"/>
  <c r="J172" i="12" s="1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W172" i="12" s="1"/>
  <c r="X172" i="12" s="1"/>
  <c r="Y172" i="12" s="1"/>
  <c r="Z172" i="12" s="1"/>
  <c r="AA172" i="12" s="1"/>
  <c r="AB172" i="12" s="1"/>
  <c r="AC172" i="12" s="1"/>
  <c r="AD172" i="12" s="1"/>
  <c r="AE172" i="12" s="1"/>
  <c r="AF172" i="12" s="1"/>
  <c r="B172" i="12" s="1"/>
  <c r="P171" i="12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B171" i="12" s="1"/>
  <c r="G171" i="12"/>
  <c r="H171" i="12" s="1"/>
  <c r="I171" i="12" s="1"/>
  <c r="J171" i="12" s="1"/>
  <c r="K171" i="12" s="1"/>
  <c r="L171" i="12" s="1"/>
  <c r="M171" i="12" s="1"/>
  <c r="N171" i="12" s="1"/>
  <c r="O171" i="12" s="1"/>
  <c r="D171" i="12"/>
  <c r="E171" i="12" s="1"/>
  <c r="F171" i="12" s="1"/>
  <c r="E170" i="12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B170" i="12" s="1"/>
  <c r="D170" i="12"/>
  <c r="D168" i="12"/>
  <c r="E168" i="12" s="1"/>
  <c r="F168" i="12" s="1"/>
  <c r="G168" i="12" s="1"/>
  <c r="H168" i="12" s="1"/>
  <c r="I168" i="12" s="1"/>
  <c r="J168" i="12" s="1"/>
  <c r="K168" i="12" s="1"/>
  <c r="L168" i="12" s="1"/>
  <c r="M168" i="12" s="1"/>
  <c r="N168" i="12" s="1"/>
  <c r="O168" i="12" s="1"/>
  <c r="P168" i="12" s="1"/>
  <c r="Q168" i="12" s="1"/>
  <c r="R168" i="12" s="1"/>
  <c r="S168" i="12" s="1"/>
  <c r="T168" i="12" s="1"/>
  <c r="U168" i="12" s="1"/>
  <c r="V168" i="12" s="1"/>
  <c r="W168" i="12" s="1"/>
  <c r="X168" i="12" s="1"/>
  <c r="Y168" i="12" s="1"/>
  <c r="Z168" i="12" s="1"/>
  <c r="AA168" i="12" s="1"/>
  <c r="AB168" i="12" s="1"/>
  <c r="AC168" i="12" s="1"/>
  <c r="AD168" i="12" s="1"/>
  <c r="AE168" i="12" s="1"/>
  <c r="AF168" i="12" s="1"/>
  <c r="B168" i="12" s="1"/>
  <c r="H167" i="12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B167" i="12" s="1"/>
  <c r="E167" i="12"/>
  <c r="F167" i="12" s="1"/>
  <c r="G167" i="12" s="1"/>
  <c r="D167" i="12"/>
  <c r="F166" i="12"/>
  <c r="G166" i="12" s="1"/>
  <c r="H166" i="12" s="1"/>
  <c r="I166" i="12" s="1"/>
  <c r="J166" i="12" s="1"/>
  <c r="K166" i="12" s="1"/>
  <c r="L166" i="12" s="1"/>
  <c r="M166" i="12" s="1"/>
  <c r="N166" i="12" s="1"/>
  <c r="O166" i="12" s="1"/>
  <c r="P166" i="12" s="1"/>
  <c r="Q166" i="12" s="1"/>
  <c r="R166" i="12" s="1"/>
  <c r="S166" i="12" s="1"/>
  <c r="T166" i="12" s="1"/>
  <c r="U166" i="12" s="1"/>
  <c r="V166" i="12" s="1"/>
  <c r="W166" i="12" s="1"/>
  <c r="X166" i="12" s="1"/>
  <c r="Y166" i="12" s="1"/>
  <c r="Z166" i="12" s="1"/>
  <c r="AA166" i="12" s="1"/>
  <c r="AB166" i="12" s="1"/>
  <c r="AC166" i="12" s="1"/>
  <c r="AD166" i="12" s="1"/>
  <c r="AE166" i="12" s="1"/>
  <c r="AF166" i="12" s="1"/>
  <c r="B166" i="12" s="1"/>
  <c r="E166" i="12"/>
  <c r="D166" i="12"/>
  <c r="D165" i="12"/>
  <c r="E165" i="12" s="1"/>
  <c r="F165" i="12" s="1"/>
  <c r="G165" i="12" s="1"/>
  <c r="H165" i="12" s="1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B165" i="12" s="1"/>
  <c r="H164" i="12"/>
  <c r="I164" i="12" s="1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B164" i="12" s="1"/>
  <c r="G164" i="12"/>
  <c r="D164" i="12"/>
  <c r="E164" i="12" s="1"/>
  <c r="F164" i="12" s="1"/>
  <c r="E163" i="12"/>
  <c r="F163" i="12" s="1"/>
  <c r="G163" i="12" s="1"/>
  <c r="H163" i="12" s="1"/>
  <c r="I163" i="12" s="1"/>
  <c r="J163" i="12" s="1"/>
  <c r="K163" i="12" s="1"/>
  <c r="L163" i="12" s="1"/>
  <c r="M163" i="12" s="1"/>
  <c r="N163" i="12" s="1"/>
  <c r="O163" i="12" s="1"/>
  <c r="P163" i="12" s="1"/>
  <c r="Q163" i="12" s="1"/>
  <c r="R163" i="12" s="1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B163" i="12" s="1"/>
  <c r="D163" i="12"/>
  <c r="D162" i="12"/>
  <c r="E162" i="12" s="1"/>
  <c r="F162" i="12" s="1"/>
  <c r="G162" i="12" s="1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B162" i="12" s="1"/>
  <c r="E161" i="12"/>
  <c r="F161" i="12" s="1"/>
  <c r="G161" i="12" s="1"/>
  <c r="H161" i="12" s="1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B161" i="12" s="1"/>
  <c r="D161" i="12"/>
  <c r="J160" i="12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B160" i="12" s="1"/>
  <c r="G160" i="12"/>
  <c r="H160" i="12" s="1"/>
  <c r="I160" i="12" s="1"/>
  <c r="D160" i="12"/>
  <c r="E160" i="12" s="1"/>
  <c r="F160" i="12" s="1"/>
  <c r="E159" i="12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B159" i="12" s="1"/>
  <c r="D159" i="12"/>
  <c r="P158" i="12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B158" i="12" s="1"/>
  <c r="H158" i="12"/>
  <c r="I158" i="12" s="1"/>
  <c r="J158" i="12" s="1"/>
  <c r="K158" i="12" s="1"/>
  <c r="L158" i="12" s="1"/>
  <c r="M158" i="12" s="1"/>
  <c r="N158" i="12" s="1"/>
  <c r="O158" i="12" s="1"/>
  <c r="E158" i="12"/>
  <c r="F158" i="12" s="1"/>
  <c r="G158" i="12" s="1"/>
  <c r="D158" i="12"/>
  <c r="F157" i="12"/>
  <c r="G157" i="12" s="1"/>
  <c r="H157" i="12" s="1"/>
  <c r="I157" i="12" s="1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B157" i="12" s="1"/>
  <c r="D157" i="12"/>
  <c r="E157" i="12" s="1"/>
  <c r="Q156" i="12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B156" i="12" s="1"/>
  <c r="D156" i="12"/>
  <c r="E156" i="12" s="1"/>
  <c r="F156" i="12" s="1"/>
  <c r="G156" i="12" s="1"/>
  <c r="H156" i="12" s="1"/>
  <c r="I156" i="12" s="1"/>
  <c r="J156" i="12" s="1"/>
  <c r="K156" i="12" s="1"/>
  <c r="L156" i="12" s="1"/>
  <c r="M156" i="12" s="1"/>
  <c r="N156" i="12" s="1"/>
  <c r="O156" i="12" s="1"/>
  <c r="P156" i="12" s="1"/>
  <c r="J154" i="12"/>
  <c r="K154" i="12" s="1"/>
  <c r="L154" i="12" s="1"/>
  <c r="M154" i="12" s="1"/>
  <c r="N154" i="12" s="1"/>
  <c r="O154" i="12" s="1"/>
  <c r="P154" i="12" s="1"/>
  <c r="Q154" i="12" s="1"/>
  <c r="R154" i="12" s="1"/>
  <c r="S154" i="12" s="1"/>
  <c r="T154" i="12" s="1"/>
  <c r="U154" i="12" s="1"/>
  <c r="V154" i="12" s="1"/>
  <c r="W154" i="12" s="1"/>
  <c r="X154" i="12" s="1"/>
  <c r="Y154" i="12" s="1"/>
  <c r="Z154" i="12" s="1"/>
  <c r="AA154" i="12" s="1"/>
  <c r="AB154" i="12" s="1"/>
  <c r="AC154" i="12" s="1"/>
  <c r="AD154" i="12" s="1"/>
  <c r="AE154" i="12" s="1"/>
  <c r="AF154" i="12" s="1"/>
  <c r="B154" i="12" s="1"/>
  <c r="E154" i="12"/>
  <c r="F154" i="12" s="1"/>
  <c r="G154" i="12" s="1"/>
  <c r="H154" i="12" s="1"/>
  <c r="I154" i="12" s="1"/>
  <c r="D154" i="12"/>
  <c r="E153" i="12"/>
  <c r="F153" i="12" s="1"/>
  <c r="G153" i="12" s="1"/>
  <c r="H153" i="12" s="1"/>
  <c r="I153" i="12" s="1"/>
  <c r="J153" i="12" s="1"/>
  <c r="K153" i="12" s="1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B153" i="12" s="1"/>
  <c r="D153" i="12"/>
  <c r="I152" i="12"/>
  <c r="J152" i="12" s="1"/>
  <c r="K152" i="12" s="1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B152" i="12" s="1"/>
  <c r="D152" i="12"/>
  <c r="E152" i="12" s="1"/>
  <c r="F152" i="12" s="1"/>
  <c r="G152" i="12" s="1"/>
  <c r="H152" i="12" s="1"/>
  <c r="I151" i="12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B151" i="12" s="1"/>
  <c r="D151" i="12"/>
  <c r="E151" i="12" s="1"/>
  <c r="F151" i="12" s="1"/>
  <c r="G151" i="12" s="1"/>
  <c r="H151" i="12" s="1"/>
  <c r="G149" i="12"/>
  <c r="H149" i="12" s="1"/>
  <c r="I149" i="12" s="1"/>
  <c r="J149" i="12" s="1"/>
  <c r="K149" i="12" s="1"/>
  <c r="L149" i="12" s="1"/>
  <c r="M149" i="12" s="1"/>
  <c r="N149" i="12" s="1"/>
  <c r="O149" i="12" s="1"/>
  <c r="P149" i="12" s="1"/>
  <c r="Q149" i="12" s="1"/>
  <c r="R149" i="12" s="1"/>
  <c r="S149" i="12" s="1"/>
  <c r="T149" i="12" s="1"/>
  <c r="U149" i="12" s="1"/>
  <c r="V149" i="12" s="1"/>
  <c r="W149" i="12" s="1"/>
  <c r="X149" i="12" s="1"/>
  <c r="Y149" i="12" s="1"/>
  <c r="Z149" i="12" s="1"/>
  <c r="AA149" i="12" s="1"/>
  <c r="AB149" i="12" s="1"/>
  <c r="AC149" i="12" s="1"/>
  <c r="AD149" i="12" s="1"/>
  <c r="AE149" i="12" s="1"/>
  <c r="AF149" i="12" s="1"/>
  <c r="B149" i="12" s="1"/>
  <c r="E149" i="12"/>
  <c r="F149" i="12" s="1"/>
  <c r="D149" i="12"/>
  <c r="H148" i="12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B148" i="12" s="1"/>
  <c r="E148" i="12"/>
  <c r="F148" i="12" s="1"/>
  <c r="G148" i="12" s="1"/>
  <c r="D148" i="12"/>
  <c r="G146" i="12"/>
  <c r="H146" i="12" s="1"/>
  <c r="I146" i="12" s="1"/>
  <c r="J146" i="12" s="1"/>
  <c r="K146" i="12" s="1"/>
  <c r="L146" i="12" s="1"/>
  <c r="M146" i="12" s="1"/>
  <c r="N146" i="12" s="1"/>
  <c r="O146" i="12" s="1"/>
  <c r="P146" i="12" s="1"/>
  <c r="Q146" i="12" s="1"/>
  <c r="R146" i="12" s="1"/>
  <c r="S146" i="12" s="1"/>
  <c r="T146" i="12" s="1"/>
  <c r="U146" i="12" s="1"/>
  <c r="V146" i="12" s="1"/>
  <c r="W146" i="12" s="1"/>
  <c r="X146" i="12" s="1"/>
  <c r="Y146" i="12" s="1"/>
  <c r="Z146" i="12" s="1"/>
  <c r="AA146" i="12" s="1"/>
  <c r="AB146" i="12" s="1"/>
  <c r="AC146" i="12" s="1"/>
  <c r="AD146" i="12" s="1"/>
  <c r="AE146" i="12" s="1"/>
  <c r="AF146" i="12" s="1"/>
  <c r="B146" i="12" s="1"/>
  <c r="D146" i="12"/>
  <c r="E146" i="12" s="1"/>
  <c r="F146" i="12" s="1"/>
  <c r="D145" i="12"/>
  <c r="E145" i="12" s="1"/>
  <c r="F145" i="12" s="1"/>
  <c r="G145" i="12" s="1"/>
  <c r="H145" i="12" s="1"/>
  <c r="I145" i="12" s="1"/>
  <c r="J145" i="12" s="1"/>
  <c r="K145" i="12" s="1"/>
  <c r="L145" i="12" s="1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B145" i="12" s="1"/>
  <c r="O144" i="12"/>
  <c r="P144" i="12" s="1"/>
  <c r="Q144" i="12" s="1"/>
  <c r="R144" i="12" s="1"/>
  <c r="S144" i="12" s="1"/>
  <c r="T144" i="12" s="1"/>
  <c r="U144" i="12" s="1"/>
  <c r="V144" i="12" s="1"/>
  <c r="W144" i="12" s="1"/>
  <c r="X144" i="12" s="1"/>
  <c r="Y144" i="12" s="1"/>
  <c r="Z144" i="12" s="1"/>
  <c r="AA144" i="12" s="1"/>
  <c r="AB144" i="12" s="1"/>
  <c r="AC144" i="12" s="1"/>
  <c r="AD144" i="12" s="1"/>
  <c r="AE144" i="12" s="1"/>
  <c r="AF144" i="12" s="1"/>
  <c r="B144" i="12" s="1"/>
  <c r="E144" i="12"/>
  <c r="F144" i="12" s="1"/>
  <c r="G144" i="12" s="1"/>
  <c r="H144" i="12" s="1"/>
  <c r="I144" i="12" s="1"/>
  <c r="J144" i="12" s="1"/>
  <c r="K144" i="12" s="1"/>
  <c r="L144" i="12" s="1"/>
  <c r="M144" i="12" s="1"/>
  <c r="N144" i="12" s="1"/>
  <c r="D144" i="12"/>
  <c r="P143" i="12"/>
  <c r="Q143" i="12" s="1"/>
  <c r="R143" i="12" s="1"/>
  <c r="S143" i="12" s="1"/>
  <c r="T143" i="12" s="1"/>
  <c r="U143" i="12" s="1"/>
  <c r="V143" i="12" s="1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B143" i="12" s="1"/>
  <c r="E143" i="12"/>
  <c r="F143" i="12" s="1"/>
  <c r="G143" i="12" s="1"/>
  <c r="H143" i="12" s="1"/>
  <c r="I143" i="12" s="1"/>
  <c r="J143" i="12" s="1"/>
  <c r="K143" i="12" s="1"/>
  <c r="L143" i="12" s="1"/>
  <c r="M143" i="12" s="1"/>
  <c r="N143" i="12" s="1"/>
  <c r="O143" i="12" s="1"/>
  <c r="D143" i="12"/>
  <c r="AE142" i="12"/>
  <c r="AF142" i="12" s="1"/>
  <c r="B142" i="12" s="1"/>
  <c r="D142" i="12"/>
  <c r="E142" i="12" s="1"/>
  <c r="F142" i="12" s="1"/>
  <c r="G142" i="12" s="1"/>
  <c r="H142" i="12" s="1"/>
  <c r="I142" i="12" s="1"/>
  <c r="J142" i="12" s="1"/>
  <c r="K142" i="12" s="1"/>
  <c r="L142" i="12" s="1"/>
  <c r="M142" i="12" s="1"/>
  <c r="N142" i="12" s="1"/>
  <c r="O142" i="12" s="1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Y141" i="12"/>
  <c r="Z141" i="12" s="1"/>
  <c r="AA141" i="12" s="1"/>
  <c r="AB141" i="12" s="1"/>
  <c r="AC141" i="12" s="1"/>
  <c r="AD141" i="12" s="1"/>
  <c r="AE141" i="12" s="1"/>
  <c r="AF141" i="12" s="1"/>
  <c r="B141" i="12" s="1"/>
  <c r="U141" i="12"/>
  <c r="V141" i="12" s="1"/>
  <c r="W141" i="12" s="1"/>
  <c r="X141" i="12" s="1"/>
  <c r="E141" i="12"/>
  <c r="F141" i="12" s="1"/>
  <c r="G141" i="12" s="1"/>
  <c r="H141" i="12" s="1"/>
  <c r="I141" i="12" s="1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D141" i="12"/>
  <c r="G140" i="12"/>
  <c r="H140" i="12" s="1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B140" i="12" s="1"/>
  <c r="E140" i="12"/>
  <c r="F140" i="12" s="1"/>
  <c r="D140" i="12"/>
  <c r="H138" i="12"/>
  <c r="I138" i="12" s="1"/>
  <c r="J138" i="12" s="1"/>
  <c r="K138" i="12" s="1"/>
  <c r="L138" i="12" s="1"/>
  <c r="M138" i="12" s="1"/>
  <c r="N138" i="12" s="1"/>
  <c r="O138" i="12" s="1"/>
  <c r="P138" i="12" s="1"/>
  <c r="Q138" i="12" s="1"/>
  <c r="R138" i="12" s="1"/>
  <c r="S138" i="12" s="1"/>
  <c r="T138" i="12" s="1"/>
  <c r="U138" i="12" s="1"/>
  <c r="V138" i="12" s="1"/>
  <c r="W138" i="12" s="1"/>
  <c r="X138" i="12" s="1"/>
  <c r="Y138" i="12" s="1"/>
  <c r="Z138" i="12" s="1"/>
  <c r="AA138" i="12" s="1"/>
  <c r="AB138" i="12" s="1"/>
  <c r="AC138" i="12" s="1"/>
  <c r="AD138" i="12" s="1"/>
  <c r="AE138" i="12" s="1"/>
  <c r="AF138" i="12" s="1"/>
  <c r="B138" i="12" s="1"/>
  <c r="D138" i="12"/>
  <c r="E138" i="12" s="1"/>
  <c r="F138" i="12" s="1"/>
  <c r="G138" i="12" s="1"/>
  <c r="L137" i="12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AD137" i="12" s="1"/>
  <c r="AE137" i="12" s="1"/>
  <c r="AF137" i="12" s="1"/>
  <c r="B137" i="12" s="1"/>
  <c r="G137" i="12"/>
  <c r="H137" i="12" s="1"/>
  <c r="I137" i="12" s="1"/>
  <c r="J137" i="12" s="1"/>
  <c r="K137" i="12" s="1"/>
  <c r="D137" i="12"/>
  <c r="E137" i="12" s="1"/>
  <c r="F137" i="12" s="1"/>
  <c r="F136" i="12"/>
  <c r="G136" i="12" s="1"/>
  <c r="H136" i="12" s="1"/>
  <c r="I136" i="12" s="1"/>
  <c r="J136" i="12" s="1"/>
  <c r="K136" i="12" s="1"/>
  <c r="L136" i="12" s="1"/>
  <c r="M136" i="12" s="1"/>
  <c r="N136" i="12" s="1"/>
  <c r="O136" i="12" s="1"/>
  <c r="P136" i="12" s="1"/>
  <c r="Q136" i="12" s="1"/>
  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B136" i="12" s="1"/>
  <c r="D136" i="12"/>
  <c r="E136" i="12" s="1"/>
  <c r="D135" i="12"/>
  <c r="E135" i="12" s="1"/>
  <c r="F135" i="12" s="1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B135" i="12" s="1"/>
  <c r="E134" i="12"/>
  <c r="F134" i="12" s="1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B134" i="12" s="1"/>
  <c r="D134" i="12"/>
  <c r="T133" i="12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B133" i="12" s="1"/>
  <c r="D133" i="12"/>
  <c r="E133" i="12" s="1"/>
  <c r="F133" i="12" s="1"/>
  <c r="G133" i="12" s="1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AC132" i="12"/>
  <c r="AD132" i="12" s="1"/>
  <c r="AE132" i="12" s="1"/>
  <c r="AF132" i="12" s="1"/>
  <c r="B132" i="12" s="1"/>
  <c r="Y132" i="12"/>
  <c r="Z132" i="12" s="1"/>
  <c r="AA132" i="12" s="1"/>
  <c r="AB132" i="12" s="1"/>
  <c r="E132" i="12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D132" i="12"/>
  <c r="D131" i="12"/>
  <c r="E131" i="12" s="1"/>
  <c r="F131" i="12" s="1"/>
  <c r="G131" i="12" s="1"/>
  <c r="H131" i="12" s="1"/>
  <c r="I131" i="12" s="1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B131" i="12" s="1"/>
  <c r="S129" i="12"/>
  <c r="T129" i="12" s="1"/>
  <c r="U129" i="12" s="1"/>
  <c r="V129" i="12" s="1"/>
  <c r="W129" i="12" s="1"/>
  <c r="X129" i="12" s="1"/>
  <c r="Y129" i="12" s="1"/>
  <c r="Z129" i="12" s="1"/>
  <c r="AA129" i="12" s="1"/>
  <c r="AB129" i="12" s="1"/>
  <c r="AC129" i="12" s="1"/>
  <c r="AD129" i="12" s="1"/>
  <c r="AE129" i="12" s="1"/>
  <c r="AF129" i="12" s="1"/>
  <c r="B129" i="12" s="1"/>
  <c r="E129" i="12"/>
  <c r="F129" i="12" s="1"/>
  <c r="G129" i="12" s="1"/>
  <c r="H129" i="12" s="1"/>
  <c r="I129" i="12" s="1"/>
  <c r="J129" i="12" s="1"/>
  <c r="K129" i="12" s="1"/>
  <c r="L129" i="12" s="1"/>
  <c r="M129" i="12" s="1"/>
  <c r="N129" i="12" s="1"/>
  <c r="O129" i="12" s="1"/>
  <c r="P129" i="12" s="1"/>
  <c r="Q129" i="12" s="1"/>
  <c r="R129" i="12" s="1"/>
  <c r="D129" i="12"/>
  <c r="E128" i="12"/>
  <c r="F128" i="12" s="1"/>
  <c r="G128" i="12" s="1"/>
  <c r="H128" i="12" s="1"/>
  <c r="I128" i="12" s="1"/>
  <c r="J128" i="12" s="1"/>
  <c r="K128" i="12" s="1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B128" i="12" s="1"/>
  <c r="D128" i="12"/>
  <c r="S127" i="12"/>
  <c r="T127" i="12" s="1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B127" i="12" s="1"/>
  <c r="F127" i="12"/>
  <c r="G127" i="12" s="1"/>
  <c r="H127" i="12" s="1"/>
  <c r="I127" i="12" s="1"/>
  <c r="J127" i="12" s="1"/>
  <c r="K127" i="12" s="1"/>
  <c r="L127" i="12" s="1"/>
  <c r="M127" i="12" s="1"/>
  <c r="N127" i="12" s="1"/>
  <c r="O127" i="12" s="1"/>
  <c r="P127" i="12" s="1"/>
  <c r="Q127" i="12" s="1"/>
  <c r="R127" i="12" s="1"/>
  <c r="D127" i="12"/>
  <c r="E127" i="12" s="1"/>
  <c r="D126" i="12"/>
  <c r="E126" i="12" s="1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B126" i="12" s="1"/>
  <c r="R125" i="12"/>
  <c r="S125" i="12" s="1"/>
  <c r="T125" i="12" s="1"/>
  <c r="U125" i="12" s="1"/>
  <c r="V125" i="12" s="1"/>
  <c r="W125" i="12" s="1"/>
  <c r="X125" i="12" s="1"/>
  <c r="Y125" i="12" s="1"/>
  <c r="Z125" i="12" s="1"/>
  <c r="AA125" i="12" s="1"/>
  <c r="AB125" i="12" s="1"/>
  <c r="AC125" i="12" s="1"/>
  <c r="AD125" i="12" s="1"/>
  <c r="AE125" i="12" s="1"/>
  <c r="AF125" i="12" s="1"/>
  <c r="B125" i="12" s="1"/>
  <c r="J125" i="12"/>
  <c r="K125" i="12" s="1"/>
  <c r="L125" i="12" s="1"/>
  <c r="M125" i="12" s="1"/>
  <c r="N125" i="12" s="1"/>
  <c r="O125" i="12" s="1"/>
  <c r="P125" i="12" s="1"/>
  <c r="Q125" i="12" s="1"/>
  <c r="F125" i="12"/>
  <c r="G125" i="12" s="1"/>
  <c r="H125" i="12" s="1"/>
  <c r="D125" i="12"/>
  <c r="E125" i="12" s="1"/>
  <c r="H124" i="12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B124" i="12" s="1"/>
  <c r="G124" i="12"/>
  <c r="D124" i="12"/>
  <c r="E124" i="12" s="1"/>
  <c r="F124" i="12" s="1"/>
  <c r="F123" i="12"/>
  <c r="G123" i="12" s="1"/>
  <c r="H123" i="12" s="1"/>
  <c r="I123" i="12" s="1"/>
  <c r="J123" i="12" s="1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B123" i="12" s="1"/>
  <c r="E123" i="12"/>
  <c r="D123" i="12"/>
  <c r="L122" i="12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B122" i="12" s="1"/>
  <c r="G122" i="12"/>
  <c r="H122" i="12" s="1"/>
  <c r="I122" i="12" s="1"/>
  <c r="J122" i="12" s="1"/>
  <c r="K122" i="12" s="1"/>
  <c r="F122" i="12"/>
  <c r="D122" i="12"/>
  <c r="E122" i="12" s="1"/>
  <c r="E121" i="12"/>
  <c r="F121" i="12" s="1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B121" i="12" s="1"/>
  <c r="D121" i="12"/>
  <c r="D120" i="12"/>
  <c r="E120" i="12" s="1"/>
  <c r="F120" i="12" s="1"/>
  <c r="G120" i="12" s="1"/>
  <c r="H120" i="12" s="1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B120" i="12" s="1"/>
  <c r="I119" i="12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B119" i="12" s="1"/>
  <c r="E119" i="12"/>
  <c r="F119" i="12" s="1"/>
  <c r="G119" i="12" s="1"/>
  <c r="H119" i="12" s="1"/>
  <c r="D119" i="12"/>
  <c r="G118" i="12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B118" i="12" s="1"/>
  <c r="E118" i="12"/>
  <c r="F118" i="12" s="1"/>
  <c r="D118" i="12"/>
  <c r="M117" i="12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B117" i="12" s="1"/>
  <c r="F117" i="12"/>
  <c r="G117" i="12" s="1"/>
  <c r="H117" i="12" s="1"/>
  <c r="I117" i="12" s="1"/>
  <c r="J117" i="12" s="1"/>
  <c r="K117" i="12" s="1"/>
  <c r="L117" i="12" s="1"/>
  <c r="E117" i="12"/>
  <c r="D117" i="12"/>
  <c r="L116" i="12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B116" i="12" s="1"/>
  <c r="K116" i="12"/>
  <c r="D116" i="12"/>
  <c r="E116" i="12" s="1"/>
  <c r="F116" i="12" s="1"/>
  <c r="G116" i="12" s="1"/>
  <c r="H116" i="12" s="1"/>
  <c r="I116" i="12" s="1"/>
  <c r="J116" i="12" s="1"/>
  <c r="J115" i="12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B115" i="12" s="1"/>
  <c r="I115" i="12"/>
  <c r="E115" i="12"/>
  <c r="F115" i="12" s="1"/>
  <c r="G115" i="12" s="1"/>
  <c r="H115" i="12" s="1"/>
  <c r="D115" i="12"/>
  <c r="P114" i="12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B114" i="12" s="1"/>
  <c r="O114" i="12"/>
  <c r="K114" i="12"/>
  <c r="L114" i="12" s="1"/>
  <c r="M114" i="12" s="1"/>
  <c r="N114" i="12" s="1"/>
  <c r="D114" i="12"/>
  <c r="E114" i="12" s="1"/>
  <c r="F114" i="12" s="1"/>
  <c r="G114" i="12" s="1"/>
  <c r="H114" i="12" s="1"/>
  <c r="I114" i="12" s="1"/>
  <c r="D113" i="12"/>
  <c r="E113" i="12" s="1"/>
  <c r="F113" i="12" s="1"/>
  <c r="G113" i="12" s="1"/>
  <c r="H113" i="12" s="1"/>
  <c r="I113" i="12" s="1"/>
  <c r="J113" i="12" s="1"/>
  <c r="K113" i="12" s="1"/>
  <c r="L113" i="12" s="1"/>
  <c r="M113" i="12" s="1"/>
  <c r="N113" i="12" s="1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B113" i="12" s="1"/>
  <c r="J112" i="12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B112" i="12" s="1"/>
  <c r="F112" i="12"/>
  <c r="G112" i="12" s="1"/>
  <c r="H112" i="12" s="1"/>
  <c r="I112" i="12" s="1"/>
  <c r="E112" i="12"/>
  <c r="D112" i="12"/>
  <c r="D110" i="12"/>
  <c r="E110" i="12" s="1"/>
  <c r="F110" i="12" s="1"/>
  <c r="G110" i="12" s="1"/>
  <c r="H110" i="12" s="1"/>
  <c r="I110" i="12" s="1"/>
  <c r="J110" i="12" s="1"/>
  <c r="K110" i="12" s="1"/>
  <c r="L110" i="12" s="1"/>
  <c r="M110" i="12" s="1"/>
  <c r="N110" i="12" s="1"/>
  <c r="O110" i="12" s="1"/>
  <c r="P110" i="12" s="1"/>
  <c r="Q110" i="12" s="1"/>
  <c r="R110" i="12" s="1"/>
  <c r="S110" i="12" s="1"/>
  <c r="T110" i="12" s="1"/>
  <c r="U110" i="12" s="1"/>
  <c r="V110" i="12" s="1"/>
  <c r="W110" i="12" s="1"/>
  <c r="X110" i="12" s="1"/>
  <c r="Y110" i="12" s="1"/>
  <c r="Z110" i="12" s="1"/>
  <c r="AA110" i="12" s="1"/>
  <c r="AB110" i="12" s="1"/>
  <c r="AC110" i="12" s="1"/>
  <c r="AD110" i="12" s="1"/>
  <c r="AE110" i="12" s="1"/>
  <c r="AF110" i="12" s="1"/>
  <c r="B110" i="12" s="1"/>
  <c r="F109" i="12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B109" i="12" s="1"/>
  <c r="D109" i="12"/>
  <c r="E109" i="12" s="1"/>
  <c r="D107" i="12"/>
  <c r="E107" i="12" s="1"/>
  <c r="F107" i="12" s="1"/>
  <c r="G107" i="12" s="1"/>
  <c r="H107" i="12" s="1"/>
  <c r="I107" i="12" s="1"/>
  <c r="J107" i="12" s="1"/>
  <c r="K107" i="12" s="1"/>
  <c r="L107" i="12" s="1"/>
  <c r="M107" i="12" s="1"/>
  <c r="N107" i="12" s="1"/>
  <c r="O107" i="12" s="1"/>
  <c r="P107" i="12" s="1"/>
  <c r="Q107" i="12" s="1"/>
  <c r="R107" i="12" s="1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AC107" i="12" s="1"/>
  <c r="AD107" i="12" s="1"/>
  <c r="AE107" i="12" s="1"/>
  <c r="AF107" i="12" s="1"/>
  <c r="B107" i="12" s="1"/>
  <c r="J106" i="12"/>
  <c r="K106" i="12" s="1"/>
  <c r="L106" i="12" s="1"/>
  <c r="M106" i="12" s="1"/>
  <c r="N106" i="12" s="1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B106" i="12" s="1"/>
  <c r="F106" i="12"/>
  <c r="G106" i="12" s="1"/>
  <c r="H106" i="12" s="1"/>
  <c r="I106" i="12" s="1"/>
  <c r="E106" i="12"/>
  <c r="D106" i="12"/>
  <c r="D105" i="12"/>
  <c r="E105" i="12" s="1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B105" i="12" s="1"/>
  <c r="F104" i="12"/>
  <c r="G104" i="12" s="1"/>
  <c r="H104" i="12" s="1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B104" i="12" s="1"/>
  <c r="D104" i="12"/>
  <c r="E104" i="12" s="1"/>
  <c r="D103" i="12"/>
  <c r="E103" i="12" s="1"/>
  <c r="F102" i="12"/>
  <c r="E102" i="12"/>
  <c r="D102" i="12"/>
  <c r="AH100" i="12"/>
  <c r="AI100" i="12" s="1"/>
  <c r="AH99" i="12"/>
  <c r="AI99" i="12" s="1"/>
  <c r="AH98" i="12"/>
  <c r="AI98" i="12" s="1"/>
  <c r="AH97" i="12"/>
  <c r="AI97" i="12" s="1"/>
  <c r="AH96" i="12"/>
  <c r="AI96" i="12" s="1"/>
  <c r="AH95" i="12"/>
  <c r="AI95" i="12" s="1"/>
  <c r="AH94" i="12"/>
  <c r="AI94" i="12" s="1"/>
  <c r="D93" i="12"/>
  <c r="C93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2" i="12"/>
  <c r="AH82" i="12"/>
  <c r="AG82" i="12"/>
  <c r="AI81" i="12"/>
  <c r="AH81" i="12"/>
  <c r="AI80" i="12"/>
  <c r="AH80" i="12"/>
  <c r="AI79" i="12"/>
  <c r="AH79" i="12"/>
  <c r="AI78" i="12"/>
  <c r="AH78" i="12"/>
  <c r="AI77" i="12"/>
  <c r="AH77" i="12"/>
  <c r="AI76" i="12"/>
  <c r="AH76" i="12"/>
  <c r="AI74" i="12"/>
  <c r="AH74" i="12"/>
  <c r="AI73" i="12"/>
  <c r="AH73" i="12"/>
  <c r="AI72" i="12"/>
  <c r="AH72" i="12"/>
  <c r="AG72" i="12"/>
  <c r="AI71" i="12"/>
  <c r="AH71" i="12"/>
  <c r="AI70" i="12"/>
  <c r="AH70" i="12"/>
  <c r="AI69" i="12"/>
  <c r="AH69" i="12"/>
  <c r="AG68" i="12"/>
  <c r="AG75" i="12" s="1"/>
  <c r="AF68" i="12"/>
  <c r="AE5" i="12" s="1"/>
  <c r="AE68" i="12"/>
  <c r="AD68" i="12"/>
  <c r="AC5" i="12" s="1"/>
  <c r="AC68" i="12"/>
  <c r="AB68" i="12"/>
  <c r="AA5" i="12" s="1"/>
  <c r="AA68" i="12"/>
  <c r="Z5" i="12" s="1"/>
  <c r="Z68" i="12"/>
  <c r="Y68" i="12"/>
  <c r="X5" i="12" s="1"/>
  <c r="X68" i="12"/>
  <c r="W5" i="12" s="1"/>
  <c r="W68" i="12"/>
  <c r="V68" i="12"/>
  <c r="U68" i="12"/>
  <c r="T5" i="12" s="1"/>
  <c r="T68" i="12"/>
  <c r="S68" i="12"/>
  <c r="R5" i="12" s="1"/>
  <c r="R68" i="12"/>
  <c r="Q68" i="12"/>
  <c r="P68" i="12"/>
  <c r="O68" i="12"/>
  <c r="N5" i="12" s="1"/>
  <c r="N68" i="12"/>
  <c r="M68" i="12"/>
  <c r="L68" i="12"/>
  <c r="K5" i="12" s="1"/>
  <c r="K68" i="12"/>
  <c r="J68" i="12"/>
  <c r="I68" i="12"/>
  <c r="H68" i="12"/>
  <c r="G68" i="12"/>
  <c r="F68" i="12"/>
  <c r="E68" i="12"/>
  <c r="D5" i="12" s="1"/>
  <c r="D68" i="12"/>
  <c r="C5" i="12" s="1"/>
  <c r="C68" i="12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AI55" i="12"/>
  <c r="AH55" i="12"/>
  <c r="AI54" i="12"/>
  <c r="AH54" i="12"/>
  <c r="AI53" i="12"/>
  <c r="AH53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I51" i="12"/>
  <c r="AH51" i="12"/>
  <c r="AG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G38" i="12"/>
  <c r="AG2" i="12" s="1"/>
  <c r="AG6" i="12" s="1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F5" i="12"/>
  <c r="AD5" i="12"/>
  <c r="AB5" i="12"/>
  <c r="Y5" i="12"/>
  <c r="V5" i="12"/>
  <c r="U5" i="12"/>
  <c r="Q5" i="12"/>
  <c r="O5" i="12"/>
  <c r="M5" i="12"/>
  <c r="L5" i="12"/>
  <c r="I5" i="12"/>
  <c r="H5" i="12"/>
  <c r="G5" i="12"/>
  <c r="F5" i="12"/>
  <c r="E5" i="12"/>
  <c r="AG4" i="12"/>
  <c r="K4" i="12"/>
  <c r="B4" i="12"/>
  <c r="AG3" i="12"/>
  <c r="AF95" i="11"/>
  <c r="AE95" i="11"/>
  <c r="AD95" i="11"/>
  <c r="AC95" i="11"/>
  <c r="Z95" i="11"/>
  <c r="X95" i="11"/>
  <c r="S37" i="11"/>
  <c r="R56" i="11"/>
  <c r="R38" i="11"/>
  <c r="R52" i="11"/>
  <c r="R68" i="11"/>
  <c r="R95" i="11"/>
  <c r="R37" i="11"/>
  <c r="Q95" i="11"/>
  <c r="Q37" i="11"/>
  <c r="P95" i="11"/>
  <c r="P37" i="11"/>
  <c r="O95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B235" i="11"/>
  <c r="S210" i="11"/>
  <c r="AG200" i="11"/>
  <c r="D200" i="11"/>
  <c r="C200" i="11"/>
  <c r="D199" i="11"/>
  <c r="C235" i="11" s="1"/>
  <c r="F198" i="11"/>
  <c r="G198" i="11" s="1"/>
  <c r="H198" i="11" s="1"/>
  <c r="I198" i="11" s="1"/>
  <c r="J198" i="11" s="1"/>
  <c r="K198" i="11" s="1"/>
  <c r="L198" i="11" s="1"/>
  <c r="M198" i="11" s="1"/>
  <c r="N198" i="11" s="1"/>
  <c r="O198" i="11" s="1"/>
  <c r="P198" i="11" s="1"/>
  <c r="Q198" i="11" s="1"/>
  <c r="R198" i="11" s="1"/>
  <c r="S198" i="11" s="1"/>
  <c r="T198" i="11" s="1"/>
  <c r="U198" i="11" s="1"/>
  <c r="V198" i="11" s="1"/>
  <c r="W198" i="11" s="1"/>
  <c r="X198" i="11" s="1"/>
  <c r="Y198" i="11" s="1"/>
  <c r="Z198" i="11" s="1"/>
  <c r="AA198" i="11" s="1"/>
  <c r="AB198" i="11" s="1"/>
  <c r="AC198" i="11" s="1"/>
  <c r="AD198" i="11" s="1"/>
  <c r="AE198" i="11" s="1"/>
  <c r="AF198" i="11" s="1"/>
  <c r="B198" i="11" s="1"/>
  <c r="D198" i="11"/>
  <c r="E198" i="11" s="1"/>
  <c r="E197" i="11"/>
  <c r="F197" i="11" s="1"/>
  <c r="G197" i="11" s="1"/>
  <c r="H197" i="11" s="1"/>
  <c r="I197" i="11" s="1"/>
  <c r="J197" i="11" s="1"/>
  <c r="K197" i="11" s="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B197" i="11" s="1"/>
  <c r="D197" i="11"/>
  <c r="D196" i="11"/>
  <c r="E196" i="11" s="1"/>
  <c r="F196" i="11" s="1"/>
  <c r="G196" i="11" s="1"/>
  <c r="H196" i="11" s="1"/>
  <c r="I196" i="11" s="1"/>
  <c r="J196" i="11" s="1"/>
  <c r="K196" i="11" s="1"/>
  <c r="L196" i="11" s="1"/>
  <c r="M196" i="11" s="1"/>
  <c r="N196" i="11" s="1"/>
  <c r="O196" i="11" s="1"/>
  <c r="P196" i="11" s="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B196" i="11" s="1"/>
  <c r="D195" i="11"/>
  <c r="E195" i="11" s="1"/>
  <c r="F195" i="11" s="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B195" i="11" s="1"/>
  <c r="F194" i="11"/>
  <c r="D194" i="11"/>
  <c r="E194" i="11" s="1"/>
  <c r="AG192" i="11"/>
  <c r="C192" i="11"/>
  <c r="D191" i="11"/>
  <c r="E191" i="11" s="1"/>
  <c r="F191" i="11" s="1"/>
  <c r="G191" i="11" s="1"/>
  <c r="H191" i="11" s="1"/>
  <c r="I191" i="11" s="1"/>
  <c r="J191" i="11" s="1"/>
  <c r="K191" i="11" s="1"/>
  <c r="L191" i="11" s="1"/>
  <c r="M191" i="11" s="1"/>
  <c r="N191" i="11" s="1"/>
  <c r="O191" i="11" s="1"/>
  <c r="P191" i="11" s="1"/>
  <c r="Q191" i="11" s="1"/>
  <c r="R191" i="11" s="1"/>
  <c r="S191" i="11" s="1"/>
  <c r="T191" i="11" s="1"/>
  <c r="U191" i="11" s="1"/>
  <c r="V191" i="11" s="1"/>
  <c r="W191" i="11" s="1"/>
  <c r="X191" i="11" s="1"/>
  <c r="Y191" i="11" s="1"/>
  <c r="Z191" i="11" s="1"/>
  <c r="AA191" i="11" s="1"/>
  <c r="AB191" i="11" s="1"/>
  <c r="AC191" i="11" s="1"/>
  <c r="AD191" i="11" s="1"/>
  <c r="AE191" i="11" s="1"/>
  <c r="AF191" i="11" s="1"/>
  <c r="B191" i="11" s="1"/>
  <c r="N190" i="11"/>
  <c r="O190" i="11" s="1"/>
  <c r="P190" i="11" s="1"/>
  <c r="Q190" i="11" s="1"/>
  <c r="R190" i="11" s="1"/>
  <c r="S190" i="11" s="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B190" i="11" s="1"/>
  <c r="D190" i="11"/>
  <c r="E190" i="11" s="1"/>
  <c r="F190" i="11" s="1"/>
  <c r="G190" i="11" s="1"/>
  <c r="H190" i="11" s="1"/>
  <c r="I190" i="11" s="1"/>
  <c r="J190" i="11" s="1"/>
  <c r="K190" i="11" s="1"/>
  <c r="L190" i="11" s="1"/>
  <c r="M190" i="11" s="1"/>
  <c r="E189" i="11"/>
  <c r="F189" i="11" s="1"/>
  <c r="G189" i="11" s="1"/>
  <c r="H189" i="11" s="1"/>
  <c r="I189" i="11" s="1"/>
  <c r="J189" i="11" s="1"/>
  <c r="K189" i="11" s="1"/>
  <c r="L189" i="11" s="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B189" i="11" s="1"/>
  <c r="D189" i="11"/>
  <c r="D188" i="11"/>
  <c r="E188" i="11" s="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B188" i="11" s="1"/>
  <c r="F187" i="11"/>
  <c r="G187" i="11" s="1"/>
  <c r="H187" i="11" s="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B187" i="11" s="1"/>
  <c r="D187" i="11"/>
  <c r="E187" i="11" s="1"/>
  <c r="V186" i="1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B186" i="11" s="1"/>
  <c r="G186" i="11"/>
  <c r="H186" i="11" s="1"/>
  <c r="I186" i="11" s="1"/>
  <c r="J186" i="11" s="1"/>
  <c r="K186" i="11" s="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D186" i="11"/>
  <c r="E186" i="11" s="1"/>
  <c r="F186" i="11" s="1"/>
  <c r="X185" i="11"/>
  <c r="Y185" i="11" s="1"/>
  <c r="Z185" i="11" s="1"/>
  <c r="AA185" i="11" s="1"/>
  <c r="AB185" i="11" s="1"/>
  <c r="AC185" i="11" s="1"/>
  <c r="AD185" i="11" s="1"/>
  <c r="AE185" i="11" s="1"/>
  <c r="AF185" i="11" s="1"/>
  <c r="B185" i="11" s="1"/>
  <c r="D185" i="11"/>
  <c r="E185" i="11" s="1"/>
  <c r="F185" i="11" s="1"/>
  <c r="G185" i="11" s="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F184" i="1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B184" i="11" s="1"/>
  <c r="D184" i="11"/>
  <c r="E184" i="11" s="1"/>
  <c r="O183" i="1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B183" i="11" s="1"/>
  <c r="D183" i="11"/>
  <c r="E183" i="11" s="1"/>
  <c r="F183" i="11" s="1"/>
  <c r="G183" i="11" s="1"/>
  <c r="H183" i="11" s="1"/>
  <c r="I183" i="11" s="1"/>
  <c r="J183" i="11" s="1"/>
  <c r="K183" i="11" s="1"/>
  <c r="L183" i="11" s="1"/>
  <c r="M183" i="11" s="1"/>
  <c r="N183" i="11" s="1"/>
  <c r="E182" i="11"/>
  <c r="F182" i="11" s="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AA182" i="11" s="1"/>
  <c r="AB182" i="11" s="1"/>
  <c r="AC182" i="11" s="1"/>
  <c r="AD182" i="11" s="1"/>
  <c r="AE182" i="11" s="1"/>
  <c r="AF182" i="11" s="1"/>
  <c r="B182" i="11" s="1"/>
  <c r="D182" i="11"/>
  <c r="H181" i="11"/>
  <c r="I181" i="11" s="1"/>
  <c r="J181" i="11" s="1"/>
  <c r="K181" i="11" s="1"/>
  <c r="L181" i="11" s="1"/>
  <c r="M181" i="11" s="1"/>
  <c r="N181" i="11" s="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B181" i="11" s="1"/>
  <c r="D181" i="11"/>
  <c r="E181" i="11" s="1"/>
  <c r="F181" i="11" s="1"/>
  <c r="G181" i="11" s="1"/>
  <c r="N180" i="1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B180" i="11" s="1"/>
  <c r="D180" i="11"/>
  <c r="E180" i="11" s="1"/>
  <c r="F180" i="11" s="1"/>
  <c r="G180" i="11" s="1"/>
  <c r="H180" i="11" s="1"/>
  <c r="I180" i="11" s="1"/>
  <c r="J180" i="11" s="1"/>
  <c r="K180" i="11" s="1"/>
  <c r="L180" i="11" s="1"/>
  <c r="M180" i="11" s="1"/>
  <c r="F179" i="1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B179" i="11" s="1"/>
  <c r="E179" i="11"/>
  <c r="D179" i="11"/>
  <c r="D177" i="11"/>
  <c r="E177" i="11" s="1"/>
  <c r="F177" i="11" s="1"/>
  <c r="G177" i="11" s="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B177" i="11" s="1"/>
  <c r="F176" i="11"/>
  <c r="G176" i="11" s="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B176" i="11" s="1"/>
  <c r="E176" i="11"/>
  <c r="D176" i="11"/>
  <c r="E175" i="11"/>
  <c r="F175" i="11" s="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B175" i="11" s="1"/>
  <c r="D175" i="11"/>
  <c r="E174" i="1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B174" i="11" s="1"/>
  <c r="D174" i="11"/>
  <c r="S173" i="1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B173" i="11" s="1"/>
  <c r="I173" i="11"/>
  <c r="J173" i="11" s="1"/>
  <c r="K173" i="11" s="1"/>
  <c r="L173" i="11" s="1"/>
  <c r="M173" i="11" s="1"/>
  <c r="N173" i="11" s="1"/>
  <c r="O173" i="11" s="1"/>
  <c r="P173" i="11" s="1"/>
  <c r="Q173" i="11" s="1"/>
  <c r="R173" i="11" s="1"/>
  <c r="D173" i="11"/>
  <c r="E173" i="11" s="1"/>
  <c r="F173" i="11" s="1"/>
  <c r="G173" i="11" s="1"/>
  <c r="H173" i="11" s="1"/>
  <c r="F172" i="11"/>
  <c r="G172" i="11" s="1"/>
  <c r="H172" i="11" s="1"/>
  <c r="I172" i="11" s="1"/>
  <c r="J172" i="11" s="1"/>
  <c r="K172" i="11" s="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B172" i="11" s="1"/>
  <c r="D172" i="11"/>
  <c r="E172" i="11" s="1"/>
  <c r="D171" i="11"/>
  <c r="E171" i="11" s="1"/>
  <c r="F171" i="11" s="1"/>
  <c r="G171" i="11" s="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B171" i="11" s="1"/>
  <c r="N170" i="1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B170" i="11" s="1"/>
  <c r="D170" i="11"/>
  <c r="E170" i="11" s="1"/>
  <c r="F170" i="11" s="1"/>
  <c r="G170" i="11" s="1"/>
  <c r="H170" i="11" s="1"/>
  <c r="I170" i="11" s="1"/>
  <c r="J170" i="11" s="1"/>
  <c r="K170" i="11" s="1"/>
  <c r="L170" i="11" s="1"/>
  <c r="M170" i="11" s="1"/>
  <c r="D168" i="11"/>
  <c r="E168" i="11" s="1"/>
  <c r="F168" i="11" s="1"/>
  <c r="G168" i="11" s="1"/>
  <c r="H168" i="11" s="1"/>
  <c r="I168" i="11" s="1"/>
  <c r="J168" i="11" s="1"/>
  <c r="K168" i="11" s="1"/>
  <c r="L168" i="11" s="1"/>
  <c r="M168" i="11" s="1"/>
  <c r="N168" i="11" s="1"/>
  <c r="O168" i="11" s="1"/>
  <c r="P168" i="11" s="1"/>
  <c r="Q168" i="11" s="1"/>
  <c r="R168" i="11" s="1"/>
  <c r="S168" i="11" s="1"/>
  <c r="T168" i="11" s="1"/>
  <c r="U168" i="11" s="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B168" i="11" s="1"/>
  <c r="N167" i="1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B167" i="11" s="1"/>
  <c r="F167" i="11"/>
  <c r="G167" i="11" s="1"/>
  <c r="H167" i="11" s="1"/>
  <c r="I167" i="11" s="1"/>
  <c r="J167" i="11" s="1"/>
  <c r="K167" i="11" s="1"/>
  <c r="L167" i="11" s="1"/>
  <c r="M167" i="11" s="1"/>
  <c r="E167" i="11"/>
  <c r="D167" i="11"/>
  <c r="T166" i="1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B166" i="11" s="1"/>
  <c r="H166" i="11"/>
  <c r="I166" i="11" s="1"/>
  <c r="J166" i="11" s="1"/>
  <c r="K166" i="11" s="1"/>
  <c r="L166" i="11" s="1"/>
  <c r="M166" i="11" s="1"/>
  <c r="N166" i="11" s="1"/>
  <c r="O166" i="11" s="1"/>
  <c r="P166" i="11" s="1"/>
  <c r="Q166" i="11" s="1"/>
  <c r="R166" i="11" s="1"/>
  <c r="S166" i="11" s="1"/>
  <c r="D166" i="11"/>
  <c r="E166" i="11" s="1"/>
  <c r="F166" i="11" s="1"/>
  <c r="G166" i="11" s="1"/>
  <c r="F165" i="11"/>
  <c r="G165" i="11" s="1"/>
  <c r="H165" i="11" s="1"/>
  <c r="I165" i="11" s="1"/>
  <c r="J165" i="11" s="1"/>
  <c r="K165" i="11" s="1"/>
  <c r="L165" i="11" s="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B165" i="11" s="1"/>
  <c r="D165" i="11"/>
  <c r="E165" i="11" s="1"/>
  <c r="J164" i="1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B164" i="11" s="1"/>
  <c r="H164" i="11"/>
  <c r="I164" i="11" s="1"/>
  <c r="D164" i="11"/>
  <c r="E164" i="11" s="1"/>
  <c r="F164" i="11" s="1"/>
  <c r="G164" i="11" s="1"/>
  <c r="F163" i="1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B163" i="11" s="1"/>
  <c r="E163" i="11"/>
  <c r="D163" i="11"/>
  <c r="L162" i="1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B162" i="11" s="1"/>
  <c r="E162" i="11"/>
  <c r="F162" i="11" s="1"/>
  <c r="G162" i="11" s="1"/>
  <c r="H162" i="11" s="1"/>
  <c r="I162" i="11" s="1"/>
  <c r="J162" i="11" s="1"/>
  <c r="K162" i="11" s="1"/>
  <c r="D162" i="11"/>
  <c r="J161" i="1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B161" i="11" s="1"/>
  <c r="D161" i="11"/>
  <c r="E161" i="11" s="1"/>
  <c r="F161" i="11" s="1"/>
  <c r="G161" i="11" s="1"/>
  <c r="H161" i="11" s="1"/>
  <c r="I161" i="11" s="1"/>
  <c r="H160" i="1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B160" i="11" s="1"/>
  <c r="D160" i="11"/>
  <c r="E160" i="11" s="1"/>
  <c r="F160" i="11" s="1"/>
  <c r="G160" i="11" s="1"/>
  <c r="F159" i="11"/>
  <c r="G159" i="11" s="1"/>
  <c r="H159" i="11" s="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B159" i="11" s="1"/>
  <c r="D159" i="11"/>
  <c r="E159" i="11" s="1"/>
  <c r="L158" i="1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B158" i="11" s="1"/>
  <c r="D158" i="11"/>
  <c r="E158" i="11" s="1"/>
  <c r="F158" i="11" s="1"/>
  <c r="G158" i="11" s="1"/>
  <c r="H158" i="11" s="1"/>
  <c r="I158" i="11" s="1"/>
  <c r="J158" i="11" s="1"/>
  <c r="K158" i="11" s="1"/>
  <c r="S157" i="1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B157" i="11" s="1"/>
  <c r="F157" i="1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E157" i="11"/>
  <c r="D157" i="11"/>
  <c r="I156" i="1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B156" i="11" s="1"/>
  <c r="D156" i="11"/>
  <c r="E156" i="11" s="1"/>
  <c r="F156" i="11" s="1"/>
  <c r="G156" i="11" s="1"/>
  <c r="H156" i="11" s="1"/>
  <c r="G154" i="11"/>
  <c r="H154" i="11" s="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B154" i="11" s="1"/>
  <c r="D154" i="11"/>
  <c r="E154" i="11" s="1"/>
  <c r="F154" i="11" s="1"/>
  <c r="X153" i="11"/>
  <c r="Y153" i="11" s="1"/>
  <c r="Z153" i="11" s="1"/>
  <c r="AA153" i="11" s="1"/>
  <c r="AB153" i="11" s="1"/>
  <c r="AC153" i="11" s="1"/>
  <c r="AD153" i="11" s="1"/>
  <c r="AE153" i="11" s="1"/>
  <c r="AF153" i="11" s="1"/>
  <c r="B153" i="11" s="1"/>
  <c r="H153" i="11"/>
  <c r="I153" i="11" s="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E153" i="11"/>
  <c r="F153" i="11" s="1"/>
  <c r="G153" i="11" s="1"/>
  <c r="D153" i="11"/>
  <c r="AA152" i="11"/>
  <c r="AB152" i="11" s="1"/>
  <c r="AC152" i="11" s="1"/>
  <c r="AD152" i="11" s="1"/>
  <c r="AE152" i="11" s="1"/>
  <c r="AF152" i="11" s="1"/>
  <c r="B152" i="11" s="1"/>
  <c r="K152" i="1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F152" i="11"/>
  <c r="G152" i="11" s="1"/>
  <c r="H152" i="11" s="1"/>
  <c r="I152" i="11" s="1"/>
  <c r="J152" i="11" s="1"/>
  <c r="E152" i="11"/>
  <c r="D152" i="11"/>
  <c r="D151" i="11"/>
  <c r="E151" i="11" s="1"/>
  <c r="F151" i="11" s="1"/>
  <c r="G151" i="11" s="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B151" i="11" s="1"/>
  <c r="D149" i="11"/>
  <c r="E149" i="11" s="1"/>
  <c r="F149" i="11" s="1"/>
  <c r="G149" i="11" s="1"/>
  <c r="H149" i="11" s="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AC149" i="11" s="1"/>
  <c r="AD149" i="11" s="1"/>
  <c r="AE149" i="11" s="1"/>
  <c r="AF149" i="11" s="1"/>
  <c r="B149" i="11" s="1"/>
  <c r="P148" i="1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B148" i="11" s="1"/>
  <c r="E148" i="11"/>
  <c r="F148" i="11" s="1"/>
  <c r="G148" i="11" s="1"/>
  <c r="H148" i="11" s="1"/>
  <c r="I148" i="11" s="1"/>
  <c r="J148" i="11" s="1"/>
  <c r="K148" i="11" s="1"/>
  <c r="L148" i="11" s="1"/>
  <c r="M148" i="11" s="1"/>
  <c r="N148" i="11" s="1"/>
  <c r="O148" i="11" s="1"/>
  <c r="D148" i="11"/>
  <c r="F146" i="11"/>
  <c r="G146" i="11" s="1"/>
  <c r="H146" i="11" s="1"/>
  <c r="I146" i="11" s="1"/>
  <c r="J146" i="11" s="1"/>
  <c r="K146" i="11" s="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B146" i="11" s="1"/>
  <c r="E146" i="11"/>
  <c r="D146" i="11"/>
  <c r="L145" i="1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B145" i="11" s="1"/>
  <c r="D145" i="11"/>
  <c r="E145" i="11" s="1"/>
  <c r="F145" i="11" s="1"/>
  <c r="G145" i="11" s="1"/>
  <c r="H145" i="11" s="1"/>
  <c r="I145" i="11" s="1"/>
  <c r="J145" i="11" s="1"/>
  <c r="K145" i="11" s="1"/>
  <c r="J144" i="11"/>
  <c r="K144" i="11" s="1"/>
  <c r="L144" i="11" s="1"/>
  <c r="M144" i="11" s="1"/>
  <c r="N144" i="11" s="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B144" i="11" s="1"/>
  <c r="D144" i="11"/>
  <c r="E144" i="11" s="1"/>
  <c r="F144" i="11" s="1"/>
  <c r="G144" i="11" s="1"/>
  <c r="H144" i="11" s="1"/>
  <c r="I144" i="11" s="1"/>
  <c r="G143" i="1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B143" i="11" s="1"/>
  <c r="E143" i="11"/>
  <c r="F143" i="11" s="1"/>
  <c r="D143" i="11"/>
  <c r="D142" i="11"/>
  <c r="E142" i="11" s="1"/>
  <c r="F142" i="11" s="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B142" i="11" s="1"/>
  <c r="D141" i="11"/>
  <c r="E141" i="11" s="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B141" i="11" s="1"/>
  <c r="D140" i="11"/>
  <c r="E140" i="11" s="1"/>
  <c r="F140" i="11" s="1"/>
  <c r="G140" i="11" s="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B140" i="11" s="1"/>
  <c r="E138" i="11"/>
  <c r="F138" i="11" s="1"/>
  <c r="G138" i="11" s="1"/>
  <c r="H138" i="11" s="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B138" i="11" s="1"/>
  <c r="D138" i="11"/>
  <c r="D137" i="11"/>
  <c r="E137" i="11" s="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B137" i="11" s="1"/>
  <c r="K136" i="1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B136" i="11" s="1"/>
  <c r="E136" i="11"/>
  <c r="F136" i="11" s="1"/>
  <c r="G136" i="11" s="1"/>
  <c r="H136" i="11" s="1"/>
  <c r="I136" i="11" s="1"/>
  <c r="J136" i="11" s="1"/>
  <c r="D136" i="11"/>
  <c r="F135" i="1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B135" i="11" s="1"/>
  <c r="D135" i="11"/>
  <c r="E135" i="11" s="1"/>
  <c r="G134" i="1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B134" i="11" s="1"/>
  <c r="D134" i="11"/>
  <c r="E134" i="11" s="1"/>
  <c r="F134" i="11" s="1"/>
  <c r="I133" i="1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B133" i="11" s="1"/>
  <c r="E133" i="11"/>
  <c r="F133" i="11" s="1"/>
  <c r="G133" i="11" s="1"/>
  <c r="H133" i="11" s="1"/>
  <c r="D133" i="11"/>
  <c r="K132" i="1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B132" i="11" s="1"/>
  <c r="G132" i="11"/>
  <c r="H132" i="11" s="1"/>
  <c r="I132" i="11" s="1"/>
  <c r="J132" i="11" s="1"/>
  <c r="D132" i="11"/>
  <c r="E132" i="11" s="1"/>
  <c r="F132" i="11" s="1"/>
  <c r="M131" i="1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B131" i="11" s="1"/>
  <c r="I131" i="11"/>
  <c r="J131" i="11" s="1"/>
  <c r="K131" i="11" s="1"/>
  <c r="L131" i="11" s="1"/>
  <c r="E131" i="11"/>
  <c r="F131" i="11" s="1"/>
  <c r="G131" i="11" s="1"/>
  <c r="H131" i="11" s="1"/>
  <c r="D131" i="11"/>
  <c r="D129" i="11"/>
  <c r="E129" i="11" s="1"/>
  <c r="F129" i="11" s="1"/>
  <c r="G129" i="11" s="1"/>
  <c r="H129" i="11" s="1"/>
  <c r="I129" i="11" s="1"/>
  <c r="J129" i="11" s="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B129" i="11" s="1"/>
  <c r="E128" i="1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B128" i="11" s="1"/>
  <c r="D128" i="11"/>
  <c r="D127" i="11"/>
  <c r="E127" i="11" s="1"/>
  <c r="F127" i="11" s="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B127" i="11" s="1"/>
  <c r="E126" i="1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B126" i="11" s="1"/>
  <c r="D126" i="11"/>
  <c r="K125" i="1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B125" i="11" s="1"/>
  <c r="J125" i="11"/>
  <c r="F125" i="11"/>
  <c r="G125" i="11" s="1"/>
  <c r="H125" i="11" s="1"/>
  <c r="E125" i="11"/>
  <c r="D125" i="11"/>
  <c r="P124" i="1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B124" i="11" s="1"/>
  <c r="D124" i="11"/>
  <c r="E124" i="11" s="1"/>
  <c r="F124" i="11" s="1"/>
  <c r="G124" i="11" s="1"/>
  <c r="H124" i="11" s="1"/>
  <c r="I124" i="11" s="1"/>
  <c r="J124" i="11" s="1"/>
  <c r="K124" i="11" s="1"/>
  <c r="L124" i="11" s="1"/>
  <c r="M124" i="11" s="1"/>
  <c r="N124" i="11" s="1"/>
  <c r="O124" i="11" s="1"/>
  <c r="G123" i="1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B123" i="11" s="1"/>
  <c r="F123" i="11"/>
  <c r="E123" i="11"/>
  <c r="D123" i="11"/>
  <c r="E122" i="1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B122" i="11" s="1"/>
  <c r="D122" i="11"/>
  <c r="G121" i="1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B121" i="11" s="1"/>
  <c r="E121" i="11"/>
  <c r="F121" i="11" s="1"/>
  <c r="D121" i="11"/>
  <c r="D120" i="11"/>
  <c r="E120" i="11" s="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B120" i="11" s="1"/>
  <c r="J119" i="1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B119" i="11" s="1"/>
  <c r="F119" i="11"/>
  <c r="G119" i="11" s="1"/>
  <c r="H119" i="11" s="1"/>
  <c r="I119" i="11" s="1"/>
  <c r="E119" i="11"/>
  <c r="D119" i="11"/>
  <c r="D118" i="11"/>
  <c r="E118" i="11" s="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B118" i="11" s="1"/>
  <c r="D117" i="11"/>
  <c r="E117" i="11" s="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B117" i="11" s="1"/>
  <c r="E116" i="11"/>
  <c r="F116" i="11" s="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B116" i="11" s="1"/>
  <c r="D116" i="11"/>
  <c r="D115" i="11"/>
  <c r="E115" i="11" s="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B115" i="11" s="1"/>
  <c r="M114" i="1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B114" i="11" s="1"/>
  <c r="K114" i="11"/>
  <c r="L114" i="11" s="1"/>
  <c r="D114" i="11"/>
  <c r="E114" i="11" s="1"/>
  <c r="F114" i="11" s="1"/>
  <c r="G114" i="11" s="1"/>
  <c r="H114" i="11" s="1"/>
  <c r="I114" i="11" s="1"/>
  <c r="J113" i="1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B113" i="11" s="1"/>
  <c r="D113" i="11"/>
  <c r="E113" i="11" s="1"/>
  <c r="F113" i="11" s="1"/>
  <c r="G113" i="11" s="1"/>
  <c r="H113" i="11" s="1"/>
  <c r="I113" i="11" s="1"/>
  <c r="D112" i="1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B112" i="11" s="1"/>
  <c r="D110" i="11"/>
  <c r="E110" i="11" s="1"/>
  <c r="F110" i="11" s="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B110" i="11" s="1"/>
  <c r="D109" i="11"/>
  <c r="D107" i="11"/>
  <c r="E107" i="11" s="1"/>
  <c r="F107" i="11" s="1"/>
  <c r="G107" i="11" s="1"/>
  <c r="H107" i="11" s="1"/>
  <c r="I107" i="11" s="1"/>
  <c r="J107" i="11" s="1"/>
  <c r="K107" i="11" s="1"/>
  <c r="L107" i="11" s="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B107" i="11" s="1"/>
  <c r="D106" i="11"/>
  <c r="E106" i="11" s="1"/>
  <c r="F106" i="11" s="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B106" i="11" s="1"/>
  <c r="D105" i="11"/>
  <c r="E105" i="11" s="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B105" i="11" s="1"/>
  <c r="D104" i="11"/>
  <c r="E104" i="11" s="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B104" i="11" s="1"/>
  <c r="J103" i="11"/>
  <c r="K103" i="11" s="1"/>
  <c r="L103" i="11" s="1"/>
  <c r="F103" i="11"/>
  <c r="G103" i="11" s="1"/>
  <c r="H103" i="11" s="1"/>
  <c r="I103" i="11" s="1"/>
  <c r="E103" i="11"/>
  <c r="D103" i="11"/>
  <c r="D102" i="11"/>
  <c r="AH100" i="11"/>
  <c r="AI100" i="11" s="1"/>
  <c r="AH99" i="11"/>
  <c r="AI99" i="11" s="1"/>
  <c r="AH98" i="11"/>
  <c r="AI98" i="11" s="1"/>
  <c r="AH97" i="11"/>
  <c r="AI97" i="11" s="1"/>
  <c r="AH96" i="11"/>
  <c r="AI96" i="11" s="1"/>
  <c r="AH95" i="11"/>
  <c r="AI95" i="11" s="1"/>
  <c r="AH94" i="11"/>
  <c r="AI94" i="11" s="1"/>
  <c r="C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2" i="11"/>
  <c r="AH82" i="11"/>
  <c r="AG82" i="11"/>
  <c r="AI81" i="11"/>
  <c r="AH81" i="11"/>
  <c r="AI80" i="11"/>
  <c r="AH80" i="11"/>
  <c r="AI79" i="11"/>
  <c r="AH79" i="11"/>
  <c r="AI78" i="11"/>
  <c r="AH78" i="11"/>
  <c r="AI77" i="11"/>
  <c r="AH77" i="11"/>
  <c r="AI76" i="11"/>
  <c r="AH76" i="11"/>
  <c r="AI74" i="11"/>
  <c r="AH74" i="11"/>
  <c r="AI73" i="11"/>
  <c r="AH73" i="11"/>
  <c r="AI72" i="11"/>
  <c r="AH72" i="11"/>
  <c r="AG72" i="11"/>
  <c r="AI71" i="11"/>
  <c r="AH71" i="11"/>
  <c r="AI70" i="11"/>
  <c r="AH70" i="11"/>
  <c r="AI69" i="11"/>
  <c r="AH69" i="11"/>
  <c r="AG68" i="11"/>
  <c r="AG73" i="11" s="1"/>
  <c r="AF68" i="11"/>
  <c r="AE68" i="11"/>
  <c r="AD5" i="11" s="1"/>
  <c r="AD68" i="11"/>
  <c r="AC5" i="11" s="1"/>
  <c r="AC68" i="11"/>
  <c r="AB5" i="11" s="1"/>
  <c r="AB68" i="11"/>
  <c r="AA5" i="11" s="1"/>
  <c r="AA68" i="11"/>
  <c r="Z5" i="11" s="1"/>
  <c r="Z68" i="11"/>
  <c r="Y68" i="11"/>
  <c r="Y75" i="11" s="1"/>
  <c r="X68" i="11"/>
  <c r="W5" i="11" s="1"/>
  <c r="W68" i="11"/>
  <c r="V5" i="11" s="1"/>
  <c r="V68" i="11"/>
  <c r="U5" i="11" s="1"/>
  <c r="U68" i="11"/>
  <c r="T68" i="11"/>
  <c r="S5" i="11" s="1"/>
  <c r="S68" i="11"/>
  <c r="Q68" i="11"/>
  <c r="Q75" i="11" s="1"/>
  <c r="P68" i="11"/>
  <c r="O5" i="11" s="1"/>
  <c r="O68" i="11"/>
  <c r="N5" i="11" s="1"/>
  <c r="N68" i="11"/>
  <c r="M5" i="11" s="1"/>
  <c r="M68" i="11"/>
  <c r="L5" i="11" s="1"/>
  <c r="L68" i="11"/>
  <c r="K5" i="11" s="1"/>
  <c r="K68" i="11"/>
  <c r="J5" i="11" s="1"/>
  <c r="J68" i="11"/>
  <c r="I68" i="11"/>
  <c r="H5" i="11" s="1"/>
  <c r="H68" i="11"/>
  <c r="G68" i="11"/>
  <c r="F5" i="11" s="1"/>
  <c r="F68" i="11"/>
  <c r="E5" i="11" s="1"/>
  <c r="E68" i="11"/>
  <c r="D5" i="11" s="1"/>
  <c r="D68" i="11"/>
  <c r="C68" i="11"/>
  <c r="B68" i="11"/>
  <c r="AF5" i="11" s="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I55" i="11"/>
  <c r="AH55" i="11"/>
  <c r="AI54" i="11"/>
  <c r="AH54" i="11"/>
  <c r="AI53" i="11"/>
  <c r="AH53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I51" i="11"/>
  <c r="AH51" i="11"/>
  <c r="AG51" i="11"/>
  <c r="AG52" i="11" s="1"/>
  <c r="AG3" i="11" s="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G2" i="11" s="1"/>
  <c r="AG6" i="11" s="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E5" i="11"/>
  <c r="X5" i="11"/>
  <c r="T5" i="11"/>
  <c r="G5" i="11"/>
  <c r="AG4" i="11"/>
  <c r="K4" i="11"/>
  <c r="B4" i="11"/>
  <c r="Z95" i="9"/>
  <c r="W37" i="9"/>
  <c r="E4" i="12"/>
  <c r="E4" i="11"/>
  <c r="S103" i="16" l="1"/>
  <c r="R93" i="16"/>
  <c r="S199" i="16"/>
  <c r="Q235" i="16"/>
  <c r="R192" i="16"/>
  <c r="S102" i="16"/>
  <c r="S200" i="16"/>
  <c r="T194" i="16"/>
  <c r="R200" i="16"/>
  <c r="AD7" i="14"/>
  <c r="AD83" i="14"/>
  <c r="R235" i="15"/>
  <c r="T199" i="15"/>
  <c r="U103" i="15"/>
  <c r="R200" i="15"/>
  <c r="S194" i="15"/>
  <c r="R93" i="15"/>
  <c r="R192" i="15"/>
  <c r="S102" i="15"/>
  <c r="AE7" i="14"/>
  <c r="AE83" i="14"/>
  <c r="X214" i="14"/>
  <c r="N7" i="14"/>
  <c r="N83" i="14"/>
  <c r="K7" i="14"/>
  <c r="K83" i="14"/>
  <c r="J83" i="14"/>
  <c r="J7" i="14"/>
  <c r="AA214" i="14"/>
  <c r="I7" i="14"/>
  <c r="G83" i="14"/>
  <c r="C209" i="14"/>
  <c r="H83" i="14"/>
  <c r="H7" i="14"/>
  <c r="F7" i="14"/>
  <c r="C7" i="14"/>
  <c r="U214" i="14"/>
  <c r="G199" i="14"/>
  <c r="E235" i="14"/>
  <c r="F93" i="14"/>
  <c r="G103" i="14"/>
  <c r="G194" i="14"/>
  <c r="F200" i="14"/>
  <c r="F192" i="14"/>
  <c r="G102" i="14"/>
  <c r="E200" i="14"/>
  <c r="AT214" i="14"/>
  <c r="AB83" i="14"/>
  <c r="AB7" i="14"/>
  <c r="T214" i="14"/>
  <c r="B7" i="14"/>
  <c r="B83" i="14"/>
  <c r="AI75" i="14"/>
  <c r="AH75" i="14"/>
  <c r="AL214" i="14"/>
  <c r="T83" i="14"/>
  <c r="T7" i="14"/>
  <c r="AD214" i="14"/>
  <c r="L83" i="14"/>
  <c r="L7" i="14"/>
  <c r="B209" i="14"/>
  <c r="V214" i="14"/>
  <c r="D83" i="14"/>
  <c r="D7" i="14"/>
  <c r="AH214" i="13"/>
  <c r="P83" i="13"/>
  <c r="M83" i="13"/>
  <c r="M7" i="13"/>
  <c r="K83" i="13"/>
  <c r="AC214" i="13"/>
  <c r="J7" i="13"/>
  <c r="J83" i="13"/>
  <c r="I83" i="13"/>
  <c r="I7" i="13"/>
  <c r="H7" i="13"/>
  <c r="G7" i="13"/>
  <c r="E83" i="13"/>
  <c r="D7" i="13"/>
  <c r="C7" i="13"/>
  <c r="U214" i="13"/>
  <c r="AF214" i="13"/>
  <c r="N83" i="13"/>
  <c r="N7" i="13"/>
  <c r="AI75" i="13"/>
  <c r="C209" i="13"/>
  <c r="X214" i="13"/>
  <c r="F83" i="13"/>
  <c r="F7" i="13"/>
  <c r="H103" i="13"/>
  <c r="AT214" i="13"/>
  <c r="AB7" i="13"/>
  <c r="AB83" i="13"/>
  <c r="D235" i="13"/>
  <c r="F199" i="13"/>
  <c r="AD214" i="13"/>
  <c r="L7" i="13"/>
  <c r="L83" i="13"/>
  <c r="E200" i="13"/>
  <c r="AV214" i="13"/>
  <c r="AD7" i="13"/>
  <c r="AD83" i="13"/>
  <c r="H194" i="13"/>
  <c r="F192" i="13"/>
  <c r="G102" i="13"/>
  <c r="AN214" i="13"/>
  <c r="V7" i="13"/>
  <c r="V83" i="13"/>
  <c r="AH75" i="13"/>
  <c r="B209" i="13"/>
  <c r="AF75" i="12"/>
  <c r="AE75" i="12"/>
  <c r="AD75" i="12"/>
  <c r="AC75" i="12"/>
  <c r="Z75" i="12"/>
  <c r="Y75" i="12"/>
  <c r="X75" i="12"/>
  <c r="W75" i="12"/>
  <c r="V75" i="12"/>
  <c r="U75" i="12"/>
  <c r="T75" i="12"/>
  <c r="R75" i="12"/>
  <c r="Q75" i="12"/>
  <c r="P5" i="12"/>
  <c r="P75" i="12"/>
  <c r="O75" i="12"/>
  <c r="N75" i="12"/>
  <c r="M75" i="12"/>
  <c r="M7" i="12" s="1"/>
  <c r="J75" i="12"/>
  <c r="AI56" i="12"/>
  <c r="K75" i="12"/>
  <c r="AC214" i="12" s="1"/>
  <c r="G75" i="12"/>
  <c r="G83" i="12" s="1"/>
  <c r="H75" i="12"/>
  <c r="Z214" i="12" s="1"/>
  <c r="I75" i="12"/>
  <c r="AA214" i="12" s="1"/>
  <c r="F75" i="12"/>
  <c r="F7" i="12" s="1"/>
  <c r="E75" i="12"/>
  <c r="E7" i="12" s="1"/>
  <c r="AI52" i="12"/>
  <c r="AI38" i="12"/>
  <c r="AH56" i="12"/>
  <c r="AH52" i="12"/>
  <c r="C75" i="12"/>
  <c r="C83" i="12" s="1"/>
  <c r="AH38" i="12"/>
  <c r="B75" i="12"/>
  <c r="B83" i="12" s="1"/>
  <c r="H4" i="12"/>
  <c r="C7" i="12"/>
  <c r="AL214" i="12"/>
  <c r="T83" i="12"/>
  <c r="T7" i="12"/>
  <c r="AM214" i="12"/>
  <c r="U83" i="12"/>
  <c r="U7" i="12"/>
  <c r="AU214" i="12"/>
  <c r="AC83" i="12"/>
  <c r="AC7" i="12"/>
  <c r="X214" i="12"/>
  <c r="AF214" i="12"/>
  <c r="N83" i="12"/>
  <c r="N7" i="12"/>
  <c r="AN214" i="12"/>
  <c r="V7" i="12"/>
  <c r="V83" i="12"/>
  <c r="AV214" i="12"/>
  <c r="AD7" i="12"/>
  <c r="AD83" i="12"/>
  <c r="AG214" i="12"/>
  <c r="O83" i="12"/>
  <c r="O7" i="12"/>
  <c r="AO214" i="12"/>
  <c r="W83" i="12"/>
  <c r="W7" i="12"/>
  <c r="AW214" i="12"/>
  <c r="AE83" i="12"/>
  <c r="AE7" i="12"/>
  <c r="AH214" i="12"/>
  <c r="P83" i="12"/>
  <c r="P7" i="12"/>
  <c r="AX214" i="12"/>
  <c r="AF83" i="12"/>
  <c r="AF7" i="12"/>
  <c r="F103" i="12"/>
  <c r="AI214" i="12"/>
  <c r="Q83" i="12"/>
  <c r="Q7" i="12"/>
  <c r="AQ214" i="12"/>
  <c r="Y83" i="12"/>
  <c r="Y7" i="12"/>
  <c r="AP214" i="12"/>
  <c r="X83" i="12"/>
  <c r="X7" i="12"/>
  <c r="AB214" i="12"/>
  <c r="J83" i="12"/>
  <c r="J7" i="12"/>
  <c r="AJ214" i="12"/>
  <c r="R83" i="12"/>
  <c r="R7" i="12"/>
  <c r="AR214" i="12"/>
  <c r="Z83" i="12"/>
  <c r="Z7" i="12"/>
  <c r="G102" i="12"/>
  <c r="S75" i="12"/>
  <c r="AA75" i="12"/>
  <c r="D75" i="12"/>
  <c r="L75" i="12"/>
  <c r="AB75" i="12"/>
  <c r="AG73" i="12"/>
  <c r="B5" i="12"/>
  <c r="J5" i="12"/>
  <c r="AI68" i="12"/>
  <c r="S5" i="12"/>
  <c r="S211" i="12"/>
  <c r="D211" i="12"/>
  <c r="AH68" i="12"/>
  <c r="AG83" i="12"/>
  <c r="E192" i="12"/>
  <c r="D192" i="12"/>
  <c r="D200" i="12"/>
  <c r="E195" i="12"/>
  <c r="H194" i="12"/>
  <c r="C235" i="12"/>
  <c r="E199" i="12"/>
  <c r="E93" i="12" s="1"/>
  <c r="AF75" i="11"/>
  <c r="AE75" i="11"/>
  <c r="AC75" i="11"/>
  <c r="Z75" i="11"/>
  <c r="X75" i="11"/>
  <c r="W75" i="11"/>
  <c r="U75" i="11"/>
  <c r="S75" i="11"/>
  <c r="R75" i="11"/>
  <c r="R83" i="11" s="1"/>
  <c r="P5" i="11"/>
  <c r="P75" i="11"/>
  <c r="O75" i="11"/>
  <c r="M75" i="11"/>
  <c r="J75" i="11"/>
  <c r="AI56" i="11"/>
  <c r="I75" i="11"/>
  <c r="H75" i="11"/>
  <c r="G75" i="11"/>
  <c r="E75" i="11"/>
  <c r="AH56" i="11"/>
  <c r="AH52" i="11"/>
  <c r="D75" i="11"/>
  <c r="D7" i="11" s="1"/>
  <c r="AH38" i="11"/>
  <c r="AI68" i="11"/>
  <c r="AI52" i="11"/>
  <c r="B75" i="11"/>
  <c r="T214" i="11" s="1"/>
  <c r="AI38" i="11"/>
  <c r="H4" i="11"/>
  <c r="AH214" i="11"/>
  <c r="P83" i="11"/>
  <c r="P7" i="11"/>
  <c r="AI214" i="11"/>
  <c r="Q83" i="11"/>
  <c r="Q7" i="11"/>
  <c r="AQ214" i="11"/>
  <c r="Y83" i="11"/>
  <c r="Y7" i="11"/>
  <c r="AB214" i="11"/>
  <c r="J83" i="11"/>
  <c r="J7" i="11"/>
  <c r="AJ214" i="11"/>
  <c r="R7" i="11"/>
  <c r="AR214" i="11"/>
  <c r="Z83" i="11"/>
  <c r="Z7" i="11"/>
  <c r="AA214" i="11"/>
  <c r="I83" i="11"/>
  <c r="I7" i="11"/>
  <c r="AK214" i="11"/>
  <c r="S7" i="11"/>
  <c r="S83" i="11"/>
  <c r="Z214" i="11"/>
  <c r="H83" i="11"/>
  <c r="H7" i="11"/>
  <c r="W214" i="11"/>
  <c r="E7" i="11"/>
  <c r="E83" i="11"/>
  <c r="AE214" i="11"/>
  <c r="M7" i="11"/>
  <c r="M83" i="11"/>
  <c r="AM214" i="11"/>
  <c r="U7" i="11"/>
  <c r="U83" i="11"/>
  <c r="AU214" i="11"/>
  <c r="AC83" i="11"/>
  <c r="AC7" i="11"/>
  <c r="AP214" i="11"/>
  <c r="X83" i="11"/>
  <c r="X7" i="11"/>
  <c r="AX214" i="11"/>
  <c r="AF83" i="11"/>
  <c r="AF7" i="11"/>
  <c r="Y214" i="11"/>
  <c r="G83" i="11"/>
  <c r="G7" i="11"/>
  <c r="AG214" i="11"/>
  <c r="O83" i="11"/>
  <c r="O7" i="11"/>
  <c r="AO214" i="11"/>
  <c r="W83" i="11"/>
  <c r="W7" i="11"/>
  <c r="AW214" i="11"/>
  <c r="AE83" i="11"/>
  <c r="AE7" i="11"/>
  <c r="K75" i="11"/>
  <c r="AA75" i="11"/>
  <c r="I5" i="11"/>
  <c r="Q5" i="11"/>
  <c r="Y5" i="11"/>
  <c r="C75" i="11"/>
  <c r="T75" i="11"/>
  <c r="B5" i="11"/>
  <c r="R5" i="11"/>
  <c r="F75" i="11"/>
  <c r="N75" i="11"/>
  <c r="V75" i="11"/>
  <c r="AD75" i="11"/>
  <c r="D192" i="11"/>
  <c r="E102" i="11"/>
  <c r="L75" i="11"/>
  <c r="AB75" i="11"/>
  <c r="C5" i="11"/>
  <c r="S211" i="11"/>
  <c r="D211" i="11"/>
  <c r="AG75" i="11"/>
  <c r="AG83" i="11" s="1"/>
  <c r="M103" i="11"/>
  <c r="AH68" i="11"/>
  <c r="D93" i="11"/>
  <c r="E109" i="11"/>
  <c r="E200" i="11"/>
  <c r="G194" i="11"/>
  <c r="E199" i="11"/>
  <c r="U194" i="16" l="1"/>
  <c r="S192" i="16"/>
  <c r="T102" i="16"/>
  <c r="R235" i="16"/>
  <c r="T199" i="16"/>
  <c r="S93" i="16"/>
  <c r="T103" i="16"/>
  <c r="S200" i="15"/>
  <c r="T194" i="15"/>
  <c r="S93" i="15"/>
  <c r="V103" i="15"/>
  <c r="S235" i="15"/>
  <c r="U199" i="15"/>
  <c r="S192" i="15"/>
  <c r="T102" i="15"/>
  <c r="K6" i="14"/>
  <c r="A7" i="14"/>
  <c r="G200" i="14"/>
  <c r="H194" i="14"/>
  <c r="G93" i="14"/>
  <c r="H103" i="14"/>
  <c r="G192" i="14"/>
  <c r="H102" i="14"/>
  <c r="F235" i="14"/>
  <c r="H199" i="14"/>
  <c r="AI83" i="14"/>
  <c r="AH83" i="14"/>
  <c r="AH83" i="13"/>
  <c r="A7" i="13"/>
  <c r="G192" i="13"/>
  <c r="H102" i="13"/>
  <c r="I103" i="13"/>
  <c r="K6" i="13"/>
  <c r="I194" i="13"/>
  <c r="AI83" i="13"/>
  <c r="E235" i="13"/>
  <c r="G199" i="13"/>
  <c r="F93" i="13"/>
  <c r="F200" i="13"/>
  <c r="AE214" i="12"/>
  <c r="M83" i="12"/>
  <c r="K83" i="12"/>
  <c r="W214" i="12"/>
  <c r="F83" i="12"/>
  <c r="I7" i="12"/>
  <c r="K7" i="12"/>
  <c r="Y214" i="12"/>
  <c r="B209" i="12"/>
  <c r="I83" i="12"/>
  <c r="AI75" i="12"/>
  <c r="G7" i="12"/>
  <c r="H7" i="12"/>
  <c r="H83" i="12"/>
  <c r="E83" i="12"/>
  <c r="B7" i="12"/>
  <c r="T214" i="12"/>
  <c r="U214" i="12"/>
  <c r="AK214" i="12"/>
  <c r="S83" i="12"/>
  <c r="S7" i="12"/>
  <c r="G103" i="12"/>
  <c r="F93" i="12"/>
  <c r="H102" i="12"/>
  <c r="F192" i="12"/>
  <c r="F199" i="12"/>
  <c r="D235" i="12"/>
  <c r="I194" i="12"/>
  <c r="AT214" i="12"/>
  <c r="AB83" i="12"/>
  <c r="AB7" i="12"/>
  <c r="F195" i="12"/>
  <c r="E200" i="12"/>
  <c r="AD214" i="12"/>
  <c r="L83" i="12"/>
  <c r="L7" i="12"/>
  <c r="C209" i="12"/>
  <c r="K6" i="12" s="1"/>
  <c r="V214" i="12"/>
  <c r="D83" i="12"/>
  <c r="D7" i="12"/>
  <c r="AS214" i="12"/>
  <c r="AA83" i="12"/>
  <c r="AA7" i="12"/>
  <c r="AH75" i="12"/>
  <c r="C209" i="11"/>
  <c r="B7" i="11"/>
  <c r="V214" i="11"/>
  <c r="D83" i="11"/>
  <c r="B83" i="11"/>
  <c r="X214" i="11"/>
  <c r="F7" i="11"/>
  <c r="F83" i="11"/>
  <c r="AS214" i="11"/>
  <c r="AA7" i="11"/>
  <c r="AA83" i="11"/>
  <c r="D235" i="11"/>
  <c r="F199" i="11"/>
  <c r="E192" i="11"/>
  <c r="F102" i="11"/>
  <c r="AC214" i="11"/>
  <c r="K7" i="11"/>
  <c r="K83" i="11"/>
  <c r="AT214" i="11"/>
  <c r="AB7" i="11"/>
  <c r="AB83" i="11"/>
  <c r="AD214" i="11"/>
  <c r="L7" i="11"/>
  <c r="L83" i="11"/>
  <c r="H194" i="11"/>
  <c r="AL214" i="11"/>
  <c r="T7" i="11"/>
  <c r="T83" i="11"/>
  <c r="AH75" i="11"/>
  <c r="N103" i="11"/>
  <c r="U214" i="11"/>
  <c r="C7" i="11"/>
  <c r="C83" i="11"/>
  <c r="AI75" i="11"/>
  <c r="AV214" i="11"/>
  <c r="AD83" i="11"/>
  <c r="AD7" i="11"/>
  <c r="F109" i="11"/>
  <c r="E93" i="11"/>
  <c r="AN214" i="11"/>
  <c r="V7" i="11"/>
  <c r="V83" i="11"/>
  <c r="B209" i="11"/>
  <c r="K6" i="11" s="1"/>
  <c r="AF214" i="11"/>
  <c r="N83" i="11"/>
  <c r="N7" i="11"/>
  <c r="S235" i="16" l="1"/>
  <c r="U199" i="16"/>
  <c r="T192" i="16"/>
  <c r="U102" i="16"/>
  <c r="T93" i="16"/>
  <c r="U103" i="16"/>
  <c r="V194" i="16"/>
  <c r="U200" i="16"/>
  <c r="T200" i="16"/>
  <c r="T235" i="15"/>
  <c r="V199" i="15"/>
  <c r="W103" i="15"/>
  <c r="T200" i="15"/>
  <c r="U194" i="15"/>
  <c r="T93" i="15"/>
  <c r="T192" i="15"/>
  <c r="U102" i="15"/>
  <c r="H192" i="14"/>
  <c r="I102" i="14"/>
  <c r="I103" i="14"/>
  <c r="H93" i="14"/>
  <c r="I194" i="14"/>
  <c r="H200" i="14"/>
  <c r="G235" i="14"/>
  <c r="I199" i="14"/>
  <c r="J194" i="13"/>
  <c r="J103" i="13"/>
  <c r="F235" i="13"/>
  <c r="H199" i="13"/>
  <c r="G93" i="13"/>
  <c r="G200" i="13"/>
  <c r="H192" i="13"/>
  <c r="I102" i="13"/>
  <c r="AI83" i="12"/>
  <c r="A7" i="12"/>
  <c r="AH83" i="12"/>
  <c r="J194" i="12"/>
  <c r="H103" i="12"/>
  <c r="E235" i="12"/>
  <c r="G199" i="12"/>
  <c r="G93" i="12" s="1"/>
  <c r="H192" i="12"/>
  <c r="I102" i="12"/>
  <c r="G195" i="12"/>
  <c r="F200" i="12"/>
  <c r="G192" i="12"/>
  <c r="A7" i="11"/>
  <c r="AI83" i="11"/>
  <c r="AH83" i="11"/>
  <c r="F192" i="11"/>
  <c r="G102" i="11"/>
  <c r="G109" i="11"/>
  <c r="F93" i="11"/>
  <c r="I194" i="11"/>
  <c r="O103" i="11"/>
  <c r="G199" i="11"/>
  <c r="E235" i="11"/>
  <c r="F200" i="11"/>
  <c r="W194" i="16" l="1"/>
  <c r="U93" i="16"/>
  <c r="V103" i="16"/>
  <c r="U192" i="16"/>
  <c r="V102" i="16"/>
  <c r="V199" i="16"/>
  <c r="T235" i="16"/>
  <c r="V194" i="15"/>
  <c r="U200" i="15"/>
  <c r="U93" i="15"/>
  <c r="X103" i="15"/>
  <c r="U235" i="15"/>
  <c r="W199" i="15"/>
  <c r="U192" i="15"/>
  <c r="V102" i="15"/>
  <c r="I200" i="14"/>
  <c r="J194" i="14"/>
  <c r="J103" i="14"/>
  <c r="I93" i="14"/>
  <c r="I192" i="14"/>
  <c r="J102" i="14"/>
  <c r="H235" i="14"/>
  <c r="J199" i="14"/>
  <c r="G235" i="13"/>
  <c r="I199" i="13"/>
  <c r="H93" i="13"/>
  <c r="H200" i="13"/>
  <c r="K103" i="13"/>
  <c r="I192" i="13"/>
  <c r="J102" i="13"/>
  <c r="K194" i="13"/>
  <c r="I103" i="12"/>
  <c r="H93" i="12"/>
  <c r="I192" i="12"/>
  <c r="J102" i="12"/>
  <c r="H195" i="12"/>
  <c r="G200" i="12"/>
  <c r="K194" i="12"/>
  <c r="H199" i="12"/>
  <c r="F235" i="12"/>
  <c r="J194" i="11"/>
  <c r="F235" i="11"/>
  <c r="H199" i="11"/>
  <c r="G200" i="11"/>
  <c r="H109" i="11"/>
  <c r="G93" i="11"/>
  <c r="G192" i="11"/>
  <c r="H102" i="11"/>
  <c r="P103" i="11"/>
  <c r="T95" i="9"/>
  <c r="S95" i="9"/>
  <c r="U235" i="16" l="1"/>
  <c r="W199" i="16"/>
  <c r="V192" i="16"/>
  <c r="W102" i="16"/>
  <c r="V93" i="16"/>
  <c r="W103" i="16"/>
  <c r="V200" i="16"/>
  <c r="X194" i="16"/>
  <c r="Y103" i="15"/>
  <c r="V235" i="15"/>
  <c r="X199" i="15"/>
  <c r="V192" i="15"/>
  <c r="W102" i="15"/>
  <c r="W194" i="15"/>
  <c r="V200" i="15"/>
  <c r="V93" i="15"/>
  <c r="K199" i="14"/>
  <c r="I235" i="14"/>
  <c r="J192" i="14"/>
  <c r="K102" i="14"/>
  <c r="J200" i="14"/>
  <c r="K194" i="14"/>
  <c r="K103" i="14"/>
  <c r="J93" i="14"/>
  <c r="J192" i="13"/>
  <c r="K102" i="13"/>
  <c r="L103" i="13"/>
  <c r="L194" i="13"/>
  <c r="H235" i="13"/>
  <c r="J199" i="13"/>
  <c r="I200" i="13"/>
  <c r="I93" i="13"/>
  <c r="G235" i="12"/>
  <c r="I199" i="12"/>
  <c r="J103" i="12"/>
  <c r="I93" i="12"/>
  <c r="I195" i="12"/>
  <c r="H200" i="12"/>
  <c r="J192" i="12"/>
  <c r="K102" i="12"/>
  <c r="L194" i="12"/>
  <c r="I109" i="11"/>
  <c r="H93" i="11"/>
  <c r="G235" i="11"/>
  <c r="I199" i="11"/>
  <c r="H200" i="11"/>
  <c r="H192" i="11"/>
  <c r="I102" i="11"/>
  <c r="Q103" i="11"/>
  <c r="K194" i="11"/>
  <c r="R95" i="9"/>
  <c r="R37" i="9"/>
  <c r="Q95" i="9"/>
  <c r="Q37" i="9"/>
  <c r="P37" i="9"/>
  <c r="O37" i="9"/>
  <c r="N68" i="9"/>
  <c r="N37" i="9"/>
  <c r="M95" i="9"/>
  <c r="M37" i="9"/>
  <c r="L37" i="9"/>
  <c r="K37" i="9"/>
  <c r="J37" i="9"/>
  <c r="I37" i="9"/>
  <c r="H37" i="9"/>
  <c r="G37" i="9"/>
  <c r="F37" i="9"/>
  <c r="B68" i="9"/>
  <c r="B56" i="9"/>
  <c r="B52" i="9"/>
  <c r="B38" i="9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B235" i="9"/>
  <c r="S210" i="9"/>
  <c r="AG200" i="9"/>
  <c r="D200" i="9"/>
  <c r="C200" i="9"/>
  <c r="D199" i="9"/>
  <c r="C235" i="9" s="1"/>
  <c r="V198" i="9"/>
  <c r="W198" i="9" s="1"/>
  <c r="X198" i="9" s="1"/>
  <c r="Y198" i="9" s="1"/>
  <c r="Z198" i="9" s="1"/>
  <c r="AA198" i="9" s="1"/>
  <c r="AB198" i="9" s="1"/>
  <c r="AC198" i="9" s="1"/>
  <c r="AD198" i="9" s="1"/>
  <c r="AE198" i="9" s="1"/>
  <c r="AF198" i="9" s="1"/>
  <c r="B198" i="9" s="1"/>
  <c r="F198" i="9"/>
  <c r="G198" i="9" s="1"/>
  <c r="H198" i="9" s="1"/>
  <c r="I198" i="9" s="1"/>
  <c r="J198" i="9" s="1"/>
  <c r="K198" i="9" s="1"/>
  <c r="L198" i="9" s="1"/>
  <c r="M198" i="9" s="1"/>
  <c r="N198" i="9" s="1"/>
  <c r="O198" i="9" s="1"/>
  <c r="P198" i="9" s="1"/>
  <c r="Q198" i="9" s="1"/>
  <c r="R198" i="9" s="1"/>
  <c r="S198" i="9" s="1"/>
  <c r="T198" i="9" s="1"/>
  <c r="U198" i="9" s="1"/>
  <c r="E198" i="9"/>
  <c r="D198" i="9"/>
  <c r="U197" i="9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B197" i="9" s="1"/>
  <c r="E197" i="9"/>
  <c r="F197" i="9" s="1"/>
  <c r="G197" i="9" s="1"/>
  <c r="H197" i="9" s="1"/>
  <c r="I197" i="9" s="1"/>
  <c r="J197" i="9" s="1"/>
  <c r="K197" i="9" s="1"/>
  <c r="L197" i="9" s="1"/>
  <c r="M197" i="9" s="1"/>
  <c r="N197" i="9" s="1"/>
  <c r="O197" i="9" s="1"/>
  <c r="P197" i="9" s="1"/>
  <c r="Q197" i="9" s="1"/>
  <c r="R197" i="9" s="1"/>
  <c r="S197" i="9" s="1"/>
  <c r="T197" i="9" s="1"/>
  <c r="D197" i="9"/>
  <c r="E196" i="9"/>
  <c r="F196" i="9" s="1"/>
  <c r="G196" i="9" s="1"/>
  <c r="H196" i="9" s="1"/>
  <c r="I196" i="9" s="1"/>
  <c r="J196" i="9" s="1"/>
  <c r="K196" i="9" s="1"/>
  <c r="L196" i="9" s="1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AF196" i="9" s="1"/>
  <c r="B196" i="9" s="1"/>
  <c r="D196" i="9"/>
  <c r="D195" i="9"/>
  <c r="E195" i="9" s="1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B195" i="9" s="1"/>
  <c r="F194" i="9"/>
  <c r="E194" i="9"/>
  <c r="D194" i="9"/>
  <c r="AG192" i="9"/>
  <c r="C192" i="9"/>
  <c r="G191" i="9"/>
  <c r="H191" i="9" s="1"/>
  <c r="I191" i="9" s="1"/>
  <c r="J191" i="9" s="1"/>
  <c r="K191" i="9" s="1"/>
  <c r="L191" i="9" s="1"/>
  <c r="M191" i="9" s="1"/>
  <c r="N191" i="9" s="1"/>
  <c r="O191" i="9" s="1"/>
  <c r="P191" i="9" s="1"/>
  <c r="Q191" i="9" s="1"/>
  <c r="R191" i="9" s="1"/>
  <c r="S191" i="9" s="1"/>
  <c r="T191" i="9" s="1"/>
  <c r="U191" i="9" s="1"/>
  <c r="V191" i="9" s="1"/>
  <c r="W191" i="9" s="1"/>
  <c r="X191" i="9" s="1"/>
  <c r="Y191" i="9" s="1"/>
  <c r="Z191" i="9" s="1"/>
  <c r="AA191" i="9" s="1"/>
  <c r="AB191" i="9" s="1"/>
  <c r="AC191" i="9" s="1"/>
  <c r="AD191" i="9" s="1"/>
  <c r="AE191" i="9" s="1"/>
  <c r="AF191" i="9" s="1"/>
  <c r="B191" i="9" s="1"/>
  <c r="E191" i="9"/>
  <c r="F191" i="9" s="1"/>
  <c r="D191" i="9"/>
  <c r="P190" i="9"/>
  <c r="Q190" i="9" s="1"/>
  <c r="R190" i="9" s="1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B190" i="9" s="1"/>
  <c r="E190" i="9"/>
  <c r="F190" i="9" s="1"/>
  <c r="G190" i="9" s="1"/>
  <c r="H190" i="9" s="1"/>
  <c r="I190" i="9" s="1"/>
  <c r="J190" i="9" s="1"/>
  <c r="K190" i="9" s="1"/>
  <c r="L190" i="9" s="1"/>
  <c r="M190" i="9" s="1"/>
  <c r="N190" i="9" s="1"/>
  <c r="O190" i="9" s="1"/>
  <c r="D190" i="9"/>
  <c r="O189" i="9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B189" i="9" s="1"/>
  <c r="D189" i="9"/>
  <c r="E189" i="9" s="1"/>
  <c r="F189" i="9" s="1"/>
  <c r="G189" i="9" s="1"/>
  <c r="H189" i="9" s="1"/>
  <c r="I189" i="9" s="1"/>
  <c r="J189" i="9" s="1"/>
  <c r="K189" i="9" s="1"/>
  <c r="L189" i="9" s="1"/>
  <c r="M189" i="9" s="1"/>
  <c r="N189" i="9" s="1"/>
  <c r="D188" i="9"/>
  <c r="E188" i="9" s="1"/>
  <c r="F188" i="9" s="1"/>
  <c r="G188" i="9" s="1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B188" i="9" s="1"/>
  <c r="D187" i="9"/>
  <c r="E187" i="9" s="1"/>
  <c r="F187" i="9" s="1"/>
  <c r="G187" i="9" s="1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B187" i="9" s="1"/>
  <c r="E186" i="9"/>
  <c r="F186" i="9" s="1"/>
  <c r="G186" i="9" s="1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B186" i="9" s="1"/>
  <c r="D186" i="9"/>
  <c r="H185" i="9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B185" i="9" s="1"/>
  <c r="D185" i="9"/>
  <c r="E185" i="9" s="1"/>
  <c r="F185" i="9" s="1"/>
  <c r="G185" i="9" s="1"/>
  <c r="F184" i="9"/>
  <c r="G184" i="9" s="1"/>
  <c r="H184" i="9" s="1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B184" i="9" s="1"/>
  <c r="E184" i="9"/>
  <c r="D184" i="9"/>
  <c r="O183" i="9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B183" i="9" s="1"/>
  <c r="D183" i="9"/>
  <c r="E183" i="9" s="1"/>
  <c r="F183" i="9" s="1"/>
  <c r="G183" i="9" s="1"/>
  <c r="H183" i="9" s="1"/>
  <c r="I183" i="9" s="1"/>
  <c r="J183" i="9" s="1"/>
  <c r="K183" i="9" s="1"/>
  <c r="L183" i="9" s="1"/>
  <c r="M183" i="9" s="1"/>
  <c r="N183" i="9" s="1"/>
  <c r="E182" i="9"/>
  <c r="F182" i="9" s="1"/>
  <c r="G182" i="9" s="1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B182" i="9" s="1"/>
  <c r="D182" i="9"/>
  <c r="H181" i="9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B181" i="9" s="1"/>
  <c r="D181" i="9"/>
  <c r="E181" i="9" s="1"/>
  <c r="F181" i="9" s="1"/>
  <c r="G181" i="9" s="1"/>
  <c r="F180" i="9"/>
  <c r="G180" i="9" s="1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B180" i="9" s="1"/>
  <c r="E180" i="9"/>
  <c r="D180" i="9"/>
  <c r="I179" i="9"/>
  <c r="J179" i="9" s="1"/>
  <c r="K179" i="9" s="1"/>
  <c r="L179" i="9" s="1"/>
  <c r="M179" i="9" s="1"/>
  <c r="N179" i="9" s="1"/>
  <c r="O179" i="9" s="1"/>
  <c r="P179" i="9" s="1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B179" i="9" s="1"/>
  <c r="E179" i="9"/>
  <c r="F179" i="9" s="1"/>
  <c r="G179" i="9" s="1"/>
  <c r="H179" i="9" s="1"/>
  <c r="D179" i="9"/>
  <c r="L177" i="9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E177" i="9" s="1"/>
  <c r="AF177" i="9" s="1"/>
  <c r="B177" i="9" s="1"/>
  <c r="D177" i="9"/>
  <c r="E177" i="9" s="1"/>
  <c r="F177" i="9" s="1"/>
  <c r="G177" i="9" s="1"/>
  <c r="H177" i="9" s="1"/>
  <c r="I177" i="9" s="1"/>
  <c r="J177" i="9" s="1"/>
  <c r="K177" i="9" s="1"/>
  <c r="K176" i="9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B176" i="9" s="1"/>
  <c r="F176" i="9"/>
  <c r="G176" i="9" s="1"/>
  <c r="H176" i="9" s="1"/>
  <c r="I176" i="9" s="1"/>
  <c r="J176" i="9" s="1"/>
  <c r="E176" i="9"/>
  <c r="D176" i="9"/>
  <c r="G175" i="9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B175" i="9" s="1"/>
  <c r="E175" i="9"/>
  <c r="F175" i="9" s="1"/>
  <c r="D175" i="9"/>
  <c r="K174" i="9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B174" i="9" s="1"/>
  <c r="E174" i="9"/>
  <c r="F174" i="9" s="1"/>
  <c r="G174" i="9" s="1"/>
  <c r="H174" i="9" s="1"/>
  <c r="I174" i="9" s="1"/>
  <c r="J174" i="9" s="1"/>
  <c r="D174" i="9"/>
  <c r="D173" i="9"/>
  <c r="E173" i="9" s="1"/>
  <c r="F173" i="9" s="1"/>
  <c r="G173" i="9" s="1"/>
  <c r="H173" i="9" s="1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B173" i="9" s="1"/>
  <c r="I172" i="9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B172" i="9" s="1"/>
  <c r="G172" i="9"/>
  <c r="H172" i="9" s="1"/>
  <c r="F172" i="9"/>
  <c r="E172" i="9"/>
  <c r="D172" i="9"/>
  <c r="G171" i="9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B171" i="9" s="1"/>
  <c r="D171" i="9"/>
  <c r="E171" i="9" s="1"/>
  <c r="F171" i="9" s="1"/>
  <c r="D170" i="9"/>
  <c r="E170" i="9" s="1"/>
  <c r="F170" i="9" s="1"/>
  <c r="G170" i="9" s="1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B170" i="9" s="1"/>
  <c r="I168" i="9"/>
  <c r="J168" i="9" s="1"/>
  <c r="K168" i="9" s="1"/>
  <c r="L168" i="9" s="1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B168" i="9" s="1"/>
  <c r="D168" i="9"/>
  <c r="E168" i="9" s="1"/>
  <c r="F168" i="9" s="1"/>
  <c r="G168" i="9" s="1"/>
  <c r="H168" i="9" s="1"/>
  <c r="F167" i="9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B167" i="9" s="1"/>
  <c r="E167" i="9"/>
  <c r="D167" i="9"/>
  <c r="D166" i="9"/>
  <c r="E166" i="9" s="1"/>
  <c r="F166" i="9" s="1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B166" i="9" s="1"/>
  <c r="E165" i="9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B165" i="9" s="1"/>
  <c r="D165" i="9"/>
  <c r="D164" i="9"/>
  <c r="E164" i="9" s="1"/>
  <c r="F164" i="9" s="1"/>
  <c r="G164" i="9" s="1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B164" i="9" s="1"/>
  <c r="F163" i="9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B163" i="9" s="1"/>
  <c r="E163" i="9"/>
  <c r="D163" i="9"/>
  <c r="E162" i="9"/>
  <c r="F162" i="9" s="1"/>
  <c r="G162" i="9" s="1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B162" i="9" s="1"/>
  <c r="D162" i="9"/>
  <c r="T161" i="9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B161" i="9" s="1"/>
  <c r="E161" i="9"/>
  <c r="F161" i="9" s="1"/>
  <c r="G161" i="9" s="1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D161" i="9"/>
  <c r="D160" i="9"/>
  <c r="E160" i="9" s="1"/>
  <c r="F160" i="9" s="1"/>
  <c r="G160" i="9" s="1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B160" i="9" s="1"/>
  <c r="F159" i="9"/>
  <c r="G159" i="9" s="1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B159" i="9" s="1"/>
  <c r="E159" i="9"/>
  <c r="D159" i="9"/>
  <c r="E158" i="9"/>
  <c r="F158" i="9" s="1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B158" i="9" s="1"/>
  <c r="D158" i="9"/>
  <c r="D157" i="9"/>
  <c r="E157" i="9" s="1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B157" i="9" s="1"/>
  <c r="F156" i="9"/>
  <c r="G156" i="9" s="1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B156" i="9" s="1"/>
  <c r="D156" i="9"/>
  <c r="E156" i="9" s="1"/>
  <c r="E154" i="9"/>
  <c r="F154" i="9" s="1"/>
  <c r="G154" i="9" s="1"/>
  <c r="H154" i="9" s="1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 s="1"/>
  <c r="B154" i="9" s="1"/>
  <c r="D154" i="9"/>
  <c r="G153" i="9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B153" i="9" s="1"/>
  <c r="D153" i="9"/>
  <c r="E153" i="9" s="1"/>
  <c r="F153" i="9" s="1"/>
  <c r="E152" i="9"/>
  <c r="F152" i="9" s="1"/>
  <c r="G152" i="9" s="1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B152" i="9" s="1"/>
  <c r="D152" i="9"/>
  <c r="T151" i="9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B151" i="9" s="1"/>
  <c r="F151" i="9"/>
  <c r="G151" i="9" s="1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D151" i="9"/>
  <c r="E151" i="9" s="1"/>
  <c r="I149" i="9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AF149" i="9" s="1"/>
  <c r="B149" i="9" s="1"/>
  <c r="D149" i="9"/>
  <c r="E149" i="9" s="1"/>
  <c r="F149" i="9" s="1"/>
  <c r="G149" i="9" s="1"/>
  <c r="H149" i="9" s="1"/>
  <c r="D148" i="9"/>
  <c r="E148" i="9" s="1"/>
  <c r="F148" i="9" s="1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B148" i="9" s="1"/>
  <c r="F146" i="9"/>
  <c r="G146" i="9" s="1"/>
  <c r="H146" i="9" s="1"/>
  <c r="I146" i="9" s="1"/>
  <c r="J146" i="9" s="1"/>
  <c r="K146" i="9" s="1"/>
  <c r="L146" i="9" s="1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 s="1"/>
  <c r="B146" i="9" s="1"/>
  <c r="E146" i="9"/>
  <c r="D146" i="9"/>
  <c r="F145" i="9"/>
  <c r="G145" i="9" s="1"/>
  <c r="H145" i="9" s="1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B145" i="9" s="1"/>
  <c r="D145" i="9"/>
  <c r="E145" i="9" s="1"/>
  <c r="N144" i="9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E144" i="9" s="1"/>
  <c r="AF144" i="9" s="1"/>
  <c r="B144" i="9" s="1"/>
  <c r="D144" i="9"/>
  <c r="E144" i="9" s="1"/>
  <c r="F144" i="9" s="1"/>
  <c r="G144" i="9" s="1"/>
  <c r="H144" i="9" s="1"/>
  <c r="I144" i="9" s="1"/>
  <c r="J144" i="9" s="1"/>
  <c r="K144" i="9" s="1"/>
  <c r="L144" i="9" s="1"/>
  <c r="M144" i="9" s="1"/>
  <c r="D143" i="9"/>
  <c r="E143" i="9" s="1"/>
  <c r="F143" i="9" s="1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B143" i="9" s="1"/>
  <c r="J142" i="9"/>
  <c r="K142" i="9" s="1"/>
  <c r="L142" i="9" s="1"/>
  <c r="M142" i="9" s="1"/>
  <c r="N142" i="9" s="1"/>
  <c r="O142" i="9" s="1"/>
  <c r="P142" i="9" s="1"/>
  <c r="Q142" i="9" s="1"/>
  <c r="R142" i="9" s="1"/>
  <c r="S142" i="9" s="1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B142" i="9" s="1"/>
  <c r="E142" i="9"/>
  <c r="F142" i="9" s="1"/>
  <c r="G142" i="9" s="1"/>
  <c r="H142" i="9" s="1"/>
  <c r="I142" i="9" s="1"/>
  <c r="D142" i="9"/>
  <c r="L141" i="9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B141" i="9" s="1"/>
  <c r="D141" i="9"/>
  <c r="E141" i="9" s="1"/>
  <c r="F141" i="9" s="1"/>
  <c r="G141" i="9" s="1"/>
  <c r="H141" i="9" s="1"/>
  <c r="I141" i="9" s="1"/>
  <c r="J141" i="9" s="1"/>
  <c r="K141" i="9" s="1"/>
  <c r="D140" i="9"/>
  <c r="E140" i="9" s="1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B140" i="9" s="1"/>
  <c r="H138" i="9"/>
  <c r="I138" i="9" s="1"/>
  <c r="J138" i="9" s="1"/>
  <c r="K138" i="9" s="1"/>
  <c r="L138" i="9" s="1"/>
  <c r="M138" i="9" s="1"/>
  <c r="N138" i="9" s="1"/>
  <c r="O138" i="9" s="1"/>
  <c r="P138" i="9" s="1"/>
  <c r="Q138" i="9" s="1"/>
  <c r="R138" i="9" s="1"/>
  <c r="S138" i="9" s="1"/>
  <c r="T138" i="9" s="1"/>
  <c r="U138" i="9" s="1"/>
  <c r="V138" i="9" s="1"/>
  <c r="W138" i="9" s="1"/>
  <c r="X138" i="9" s="1"/>
  <c r="Y138" i="9" s="1"/>
  <c r="Z138" i="9" s="1"/>
  <c r="AA138" i="9" s="1"/>
  <c r="AB138" i="9" s="1"/>
  <c r="AC138" i="9" s="1"/>
  <c r="AD138" i="9" s="1"/>
  <c r="AE138" i="9" s="1"/>
  <c r="AF138" i="9" s="1"/>
  <c r="B138" i="9" s="1"/>
  <c r="D138" i="9"/>
  <c r="E138" i="9" s="1"/>
  <c r="F138" i="9" s="1"/>
  <c r="G138" i="9" s="1"/>
  <c r="D137" i="9"/>
  <c r="E137" i="9" s="1"/>
  <c r="F137" i="9" s="1"/>
  <c r="G137" i="9" s="1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B137" i="9" s="1"/>
  <c r="E136" i="9"/>
  <c r="F136" i="9" s="1"/>
  <c r="G136" i="9" s="1"/>
  <c r="H136" i="9" s="1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B136" i="9" s="1"/>
  <c r="D136" i="9"/>
  <c r="D135" i="9"/>
  <c r="E135" i="9" s="1"/>
  <c r="F135" i="9" s="1"/>
  <c r="G135" i="9" s="1"/>
  <c r="H135" i="9" s="1"/>
  <c r="I135" i="9" s="1"/>
  <c r="J135" i="9" s="1"/>
  <c r="K135" i="9" s="1"/>
  <c r="L135" i="9" s="1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B135" i="9" s="1"/>
  <c r="F134" i="9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B134" i="9" s="1"/>
  <c r="E134" i="9"/>
  <c r="D134" i="9"/>
  <c r="D133" i="9"/>
  <c r="E133" i="9" s="1"/>
  <c r="F133" i="9" s="1"/>
  <c r="G133" i="9" s="1"/>
  <c r="H133" i="9" s="1"/>
  <c r="I133" i="9" s="1"/>
  <c r="J133" i="9" s="1"/>
  <c r="K133" i="9" s="1"/>
  <c r="L133" i="9" s="1"/>
  <c r="M133" i="9" s="1"/>
  <c r="N133" i="9" s="1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B133" i="9" s="1"/>
  <c r="E132" i="9"/>
  <c r="F132" i="9" s="1"/>
  <c r="G132" i="9" s="1"/>
  <c r="H132" i="9" s="1"/>
  <c r="I132" i="9" s="1"/>
  <c r="J132" i="9" s="1"/>
  <c r="K132" i="9" s="1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B132" i="9" s="1"/>
  <c r="D132" i="9"/>
  <c r="D131" i="9"/>
  <c r="E131" i="9" s="1"/>
  <c r="F131" i="9" s="1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B131" i="9" s="1"/>
  <c r="F129" i="9"/>
  <c r="G129" i="9" s="1"/>
  <c r="H129" i="9" s="1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B129" i="9" s="1"/>
  <c r="E129" i="9"/>
  <c r="D129" i="9"/>
  <c r="G128" i="9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B128" i="9" s="1"/>
  <c r="D128" i="9"/>
  <c r="E128" i="9" s="1"/>
  <c r="F128" i="9" s="1"/>
  <c r="E127" i="9"/>
  <c r="F127" i="9" s="1"/>
  <c r="G127" i="9" s="1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B127" i="9" s="1"/>
  <c r="D127" i="9"/>
  <c r="H126" i="9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B126" i="9" s="1"/>
  <c r="D126" i="9"/>
  <c r="E126" i="9" s="1"/>
  <c r="F126" i="9" s="1"/>
  <c r="G126" i="9" s="1"/>
  <c r="J125" i="9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B125" i="9" s="1"/>
  <c r="E125" i="9"/>
  <c r="F125" i="9" s="1"/>
  <c r="G125" i="9" s="1"/>
  <c r="H125" i="9" s="1"/>
  <c r="D125" i="9"/>
  <c r="F124" i="9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B124" i="9" s="1"/>
  <c r="D124" i="9"/>
  <c r="E124" i="9" s="1"/>
  <c r="E123" i="9"/>
  <c r="F123" i="9" s="1"/>
  <c r="G123" i="9" s="1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B123" i="9" s="1"/>
  <c r="D123" i="9"/>
  <c r="D122" i="9"/>
  <c r="E122" i="9" s="1"/>
  <c r="F122" i="9" s="1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B122" i="9" s="1"/>
  <c r="E121" i="9"/>
  <c r="F121" i="9" s="1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B121" i="9" s="1"/>
  <c r="D121" i="9"/>
  <c r="D120" i="9"/>
  <c r="E120" i="9" s="1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B120" i="9" s="1"/>
  <c r="E119" i="9"/>
  <c r="F119" i="9" s="1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B119" i="9" s="1"/>
  <c r="D119" i="9"/>
  <c r="D118" i="9"/>
  <c r="E118" i="9" s="1"/>
  <c r="F118" i="9" s="1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B118" i="9" s="1"/>
  <c r="E117" i="9"/>
  <c r="F117" i="9" s="1"/>
  <c r="G117" i="9" s="1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B117" i="9" s="1"/>
  <c r="D117" i="9"/>
  <c r="D116" i="9"/>
  <c r="E116" i="9" s="1"/>
  <c r="F116" i="9" s="1"/>
  <c r="G116" i="9" s="1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B116" i="9" s="1"/>
  <c r="E115" i="9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B115" i="9" s="1"/>
  <c r="D115" i="9"/>
  <c r="K114" i="9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B114" i="9" s="1"/>
  <c r="D114" i="9"/>
  <c r="E114" i="9" s="1"/>
  <c r="F114" i="9" s="1"/>
  <c r="G114" i="9" s="1"/>
  <c r="H114" i="9" s="1"/>
  <c r="I114" i="9" s="1"/>
  <c r="D113" i="9"/>
  <c r="E113" i="9" s="1"/>
  <c r="F113" i="9" s="1"/>
  <c r="G113" i="9" s="1"/>
  <c r="H113" i="9" s="1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B113" i="9" s="1"/>
  <c r="E112" i="9"/>
  <c r="F112" i="9" s="1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B112" i="9" s="1"/>
  <c r="D112" i="9"/>
  <c r="D110" i="9"/>
  <c r="E110" i="9" s="1"/>
  <c r="F110" i="9" s="1"/>
  <c r="G110" i="9" s="1"/>
  <c r="H110" i="9" s="1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 s="1"/>
  <c r="B110" i="9" s="1"/>
  <c r="F109" i="9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B109" i="9" s="1"/>
  <c r="D109" i="9"/>
  <c r="E109" i="9" s="1"/>
  <c r="D107" i="9"/>
  <c r="E107" i="9" s="1"/>
  <c r="F107" i="9" s="1"/>
  <c r="G107" i="9" s="1"/>
  <c r="H107" i="9" s="1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B107" i="9" s="1"/>
  <c r="E106" i="9"/>
  <c r="F106" i="9" s="1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B106" i="9" s="1"/>
  <c r="D106" i="9"/>
  <c r="E105" i="9"/>
  <c r="F105" i="9" s="1"/>
  <c r="G105" i="9" s="1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B105" i="9" s="1"/>
  <c r="D105" i="9"/>
  <c r="D104" i="9"/>
  <c r="E104" i="9" s="1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B104" i="9" s="1"/>
  <c r="D103" i="9"/>
  <c r="D93" i="9" s="1"/>
  <c r="D102" i="9"/>
  <c r="AH100" i="9"/>
  <c r="AI100" i="9" s="1"/>
  <c r="AH99" i="9"/>
  <c r="AI99" i="9" s="1"/>
  <c r="AH98" i="9"/>
  <c r="AI98" i="9" s="1"/>
  <c r="AH97" i="9"/>
  <c r="AI97" i="9" s="1"/>
  <c r="AH96" i="9"/>
  <c r="AI96" i="9" s="1"/>
  <c r="AH95" i="9"/>
  <c r="AI95" i="9" s="1"/>
  <c r="AH94" i="9"/>
  <c r="AI94" i="9" s="1"/>
  <c r="C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2" i="9"/>
  <c r="AH82" i="9"/>
  <c r="AG82" i="9"/>
  <c r="AI81" i="9"/>
  <c r="AH81" i="9"/>
  <c r="AI80" i="9"/>
  <c r="AH80" i="9"/>
  <c r="AI79" i="9"/>
  <c r="AH79" i="9"/>
  <c r="AI78" i="9"/>
  <c r="AH78" i="9"/>
  <c r="AI77" i="9"/>
  <c r="AH77" i="9"/>
  <c r="AI76" i="9"/>
  <c r="AH76" i="9"/>
  <c r="AI74" i="9"/>
  <c r="AH74" i="9"/>
  <c r="AI73" i="9"/>
  <c r="AH73" i="9"/>
  <c r="AI72" i="9"/>
  <c r="AH72" i="9"/>
  <c r="AG72" i="9"/>
  <c r="AI71" i="9"/>
  <c r="AH71" i="9"/>
  <c r="AI70" i="9"/>
  <c r="AH70" i="9"/>
  <c r="AI69" i="9"/>
  <c r="AH69" i="9"/>
  <c r="AG68" i="9"/>
  <c r="AG75" i="9" s="1"/>
  <c r="AF68" i="9"/>
  <c r="AE68" i="9"/>
  <c r="AD68" i="9"/>
  <c r="AC5" i="9" s="1"/>
  <c r="AC68" i="9"/>
  <c r="AB68" i="9"/>
  <c r="AA5" i="9" s="1"/>
  <c r="AA68" i="9"/>
  <c r="Z5" i="9" s="1"/>
  <c r="Z68" i="9"/>
  <c r="Y5" i="9" s="1"/>
  <c r="Y68" i="9"/>
  <c r="X68" i="9"/>
  <c r="W5" i="9" s="1"/>
  <c r="W68" i="9"/>
  <c r="V5" i="9" s="1"/>
  <c r="V68" i="9"/>
  <c r="U5" i="9" s="1"/>
  <c r="U68" i="9"/>
  <c r="T68" i="9"/>
  <c r="S5" i="9" s="1"/>
  <c r="S68" i="9"/>
  <c r="R5" i="9" s="1"/>
  <c r="R68" i="9"/>
  <c r="Q5" i="9" s="1"/>
  <c r="Q68" i="9"/>
  <c r="P5" i="9" s="1"/>
  <c r="P68" i="9"/>
  <c r="O5" i="9" s="1"/>
  <c r="O68" i="9"/>
  <c r="N5" i="9" s="1"/>
  <c r="M5" i="9"/>
  <c r="M68" i="9"/>
  <c r="L68" i="9"/>
  <c r="K5" i="9" s="1"/>
  <c r="K68" i="9"/>
  <c r="J5" i="9" s="1"/>
  <c r="J68" i="9"/>
  <c r="I5" i="9" s="1"/>
  <c r="I68" i="9"/>
  <c r="H5" i="9" s="1"/>
  <c r="H68" i="9"/>
  <c r="H75" i="9" s="1"/>
  <c r="G68" i="9"/>
  <c r="F5" i="9" s="1"/>
  <c r="F68" i="9"/>
  <c r="E5" i="9" s="1"/>
  <c r="E68" i="9"/>
  <c r="D5" i="9" s="1"/>
  <c r="D68" i="9"/>
  <c r="C68" i="9"/>
  <c r="B5" i="9" s="1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G56" i="9"/>
  <c r="AG4" i="9" s="1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I55" i="9"/>
  <c r="AH55" i="9"/>
  <c r="AI54" i="9"/>
  <c r="AH54" i="9"/>
  <c r="AI53" i="9"/>
  <c r="AH53" i="9"/>
  <c r="AG52" i="9"/>
  <c r="AG3" i="9" s="1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AI51" i="9"/>
  <c r="AH51" i="9"/>
  <c r="AG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F5" i="9"/>
  <c r="AE5" i="9"/>
  <c r="AD5" i="9"/>
  <c r="AB5" i="9"/>
  <c r="T5" i="9"/>
  <c r="L5" i="9"/>
  <c r="C5" i="9"/>
  <c r="K4" i="9"/>
  <c r="B4" i="9"/>
  <c r="AG2" i="9"/>
  <c r="AG6" i="9" s="1"/>
  <c r="Z95" i="8"/>
  <c r="Z37" i="8"/>
  <c r="Y95" i="8"/>
  <c r="Y37" i="8"/>
  <c r="X37" i="8"/>
  <c r="W95" i="8"/>
  <c r="W37" i="8"/>
  <c r="V95" i="8"/>
  <c r="V37" i="8"/>
  <c r="U95" i="8"/>
  <c r="U37" i="8"/>
  <c r="T95" i="8"/>
  <c r="T37" i="8"/>
  <c r="S95" i="8"/>
  <c r="S37" i="8"/>
  <c r="R37" i="8"/>
  <c r="Q95" i="8"/>
  <c r="Q37" i="8"/>
  <c r="P37" i="8"/>
  <c r="O37" i="8"/>
  <c r="N37" i="8"/>
  <c r="M37" i="8"/>
  <c r="L37" i="8"/>
  <c r="J95" i="8"/>
  <c r="K37" i="8"/>
  <c r="J37" i="8"/>
  <c r="I95" i="8"/>
  <c r="I37" i="8"/>
  <c r="H95" i="8"/>
  <c r="H37" i="8"/>
  <c r="G95" i="8"/>
  <c r="G37" i="8"/>
  <c r="E4" i="9"/>
  <c r="Y194" i="16" l="1"/>
  <c r="W93" i="16"/>
  <c r="X103" i="16"/>
  <c r="W192" i="16"/>
  <c r="X102" i="16"/>
  <c r="V235" i="16"/>
  <c r="X199" i="16"/>
  <c r="W200" i="16"/>
  <c r="X194" i="15"/>
  <c r="W200" i="15"/>
  <c r="W93" i="15"/>
  <c r="W192" i="15"/>
  <c r="X102" i="15"/>
  <c r="W235" i="15"/>
  <c r="Y199" i="15"/>
  <c r="Z103" i="15"/>
  <c r="L103" i="14"/>
  <c r="K93" i="14"/>
  <c r="L194" i="14"/>
  <c r="K200" i="14"/>
  <c r="K192" i="14"/>
  <c r="L102" i="14"/>
  <c r="J235" i="14"/>
  <c r="L199" i="14"/>
  <c r="M103" i="13"/>
  <c r="M194" i="13"/>
  <c r="K199" i="13"/>
  <c r="I235" i="13"/>
  <c r="J200" i="13"/>
  <c r="J93" i="13"/>
  <c r="K192" i="13"/>
  <c r="L102" i="13"/>
  <c r="L102" i="12"/>
  <c r="J195" i="12"/>
  <c r="I200" i="12"/>
  <c r="K103" i="12"/>
  <c r="J93" i="12"/>
  <c r="M194" i="12"/>
  <c r="J199" i="12"/>
  <c r="H235" i="12"/>
  <c r="I192" i="11"/>
  <c r="J102" i="11"/>
  <c r="H235" i="11"/>
  <c r="J199" i="11"/>
  <c r="I200" i="11"/>
  <c r="L194" i="11"/>
  <c r="J109" i="11"/>
  <c r="I93" i="11"/>
  <c r="R103" i="11"/>
  <c r="AF75" i="9"/>
  <c r="AE75" i="9"/>
  <c r="AD75" i="9"/>
  <c r="AC75" i="9"/>
  <c r="AU214" i="9" s="1"/>
  <c r="AB75" i="9"/>
  <c r="AT214" i="9" s="1"/>
  <c r="Z75" i="9"/>
  <c r="Y75" i="9"/>
  <c r="X75" i="9"/>
  <c r="W75" i="9"/>
  <c r="V75" i="9"/>
  <c r="U75" i="9"/>
  <c r="T75" i="9"/>
  <c r="T7" i="9" s="1"/>
  <c r="R75" i="9"/>
  <c r="R7" i="9" s="1"/>
  <c r="AH52" i="9"/>
  <c r="P75" i="9"/>
  <c r="O75" i="9"/>
  <c r="O7" i="9" s="1"/>
  <c r="N75" i="9"/>
  <c r="AF214" i="9" s="1"/>
  <c r="M75" i="9"/>
  <c r="G5" i="9"/>
  <c r="G75" i="9"/>
  <c r="J75" i="9"/>
  <c r="L75" i="9"/>
  <c r="AD214" i="9" s="1"/>
  <c r="F75" i="9"/>
  <c r="F7" i="9" s="1"/>
  <c r="AI52" i="9"/>
  <c r="E75" i="9"/>
  <c r="AI56" i="9"/>
  <c r="AH56" i="9"/>
  <c r="AI38" i="9"/>
  <c r="D75" i="9"/>
  <c r="B75" i="9"/>
  <c r="B83" i="9" s="1"/>
  <c r="H4" i="9"/>
  <c r="AB214" i="9"/>
  <c r="J7" i="9"/>
  <c r="J83" i="9"/>
  <c r="AJ214" i="9"/>
  <c r="AR214" i="9"/>
  <c r="Z7" i="9"/>
  <c r="Z83" i="9"/>
  <c r="AQ214" i="9"/>
  <c r="Y7" i="9"/>
  <c r="Y83" i="9"/>
  <c r="V214" i="9"/>
  <c r="D83" i="9"/>
  <c r="D7" i="9"/>
  <c r="AL214" i="9"/>
  <c r="T83" i="9"/>
  <c r="W214" i="9"/>
  <c r="E83" i="9"/>
  <c r="E7" i="9"/>
  <c r="AE214" i="9"/>
  <c r="M83" i="9"/>
  <c r="M7" i="9"/>
  <c r="AM214" i="9"/>
  <c r="U83" i="9"/>
  <c r="U7" i="9"/>
  <c r="AC83" i="9"/>
  <c r="AC7" i="9"/>
  <c r="AN214" i="9"/>
  <c r="V83" i="9"/>
  <c r="V7" i="9"/>
  <c r="AV214" i="9"/>
  <c r="AD83" i="9"/>
  <c r="AD7" i="9"/>
  <c r="F83" i="9"/>
  <c r="Y214" i="9"/>
  <c r="G83" i="9"/>
  <c r="G7" i="9"/>
  <c r="AO214" i="9"/>
  <c r="W83" i="9"/>
  <c r="W7" i="9"/>
  <c r="AW214" i="9"/>
  <c r="AE83" i="9"/>
  <c r="AE7" i="9"/>
  <c r="Z214" i="9"/>
  <c r="H7" i="9"/>
  <c r="H83" i="9"/>
  <c r="AH214" i="9"/>
  <c r="P7" i="9"/>
  <c r="P83" i="9"/>
  <c r="AP214" i="9"/>
  <c r="X83" i="9"/>
  <c r="X7" i="9"/>
  <c r="AX214" i="9"/>
  <c r="AF7" i="9"/>
  <c r="AF83" i="9"/>
  <c r="I75" i="9"/>
  <c r="AH68" i="9"/>
  <c r="AI68" i="9"/>
  <c r="C75" i="9"/>
  <c r="K75" i="9"/>
  <c r="S75" i="9"/>
  <c r="AA75" i="9"/>
  <c r="S211" i="9"/>
  <c r="D211" i="9"/>
  <c r="Q75" i="9"/>
  <c r="X5" i="9"/>
  <c r="E103" i="9"/>
  <c r="AH38" i="9"/>
  <c r="AG73" i="9"/>
  <c r="AG83" i="9" s="1"/>
  <c r="D192" i="9"/>
  <c r="E102" i="9"/>
  <c r="G194" i="9"/>
  <c r="E199" i="9"/>
  <c r="F95" i="8"/>
  <c r="F37" i="8"/>
  <c r="E95" i="8"/>
  <c r="E37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B239" i="8"/>
  <c r="A239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B235" i="8"/>
  <c r="S210" i="8"/>
  <c r="AG200" i="8"/>
  <c r="C200" i="8"/>
  <c r="D199" i="8"/>
  <c r="C235" i="8" s="1"/>
  <c r="T198" i="8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B198" i="8" s="1"/>
  <c r="S198" i="8"/>
  <c r="J198" i="8"/>
  <c r="K198" i="8" s="1"/>
  <c r="L198" i="8" s="1"/>
  <c r="M198" i="8" s="1"/>
  <c r="N198" i="8" s="1"/>
  <c r="O198" i="8" s="1"/>
  <c r="P198" i="8" s="1"/>
  <c r="Q198" i="8" s="1"/>
  <c r="R198" i="8" s="1"/>
  <c r="D198" i="8"/>
  <c r="E198" i="8" s="1"/>
  <c r="F198" i="8" s="1"/>
  <c r="G198" i="8" s="1"/>
  <c r="H198" i="8" s="1"/>
  <c r="I198" i="8" s="1"/>
  <c r="I197" i="8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B197" i="8" s="1"/>
  <c r="H197" i="8"/>
  <c r="D197" i="8"/>
  <c r="E197" i="8" s="1"/>
  <c r="F197" i="8" s="1"/>
  <c r="G197" i="8" s="1"/>
  <c r="AD196" i="8"/>
  <c r="AE196" i="8" s="1"/>
  <c r="AF196" i="8" s="1"/>
  <c r="B196" i="8" s="1"/>
  <c r="G196" i="8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F196" i="8"/>
  <c r="E196" i="8"/>
  <c r="D196" i="8"/>
  <c r="M195" i="8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B195" i="8" s="1"/>
  <c r="D195" i="8"/>
  <c r="E195" i="8" s="1"/>
  <c r="F195" i="8" s="1"/>
  <c r="G195" i="8" s="1"/>
  <c r="H195" i="8" s="1"/>
  <c r="I195" i="8" s="1"/>
  <c r="J195" i="8" s="1"/>
  <c r="K195" i="8" s="1"/>
  <c r="L195" i="8" s="1"/>
  <c r="D194" i="8"/>
  <c r="AG192" i="8"/>
  <c r="C192" i="8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B191" i="8" s="1"/>
  <c r="M190" i="8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B190" i="8" s="1"/>
  <c r="E190" i="8"/>
  <c r="F190" i="8" s="1"/>
  <c r="G190" i="8" s="1"/>
  <c r="H190" i="8" s="1"/>
  <c r="I190" i="8" s="1"/>
  <c r="J190" i="8" s="1"/>
  <c r="K190" i="8" s="1"/>
  <c r="L190" i="8" s="1"/>
  <c r="D190" i="8"/>
  <c r="K189" i="8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B189" i="8" s="1"/>
  <c r="D189" i="8"/>
  <c r="E189" i="8" s="1"/>
  <c r="F189" i="8" s="1"/>
  <c r="G189" i="8" s="1"/>
  <c r="H189" i="8" s="1"/>
  <c r="I189" i="8" s="1"/>
  <c r="J189" i="8" s="1"/>
  <c r="Q188" i="8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B188" i="8" s="1"/>
  <c r="J188" i="8"/>
  <c r="K188" i="8" s="1"/>
  <c r="L188" i="8" s="1"/>
  <c r="M188" i="8" s="1"/>
  <c r="N188" i="8" s="1"/>
  <c r="O188" i="8" s="1"/>
  <c r="P188" i="8" s="1"/>
  <c r="I188" i="8"/>
  <c r="D188" i="8"/>
  <c r="E188" i="8" s="1"/>
  <c r="F188" i="8" s="1"/>
  <c r="G188" i="8" s="1"/>
  <c r="H188" i="8" s="1"/>
  <c r="O187" i="8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B187" i="8" s="1"/>
  <c r="I187" i="8"/>
  <c r="J187" i="8" s="1"/>
  <c r="K187" i="8" s="1"/>
  <c r="L187" i="8" s="1"/>
  <c r="M187" i="8" s="1"/>
  <c r="N187" i="8" s="1"/>
  <c r="H187" i="8"/>
  <c r="G187" i="8"/>
  <c r="D187" i="8"/>
  <c r="E187" i="8" s="1"/>
  <c r="F187" i="8" s="1"/>
  <c r="V186" i="8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B186" i="8" s="1"/>
  <c r="N186" i="8"/>
  <c r="O186" i="8" s="1"/>
  <c r="P186" i="8" s="1"/>
  <c r="Q186" i="8" s="1"/>
  <c r="R186" i="8" s="1"/>
  <c r="S186" i="8" s="1"/>
  <c r="T186" i="8" s="1"/>
  <c r="U186" i="8" s="1"/>
  <c r="F186" i="8"/>
  <c r="G186" i="8" s="1"/>
  <c r="H186" i="8" s="1"/>
  <c r="I186" i="8" s="1"/>
  <c r="J186" i="8" s="1"/>
  <c r="K186" i="8" s="1"/>
  <c r="L186" i="8" s="1"/>
  <c r="M186" i="8" s="1"/>
  <c r="E186" i="8"/>
  <c r="D186" i="8"/>
  <c r="F185" i="8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B185" i="8" s="1"/>
  <c r="E185" i="8"/>
  <c r="D185" i="8"/>
  <c r="Y184" i="8"/>
  <c r="Z184" i="8" s="1"/>
  <c r="AA184" i="8" s="1"/>
  <c r="AB184" i="8" s="1"/>
  <c r="AC184" i="8" s="1"/>
  <c r="AD184" i="8" s="1"/>
  <c r="AE184" i="8" s="1"/>
  <c r="AF184" i="8" s="1"/>
  <c r="B184" i="8" s="1"/>
  <c r="I184" i="8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D184" i="8"/>
  <c r="E184" i="8" s="1"/>
  <c r="F184" i="8" s="1"/>
  <c r="G184" i="8" s="1"/>
  <c r="H184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B183" i="8" s="1"/>
  <c r="X182" i="8"/>
  <c r="Y182" i="8" s="1"/>
  <c r="Z182" i="8" s="1"/>
  <c r="AA182" i="8" s="1"/>
  <c r="AB182" i="8" s="1"/>
  <c r="AC182" i="8" s="1"/>
  <c r="AD182" i="8" s="1"/>
  <c r="AE182" i="8" s="1"/>
  <c r="AF182" i="8" s="1"/>
  <c r="B182" i="8" s="1"/>
  <c r="F182" i="8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E182" i="8"/>
  <c r="D182" i="8"/>
  <c r="L181" i="8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B181" i="8" s="1"/>
  <c r="E181" i="8"/>
  <c r="F181" i="8" s="1"/>
  <c r="G181" i="8" s="1"/>
  <c r="H181" i="8" s="1"/>
  <c r="I181" i="8" s="1"/>
  <c r="J181" i="8" s="1"/>
  <c r="K181" i="8" s="1"/>
  <c r="D181" i="8"/>
  <c r="S180" i="8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B180" i="8" s="1"/>
  <c r="I180" i="8"/>
  <c r="J180" i="8" s="1"/>
  <c r="K180" i="8" s="1"/>
  <c r="L180" i="8" s="1"/>
  <c r="M180" i="8" s="1"/>
  <c r="N180" i="8" s="1"/>
  <c r="O180" i="8" s="1"/>
  <c r="P180" i="8" s="1"/>
  <c r="Q180" i="8" s="1"/>
  <c r="R180" i="8" s="1"/>
  <c r="D180" i="8"/>
  <c r="E180" i="8" s="1"/>
  <c r="F180" i="8" s="1"/>
  <c r="G180" i="8" s="1"/>
  <c r="H180" i="8" s="1"/>
  <c r="J179" i="8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B179" i="8" s="1"/>
  <c r="D179" i="8"/>
  <c r="E179" i="8" s="1"/>
  <c r="F179" i="8" s="1"/>
  <c r="G179" i="8" s="1"/>
  <c r="H179" i="8" s="1"/>
  <c r="I179" i="8" s="1"/>
  <c r="J177" i="8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B177" i="8" s="1"/>
  <c r="H177" i="8"/>
  <c r="I177" i="8" s="1"/>
  <c r="G177" i="8"/>
  <c r="D177" i="8"/>
  <c r="E177" i="8" s="1"/>
  <c r="F177" i="8" s="1"/>
  <c r="AB176" i="8"/>
  <c r="AC176" i="8" s="1"/>
  <c r="AD176" i="8" s="1"/>
  <c r="AE176" i="8" s="1"/>
  <c r="AF176" i="8" s="1"/>
  <c r="B176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L175" i="8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B175" i="8" s="1"/>
  <c r="K175" i="8"/>
  <c r="J175" i="8"/>
  <c r="D175" i="8"/>
  <c r="E175" i="8" s="1"/>
  <c r="F175" i="8" s="1"/>
  <c r="G175" i="8" s="1"/>
  <c r="H175" i="8" s="1"/>
  <c r="I175" i="8" s="1"/>
  <c r="AB174" i="8"/>
  <c r="AC174" i="8" s="1"/>
  <c r="AD174" i="8" s="1"/>
  <c r="AE174" i="8" s="1"/>
  <c r="AF174" i="8" s="1"/>
  <c r="B174" i="8" s="1"/>
  <c r="J174" i="8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F174" i="8"/>
  <c r="G174" i="8" s="1"/>
  <c r="H174" i="8" s="1"/>
  <c r="I174" i="8" s="1"/>
  <c r="E174" i="8"/>
  <c r="D174" i="8"/>
  <c r="S173" i="8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B173" i="8" s="1"/>
  <c r="P173" i="8"/>
  <c r="Q173" i="8" s="1"/>
  <c r="R173" i="8" s="1"/>
  <c r="H173" i="8"/>
  <c r="I173" i="8" s="1"/>
  <c r="J173" i="8" s="1"/>
  <c r="K173" i="8" s="1"/>
  <c r="L173" i="8" s="1"/>
  <c r="M173" i="8" s="1"/>
  <c r="N173" i="8" s="1"/>
  <c r="O173" i="8" s="1"/>
  <c r="D173" i="8"/>
  <c r="E173" i="8" s="1"/>
  <c r="F173" i="8" s="1"/>
  <c r="G173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B172" i="8" s="1"/>
  <c r="P171" i="8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B171" i="8" s="1"/>
  <c r="K171" i="8"/>
  <c r="L171" i="8" s="1"/>
  <c r="M171" i="8" s="1"/>
  <c r="N171" i="8" s="1"/>
  <c r="O171" i="8" s="1"/>
  <c r="J171" i="8"/>
  <c r="F171" i="8"/>
  <c r="G171" i="8" s="1"/>
  <c r="H171" i="8" s="1"/>
  <c r="I171" i="8" s="1"/>
  <c r="D171" i="8"/>
  <c r="E171" i="8" s="1"/>
  <c r="H170" i="8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B170" i="8" s="1"/>
  <c r="D170" i="8"/>
  <c r="E170" i="8" s="1"/>
  <c r="F170" i="8" s="1"/>
  <c r="G170" i="8" s="1"/>
  <c r="H168" i="8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B168" i="8" s="1"/>
  <c r="E168" i="8"/>
  <c r="F168" i="8" s="1"/>
  <c r="G168" i="8" s="1"/>
  <c r="D168" i="8"/>
  <c r="L167" i="8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B167" i="8" s="1"/>
  <c r="H167" i="8"/>
  <c r="I167" i="8" s="1"/>
  <c r="J167" i="8" s="1"/>
  <c r="K167" i="8" s="1"/>
  <c r="F167" i="8"/>
  <c r="G167" i="8" s="1"/>
  <c r="D167" i="8"/>
  <c r="E167" i="8" s="1"/>
  <c r="G166" i="8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B166" i="8" s="1"/>
  <c r="F166" i="8"/>
  <c r="D166" i="8"/>
  <c r="E166" i="8" s="1"/>
  <c r="M165" i="8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B165" i="8" s="1"/>
  <c r="I165" i="8"/>
  <c r="J165" i="8" s="1"/>
  <c r="K165" i="8" s="1"/>
  <c r="L165" i="8" s="1"/>
  <c r="H165" i="8"/>
  <c r="G165" i="8"/>
  <c r="D165" i="8"/>
  <c r="E165" i="8" s="1"/>
  <c r="F165" i="8" s="1"/>
  <c r="Q164" i="8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B164" i="8" s="1"/>
  <c r="E164" i="8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D164" i="8"/>
  <c r="AE163" i="8"/>
  <c r="AF163" i="8" s="1"/>
  <c r="B163" i="8" s="1"/>
  <c r="E163" i="8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D163" i="8"/>
  <c r="J162" i="8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B162" i="8" s="1"/>
  <c r="I162" i="8"/>
  <c r="F162" i="8"/>
  <c r="G162" i="8" s="1"/>
  <c r="H162" i="8" s="1"/>
  <c r="E162" i="8"/>
  <c r="D162" i="8"/>
  <c r="T161" i="8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B161" i="8" s="1"/>
  <c r="H161" i="8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D161" i="8"/>
  <c r="E161" i="8" s="1"/>
  <c r="F161" i="8" s="1"/>
  <c r="G161" i="8" s="1"/>
  <c r="F160" i="8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B160" i="8" s="1"/>
  <c r="E160" i="8"/>
  <c r="D160" i="8"/>
  <c r="M159" i="8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B159" i="8" s="1"/>
  <c r="L159" i="8"/>
  <c r="E159" i="8"/>
  <c r="F159" i="8" s="1"/>
  <c r="G159" i="8" s="1"/>
  <c r="H159" i="8" s="1"/>
  <c r="I159" i="8" s="1"/>
  <c r="J159" i="8" s="1"/>
  <c r="K159" i="8" s="1"/>
  <c r="D159" i="8"/>
  <c r="F158" i="8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B158" i="8" s="1"/>
  <c r="E158" i="8"/>
  <c r="D158" i="8"/>
  <c r="I157" i="8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B157" i="8" s="1"/>
  <c r="H157" i="8"/>
  <c r="G157" i="8"/>
  <c r="D157" i="8"/>
  <c r="E157" i="8" s="1"/>
  <c r="F157" i="8" s="1"/>
  <c r="G156" i="8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B156" i="8" s="1"/>
  <c r="F156" i="8"/>
  <c r="E156" i="8"/>
  <c r="D156" i="8"/>
  <c r="AE154" i="8"/>
  <c r="AF154" i="8" s="1"/>
  <c r="B154" i="8" s="1"/>
  <c r="N154" i="8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F154" i="8"/>
  <c r="G154" i="8" s="1"/>
  <c r="H154" i="8" s="1"/>
  <c r="I154" i="8" s="1"/>
  <c r="J154" i="8" s="1"/>
  <c r="K154" i="8" s="1"/>
  <c r="L154" i="8" s="1"/>
  <c r="M154" i="8" s="1"/>
  <c r="D154" i="8"/>
  <c r="E154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B153" i="8" s="1"/>
  <c r="F152" i="8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B152" i="8" s="1"/>
  <c r="E152" i="8"/>
  <c r="D152" i="8"/>
  <c r="E151" i="8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B151" i="8" s="1"/>
  <c r="D151" i="8"/>
  <c r="K149" i="8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B149" i="8" s="1"/>
  <c r="D149" i="8"/>
  <c r="E149" i="8" s="1"/>
  <c r="F149" i="8" s="1"/>
  <c r="G149" i="8" s="1"/>
  <c r="H149" i="8" s="1"/>
  <c r="I149" i="8" s="1"/>
  <c r="J149" i="8" s="1"/>
  <c r="J148" i="8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B148" i="8" s="1"/>
  <c r="I148" i="8"/>
  <c r="H148" i="8"/>
  <c r="D148" i="8"/>
  <c r="E148" i="8" s="1"/>
  <c r="F148" i="8" s="1"/>
  <c r="G148" i="8" s="1"/>
  <c r="O146" i="8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B146" i="8" s="1"/>
  <c r="G146" i="8"/>
  <c r="H146" i="8" s="1"/>
  <c r="I146" i="8" s="1"/>
  <c r="J146" i="8" s="1"/>
  <c r="K146" i="8" s="1"/>
  <c r="L146" i="8" s="1"/>
  <c r="M146" i="8" s="1"/>
  <c r="N146" i="8" s="1"/>
  <c r="F146" i="8"/>
  <c r="E146" i="8"/>
  <c r="D146" i="8"/>
  <c r="AC145" i="8"/>
  <c r="AD145" i="8" s="1"/>
  <c r="AE145" i="8" s="1"/>
  <c r="AF145" i="8" s="1"/>
  <c r="B145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F144" i="8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B144" i="8" s="1"/>
  <c r="D144" i="8"/>
  <c r="E144" i="8" s="1"/>
  <c r="G143" i="8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B143" i="8" s="1"/>
  <c r="D143" i="8"/>
  <c r="E143" i="8" s="1"/>
  <c r="F143" i="8" s="1"/>
  <c r="M142" i="8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B142" i="8" s="1"/>
  <c r="J142" i="8"/>
  <c r="K142" i="8" s="1"/>
  <c r="L142" i="8" s="1"/>
  <c r="E142" i="8"/>
  <c r="F142" i="8" s="1"/>
  <c r="G142" i="8" s="1"/>
  <c r="H142" i="8" s="1"/>
  <c r="I142" i="8" s="1"/>
  <c r="D142" i="8"/>
  <c r="T141" i="8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B141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I140" i="8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B140" i="8" s="1"/>
  <c r="F140" i="8"/>
  <c r="G140" i="8" s="1"/>
  <c r="H140" i="8" s="1"/>
  <c r="D140" i="8"/>
  <c r="E140" i="8" s="1"/>
  <c r="L138" i="8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B138" i="8" s="1"/>
  <c r="G138" i="8"/>
  <c r="H138" i="8" s="1"/>
  <c r="I138" i="8" s="1"/>
  <c r="J138" i="8" s="1"/>
  <c r="K138" i="8" s="1"/>
  <c r="D138" i="8"/>
  <c r="E138" i="8" s="1"/>
  <c r="F138" i="8" s="1"/>
  <c r="F137" i="8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B137" i="8" s="1"/>
  <c r="E137" i="8"/>
  <c r="D137" i="8"/>
  <c r="AA136" i="8"/>
  <c r="AB136" i="8" s="1"/>
  <c r="AC136" i="8" s="1"/>
  <c r="AD136" i="8" s="1"/>
  <c r="AE136" i="8" s="1"/>
  <c r="AF136" i="8" s="1"/>
  <c r="B136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B135" i="8" s="1"/>
  <c r="I134" i="8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B134" i="8" s="1"/>
  <c r="H134" i="8"/>
  <c r="G134" i="8"/>
  <c r="D134" i="8"/>
  <c r="E134" i="8" s="1"/>
  <c r="F134" i="8" s="1"/>
  <c r="P133" i="8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B133" i="8" s="1"/>
  <c r="E133" i="8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D133" i="8"/>
  <c r="AC132" i="8"/>
  <c r="AD132" i="8" s="1"/>
  <c r="AE132" i="8" s="1"/>
  <c r="AF132" i="8" s="1"/>
  <c r="B132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I131" i="8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B131" i="8" s="1"/>
  <c r="F131" i="8"/>
  <c r="G131" i="8" s="1"/>
  <c r="H131" i="8" s="1"/>
  <c r="D131" i="8"/>
  <c r="E131" i="8" s="1"/>
  <c r="P129" i="8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B129" i="8" s="1"/>
  <c r="O129" i="8"/>
  <c r="L129" i="8"/>
  <c r="M129" i="8" s="1"/>
  <c r="N129" i="8" s="1"/>
  <c r="G129" i="8"/>
  <c r="H129" i="8" s="1"/>
  <c r="I129" i="8" s="1"/>
  <c r="J129" i="8" s="1"/>
  <c r="K129" i="8" s="1"/>
  <c r="D129" i="8"/>
  <c r="E129" i="8" s="1"/>
  <c r="F129" i="8" s="1"/>
  <c r="E128" i="8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B128" i="8" s="1"/>
  <c r="D128" i="8"/>
  <c r="K127" i="8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B127" i="8" s="1"/>
  <c r="D127" i="8"/>
  <c r="E127" i="8" s="1"/>
  <c r="F127" i="8" s="1"/>
  <c r="G127" i="8" s="1"/>
  <c r="H127" i="8" s="1"/>
  <c r="I127" i="8" s="1"/>
  <c r="J127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B126" i="8" s="1"/>
  <c r="P125" i="8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B125" i="8" s="1"/>
  <c r="L125" i="8"/>
  <c r="M125" i="8" s="1"/>
  <c r="N125" i="8" s="1"/>
  <c r="O125" i="8" s="1"/>
  <c r="J125" i="8"/>
  <c r="K125" i="8" s="1"/>
  <c r="G125" i="8"/>
  <c r="H125" i="8" s="1"/>
  <c r="F125" i="8"/>
  <c r="E125" i="8"/>
  <c r="D125" i="8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B124" i="8" s="1"/>
  <c r="P123" i="8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B123" i="8" s="1"/>
  <c r="G123" i="8"/>
  <c r="H123" i="8" s="1"/>
  <c r="I123" i="8" s="1"/>
  <c r="J123" i="8" s="1"/>
  <c r="K123" i="8" s="1"/>
  <c r="L123" i="8" s="1"/>
  <c r="M123" i="8" s="1"/>
  <c r="N123" i="8" s="1"/>
  <c r="O123" i="8" s="1"/>
  <c r="D123" i="8"/>
  <c r="E123" i="8" s="1"/>
  <c r="F123" i="8" s="1"/>
  <c r="AA122" i="8"/>
  <c r="AB122" i="8" s="1"/>
  <c r="AC122" i="8" s="1"/>
  <c r="AD122" i="8" s="1"/>
  <c r="AE122" i="8" s="1"/>
  <c r="AF122" i="8" s="1"/>
  <c r="B122" i="8" s="1"/>
  <c r="I122" i="8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G122" i="8"/>
  <c r="H122" i="8" s="1"/>
  <c r="F122" i="8"/>
  <c r="E122" i="8"/>
  <c r="D122" i="8"/>
  <c r="H121" i="8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B121" i="8" s="1"/>
  <c r="D121" i="8"/>
  <c r="E121" i="8" s="1"/>
  <c r="F121" i="8" s="1"/>
  <c r="G121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B120" i="8" s="1"/>
  <c r="F119" i="8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B119" i="8" s="1"/>
  <c r="E119" i="8"/>
  <c r="D119" i="8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B118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B117" i="8" s="1"/>
  <c r="R116" i="8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B116" i="8" s="1"/>
  <c r="G116" i="8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D116" i="8"/>
  <c r="E116" i="8" s="1"/>
  <c r="F116" i="8" s="1"/>
  <c r="E115" i="8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B115" i="8" s="1"/>
  <c r="D115" i="8"/>
  <c r="P114" i="8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B114" i="8" s="1"/>
  <c r="K114" i="8"/>
  <c r="L114" i="8" s="1"/>
  <c r="M114" i="8" s="1"/>
  <c r="N114" i="8" s="1"/>
  <c r="O114" i="8" s="1"/>
  <c r="D114" i="8"/>
  <c r="E114" i="8" s="1"/>
  <c r="F114" i="8" s="1"/>
  <c r="G114" i="8" s="1"/>
  <c r="H114" i="8" s="1"/>
  <c r="I114" i="8" s="1"/>
  <c r="H113" i="8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B113" i="8" s="1"/>
  <c r="E113" i="8"/>
  <c r="F113" i="8" s="1"/>
  <c r="G113" i="8" s="1"/>
  <c r="D113" i="8"/>
  <c r="G112" i="8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B112" i="8" s="1"/>
  <c r="F112" i="8"/>
  <c r="E112" i="8"/>
  <c r="D112" i="8"/>
  <c r="G110" i="8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B110" i="8" s="1"/>
  <c r="F110" i="8"/>
  <c r="E110" i="8"/>
  <c r="D110" i="8"/>
  <c r="D109" i="8"/>
  <c r="G107" i="8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B107" i="8" s="1"/>
  <c r="E107" i="8"/>
  <c r="F107" i="8" s="1"/>
  <c r="D107" i="8"/>
  <c r="K106" i="8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B106" i="8" s="1"/>
  <c r="F106" i="8"/>
  <c r="G106" i="8" s="1"/>
  <c r="H106" i="8" s="1"/>
  <c r="I106" i="8" s="1"/>
  <c r="J106" i="8" s="1"/>
  <c r="E106" i="8"/>
  <c r="D106" i="8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B105" i="8" s="1"/>
  <c r="D105" i="8"/>
  <c r="J104" i="8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B104" i="8" s="1"/>
  <c r="I104" i="8"/>
  <c r="G104" i="8"/>
  <c r="H104" i="8" s="1"/>
  <c r="E104" i="8"/>
  <c r="F104" i="8" s="1"/>
  <c r="D104" i="8"/>
  <c r="G103" i="8"/>
  <c r="E103" i="8"/>
  <c r="F103" i="8" s="1"/>
  <c r="D103" i="8"/>
  <c r="F102" i="8"/>
  <c r="G102" i="8" s="1"/>
  <c r="E102" i="8"/>
  <c r="D102" i="8"/>
  <c r="AH100" i="8"/>
  <c r="AI100" i="8" s="1"/>
  <c r="AH99" i="8"/>
  <c r="AI99" i="8" s="1"/>
  <c r="AH98" i="8"/>
  <c r="AI98" i="8" s="1"/>
  <c r="AH97" i="8"/>
  <c r="AI97" i="8" s="1"/>
  <c r="AH96" i="8"/>
  <c r="AI96" i="8" s="1"/>
  <c r="AH95" i="8"/>
  <c r="AI95" i="8" s="1"/>
  <c r="AH94" i="8"/>
  <c r="AI94" i="8" s="1"/>
  <c r="C93" i="8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I82" i="8"/>
  <c r="AH82" i="8"/>
  <c r="AG82" i="8"/>
  <c r="AI81" i="8"/>
  <c r="AH81" i="8"/>
  <c r="AI80" i="8"/>
  <c r="AH80" i="8"/>
  <c r="AI79" i="8"/>
  <c r="AH79" i="8"/>
  <c r="AI78" i="8"/>
  <c r="AH78" i="8"/>
  <c r="AI77" i="8"/>
  <c r="AH77" i="8"/>
  <c r="AI76" i="8"/>
  <c r="AH76" i="8"/>
  <c r="AI74" i="8"/>
  <c r="AH74" i="8"/>
  <c r="AI73" i="8"/>
  <c r="AH73" i="8"/>
  <c r="AG73" i="8"/>
  <c r="AI72" i="8"/>
  <c r="AH72" i="8"/>
  <c r="AG72" i="8"/>
  <c r="AI71" i="8"/>
  <c r="AH71" i="8"/>
  <c r="AI70" i="8"/>
  <c r="AH70" i="8"/>
  <c r="AI69" i="8"/>
  <c r="AH69" i="8"/>
  <c r="AG68" i="8"/>
  <c r="AF68" i="8"/>
  <c r="AE5" i="8" s="1"/>
  <c r="AE68" i="8"/>
  <c r="AD5" i="8" s="1"/>
  <c r="AD68" i="8"/>
  <c r="AC5" i="8" s="1"/>
  <c r="AC68" i="8"/>
  <c r="AB5" i="8" s="1"/>
  <c r="AB68" i="8"/>
  <c r="AA5" i="8" s="1"/>
  <c r="Z68" i="8"/>
  <c r="Y5" i="8" s="1"/>
  <c r="Y68" i="8"/>
  <c r="X5" i="8" s="1"/>
  <c r="X68" i="8"/>
  <c r="W5" i="8" s="1"/>
  <c r="W68" i="8"/>
  <c r="V5" i="8" s="1"/>
  <c r="V68" i="8"/>
  <c r="U5" i="8" s="1"/>
  <c r="U68" i="8"/>
  <c r="T5" i="8" s="1"/>
  <c r="T68" i="8"/>
  <c r="S5" i="8" s="1"/>
  <c r="S68" i="8"/>
  <c r="R5" i="8" s="1"/>
  <c r="R68" i="8"/>
  <c r="Q5" i="8" s="1"/>
  <c r="Q68" i="8"/>
  <c r="P68" i="8"/>
  <c r="O5" i="8" s="1"/>
  <c r="O68" i="8"/>
  <c r="N5" i="8" s="1"/>
  <c r="N68" i="8"/>
  <c r="M5" i="8" s="1"/>
  <c r="M68" i="8"/>
  <c r="L5" i="8" s="1"/>
  <c r="L68" i="8"/>
  <c r="K5" i="8" s="1"/>
  <c r="K68" i="8"/>
  <c r="J5" i="8" s="1"/>
  <c r="J68" i="8"/>
  <c r="I5" i="8" s="1"/>
  <c r="I68" i="8"/>
  <c r="I75" i="8" s="1"/>
  <c r="H68" i="8"/>
  <c r="G68" i="8"/>
  <c r="F5" i="8" s="1"/>
  <c r="F68" i="8"/>
  <c r="E5" i="8" s="1"/>
  <c r="E68" i="8"/>
  <c r="D5" i="8" s="1"/>
  <c r="D68" i="8"/>
  <c r="C5" i="8" s="1"/>
  <c r="C68" i="8"/>
  <c r="B5" i="8" s="1"/>
  <c r="B68" i="8"/>
  <c r="AF5" i="8" s="1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G56" i="8"/>
  <c r="AF56" i="8"/>
  <c r="AE56" i="8"/>
  <c r="AD56" i="8"/>
  <c r="AC56" i="8"/>
  <c r="AB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I54" i="8"/>
  <c r="AH54" i="8"/>
  <c r="AI53" i="8"/>
  <c r="AH53" i="8"/>
  <c r="AF52" i="8"/>
  <c r="AE52" i="8"/>
  <c r="AD52" i="8"/>
  <c r="AC52" i="8"/>
  <c r="AB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I51" i="8"/>
  <c r="AH51" i="8"/>
  <c r="AG51" i="8"/>
  <c r="AG52" i="8" s="1"/>
  <c r="AG3" i="8" s="1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G2" i="8" s="1"/>
  <c r="AF38" i="8"/>
  <c r="AE38" i="8"/>
  <c r="AD38" i="8"/>
  <c r="AC38" i="8"/>
  <c r="AB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Z5" i="8"/>
  <c r="P5" i="8"/>
  <c r="G5" i="8"/>
  <c r="AG4" i="8"/>
  <c r="K4" i="8"/>
  <c r="B4" i="8"/>
  <c r="D211" i="8" s="1"/>
  <c r="AB95" i="6"/>
  <c r="AB37" i="6"/>
  <c r="Z37" i="6"/>
  <c r="Y37" i="6"/>
  <c r="X37" i="6"/>
  <c r="V37" i="6"/>
  <c r="T37" i="6"/>
  <c r="S37" i="6"/>
  <c r="E4" i="8"/>
  <c r="W235" i="16" l="1"/>
  <c r="Y199" i="16"/>
  <c r="X192" i="16"/>
  <c r="Y102" i="16"/>
  <c r="Y103" i="16"/>
  <c r="X93" i="16"/>
  <c r="Z194" i="16"/>
  <c r="Y200" i="16"/>
  <c r="X200" i="16"/>
  <c r="X235" i="15"/>
  <c r="Z199" i="15"/>
  <c r="X192" i="15"/>
  <c r="Y102" i="15"/>
  <c r="AA103" i="15"/>
  <c r="Y194" i="15"/>
  <c r="X200" i="15"/>
  <c r="X93" i="15"/>
  <c r="K235" i="14"/>
  <c r="M199" i="14"/>
  <c r="L192" i="14"/>
  <c r="M102" i="14"/>
  <c r="M194" i="14"/>
  <c r="L200" i="14"/>
  <c r="M103" i="14"/>
  <c r="L93" i="14"/>
  <c r="J235" i="13"/>
  <c r="L199" i="13"/>
  <c r="K93" i="13"/>
  <c r="K200" i="13"/>
  <c r="N194" i="13"/>
  <c r="L192" i="13"/>
  <c r="M102" i="13"/>
  <c r="N103" i="13"/>
  <c r="N194" i="12"/>
  <c r="L103" i="12"/>
  <c r="K93" i="12"/>
  <c r="K195" i="12"/>
  <c r="J200" i="12"/>
  <c r="L192" i="12"/>
  <c r="M102" i="12"/>
  <c r="K199" i="12"/>
  <c r="I235" i="12"/>
  <c r="K192" i="12"/>
  <c r="X214" i="9"/>
  <c r="L7" i="9"/>
  <c r="L83" i="9"/>
  <c r="N7" i="9"/>
  <c r="AB7" i="9"/>
  <c r="N83" i="9"/>
  <c r="AB83" i="9"/>
  <c r="R83" i="9"/>
  <c r="K109" i="11"/>
  <c r="J93" i="11"/>
  <c r="M194" i="11"/>
  <c r="I235" i="11"/>
  <c r="K199" i="11"/>
  <c r="J200" i="11"/>
  <c r="S103" i="11"/>
  <c r="J192" i="11"/>
  <c r="K102" i="11"/>
  <c r="O83" i="9"/>
  <c r="AG214" i="9"/>
  <c r="B209" i="9"/>
  <c r="C209" i="9"/>
  <c r="K6" i="9" s="1"/>
  <c r="B7" i="9"/>
  <c r="T214" i="9"/>
  <c r="AK214" i="9"/>
  <c r="S83" i="9"/>
  <c r="S7" i="9"/>
  <c r="F199" i="9"/>
  <c r="D235" i="9"/>
  <c r="E93" i="9"/>
  <c r="F103" i="9"/>
  <c r="AC214" i="9"/>
  <c r="K7" i="9"/>
  <c r="K83" i="9"/>
  <c r="H194" i="9"/>
  <c r="U214" i="9"/>
  <c r="C83" i="9"/>
  <c r="C7" i="9"/>
  <c r="AH75" i="9"/>
  <c r="AI75" i="9"/>
  <c r="E200" i="9"/>
  <c r="AI214" i="9"/>
  <c r="Q7" i="9"/>
  <c r="Q83" i="9"/>
  <c r="E192" i="9"/>
  <c r="F102" i="9"/>
  <c r="AA214" i="9"/>
  <c r="I7" i="9"/>
  <c r="I83" i="9"/>
  <c r="AS214" i="9"/>
  <c r="AA7" i="9"/>
  <c r="AA83" i="9"/>
  <c r="AF75" i="8"/>
  <c r="Y75" i="8"/>
  <c r="X75" i="8"/>
  <c r="X7" i="8" s="1"/>
  <c r="S75" i="8"/>
  <c r="Q75" i="8"/>
  <c r="P75" i="8"/>
  <c r="M75" i="8"/>
  <c r="AE214" i="8" s="1"/>
  <c r="K75" i="8"/>
  <c r="K83" i="8" s="1"/>
  <c r="H5" i="8"/>
  <c r="H75" i="8"/>
  <c r="E75" i="8"/>
  <c r="W214" i="8" s="1"/>
  <c r="AH56" i="8"/>
  <c r="C75" i="8"/>
  <c r="C7" i="8" s="1"/>
  <c r="AI38" i="8"/>
  <c r="H4" i="8"/>
  <c r="H102" i="8"/>
  <c r="AK214" i="8"/>
  <c r="S7" i="8"/>
  <c r="U214" i="8"/>
  <c r="AA214" i="8"/>
  <c r="I83" i="8"/>
  <c r="I7" i="8"/>
  <c r="AI214" i="8"/>
  <c r="Q83" i="8"/>
  <c r="Q7" i="8"/>
  <c r="AQ214" i="8"/>
  <c r="Y83" i="8"/>
  <c r="Y7" i="8"/>
  <c r="AG6" i="8"/>
  <c r="B75" i="8"/>
  <c r="J75" i="8"/>
  <c r="R75" i="8"/>
  <c r="Z75" i="8"/>
  <c r="L75" i="8"/>
  <c r="S83" i="8"/>
  <c r="AI56" i="8"/>
  <c r="U75" i="8"/>
  <c r="H103" i="8"/>
  <c r="AC214" i="8"/>
  <c r="AB75" i="8"/>
  <c r="AH52" i="8"/>
  <c r="AC75" i="8"/>
  <c r="C83" i="8"/>
  <c r="AH38" i="8"/>
  <c r="AS214" i="8"/>
  <c r="AA7" i="8"/>
  <c r="T75" i="8"/>
  <c r="D93" i="8"/>
  <c r="E109" i="8"/>
  <c r="AI52" i="8"/>
  <c r="Z214" i="8"/>
  <c r="H83" i="8"/>
  <c r="H7" i="8"/>
  <c r="AH214" i="8"/>
  <c r="P83" i="8"/>
  <c r="P7" i="8"/>
  <c r="AP214" i="8"/>
  <c r="X83" i="8"/>
  <c r="AX214" i="8"/>
  <c r="AF7" i="8"/>
  <c r="AF83" i="8"/>
  <c r="D75" i="8"/>
  <c r="F75" i="8"/>
  <c r="N75" i="8"/>
  <c r="V75" i="8"/>
  <c r="AD75" i="8"/>
  <c r="G75" i="8"/>
  <c r="O75" i="8"/>
  <c r="W75" i="8"/>
  <c r="AE75" i="8"/>
  <c r="AG75" i="8"/>
  <c r="AG83" i="8" s="1"/>
  <c r="AH68" i="8"/>
  <c r="D192" i="8"/>
  <c r="S211" i="8"/>
  <c r="AI68" i="8"/>
  <c r="D200" i="8"/>
  <c r="E194" i="8"/>
  <c r="E199" i="8"/>
  <c r="AA194" i="16" l="1"/>
  <c r="Z103" i="16"/>
  <c r="Y93" i="16"/>
  <c r="Y192" i="16"/>
  <c r="Z102" i="16"/>
  <c r="Z199" i="16"/>
  <c r="X235" i="16"/>
  <c r="Y200" i="15"/>
  <c r="Z194" i="15"/>
  <c r="Y93" i="15"/>
  <c r="AB103" i="15"/>
  <c r="Y192" i="15"/>
  <c r="Z102" i="15"/>
  <c r="AA199" i="15"/>
  <c r="Y235" i="15"/>
  <c r="M93" i="14"/>
  <c r="N103" i="14"/>
  <c r="N194" i="14"/>
  <c r="M200" i="14"/>
  <c r="M192" i="14"/>
  <c r="N102" i="14"/>
  <c r="L235" i="14"/>
  <c r="N199" i="14"/>
  <c r="M192" i="13"/>
  <c r="N102" i="13"/>
  <c r="O194" i="13"/>
  <c r="K235" i="13"/>
  <c r="M199" i="13"/>
  <c r="L93" i="13"/>
  <c r="L200" i="13"/>
  <c r="O103" i="13"/>
  <c r="L195" i="12"/>
  <c r="K200" i="12"/>
  <c r="N102" i="12"/>
  <c r="L93" i="12"/>
  <c r="M103" i="12"/>
  <c r="O194" i="12"/>
  <c r="J235" i="12"/>
  <c r="L199" i="12"/>
  <c r="J235" i="11"/>
  <c r="L199" i="11"/>
  <c r="K200" i="11"/>
  <c r="T103" i="11"/>
  <c r="K192" i="11"/>
  <c r="L102" i="11"/>
  <c r="N194" i="11"/>
  <c r="L109" i="11"/>
  <c r="K93" i="11"/>
  <c r="A7" i="9"/>
  <c r="AI83" i="9"/>
  <c r="AH83" i="9"/>
  <c r="G103" i="9"/>
  <c r="F93" i="9"/>
  <c r="E235" i="9"/>
  <c r="G199" i="9"/>
  <c r="F200" i="9"/>
  <c r="I194" i="9"/>
  <c r="F192" i="9"/>
  <c r="G102" i="9"/>
  <c r="M83" i="8"/>
  <c r="M7" i="8"/>
  <c r="E83" i="8"/>
  <c r="E7" i="8"/>
  <c r="K7" i="8"/>
  <c r="F109" i="8"/>
  <c r="E93" i="8"/>
  <c r="AU214" i="8"/>
  <c r="AC7" i="8"/>
  <c r="AC83" i="8"/>
  <c r="F194" i="8"/>
  <c r="E200" i="8"/>
  <c r="AW214" i="8"/>
  <c r="AE83" i="8"/>
  <c r="AE7" i="8"/>
  <c r="V214" i="8"/>
  <c r="D7" i="8"/>
  <c r="D83" i="8"/>
  <c r="AD214" i="8"/>
  <c r="L7" i="8"/>
  <c r="L83" i="8"/>
  <c r="AO214" i="8"/>
  <c r="W83" i="8"/>
  <c r="W7" i="8"/>
  <c r="AT214" i="8"/>
  <c r="AB7" i="8"/>
  <c r="AB83" i="8"/>
  <c r="AR214" i="8"/>
  <c r="Z83" i="8"/>
  <c r="Z7" i="8"/>
  <c r="D235" i="8"/>
  <c r="F199" i="8"/>
  <c r="E192" i="8"/>
  <c r="AG214" i="8"/>
  <c r="O83" i="8"/>
  <c r="O7" i="8"/>
  <c r="AL214" i="8"/>
  <c r="T7" i="8"/>
  <c r="T83" i="8"/>
  <c r="AJ214" i="8"/>
  <c r="R83" i="8"/>
  <c r="R7" i="8"/>
  <c r="X214" i="8"/>
  <c r="F83" i="8"/>
  <c r="F7" i="8"/>
  <c r="Y214" i="8"/>
  <c r="C209" i="8"/>
  <c r="B209" i="8"/>
  <c r="G83" i="8"/>
  <c r="G7" i="8"/>
  <c r="AB214" i="8"/>
  <c r="J83" i="8"/>
  <c r="J7" i="8"/>
  <c r="AV214" i="8"/>
  <c r="AD83" i="8"/>
  <c r="AD7" i="8"/>
  <c r="I103" i="8"/>
  <c r="T214" i="8"/>
  <c r="B83" i="8"/>
  <c r="AI75" i="8"/>
  <c r="AH75" i="8"/>
  <c r="B7" i="8"/>
  <c r="I102" i="8"/>
  <c r="AN214" i="8"/>
  <c r="V83" i="8"/>
  <c r="V7" i="8"/>
  <c r="AM214" i="8"/>
  <c r="U7" i="8"/>
  <c r="U83" i="8"/>
  <c r="AF214" i="8"/>
  <c r="N83" i="8"/>
  <c r="N7" i="8"/>
  <c r="Y235" i="16" l="1"/>
  <c r="AA199" i="16"/>
  <c r="Z192" i="16"/>
  <c r="AA102" i="16"/>
  <c r="AA103" i="16"/>
  <c r="Z93" i="16"/>
  <c r="AA200" i="16"/>
  <c r="AB194" i="16"/>
  <c r="Z200" i="16"/>
  <c r="Z235" i="15"/>
  <c r="AB199" i="15"/>
  <c r="AC103" i="15"/>
  <c r="Z200" i="15"/>
  <c r="AA194" i="15"/>
  <c r="Z93" i="15"/>
  <c r="Z192" i="15"/>
  <c r="AA102" i="15"/>
  <c r="M235" i="14"/>
  <c r="O199" i="14"/>
  <c r="N192" i="14"/>
  <c r="O102" i="14"/>
  <c r="O194" i="14"/>
  <c r="N200" i="14"/>
  <c r="O103" i="14"/>
  <c r="N93" i="14"/>
  <c r="L235" i="13"/>
  <c r="N199" i="13"/>
  <c r="M93" i="13"/>
  <c r="M200" i="13"/>
  <c r="P194" i="13"/>
  <c r="N192" i="13"/>
  <c r="O102" i="13"/>
  <c r="P103" i="13"/>
  <c r="N103" i="12"/>
  <c r="N192" i="12"/>
  <c r="O102" i="12"/>
  <c r="M192" i="12"/>
  <c r="K235" i="12"/>
  <c r="M199" i="12"/>
  <c r="P194" i="12"/>
  <c r="M195" i="12"/>
  <c r="L200" i="12"/>
  <c r="L192" i="11"/>
  <c r="M102" i="11"/>
  <c r="U103" i="11"/>
  <c r="M109" i="11"/>
  <c r="L93" i="11"/>
  <c r="K235" i="11"/>
  <c r="M199" i="11"/>
  <c r="L200" i="11"/>
  <c r="O194" i="11"/>
  <c r="F235" i="9"/>
  <c r="H199" i="9"/>
  <c r="G200" i="9"/>
  <c r="G192" i="9"/>
  <c r="H102" i="9"/>
  <c r="H103" i="9"/>
  <c r="G93" i="9"/>
  <c r="J194" i="9"/>
  <c r="J103" i="8"/>
  <c r="G194" i="8"/>
  <c r="F200" i="8"/>
  <c r="J102" i="8"/>
  <c r="AH83" i="8"/>
  <c r="AI83" i="8"/>
  <c r="K6" i="8"/>
  <c r="E235" i="8"/>
  <c r="G199" i="8"/>
  <c r="A7" i="8"/>
  <c r="G109" i="8"/>
  <c r="F93" i="8"/>
  <c r="F192" i="8"/>
  <c r="AC194" i="16" l="1"/>
  <c r="AA93" i="16"/>
  <c r="AB103" i="16"/>
  <c r="AA192" i="16"/>
  <c r="AB102" i="16"/>
  <c r="Z235" i="16"/>
  <c r="AB199" i="16"/>
  <c r="AD103" i="15"/>
  <c r="AA235" i="15"/>
  <c r="AC199" i="15"/>
  <c r="AA200" i="15"/>
  <c r="AB194" i="15"/>
  <c r="AA93" i="15"/>
  <c r="AA192" i="15"/>
  <c r="AB102" i="15"/>
  <c r="O192" i="14"/>
  <c r="P102" i="14"/>
  <c r="O93" i="14"/>
  <c r="P103" i="14"/>
  <c r="O200" i="14"/>
  <c r="P194" i="14"/>
  <c r="N235" i="14"/>
  <c r="P199" i="14"/>
  <c r="O192" i="13"/>
  <c r="P102" i="13"/>
  <c r="Q194" i="13"/>
  <c r="Q103" i="13"/>
  <c r="O199" i="13"/>
  <c r="M235" i="13"/>
  <c r="N93" i="13"/>
  <c r="N200" i="13"/>
  <c r="P102" i="12"/>
  <c r="Q194" i="12"/>
  <c r="N195" i="12"/>
  <c r="M200" i="12"/>
  <c r="O103" i="12"/>
  <c r="N93" i="12"/>
  <c r="N199" i="12"/>
  <c r="L235" i="12"/>
  <c r="M93" i="12"/>
  <c r="L235" i="11"/>
  <c r="N199" i="11"/>
  <c r="M200" i="11"/>
  <c r="V103" i="11"/>
  <c r="N109" i="11"/>
  <c r="M93" i="11"/>
  <c r="P194" i="11"/>
  <c r="M192" i="11"/>
  <c r="N102" i="11"/>
  <c r="I103" i="9"/>
  <c r="H93" i="9"/>
  <c r="H192" i="9"/>
  <c r="I102" i="9"/>
  <c r="G235" i="9"/>
  <c r="I199" i="9"/>
  <c r="H200" i="9"/>
  <c r="K194" i="9"/>
  <c r="H109" i="8"/>
  <c r="G192" i="8"/>
  <c r="G93" i="8"/>
  <c r="K102" i="8"/>
  <c r="F235" i="8"/>
  <c r="H199" i="8"/>
  <c r="H194" i="8"/>
  <c r="G200" i="8"/>
  <c r="K103" i="8"/>
  <c r="AA235" i="16" l="1"/>
  <c r="AC199" i="16"/>
  <c r="AB192" i="16"/>
  <c r="AC102" i="16"/>
  <c r="AB93" i="16"/>
  <c r="AC103" i="16"/>
  <c r="AB200" i="16"/>
  <c r="AC200" i="16"/>
  <c r="AD194" i="16"/>
  <c r="AB200" i="15"/>
  <c r="AC194" i="15"/>
  <c r="AB93" i="15"/>
  <c r="AB235" i="15"/>
  <c r="AD199" i="15"/>
  <c r="AE103" i="15"/>
  <c r="AB192" i="15"/>
  <c r="AC102" i="15"/>
  <c r="O235" i="14"/>
  <c r="Q199" i="14"/>
  <c r="P200" i="14"/>
  <c r="Q194" i="14"/>
  <c r="Q103" i="14"/>
  <c r="P93" i="14"/>
  <c r="P192" i="14"/>
  <c r="Q102" i="14"/>
  <c r="R103" i="13"/>
  <c r="P199" i="13"/>
  <c r="N235" i="13"/>
  <c r="O93" i="13"/>
  <c r="O200" i="13"/>
  <c r="R194" i="13"/>
  <c r="P192" i="13"/>
  <c r="Q102" i="13"/>
  <c r="O195" i="12"/>
  <c r="N200" i="12"/>
  <c r="O93" i="12"/>
  <c r="P103" i="12"/>
  <c r="R194" i="12"/>
  <c r="P192" i="12"/>
  <c r="Q102" i="12"/>
  <c r="M235" i="12"/>
  <c r="O199" i="12"/>
  <c r="O192" i="12"/>
  <c r="O109" i="11"/>
  <c r="N93" i="11"/>
  <c r="W103" i="11"/>
  <c r="N192" i="11"/>
  <c r="O102" i="11"/>
  <c r="O199" i="11"/>
  <c r="M235" i="11"/>
  <c r="N200" i="11"/>
  <c r="Q194" i="11"/>
  <c r="H235" i="9"/>
  <c r="J199" i="9"/>
  <c r="I200" i="9"/>
  <c r="I192" i="9"/>
  <c r="J102" i="9"/>
  <c r="J103" i="9"/>
  <c r="I93" i="9"/>
  <c r="L194" i="9"/>
  <c r="I194" i="8"/>
  <c r="H200" i="8"/>
  <c r="L102" i="8"/>
  <c r="L103" i="8"/>
  <c r="I109" i="8"/>
  <c r="H93" i="8"/>
  <c r="H192" i="8"/>
  <c r="G235" i="8"/>
  <c r="I199" i="8"/>
  <c r="AC93" i="16" l="1"/>
  <c r="AD103" i="16"/>
  <c r="AC192" i="16"/>
  <c r="AD102" i="16"/>
  <c r="AD199" i="16"/>
  <c r="AB235" i="16"/>
  <c r="AE194" i="16"/>
  <c r="AD200" i="16"/>
  <c r="AD194" i="15"/>
  <c r="AC200" i="15"/>
  <c r="AC93" i="15"/>
  <c r="AF103" i="15"/>
  <c r="AC235" i="15"/>
  <c r="AE199" i="15"/>
  <c r="AC192" i="15"/>
  <c r="AD102" i="15"/>
  <c r="Q192" i="14"/>
  <c r="R102" i="14"/>
  <c r="R103" i="14"/>
  <c r="Q93" i="14"/>
  <c r="R194" i="14"/>
  <c r="Q200" i="14"/>
  <c r="P235" i="14"/>
  <c r="R199" i="14"/>
  <c r="S194" i="13"/>
  <c r="O235" i="13"/>
  <c r="Q199" i="13"/>
  <c r="P200" i="13"/>
  <c r="P93" i="13"/>
  <c r="Q192" i="13"/>
  <c r="R102" i="13"/>
  <c r="S103" i="13"/>
  <c r="R102" i="12"/>
  <c r="S194" i="12"/>
  <c r="Q103" i="12"/>
  <c r="P93" i="12"/>
  <c r="P199" i="12"/>
  <c r="N235" i="12"/>
  <c r="P195" i="12"/>
  <c r="O200" i="12"/>
  <c r="N235" i="11"/>
  <c r="P199" i="11"/>
  <c r="O200" i="11"/>
  <c r="O192" i="11"/>
  <c r="P102" i="11"/>
  <c r="R194" i="11"/>
  <c r="X103" i="11"/>
  <c r="P109" i="11"/>
  <c r="O93" i="11"/>
  <c r="J192" i="9"/>
  <c r="K102" i="9"/>
  <c r="J93" i="9"/>
  <c r="K103" i="9"/>
  <c r="I235" i="9"/>
  <c r="K199" i="9"/>
  <c r="J200" i="9"/>
  <c r="M194" i="9"/>
  <c r="M103" i="8"/>
  <c r="M102" i="8"/>
  <c r="H235" i="8"/>
  <c r="J199" i="8"/>
  <c r="J109" i="8"/>
  <c r="I93" i="8"/>
  <c r="I192" i="8"/>
  <c r="I200" i="8"/>
  <c r="J194" i="8"/>
  <c r="AC235" i="16" l="1"/>
  <c r="AE199" i="16"/>
  <c r="AF194" i="16"/>
  <c r="AE200" i="16"/>
  <c r="AD192" i="16"/>
  <c r="AE102" i="16"/>
  <c r="AD93" i="16"/>
  <c r="AE103" i="16"/>
  <c r="AD235" i="15"/>
  <c r="AF199" i="15"/>
  <c r="B103" i="15"/>
  <c r="AD192" i="15"/>
  <c r="AE102" i="15"/>
  <c r="AE194" i="15"/>
  <c r="AD200" i="15"/>
  <c r="AD93" i="15"/>
  <c r="S103" i="14"/>
  <c r="R93" i="14"/>
  <c r="R200" i="14"/>
  <c r="S194" i="14"/>
  <c r="R192" i="14"/>
  <c r="S102" i="14"/>
  <c r="Q235" i="14"/>
  <c r="S199" i="14"/>
  <c r="R192" i="13"/>
  <c r="S102" i="13"/>
  <c r="P235" i="13"/>
  <c r="R199" i="13"/>
  <c r="Q200" i="13"/>
  <c r="Q93" i="13"/>
  <c r="T103" i="13"/>
  <c r="T194" i="13"/>
  <c r="O235" i="12"/>
  <c r="Q199" i="12"/>
  <c r="R103" i="12"/>
  <c r="Q93" i="12"/>
  <c r="R192" i="12"/>
  <c r="S102" i="12"/>
  <c r="T194" i="12"/>
  <c r="Q195" i="12"/>
  <c r="P200" i="12"/>
  <c r="Q192" i="12"/>
  <c r="Y103" i="11"/>
  <c r="S194" i="11"/>
  <c r="Q109" i="11"/>
  <c r="P93" i="11"/>
  <c r="Q199" i="11"/>
  <c r="O235" i="11"/>
  <c r="P200" i="11"/>
  <c r="P192" i="11"/>
  <c r="Q102" i="11"/>
  <c r="N194" i="9"/>
  <c r="J235" i="9"/>
  <c r="L199" i="9"/>
  <c r="K200" i="9"/>
  <c r="K93" i="9"/>
  <c r="L103" i="9"/>
  <c r="K192" i="9"/>
  <c r="L102" i="9"/>
  <c r="K109" i="8"/>
  <c r="J192" i="8"/>
  <c r="J93" i="8"/>
  <c r="K199" i="8"/>
  <c r="I235" i="8"/>
  <c r="N102" i="8"/>
  <c r="J200" i="8"/>
  <c r="K194" i="8"/>
  <c r="N103" i="8"/>
  <c r="AE93" i="16" l="1"/>
  <c r="AF103" i="16"/>
  <c r="AE192" i="16"/>
  <c r="AF102" i="16"/>
  <c r="B194" i="16"/>
  <c r="AD235" i="16"/>
  <c r="AF199" i="16"/>
  <c r="AE235" i="15"/>
  <c r="B199" i="15"/>
  <c r="AF235" i="15" s="1"/>
  <c r="AF194" i="15"/>
  <c r="AE200" i="15"/>
  <c r="AE93" i="15"/>
  <c r="AE192" i="15"/>
  <c r="AF102" i="15"/>
  <c r="R235" i="14"/>
  <c r="T199" i="14"/>
  <c r="S192" i="14"/>
  <c r="T102" i="14"/>
  <c r="S200" i="14"/>
  <c r="T194" i="14"/>
  <c r="S93" i="14"/>
  <c r="T103" i="14"/>
  <c r="U103" i="13"/>
  <c r="Q235" i="13"/>
  <c r="S199" i="13"/>
  <c r="R93" i="13"/>
  <c r="R200" i="13"/>
  <c r="U194" i="13"/>
  <c r="S192" i="13"/>
  <c r="T102" i="13"/>
  <c r="T102" i="12"/>
  <c r="R199" i="12"/>
  <c r="P235" i="12"/>
  <c r="U194" i="12"/>
  <c r="S103" i="12"/>
  <c r="R93" i="12"/>
  <c r="R195" i="12"/>
  <c r="Q200" i="12"/>
  <c r="P235" i="11"/>
  <c r="R199" i="11"/>
  <c r="Q200" i="11"/>
  <c r="R109" i="11"/>
  <c r="Q93" i="11"/>
  <c r="T194" i="11"/>
  <c r="Q192" i="11"/>
  <c r="R102" i="11"/>
  <c r="Z103" i="11"/>
  <c r="O194" i="9"/>
  <c r="L93" i="9"/>
  <c r="M103" i="9"/>
  <c r="K235" i="9"/>
  <c r="M199" i="9"/>
  <c r="L200" i="9"/>
  <c r="L192" i="9"/>
  <c r="M102" i="9"/>
  <c r="L199" i="8"/>
  <c r="J235" i="8"/>
  <c r="O103" i="8"/>
  <c r="O102" i="8"/>
  <c r="K200" i="8"/>
  <c r="L194" i="8"/>
  <c r="L109" i="8"/>
  <c r="K192" i="8"/>
  <c r="K93" i="8"/>
  <c r="AE235" i="16" l="1"/>
  <c r="B199" i="16"/>
  <c r="AF235" i="16" s="1"/>
  <c r="AF192" i="16"/>
  <c r="B102" i="16"/>
  <c r="B200" i="16"/>
  <c r="AF200" i="16"/>
  <c r="B103" i="16"/>
  <c r="AF93" i="16"/>
  <c r="AF192" i="15"/>
  <c r="B102" i="15"/>
  <c r="B192" i="15" s="1"/>
  <c r="AF200" i="15"/>
  <c r="B194" i="15"/>
  <c r="AF93" i="15"/>
  <c r="U103" i="14"/>
  <c r="T93" i="14"/>
  <c r="U194" i="14"/>
  <c r="T200" i="14"/>
  <c r="S235" i="14"/>
  <c r="U199" i="14"/>
  <c r="T192" i="14"/>
  <c r="U102" i="14"/>
  <c r="V194" i="13"/>
  <c r="R235" i="13"/>
  <c r="T199" i="13"/>
  <c r="S200" i="13"/>
  <c r="S93" i="13"/>
  <c r="T192" i="13"/>
  <c r="U102" i="13"/>
  <c r="V103" i="13"/>
  <c r="T103" i="12"/>
  <c r="V194" i="12"/>
  <c r="T192" i="12"/>
  <c r="U102" i="12"/>
  <c r="Q235" i="12"/>
  <c r="S199" i="12"/>
  <c r="S195" i="12"/>
  <c r="R200" i="12"/>
  <c r="S192" i="12"/>
  <c r="U194" i="11"/>
  <c r="S109" i="11"/>
  <c r="R93" i="11"/>
  <c r="Q235" i="11"/>
  <c r="S199" i="11"/>
  <c r="R200" i="11"/>
  <c r="AA103" i="11"/>
  <c r="R192" i="11"/>
  <c r="S102" i="11"/>
  <c r="N199" i="9"/>
  <c r="L235" i="9"/>
  <c r="M200" i="9"/>
  <c r="M93" i="9"/>
  <c r="N103" i="9"/>
  <c r="P194" i="9"/>
  <c r="M192" i="9"/>
  <c r="N102" i="9"/>
  <c r="L200" i="8"/>
  <c r="M194" i="8"/>
  <c r="P102" i="8"/>
  <c r="P103" i="8"/>
  <c r="M109" i="8"/>
  <c r="L192" i="8"/>
  <c r="L93" i="8"/>
  <c r="M199" i="8"/>
  <c r="K235" i="8"/>
  <c r="AI93" i="16" l="1"/>
  <c r="AH93" i="16"/>
  <c r="B192" i="16"/>
  <c r="AH93" i="15"/>
  <c r="AI93" i="15"/>
  <c r="B200" i="15"/>
  <c r="B93" i="15"/>
  <c r="U192" i="14"/>
  <c r="V102" i="14"/>
  <c r="T235" i="14"/>
  <c r="V199" i="14"/>
  <c r="V194" i="14"/>
  <c r="U200" i="14"/>
  <c r="U93" i="14"/>
  <c r="V103" i="14"/>
  <c r="U192" i="13"/>
  <c r="V102" i="13"/>
  <c r="S235" i="13"/>
  <c r="U199" i="13"/>
  <c r="T93" i="13"/>
  <c r="T200" i="13"/>
  <c r="W103" i="13"/>
  <c r="W194" i="13"/>
  <c r="V102" i="12"/>
  <c r="W194" i="12"/>
  <c r="T93" i="12"/>
  <c r="U103" i="12"/>
  <c r="R235" i="12"/>
  <c r="T199" i="12"/>
  <c r="T195" i="12"/>
  <c r="S200" i="12"/>
  <c r="S93" i="12"/>
  <c r="S192" i="11"/>
  <c r="T102" i="11"/>
  <c r="T109" i="11"/>
  <c r="S93" i="11"/>
  <c r="R235" i="11"/>
  <c r="T199" i="11"/>
  <c r="S200" i="11"/>
  <c r="AB103" i="11"/>
  <c r="V194" i="11"/>
  <c r="Q194" i="9"/>
  <c r="O103" i="9"/>
  <c r="N93" i="9"/>
  <c r="N192" i="9"/>
  <c r="O102" i="9"/>
  <c r="O199" i="9"/>
  <c r="M235" i="9"/>
  <c r="N200" i="9"/>
  <c r="N109" i="8"/>
  <c r="M93" i="8"/>
  <c r="M192" i="8"/>
  <c r="L235" i="8"/>
  <c r="N199" i="8"/>
  <c r="N194" i="8"/>
  <c r="M200" i="8"/>
  <c r="Q103" i="8"/>
  <c r="Q102" i="8"/>
  <c r="V93" i="14" l="1"/>
  <c r="W103" i="14"/>
  <c r="W194" i="14"/>
  <c r="V200" i="14"/>
  <c r="V192" i="14"/>
  <c r="W102" i="14"/>
  <c r="U235" i="14"/>
  <c r="W199" i="14"/>
  <c r="X103" i="13"/>
  <c r="T235" i="13"/>
  <c r="V199" i="13"/>
  <c r="U200" i="13"/>
  <c r="U93" i="13"/>
  <c r="X194" i="13"/>
  <c r="V192" i="13"/>
  <c r="W102" i="13"/>
  <c r="W102" i="12"/>
  <c r="S235" i="12"/>
  <c r="U199" i="12"/>
  <c r="U93" i="12"/>
  <c r="V103" i="12"/>
  <c r="X194" i="12"/>
  <c r="U195" i="12"/>
  <c r="T200" i="12"/>
  <c r="U192" i="12"/>
  <c r="S235" i="11"/>
  <c r="U199" i="11"/>
  <c r="T200" i="11"/>
  <c r="W194" i="11"/>
  <c r="U109" i="11"/>
  <c r="T93" i="11"/>
  <c r="T192" i="11"/>
  <c r="U102" i="11"/>
  <c r="AC103" i="11"/>
  <c r="P199" i="9"/>
  <c r="N235" i="9"/>
  <c r="O200" i="9"/>
  <c r="O192" i="9"/>
  <c r="P102" i="9"/>
  <c r="R194" i="9"/>
  <c r="P103" i="9"/>
  <c r="O93" i="9"/>
  <c r="M235" i="8"/>
  <c r="O199" i="8"/>
  <c r="O194" i="8"/>
  <c r="N200" i="8"/>
  <c r="R102" i="8"/>
  <c r="R103" i="8"/>
  <c r="O109" i="8"/>
  <c r="N192" i="8"/>
  <c r="N93" i="8"/>
  <c r="X194" i="14" l="1"/>
  <c r="W200" i="14"/>
  <c r="V235" i="14"/>
  <c r="X199" i="14"/>
  <c r="W192" i="14"/>
  <c r="X102" i="14"/>
  <c r="W93" i="14"/>
  <c r="X103" i="14"/>
  <c r="Y194" i="13"/>
  <c r="U235" i="13"/>
  <c r="W199" i="13"/>
  <c r="V200" i="13"/>
  <c r="V93" i="13"/>
  <c r="W192" i="13"/>
  <c r="X102" i="13"/>
  <c r="Y103" i="13"/>
  <c r="Y194" i="12"/>
  <c r="W103" i="12"/>
  <c r="V93" i="12"/>
  <c r="V199" i="12"/>
  <c r="T235" i="12"/>
  <c r="W192" i="12"/>
  <c r="X102" i="12"/>
  <c r="V195" i="12"/>
  <c r="U200" i="12"/>
  <c r="V192" i="12"/>
  <c r="V109" i="11"/>
  <c r="U93" i="11"/>
  <c r="AD103" i="11"/>
  <c r="T235" i="11"/>
  <c r="V199" i="11"/>
  <c r="U200" i="11"/>
  <c r="X194" i="11"/>
  <c r="U192" i="11"/>
  <c r="V102" i="11"/>
  <c r="S194" i="9"/>
  <c r="P192" i="9"/>
  <c r="Q102" i="9"/>
  <c r="Q103" i="9"/>
  <c r="P93" i="9"/>
  <c r="O235" i="9"/>
  <c r="Q199" i="9"/>
  <c r="P200" i="9"/>
  <c r="S103" i="8"/>
  <c r="S102" i="8"/>
  <c r="P194" i="8"/>
  <c r="O200" i="8"/>
  <c r="N235" i="8"/>
  <c r="P199" i="8"/>
  <c r="P109" i="8"/>
  <c r="O93" i="8"/>
  <c r="O192" i="8"/>
  <c r="Y103" i="14" l="1"/>
  <c r="X93" i="14"/>
  <c r="X192" i="14"/>
  <c r="Y102" i="14"/>
  <c r="W235" i="14"/>
  <c r="Y199" i="14"/>
  <c r="X200" i="14"/>
  <c r="Y194" i="14"/>
  <c r="X192" i="13"/>
  <c r="Y102" i="13"/>
  <c r="V235" i="13"/>
  <c r="X199" i="13"/>
  <c r="W93" i="13"/>
  <c r="W200" i="13"/>
  <c r="Z194" i="13"/>
  <c r="Z103" i="13"/>
  <c r="Y102" i="12"/>
  <c r="W199" i="12"/>
  <c r="U235" i="12"/>
  <c r="Z194" i="12"/>
  <c r="W93" i="12"/>
  <c r="X103" i="12"/>
  <c r="W195" i="12"/>
  <c r="V200" i="12"/>
  <c r="AE103" i="11"/>
  <c r="W199" i="11"/>
  <c r="U235" i="11"/>
  <c r="V200" i="11"/>
  <c r="V192" i="11"/>
  <c r="W102" i="11"/>
  <c r="Y194" i="11"/>
  <c r="W109" i="11"/>
  <c r="V93" i="11"/>
  <c r="P235" i="9"/>
  <c r="R199" i="9"/>
  <c r="Q200" i="9"/>
  <c r="Q93" i="9"/>
  <c r="R103" i="9"/>
  <c r="Q192" i="9"/>
  <c r="R102" i="9"/>
  <c r="T194" i="9"/>
  <c r="T102" i="8"/>
  <c r="Q194" i="8"/>
  <c r="P200" i="8"/>
  <c r="O235" i="8"/>
  <c r="Q199" i="8"/>
  <c r="Q109" i="8"/>
  <c r="P192" i="8"/>
  <c r="P93" i="8"/>
  <c r="T103" i="8"/>
  <c r="Y200" i="14" l="1"/>
  <c r="Z194" i="14"/>
  <c r="X235" i="14"/>
  <c r="Z199" i="14"/>
  <c r="Y192" i="14"/>
  <c r="Z102" i="14"/>
  <c r="Z103" i="14"/>
  <c r="Y93" i="14"/>
  <c r="AA194" i="13"/>
  <c r="W235" i="13"/>
  <c r="Y199" i="13"/>
  <c r="X200" i="13"/>
  <c r="X93" i="13"/>
  <c r="Y192" i="13"/>
  <c r="Z102" i="13"/>
  <c r="AA103" i="13"/>
  <c r="Y103" i="12"/>
  <c r="AA194" i="12"/>
  <c r="Y192" i="12"/>
  <c r="Z102" i="12"/>
  <c r="X199" i="12"/>
  <c r="V235" i="12"/>
  <c r="X195" i="12"/>
  <c r="W200" i="12"/>
  <c r="X192" i="12"/>
  <c r="W192" i="11"/>
  <c r="X102" i="11"/>
  <c r="V235" i="11"/>
  <c r="X199" i="11"/>
  <c r="W200" i="11"/>
  <c r="X109" i="11"/>
  <c r="W93" i="11"/>
  <c r="Z194" i="11"/>
  <c r="AF103" i="11"/>
  <c r="R192" i="9"/>
  <c r="S102" i="9"/>
  <c r="R93" i="9"/>
  <c r="S103" i="9"/>
  <c r="Q235" i="9"/>
  <c r="S199" i="9"/>
  <c r="R200" i="9"/>
  <c r="U194" i="9"/>
  <c r="P235" i="8"/>
  <c r="R199" i="8"/>
  <c r="R109" i="8"/>
  <c r="Q93" i="8"/>
  <c r="Q192" i="8"/>
  <c r="Q200" i="8"/>
  <c r="R194" i="8"/>
  <c r="U103" i="8"/>
  <c r="U102" i="8"/>
  <c r="AA103" i="14" l="1"/>
  <c r="Z93" i="14"/>
  <c r="Z192" i="14"/>
  <c r="AA102" i="14"/>
  <c r="AA199" i="14"/>
  <c r="Y235" i="14"/>
  <c r="Z200" i="14"/>
  <c r="AA194" i="14"/>
  <c r="Z192" i="13"/>
  <c r="AA102" i="13"/>
  <c r="X235" i="13"/>
  <c r="Z199" i="13"/>
  <c r="Y200" i="13"/>
  <c r="Y93" i="13"/>
  <c r="AB103" i="13"/>
  <c r="AB194" i="13"/>
  <c r="W235" i="12"/>
  <c r="Y199" i="12"/>
  <c r="Z192" i="12"/>
  <c r="AA102" i="12"/>
  <c r="X93" i="12"/>
  <c r="AB194" i="12"/>
  <c r="Y195" i="12"/>
  <c r="X200" i="12"/>
  <c r="Z103" i="12"/>
  <c r="Y93" i="12"/>
  <c r="Y109" i="11"/>
  <c r="X93" i="11"/>
  <c r="W235" i="11"/>
  <c r="Y199" i="11"/>
  <c r="X200" i="11"/>
  <c r="AA194" i="11"/>
  <c r="B103" i="11"/>
  <c r="X192" i="11"/>
  <c r="Y102" i="11"/>
  <c r="R235" i="9"/>
  <c r="T199" i="9"/>
  <c r="S200" i="9"/>
  <c r="S93" i="9"/>
  <c r="T103" i="9"/>
  <c r="S192" i="9"/>
  <c r="T102" i="9"/>
  <c r="V194" i="9"/>
  <c r="V103" i="8"/>
  <c r="R200" i="8"/>
  <c r="S194" i="8"/>
  <c r="V102" i="8"/>
  <c r="S199" i="8"/>
  <c r="Q235" i="8"/>
  <c r="S109" i="8"/>
  <c r="R93" i="8"/>
  <c r="R192" i="8"/>
  <c r="AB194" i="14" l="1"/>
  <c r="AA200" i="14"/>
  <c r="AB199" i="14"/>
  <c r="Z235" i="14"/>
  <c r="AA192" i="14"/>
  <c r="AB102" i="14"/>
  <c r="AA93" i="14"/>
  <c r="AB103" i="14"/>
  <c r="AC103" i="13"/>
  <c r="Y235" i="13"/>
  <c r="AA199" i="13"/>
  <c r="Z200" i="13"/>
  <c r="Z93" i="13"/>
  <c r="AC194" i="13"/>
  <c r="AA192" i="13"/>
  <c r="AB102" i="13"/>
  <c r="Z195" i="12"/>
  <c r="Y200" i="12"/>
  <c r="AC194" i="12"/>
  <c r="AB102" i="12"/>
  <c r="AA103" i="12"/>
  <c r="Z93" i="12"/>
  <c r="Z199" i="12"/>
  <c r="X235" i="12"/>
  <c r="AB194" i="11"/>
  <c r="X235" i="11"/>
  <c r="Z199" i="11"/>
  <c r="Y200" i="11"/>
  <c r="Y192" i="11"/>
  <c r="Z102" i="11"/>
  <c r="Z109" i="11"/>
  <c r="Y93" i="11"/>
  <c r="T192" i="9"/>
  <c r="U102" i="9"/>
  <c r="T93" i="9"/>
  <c r="U103" i="9"/>
  <c r="S235" i="9"/>
  <c r="U199" i="9"/>
  <c r="T200" i="9"/>
  <c r="W194" i="9"/>
  <c r="R235" i="8"/>
  <c r="T199" i="8"/>
  <c r="W102" i="8"/>
  <c r="S200" i="8"/>
  <c r="T194" i="8"/>
  <c r="T109" i="8"/>
  <c r="S192" i="8"/>
  <c r="S93" i="8"/>
  <c r="W103" i="8"/>
  <c r="AC103" i="14" l="1"/>
  <c r="AB93" i="14"/>
  <c r="AB192" i="14"/>
  <c r="AC102" i="14"/>
  <c r="AC199" i="14"/>
  <c r="AA235" i="14"/>
  <c r="AB200" i="14"/>
  <c r="AC194" i="14"/>
  <c r="AD194" i="13"/>
  <c r="Z235" i="13"/>
  <c r="AB199" i="13"/>
  <c r="AA200" i="13"/>
  <c r="AA93" i="13"/>
  <c r="AB192" i="13"/>
  <c r="AC102" i="13"/>
  <c r="AD103" i="13"/>
  <c r="AB103" i="12"/>
  <c r="AA93" i="12"/>
  <c r="AA192" i="12"/>
  <c r="AB192" i="12"/>
  <c r="AC102" i="12"/>
  <c r="AD194" i="12"/>
  <c r="Y235" i="12"/>
  <c r="AA199" i="12"/>
  <c r="AA195" i="12"/>
  <c r="Z200" i="12"/>
  <c r="Z192" i="11"/>
  <c r="AA102" i="11"/>
  <c r="AC194" i="11"/>
  <c r="Y235" i="11"/>
  <c r="AA199" i="11"/>
  <c r="Z200" i="11"/>
  <c r="AA109" i="11"/>
  <c r="Z93" i="11"/>
  <c r="V199" i="9"/>
  <c r="T235" i="9"/>
  <c r="U200" i="9"/>
  <c r="U93" i="9"/>
  <c r="V103" i="9"/>
  <c r="U192" i="9"/>
  <c r="V102" i="9"/>
  <c r="X194" i="9"/>
  <c r="U109" i="8"/>
  <c r="T93" i="8"/>
  <c r="T192" i="8"/>
  <c r="T200" i="8"/>
  <c r="U194" i="8"/>
  <c r="X102" i="8"/>
  <c r="S235" i="8"/>
  <c r="U199" i="8"/>
  <c r="X103" i="8"/>
  <c r="AD194" i="14" l="1"/>
  <c r="AC200" i="14"/>
  <c r="AB235" i="14"/>
  <c r="AD199" i="14"/>
  <c r="AC192" i="14"/>
  <c r="AD102" i="14"/>
  <c r="AC93" i="14"/>
  <c r="AD103" i="14"/>
  <c r="AC192" i="13"/>
  <c r="AD102" i="13"/>
  <c r="AE194" i="13"/>
  <c r="AA235" i="13"/>
  <c r="AC199" i="13"/>
  <c r="AB93" i="13"/>
  <c r="AB200" i="13"/>
  <c r="AE103" i="13"/>
  <c r="AE194" i="12"/>
  <c r="AC192" i="12"/>
  <c r="AD102" i="12"/>
  <c r="AB195" i="12"/>
  <c r="AA200" i="12"/>
  <c r="Z235" i="12"/>
  <c r="AB199" i="12"/>
  <c r="AC103" i="12"/>
  <c r="AD194" i="11"/>
  <c r="AB109" i="11"/>
  <c r="AA93" i="11"/>
  <c r="Z235" i="11"/>
  <c r="AB199" i="11"/>
  <c r="AA200" i="11"/>
  <c r="AA192" i="11"/>
  <c r="AB102" i="11"/>
  <c r="Y194" i="9"/>
  <c r="V192" i="9"/>
  <c r="W102" i="9"/>
  <c r="V93" i="9"/>
  <c r="W103" i="9"/>
  <c r="U235" i="9"/>
  <c r="W199" i="9"/>
  <c r="V200" i="9"/>
  <c r="Y102" i="8"/>
  <c r="V194" i="8"/>
  <c r="U200" i="8"/>
  <c r="Y103" i="8"/>
  <c r="T235" i="8"/>
  <c r="V199" i="8"/>
  <c r="V109" i="8"/>
  <c r="U93" i="8"/>
  <c r="U192" i="8"/>
  <c r="AD93" i="14" l="1"/>
  <c r="AE103" i="14"/>
  <c r="AD192" i="14"/>
  <c r="AE102" i="14"/>
  <c r="AC235" i="14"/>
  <c r="AE199" i="14"/>
  <c r="AE194" i="14"/>
  <c r="AD200" i="14"/>
  <c r="AB235" i="13"/>
  <c r="AD199" i="13"/>
  <c r="AC200" i="13"/>
  <c r="AC93" i="13"/>
  <c r="AF194" i="13"/>
  <c r="AF103" i="13"/>
  <c r="AD192" i="13"/>
  <c r="AE102" i="13"/>
  <c r="AA235" i="12"/>
  <c r="AC199" i="12"/>
  <c r="AC195" i="12"/>
  <c r="AB200" i="12"/>
  <c r="AD192" i="12"/>
  <c r="AE102" i="12"/>
  <c r="AB93" i="12"/>
  <c r="AF194" i="12"/>
  <c r="AC93" i="12"/>
  <c r="AD103" i="12"/>
  <c r="AA235" i="11"/>
  <c r="AC199" i="11"/>
  <c r="AB200" i="11"/>
  <c r="AC109" i="11"/>
  <c r="AB93" i="11"/>
  <c r="AB192" i="11"/>
  <c r="AC102" i="11"/>
  <c r="AE194" i="11"/>
  <c r="V235" i="9"/>
  <c r="X199" i="9"/>
  <c r="W200" i="9"/>
  <c r="X103" i="9"/>
  <c r="W93" i="9"/>
  <c r="W192" i="9"/>
  <c r="X102" i="9"/>
  <c r="Z194" i="9"/>
  <c r="Z102" i="8"/>
  <c r="U235" i="8"/>
  <c r="W199" i="8"/>
  <c r="Z103" i="8"/>
  <c r="W194" i="8"/>
  <c r="V200" i="8"/>
  <c r="W109" i="8"/>
  <c r="V93" i="8"/>
  <c r="V192" i="8"/>
  <c r="AF194" i="14" l="1"/>
  <c r="AE200" i="14"/>
  <c r="AD235" i="14"/>
  <c r="AF199" i="14"/>
  <c r="AE192" i="14"/>
  <c r="AF102" i="14"/>
  <c r="AE93" i="14"/>
  <c r="AF103" i="14"/>
  <c r="B103" i="13"/>
  <c r="B194" i="13"/>
  <c r="AE192" i="13"/>
  <c r="AF102" i="13"/>
  <c r="AE199" i="13"/>
  <c r="AC235" i="13"/>
  <c r="AD93" i="13"/>
  <c r="AD200" i="13"/>
  <c r="B194" i="12"/>
  <c r="AF102" i="12"/>
  <c r="AD195" i="12"/>
  <c r="AC200" i="12"/>
  <c r="AE103" i="12"/>
  <c r="AD93" i="12"/>
  <c r="AD199" i="12"/>
  <c r="AB235" i="12"/>
  <c r="AC192" i="11"/>
  <c r="AD102" i="11"/>
  <c r="AB235" i="11"/>
  <c r="AD199" i="11"/>
  <c r="AC200" i="11"/>
  <c r="AD109" i="11"/>
  <c r="AC93" i="11"/>
  <c r="AF194" i="11"/>
  <c r="X192" i="9"/>
  <c r="Y102" i="9"/>
  <c r="W235" i="9"/>
  <c r="Y199" i="9"/>
  <c r="X200" i="9"/>
  <c r="Y103" i="9"/>
  <c r="X93" i="9"/>
  <c r="AA194" i="9"/>
  <c r="AA103" i="8"/>
  <c r="V235" i="8"/>
  <c r="X199" i="8"/>
  <c r="X194" i="8"/>
  <c r="W200" i="8"/>
  <c r="AA102" i="8"/>
  <c r="X109" i="8"/>
  <c r="W93" i="8"/>
  <c r="W192" i="8"/>
  <c r="B103" i="14" l="1"/>
  <c r="AF93" i="14"/>
  <c r="AF192" i="14"/>
  <c r="B102" i="14"/>
  <c r="B192" i="14" s="1"/>
  <c r="AE235" i="14"/>
  <c r="B199" i="14"/>
  <c r="AF235" i="14" s="1"/>
  <c r="AF200" i="14"/>
  <c r="B194" i="14"/>
  <c r="B200" i="14" s="1"/>
  <c r="AD235" i="13"/>
  <c r="AF199" i="13"/>
  <c r="AE200" i="13"/>
  <c r="AE93" i="13"/>
  <c r="AF192" i="13"/>
  <c r="B102" i="13"/>
  <c r="B192" i="13" s="1"/>
  <c r="AF103" i="12"/>
  <c r="AE195" i="12"/>
  <c r="AD200" i="12"/>
  <c r="AF192" i="12"/>
  <c r="B102" i="12"/>
  <c r="AE192" i="12"/>
  <c r="AE199" i="12"/>
  <c r="AC235" i="12"/>
  <c r="AE109" i="11"/>
  <c r="AD93" i="11"/>
  <c r="AC235" i="11"/>
  <c r="AE199" i="11"/>
  <c r="AD200" i="11"/>
  <c r="AD192" i="11"/>
  <c r="AE102" i="11"/>
  <c r="B194" i="11"/>
  <c r="AB194" i="9"/>
  <c r="Y93" i="9"/>
  <c r="Z103" i="9"/>
  <c r="X235" i="9"/>
  <c r="Z199" i="9"/>
  <c r="Y200" i="9"/>
  <c r="Y192" i="9"/>
  <c r="Z102" i="9"/>
  <c r="W235" i="8"/>
  <c r="Y199" i="8"/>
  <c r="AB102" i="8"/>
  <c r="Y194" i="8"/>
  <c r="X200" i="8"/>
  <c r="Y109" i="8"/>
  <c r="X192" i="8"/>
  <c r="X93" i="8"/>
  <c r="AB103" i="8"/>
  <c r="AI93" i="14" l="1"/>
  <c r="AH93" i="14"/>
  <c r="B93" i="14"/>
  <c r="AE235" i="13"/>
  <c r="B199" i="13"/>
  <c r="AF93" i="13"/>
  <c r="AF200" i="13"/>
  <c r="AF195" i="12"/>
  <c r="AE200" i="12"/>
  <c r="B103" i="12"/>
  <c r="AF93" i="12"/>
  <c r="AD235" i="12"/>
  <c r="AF199" i="12"/>
  <c r="AE93" i="12"/>
  <c r="AE192" i="11"/>
  <c r="AF102" i="11"/>
  <c r="AD235" i="11"/>
  <c r="AF199" i="11"/>
  <c r="AE200" i="11"/>
  <c r="AF109" i="11"/>
  <c r="AE93" i="11"/>
  <c r="Y235" i="9"/>
  <c r="AA199" i="9"/>
  <c r="Z200" i="9"/>
  <c r="Z93" i="9"/>
  <c r="AA103" i="9"/>
  <c r="AC194" i="9"/>
  <c r="Z192" i="9"/>
  <c r="AA102" i="9"/>
  <c r="Z109" i="8"/>
  <c r="Y192" i="8"/>
  <c r="Y93" i="8"/>
  <c r="Y200" i="8"/>
  <c r="Z194" i="8"/>
  <c r="AC103" i="8"/>
  <c r="X235" i="8"/>
  <c r="Z199" i="8"/>
  <c r="AC102" i="8"/>
  <c r="AF235" i="13" l="1"/>
  <c r="B200" i="13"/>
  <c r="B93" i="13"/>
  <c r="AH93" i="13"/>
  <c r="AI93" i="13"/>
  <c r="AE235" i="12"/>
  <c r="B199" i="12"/>
  <c r="AF235" i="12" s="1"/>
  <c r="AI93" i="12"/>
  <c r="AH93" i="12"/>
  <c r="B195" i="12"/>
  <c r="B200" i="12" s="1"/>
  <c r="AF200" i="12"/>
  <c r="B192" i="12"/>
  <c r="AF192" i="11"/>
  <c r="B102" i="11"/>
  <c r="B109" i="11"/>
  <c r="B93" i="11" s="1"/>
  <c r="AF93" i="11"/>
  <c r="AE235" i="11"/>
  <c r="B199" i="11"/>
  <c r="AF200" i="11"/>
  <c r="AD194" i="9"/>
  <c r="AA93" i="9"/>
  <c r="AB103" i="9"/>
  <c r="Z235" i="9"/>
  <c r="AB199" i="9"/>
  <c r="AA200" i="9"/>
  <c r="AA192" i="9"/>
  <c r="AB102" i="9"/>
  <c r="AD103" i="8"/>
  <c r="Z200" i="8"/>
  <c r="AA194" i="8"/>
  <c r="AD102" i="8"/>
  <c r="AA199" i="8"/>
  <c r="Y235" i="8"/>
  <c r="AA109" i="8"/>
  <c r="Z93" i="8"/>
  <c r="Z192" i="8"/>
  <c r="AF235" i="11" l="1"/>
  <c r="B200" i="11"/>
  <c r="AH93" i="11"/>
  <c r="AI93" i="11"/>
  <c r="B192" i="11"/>
  <c r="AA235" i="9"/>
  <c r="AC199" i="9"/>
  <c r="AB200" i="9"/>
  <c r="AB93" i="9"/>
  <c r="AC103" i="9"/>
  <c r="AE194" i="9"/>
  <c r="AB192" i="9"/>
  <c r="AC102" i="9"/>
  <c r="Z235" i="8"/>
  <c r="AB199" i="8"/>
  <c r="AE102" i="8"/>
  <c r="AA200" i="8"/>
  <c r="AB194" i="8"/>
  <c r="AB109" i="8"/>
  <c r="AA192" i="8"/>
  <c r="AE103" i="8"/>
  <c r="AF194" i="9" l="1"/>
  <c r="AC93" i="9"/>
  <c r="AD103" i="9"/>
  <c r="AB235" i="9"/>
  <c r="AD199" i="9"/>
  <c r="AC200" i="9"/>
  <c r="AC192" i="9"/>
  <c r="AD102" i="9"/>
  <c r="AC109" i="8"/>
  <c r="AB93" i="8"/>
  <c r="AB192" i="8"/>
  <c r="AF102" i="8"/>
  <c r="AF103" i="8"/>
  <c r="AA235" i="8"/>
  <c r="AC199" i="8"/>
  <c r="AB200" i="8"/>
  <c r="AC194" i="8"/>
  <c r="AC235" i="9" l="1"/>
  <c r="AE199" i="9"/>
  <c r="AD200" i="9"/>
  <c r="AE103" i="9"/>
  <c r="AD93" i="9"/>
  <c r="AD192" i="9"/>
  <c r="AE102" i="9"/>
  <c r="B194" i="9"/>
  <c r="B102" i="8"/>
  <c r="AD194" i="8"/>
  <c r="AC200" i="8"/>
  <c r="B103" i="8"/>
  <c r="AB235" i="8"/>
  <c r="AD199" i="8"/>
  <c r="AD109" i="8"/>
  <c r="AC93" i="8"/>
  <c r="AC192" i="8"/>
  <c r="AE192" i="9" l="1"/>
  <c r="AF102" i="9"/>
  <c r="AD235" i="9"/>
  <c r="AF199" i="9"/>
  <c r="AE200" i="9"/>
  <c r="AF103" i="9"/>
  <c r="AE93" i="9"/>
  <c r="AC235" i="8"/>
  <c r="AE199" i="8"/>
  <c r="AE194" i="8"/>
  <c r="AD200" i="8"/>
  <c r="AE109" i="8"/>
  <c r="AD93" i="8"/>
  <c r="AD192" i="8"/>
  <c r="AF93" i="9" l="1"/>
  <c r="B103" i="9"/>
  <c r="B93" i="9" s="1"/>
  <c r="AE235" i="9"/>
  <c r="B199" i="9"/>
  <c r="AF200" i="9"/>
  <c r="AF192" i="9"/>
  <c r="B102" i="9"/>
  <c r="B192" i="9" s="1"/>
  <c r="AF109" i="8"/>
  <c r="AE93" i="8"/>
  <c r="AE192" i="8"/>
  <c r="AF194" i="8"/>
  <c r="AE200" i="8"/>
  <c r="AD235" i="8"/>
  <c r="AF199" i="8"/>
  <c r="AF235" i="9" l="1"/>
  <c r="B200" i="9"/>
  <c r="AI93" i="9"/>
  <c r="AH93" i="9"/>
  <c r="B199" i="8"/>
  <c r="AF235" i="8" s="1"/>
  <c r="AE235" i="8"/>
  <c r="AF200" i="8"/>
  <c r="B194" i="8"/>
  <c r="B200" i="8" s="1"/>
  <c r="B109" i="8"/>
  <c r="AF192" i="8"/>
  <c r="AF93" i="8"/>
  <c r="AI93" i="8" l="1"/>
  <c r="AH93" i="8"/>
  <c r="B192" i="8"/>
  <c r="B93" i="8"/>
  <c r="L37" i="6" l="1"/>
  <c r="K37" i="6"/>
  <c r="J37" i="6"/>
  <c r="I37" i="6"/>
  <c r="H37" i="6"/>
  <c r="G95" i="6"/>
  <c r="G37" i="6"/>
  <c r="F95" i="6" l="1"/>
  <c r="F37" i="6"/>
  <c r="E95" i="6"/>
  <c r="B95" i="6"/>
  <c r="AF239" i="6"/>
  <c r="AE239" i="6"/>
  <c r="AD239" i="6"/>
  <c r="AC239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F239" i="6"/>
  <c r="E239" i="6"/>
  <c r="D239" i="6"/>
  <c r="C239" i="6"/>
  <c r="B239" i="6"/>
  <c r="A239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B235" i="6"/>
  <c r="S210" i="6"/>
  <c r="AG200" i="6"/>
  <c r="C200" i="6"/>
  <c r="D199" i="6"/>
  <c r="C235" i="6" s="1"/>
  <c r="E198" i="6"/>
  <c r="F198" i="6" s="1"/>
  <c r="G198" i="6" s="1"/>
  <c r="H198" i="6" s="1"/>
  <c r="I198" i="6" s="1"/>
  <c r="J198" i="6" s="1"/>
  <c r="K198" i="6" s="1"/>
  <c r="L198" i="6" s="1"/>
  <c r="M198" i="6" s="1"/>
  <c r="N198" i="6" s="1"/>
  <c r="O198" i="6" s="1"/>
  <c r="P198" i="6" s="1"/>
  <c r="Q198" i="6" s="1"/>
  <c r="R198" i="6" s="1"/>
  <c r="S198" i="6" s="1"/>
  <c r="T198" i="6" s="1"/>
  <c r="U198" i="6" s="1"/>
  <c r="V198" i="6" s="1"/>
  <c r="W198" i="6" s="1"/>
  <c r="X198" i="6" s="1"/>
  <c r="Y198" i="6" s="1"/>
  <c r="Z198" i="6" s="1"/>
  <c r="AA198" i="6" s="1"/>
  <c r="AB198" i="6" s="1"/>
  <c r="AC198" i="6" s="1"/>
  <c r="AD198" i="6" s="1"/>
  <c r="AE198" i="6" s="1"/>
  <c r="AF198" i="6" s="1"/>
  <c r="B198" i="6" s="1"/>
  <c r="D198" i="6"/>
  <c r="D197" i="6"/>
  <c r="E197" i="6" s="1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B197" i="6" s="1"/>
  <c r="M196" i="6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B196" i="6" s="1"/>
  <c r="E196" i="6"/>
  <c r="F196" i="6" s="1"/>
  <c r="G196" i="6" s="1"/>
  <c r="H196" i="6" s="1"/>
  <c r="I196" i="6" s="1"/>
  <c r="J196" i="6" s="1"/>
  <c r="K196" i="6" s="1"/>
  <c r="L196" i="6" s="1"/>
  <c r="D196" i="6"/>
  <c r="D195" i="6"/>
  <c r="D200" i="6" s="1"/>
  <c r="F194" i="6"/>
  <c r="E194" i="6"/>
  <c r="D194" i="6"/>
  <c r="AG192" i="6"/>
  <c r="C192" i="6"/>
  <c r="G191" i="6"/>
  <c r="H191" i="6" s="1"/>
  <c r="I191" i="6" s="1"/>
  <c r="J191" i="6" s="1"/>
  <c r="K191" i="6" s="1"/>
  <c r="L191" i="6" s="1"/>
  <c r="M191" i="6" s="1"/>
  <c r="N191" i="6" s="1"/>
  <c r="O191" i="6" s="1"/>
  <c r="P191" i="6" s="1"/>
  <c r="Q191" i="6" s="1"/>
  <c r="R191" i="6" s="1"/>
  <c r="S191" i="6" s="1"/>
  <c r="T191" i="6" s="1"/>
  <c r="U191" i="6" s="1"/>
  <c r="V191" i="6" s="1"/>
  <c r="W191" i="6" s="1"/>
  <c r="X191" i="6" s="1"/>
  <c r="Y191" i="6" s="1"/>
  <c r="Z191" i="6" s="1"/>
  <c r="AA191" i="6" s="1"/>
  <c r="AB191" i="6" s="1"/>
  <c r="AC191" i="6" s="1"/>
  <c r="AD191" i="6" s="1"/>
  <c r="AE191" i="6" s="1"/>
  <c r="AF191" i="6" s="1"/>
  <c r="B191" i="6" s="1"/>
  <c r="D191" i="6"/>
  <c r="E191" i="6" s="1"/>
  <c r="F191" i="6" s="1"/>
  <c r="E190" i="6"/>
  <c r="F190" i="6" s="1"/>
  <c r="G190" i="6" s="1"/>
  <c r="H190" i="6" s="1"/>
  <c r="I190" i="6" s="1"/>
  <c r="J190" i="6" s="1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Z190" i="6" s="1"/>
  <c r="AA190" i="6" s="1"/>
  <c r="AB190" i="6" s="1"/>
  <c r="AC190" i="6" s="1"/>
  <c r="AD190" i="6" s="1"/>
  <c r="AE190" i="6" s="1"/>
  <c r="AF190" i="6" s="1"/>
  <c r="B190" i="6" s="1"/>
  <c r="D190" i="6"/>
  <c r="K189" i="6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B189" i="6" s="1"/>
  <c r="F189" i="6"/>
  <c r="G189" i="6" s="1"/>
  <c r="H189" i="6" s="1"/>
  <c r="I189" i="6" s="1"/>
  <c r="J189" i="6" s="1"/>
  <c r="D189" i="6"/>
  <c r="E189" i="6" s="1"/>
  <c r="D188" i="6"/>
  <c r="E188" i="6" s="1"/>
  <c r="F188" i="6" s="1"/>
  <c r="G188" i="6" s="1"/>
  <c r="H188" i="6" s="1"/>
  <c r="I188" i="6" s="1"/>
  <c r="J188" i="6" s="1"/>
  <c r="K188" i="6" s="1"/>
  <c r="L188" i="6" s="1"/>
  <c r="M188" i="6" s="1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AC188" i="6" s="1"/>
  <c r="AD188" i="6" s="1"/>
  <c r="AE188" i="6" s="1"/>
  <c r="AF188" i="6" s="1"/>
  <c r="B188" i="6" s="1"/>
  <c r="D187" i="6"/>
  <c r="E187" i="6" s="1"/>
  <c r="F187" i="6" s="1"/>
  <c r="G187" i="6" s="1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B187" i="6" s="1"/>
  <c r="E186" i="6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B186" i="6" s="1"/>
  <c r="D186" i="6"/>
  <c r="AE185" i="6"/>
  <c r="AF185" i="6" s="1"/>
  <c r="B185" i="6" s="1"/>
  <c r="D185" i="6"/>
  <c r="E185" i="6" s="1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E184" i="6"/>
  <c r="F184" i="6" s="1"/>
  <c r="G184" i="6" s="1"/>
  <c r="H184" i="6" s="1"/>
  <c r="I184" i="6" s="1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B184" i="6" s="1"/>
  <c r="D184" i="6"/>
  <c r="M183" i="6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B183" i="6" s="1"/>
  <c r="J183" i="6"/>
  <c r="K183" i="6" s="1"/>
  <c r="L183" i="6" s="1"/>
  <c r="D183" i="6"/>
  <c r="E183" i="6" s="1"/>
  <c r="F183" i="6" s="1"/>
  <c r="G183" i="6" s="1"/>
  <c r="H183" i="6" s="1"/>
  <c r="I183" i="6" s="1"/>
  <c r="F182" i="6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B182" i="6" s="1"/>
  <c r="E182" i="6"/>
  <c r="D182" i="6"/>
  <c r="G181" i="6"/>
  <c r="H181" i="6" s="1"/>
  <c r="I181" i="6" s="1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B181" i="6" s="1"/>
  <c r="E181" i="6"/>
  <c r="F181" i="6" s="1"/>
  <c r="D181" i="6"/>
  <c r="V180" i="6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B180" i="6" s="1"/>
  <c r="D180" i="6"/>
  <c r="E180" i="6" s="1"/>
  <c r="F180" i="6" s="1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P179" i="6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B179" i="6" s="1"/>
  <c r="E179" i="6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D179" i="6"/>
  <c r="K177" i="6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A177" i="6" s="1"/>
  <c r="AB177" i="6" s="1"/>
  <c r="AC177" i="6" s="1"/>
  <c r="AD177" i="6" s="1"/>
  <c r="AE177" i="6" s="1"/>
  <c r="AF177" i="6" s="1"/>
  <c r="B177" i="6" s="1"/>
  <c r="E177" i="6"/>
  <c r="F177" i="6" s="1"/>
  <c r="G177" i="6" s="1"/>
  <c r="H177" i="6" s="1"/>
  <c r="I177" i="6" s="1"/>
  <c r="J177" i="6" s="1"/>
  <c r="D177" i="6"/>
  <c r="O176" i="6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B176" i="6" s="1"/>
  <c r="E176" i="6"/>
  <c r="F176" i="6" s="1"/>
  <c r="G176" i="6" s="1"/>
  <c r="H176" i="6" s="1"/>
  <c r="I176" i="6" s="1"/>
  <c r="J176" i="6" s="1"/>
  <c r="K176" i="6" s="1"/>
  <c r="L176" i="6" s="1"/>
  <c r="M176" i="6" s="1"/>
  <c r="N176" i="6" s="1"/>
  <c r="D176" i="6"/>
  <c r="N175" i="6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B175" i="6" s="1"/>
  <c r="E175" i="6"/>
  <c r="F175" i="6" s="1"/>
  <c r="G175" i="6" s="1"/>
  <c r="H175" i="6" s="1"/>
  <c r="I175" i="6" s="1"/>
  <c r="J175" i="6" s="1"/>
  <c r="K175" i="6" s="1"/>
  <c r="L175" i="6" s="1"/>
  <c r="M175" i="6" s="1"/>
  <c r="D175" i="6"/>
  <c r="D174" i="6"/>
  <c r="E174" i="6" s="1"/>
  <c r="F174" i="6" s="1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B174" i="6" s="1"/>
  <c r="I173" i="6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B173" i="6" s="1"/>
  <c r="E173" i="6"/>
  <c r="F173" i="6" s="1"/>
  <c r="G173" i="6" s="1"/>
  <c r="H173" i="6" s="1"/>
  <c r="D173" i="6"/>
  <c r="I172" i="6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B172" i="6" s="1"/>
  <c r="E172" i="6"/>
  <c r="F172" i="6" s="1"/>
  <c r="G172" i="6" s="1"/>
  <c r="H172" i="6" s="1"/>
  <c r="D172" i="6"/>
  <c r="M171" i="6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B171" i="6" s="1"/>
  <c r="E171" i="6"/>
  <c r="F171" i="6" s="1"/>
  <c r="G171" i="6" s="1"/>
  <c r="H171" i="6" s="1"/>
  <c r="I171" i="6" s="1"/>
  <c r="J171" i="6" s="1"/>
  <c r="K171" i="6" s="1"/>
  <c r="L171" i="6" s="1"/>
  <c r="D171" i="6"/>
  <c r="D170" i="6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B170" i="6" s="1"/>
  <c r="M168" i="6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AA168" i="6" s="1"/>
  <c r="AB168" i="6" s="1"/>
  <c r="AC168" i="6" s="1"/>
  <c r="AD168" i="6" s="1"/>
  <c r="AE168" i="6" s="1"/>
  <c r="AF168" i="6" s="1"/>
  <c r="B168" i="6" s="1"/>
  <c r="I168" i="6"/>
  <c r="J168" i="6" s="1"/>
  <c r="K168" i="6" s="1"/>
  <c r="L168" i="6" s="1"/>
  <c r="D168" i="6"/>
  <c r="E168" i="6" s="1"/>
  <c r="F168" i="6" s="1"/>
  <c r="G168" i="6" s="1"/>
  <c r="H168" i="6" s="1"/>
  <c r="F167" i="6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B167" i="6" s="1"/>
  <c r="D167" i="6"/>
  <c r="E167" i="6" s="1"/>
  <c r="AC166" i="6"/>
  <c r="AD166" i="6" s="1"/>
  <c r="AE166" i="6" s="1"/>
  <c r="AF166" i="6" s="1"/>
  <c r="B166" i="6" s="1"/>
  <c r="D166" i="6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D165" i="6"/>
  <c r="E165" i="6" s="1"/>
  <c r="F165" i="6" s="1"/>
  <c r="G165" i="6" s="1"/>
  <c r="H165" i="6" s="1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AF165" i="6" s="1"/>
  <c r="B165" i="6" s="1"/>
  <c r="D164" i="6"/>
  <c r="E164" i="6" s="1"/>
  <c r="F164" i="6" s="1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B164" i="6" s="1"/>
  <c r="D163" i="6"/>
  <c r="E163" i="6" s="1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B163" i="6" s="1"/>
  <c r="L162" i="6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B162" i="6" s="1"/>
  <c r="F162" i="6"/>
  <c r="G162" i="6" s="1"/>
  <c r="H162" i="6" s="1"/>
  <c r="I162" i="6" s="1"/>
  <c r="J162" i="6" s="1"/>
  <c r="K162" i="6" s="1"/>
  <c r="E162" i="6"/>
  <c r="D162" i="6"/>
  <c r="D161" i="6"/>
  <c r="E161" i="6" s="1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B161" i="6" s="1"/>
  <c r="D160" i="6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B160" i="6" s="1"/>
  <c r="G159" i="6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B159" i="6" s="1"/>
  <c r="F159" i="6"/>
  <c r="D159" i="6"/>
  <c r="E159" i="6" s="1"/>
  <c r="AB158" i="6"/>
  <c r="AC158" i="6" s="1"/>
  <c r="AD158" i="6" s="1"/>
  <c r="AE158" i="6" s="1"/>
  <c r="AF158" i="6" s="1"/>
  <c r="B158" i="6" s="1"/>
  <c r="L158" i="6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E158" i="6"/>
  <c r="F158" i="6" s="1"/>
  <c r="G158" i="6" s="1"/>
  <c r="H158" i="6" s="1"/>
  <c r="I158" i="6" s="1"/>
  <c r="J158" i="6" s="1"/>
  <c r="K158" i="6" s="1"/>
  <c r="D158" i="6"/>
  <c r="AF157" i="6"/>
  <c r="B157" i="6" s="1"/>
  <c r="S157" i="6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P157" i="6"/>
  <c r="Q157" i="6" s="1"/>
  <c r="R157" i="6" s="1"/>
  <c r="E157" i="6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D157" i="6"/>
  <c r="I156" i="6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B156" i="6" s="1"/>
  <c r="D156" i="6"/>
  <c r="E156" i="6" s="1"/>
  <c r="F156" i="6" s="1"/>
  <c r="G156" i="6" s="1"/>
  <c r="H156" i="6" s="1"/>
  <c r="O154" i="6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B154" i="6" s="1"/>
  <c r="G154" i="6"/>
  <c r="H154" i="6" s="1"/>
  <c r="I154" i="6" s="1"/>
  <c r="J154" i="6" s="1"/>
  <c r="K154" i="6" s="1"/>
  <c r="L154" i="6" s="1"/>
  <c r="M154" i="6" s="1"/>
  <c r="N154" i="6" s="1"/>
  <c r="E154" i="6"/>
  <c r="F154" i="6" s="1"/>
  <c r="D154" i="6"/>
  <c r="S153" i="6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B153" i="6" s="1"/>
  <c r="K153" i="6"/>
  <c r="L153" i="6" s="1"/>
  <c r="M153" i="6" s="1"/>
  <c r="N153" i="6" s="1"/>
  <c r="O153" i="6" s="1"/>
  <c r="P153" i="6" s="1"/>
  <c r="Q153" i="6" s="1"/>
  <c r="R153" i="6" s="1"/>
  <c r="E153" i="6"/>
  <c r="F153" i="6" s="1"/>
  <c r="G153" i="6" s="1"/>
  <c r="H153" i="6" s="1"/>
  <c r="I153" i="6" s="1"/>
  <c r="J153" i="6" s="1"/>
  <c r="D153" i="6"/>
  <c r="E152" i="6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B152" i="6" s="1"/>
  <c r="D152" i="6"/>
  <c r="P151" i="6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B151" i="6" s="1"/>
  <c r="D151" i="6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O149" i="6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B149" i="6" s="1"/>
  <c r="E149" i="6"/>
  <c r="F149" i="6" s="1"/>
  <c r="G149" i="6" s="1"/>
  <c r="H149" i="6" s="1"/>
  <c r="I149" i="6" s="1"/>
  <c r="J149" i="6" s="1"/>
  <c r="K149" i="6" s="1"/>
  <c r="L149" i="6" s="1"/>
  <c r="M149" i="6" s="1"/>
  <c r="N149" i="6" s="1"/>
  <c r="D149" i="6"/>
  <c r="D148" i="6"/>
  <c r="E148" i="6" s="1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B148" i="6" s="1"/>
  <c r="I146" i="6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B146" i="6" s="1"/>
  <c r="E146" i="6"/>
  <c r="F146" i="6" s="1"/>
  <c r="G146" i="6" s="1"/>
  <c r="H146" i="6" s="1"/>
  <c r="D146" i="6"/>
  <c r="O145" i="6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B145" i="6" s="1"/>
  <c r="D145" i="6"/>
  <c r="E145" i="6" s="1"/>
  <c r="F145" i="6" s="1"/>
  <c r="G145" i="6" s="1"/>
  <c r="H145" i="6" s="1"/>
  <c r="I145" i="6" s="1"/>
  <c r="J145" i="6" s="1"/>
  <c r="K145" i="6" s="1"/>
  <c r="L145" i="6" s="1"/>
  <c r="M145" i="6" s="1"/>
  <c r="N145" i="6" s="1"/>
  <c r="E144" i="6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B144" i="6" s="1"/>
  <c r="D144" i="6"/>
  <c r="D143" i="6"/>
  <c r="E143" i="6" s="1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B143" i="6" s="1"/>
  <c r="I142" i="6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B142" i="6" s="1"/>
  <c r="E142" i="6"/>
  <c r="F142" i="6" s="1"/>
  <c r="G142" i="6" s="1"/>
  <c r="H142" i="6" s="1"/>
  <c r="D142" i="6"/>
  <c r="K141" i="6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D141" i="6"/>
  <c r="E141" i="6" s="1"/>
  <c r="F141" i="6" s="1"/>
  <c r="G141" i="6" s="1"/>
  <c r="H141" i="6" s="1"/>
  <c r="I141" i="6" s="1"/>
  <c r="J141" i="6" s="1"/>
  <c r="B141" i="6"/>
  <c r="H140" i="6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B140" i="6" s="1"/>
  <c r="F140" i="6"/>
  <c r="G140" i="6" s="1"/>
  <c r="E140" i="6"/>
  <c r="D140" i="6"/>
  <c r="D138" i="6"/>
  <c r="E138" i="6" s="1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B138" i="6" s="1"/>
  <c r="I137" i="6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B137" i="6" s="1"/>
  <c r="D137" i="6"/>
  <c r="E137" i="6" s="1"/>
  <c r="F137" i="6" s="1"/>
  <c r="G137" i="6" s="1"/>
  <c r="H137" i="6" s="1"/>
  <c r="F136" i="6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B136" i="6" s="1"/>
  <c r="D136" i="6"/>
  <c r="E136" i="6" s="1"/>
  <c r="N135" i="6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B135" i="6" s="1"/>
  <c r="E135" i="6"/>
  <c r="F135" i="6" s="1"/>
  <c r="G135" i="6" s="1"/>
  <c r="H135" i="6" s="1"/>
  <c r="I135" i="6" s="1"/>
  <c r="J135" i="6" s="1"/>
  <c r="K135" i="6" s="1"/>
  <c r="L135" i="6" s="1"/>
  <c r="M135" i="6" s="1"/>
  <c r="D135" i="6"/>
  <c r="N134" i="6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B134" i="6" s="1"/>
  <c r="E134" i="6"/>
  <c r="F134" i="6" s="1"/>
  <c r="G134" i="6" s="1"/>
  <c r="H134" i="6" s="1"/>
  <c r="I134" i="6" s="1"/>
  <c r="J134" i="6" s="1"/>
  <c r="K134" i="6" s="1"/>
  <c r="L134" i="6" s="1"/>
  <c r="M134" i="6" s="1"/>
  <c r="D134" i="6"/>
  <c r="J133" i="6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B133" i="6" s="1"/>
  <c r="D133" i="6"/>
  <c r="E133" i="6" s="1"/>
  <c r="F133" i="6" s="1"/>
  <c r="G133" i="6" s="1"/>
  <c r="H133" i="6" s="1"/>
  <c r="I133" i="6" s="1"/>
  <c r="J132" i="6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B132" i="6" s="1"/>
  <c r="D132" i="6"/>
  <c r="E132" i="6" s="1"/>
  <c r="F132" i="6" s="1"/>
  <c r="G132" i="6" s="1"/>
  <c r="H132" i="6" s="1"/>
  <c r="I132" i="6" s="1"/>
  <c r="F131" i="6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B131" i="6" s="1"/>
  <c r="D131" i="6"/>
  <c r="E131" i="6" s="1"/>
  <c r="H129" i="6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B129" i="6" s="1"/>
  <c r="F129" i="6"/>
  <c r="G129" i="6" s="1"/>
  <c r="E129" i="6"/>
  <c r="D129" i="6"/>
  <c r="I128" i="6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B128" i="6" s="1"/>
  <c r="E128" i="6"/>
  <c r="F128" i="6" s="1"/>
  <c r="G128" i="6" s="1"/>
  <c r="H128" i="6" s="1"/>
  <c r="D128" i="6"/>
  <c r="Q127" i="6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B127" i="6" s="1"/>
  <c r="D127" i="6"/>
  <c r="E127" i="6" s="1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J126" i="6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B126" i="6" s="1"/>
  <c r="G126" i="6"/>
  <c r="H126" i="6" s="1"/>
  <c r="I126" i="6" s="1"/>
  <c r="E126" i="6"/>
  <c r="F126" i="6" s="1"/>
  <c r="D126" i="6"/>
  <c r="K125" i="6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B125" i="6" s="1"/>
  <c r="J125" i="6"/>
  <c r="F125" i="6"/>
  <c r="G125" i="6" s="1"/>
  <c r="H125" i="6" s="1"/>
  <c r="E125" i="6"/>
  <c r="D125" i="6"/>
  <c r="U124" i="6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B124" i="6" s="1"/>
  <c r="I124" i="6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E124" i="6"/>
  <c r="F124" i="6" s="1"/>
  <c r="G124" i="6" s="1"/>
  <c r="H124" i="6" s="1"/>
  <c r="D124" i="6"/>
  <c r="Q123" i="6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B123" i="6" s="1"/>
  <c r="F123" i="6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D123" i="6"/>
  <c r="E123" i="6" s="1"/>
  <c r="O122" i="6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B122" i="6" s="1"/>
  <c r="D122" i="6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M121" i="6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B121" i="6" s="1"/>
  <c r="E121" i="6"/>
  <c r="F121" i="6" s="1"/>
  <c r="G121" i="6" s="1"/>
  <c r="H121" i="6" s="1"/>
  <c r="I121" i="6" s="1"/>
  <c r="J121" i="6" s="1"/>
  <c r="K121" i="6" s="1"/>
  <c r="L121" i="6" s="1"/>
  <c r="D121" i="6"/>
  <c r="I120" i="6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B120" i="6" s="1"/>
  <c r="F120" i="6"/>
  <c r="G120" i="6" s="1"/>
  <c r="H120" i="6" s="1"/>
  <c r="E120" i="6"/>
  <c r="D120" i="6"/>
  <c r="H119" i="6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B119" i="6" s="1"/>
  <c r="F119" i="6"/>
  <c r="G119" i="6" s="1"/>
  <c r="D119" i="6"/>
  <c r="E119" i="6" s="1"/>
  <c r="F118" i="6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B118" i="6" s="1"/>
  <c r="D118" i="6"/>
  <c r="E118" i="6" s="1"/>
  <c r="J117" i="6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B117" i="6" s="1"/>
  <c r="D117" i="6"/>
  <c r="E117" i="6" s="1"/>
  <c r="F117" i="6" s="1"/>
  <c r="G117" i="6" s="1"/>
  <c r="H117" i="6" s="1"/>
  <c r="I117" i="6" s="1"/>
  <c r="M116" i="6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B116" i="6" s="1"/>
  <c r="H116" i="6"/>
  <c r="I116" i="6" s="1"/>
  <c r="J116" i="6" s="1"/>
  <c r="K116" i="6" s="1"/>
  <c r="L116" i="6" s="1"/>
  <c r="E116" i="6"/>
  <c r="F116" i="6" s="1"/>
  <c r="G116" i="6" s="1"/>
  <c r="D116" i="6"/>
  <c r="L115" i="6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B115" i="6" s="1"/>
  <c r="G115" i="6"/>
  <c r="H115" i="6" s="1"/>
  <c r="I115" i="6" s="1"/>
  <c r="J115" i="6" s="1"/>
  <c r="K115" i="6" s="1"/>
  <c r="D115" i="6"/>
  <c r="E115" i="6" s="1"/>
  <c r="F115" i="6" s="1"/>
  <c r="M114" i="6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B114" i="6" s="1"/>
  <c r="L114" i="6"/>
  <c r="K114" i="6"/>
  <c r="E114" i="6"/>
  <c r="F114" i="6" s="1"/>
  <c r="G114" i="6" s="1"/>
  <c r="H114" i="6" s="1"/>
  <c r="I114" i="6" s="1"/>
  <c r="D114" i="6"/>
  <c r="I113" i="6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B113" i="6" s="1"/>
  <c r="F113" i="6"/>
  <c r="G113" i="6" s="1"/>
  <c r="H113" i="6" s="1"/>
  <c r="D113" i="6"/>
  <c r="E113" i="6" s="1"/>
  <c r="G112" i="6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B112" i="6" s="1"/>
  <c r="D112" i="6"/>
  <c r="E112" i="6" s="1"/>
  <c r="F112" i="6" s="1"/>
  <c r="E110" i="6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B110" i="6" s="1"/>
  <c r="D110" i="6"/>
  <c r="I109" i="6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B109" i="6" s="1"/>
  <c r="D109" i="6"/>
  <c r="E109" i="6" s="1"/>
  <c r="F109" i="6" s="1"/>
  <c r="G109" i="6" s="1"/>
  <c r="H109" i="6" s="1"/>
  <c r="G107" i="6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B107" i="6" s="1"/>
  <c r="D107" i="6"/>
  <c r="E107" i="6" s="1"/>
  <c r="F107" i="6" s="1"/>
  <c r="P106" i="6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B106" i="6" s="1"/>
  <c r="J106" i="6"/>
  <c r="K106" i="6" s="1"/>
  <c r="L106" i="6" s="1"/>
  <c r="M106" i="6" s="1"/>
  <c r="N106" i="6" s="1"/>
  <c r="O106" i="6" s="1"/>
  <c r="E106" i="6"/>
  <c r="F106" i="6" s="1"/>
  <c r="G106" i="6" s="1"/>
  <c r="H106" i="6" s="1"/>
  <c r="I106" i="6" s="1"/>
  <c r="D106" i="6"/>
  <c r="H105" i="6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B105" i="6" s="1"/>
  <c r="F105" i="6"/>
  <c r="G105" i="6" s="1"/>
  <c r="E105" i="6"/>
  <c r="D105" i="6"/>
  <c r="H104" i="6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B104" i="6" s="1"/>
  <c r="E104" i="6"/>
  <c r="F104" i="6" s="1"/>
  <c r="G104" i="6" s="1"/>
  <c r="D104" i="6"/>
  <c r="D103" i="6"/>
  <c r="D102" i="6"/>
  <c r="AH100" i="6"/>
  <c r="AI100" i="6" s="1"/>
  <c r="AH99" i="6"/>
  <c r="AI99" i="6" s="1"/>
  <c r="AH98" i="6"/>
  <c r="AI98" i="6" s="1"/>
  <c r="AH97" i="6"/>
  <c r="AI97" i="6" s="1"/>
  <c r="AH96" i="6"/>
  <c r="AI96" i="6" s="1"/>
  <c r="AH95" i="6"/>
  <c r="AI95" i="6" s="1"/>
  <c r="AH94" i="6"/>
  <c r="AI94" i="6" s="1"/>
  <c r="C93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2" i="6"/>
  <c r="AH82" i="6"/>
  <c r="AG82" i="6"/>
  <c r="AI81" i="6"/>
  <c r="AH81" i="6"/>
  <c r="AI80" i="6"/>
  <c r="AH80" i="6"/>
  <c r="AI79" i="6"/>
  <c r="AH79" i="6"/>
  <c r="AI78" i="6"/>
  <c r="AH78" i="6"/>
  <c r="AI77" i="6"/>
  <c r="AH77" i="6"/>
  <c r="AI76" i="6"/>
  <c r="AH76" i="6"/>
  <c r="AI74" i="6"/>
  <c r="AH74" i="6"/>
  <c r="AI73" i="6"/>
  <c r="AH73" i="6"/>
  <c r="AI72" i="6"/>
  <c r="AH72" i="6"/>
  <c r="AG72" i="6"/>
  <c r="AI71" i="6"/>
  <c r="AH71" i="6"/>
  <c r="AI70" i="6"/>
  <c r="AH70" i="6"/>
  <c r="AI69" i="6"/>
  <c r="AH69" i="6"/>
  <c r="AG68" i="6"/>
  <c r="AG75" i="6" s="1"/>
  <c r="AF68" i="6"/>
  <c r="AE68" i="6"/>
  <c r="AD68" i="6"/>
  <c r="AC5" i="6" s="1"/>
  <c r="AC68" i="6"/>
  <c r="AB68" i="6"/>
  <c r="AA5" i="6" s="1"/>
  <c r="AA68" i="6"/>
  <c r="Z5" i="6" s="1"/>
  <c r="Z68" i="6"/>
  <c r="Y5" i="6" s="1"/>
  <c r="Y68" i="6"/>
  <c r="X68" i="6"/>
  <c r="W5" i="6" s="1"/>
  <c r="W68" i="6"/>
  <c r="V68" i="6"/>
  <c r="U5" i="6" s="1"/>
  <c r="U68" i="6"/>
  <c r="T5" i="6" s="1"/>
  <c r="T68" i="6"/>
  <c r="S68" i="6"/>
  <c r="R5" i="6" s="1"/>
  <c r="R68" i="6"/>
  <c r="Q5" i="6" s="1"/>
  <c r="Q68" i="6"/>
  <c r="P68" i="6"/>
  <c r="O5" i="6" s="1"/>
  <c r="O68" i="6"/>
  <c r="N5" i="6" s="1"/>
  <c r="N68" i="6"/>
  <c r="M5" i="6" s="1"/>
  <c r="M68" i="6"/>
  <c r="L5" i="6" s="1"/>
  <c r="L68" i="6"/>
  <c r="K68" i="6"/>
  <c r="J5" i="6" s="1"/>
  <c r="J68" i="6"/>
  <c r="I68" i="6"/>
  <c r="H68" i="6"/>
  <c r="G68" i="6"/>
  <c r="F5" i="6" s="1"/>
  <c r="F68" i="6"/>
  <c r="E5" i="6" s="1"/>
  <c r="E68" i="6"/>
  <c r="D68" i="6"/>
  <c r="C68" i="6"/>
  <c r="B68" i="6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G56" i="6"/>
  <c r="AG4" i="6" s="1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I55" i="6"/>
  <c r="AH55" i="6"/>
  <c r="AI54" i="6"/>
  <c r="AH54" i="6"/>
  <c r="AI53" i="6"/>
  <c r="AH53" i="6"/>
  <c r="AG52" i="6"/>
  <c r="AG3" i="6" s="1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I51" i="6"/>
  <c r="AH51" i="6"/>
  <c r="AG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G38" i="6"/>
  <c r="AG2" i="6" s="1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E5" i="6"/>
  <c r="AD5" i="6"/>
  <c r="AB5" i="6"/>
  <c r="X5" i="6"/>
  <c r="V5" i="6"/>
  <c r="S5" i="6"/>
  <c r="P5" i="6"/>
  <c r="K5" i="6"/>
  <c r="I5" i="6"/>
  <c r="H5" i="6"/>
  <c r="G5" i="6"/>
  <c r="D5" i="6"/>
  <c r="C5" i="6"/>
  <c r="K4" i="6"/>
  <c r="B4" i="6"/>
  <c r="AH74" i="5"/>
  <c r="AI74" i="5"/>
  <c r="Z95" i="5"/>
  <c r="Z37" i="5"/>
  <c r="Y95" i="5"/>
  <c r="Y37" i="5"/>
  <c r="X95" i="5"/>
  <c r="W95" i="5"/>
  <c r="W37" i="5"/>
  <c r="X37" i="5"/>
  <c r="U95" i="5"/>
  <c r="V95" i="5"/>
  <c r="V37" i="5"/>
  <c r="T95" i="5"/>
  <c r="U37" i="5"/>
  <c r="T37" i="5"/>
  <c r="S95" i="5"/>
  <c r="S37" i="5"/>
  <c r="E4" i="6"/>
  <c r="AE75" i="6" l="1"/>
  <c r="AW214" i="6" s="1"/>
  <c r="AC75" i="6"/>
  <c r="Z75" i="6"/>
  <c r="Y75" i="6"/>
  <c r="AQ214" i="6" s="1"/>
  <c r="W75" i="6"/>
  <c r="U75" i="6"/>
  <c r="U7" i="6" s="1"/>
  <c r="S75" i="6"/>
  <c r="S7" i="6" s="1"/>
  <c r="Q75" i="6"/>
  <c r="Q7" i="6" s="1"/>
  <c r="R75" i="6"/>
  <c r="AJ214" i="6" s="1"/>
  <c r="O75" i="6"/>
  <c r="M75" i="6"/>
  <c r="M7" i="6" s="1"/>
  <c r="J75" i="6"/>
  <c r="AB214" i="6" s="1"/>
  <c r="I75" i="6"/>
  <c r="I83" i="6" s="1"/>
  <c r="H75" i="6"/>
  <c r="G75" i="6"/>
  <c r="Y214" i="6" s="1"/>
  <c r="E75" i="6"/>
  <c r="AI68" i="6"/>
  <c r="AI56" i="6"/>
  <c r="AH52" i="6"/>
  <c r="AH38" i="6"/>
  <c r="C75" i="6"/>
  <c r="C7" i="6" s="1"/>
  <c r="AF5" i="6"/>
  <c r="B75" i="6"/>
  <c r="B83" i="6" s="1"/>
  <c r="AI38" i="6"/>
  <c r="H4" i="6"/>
  <c r="AU214" i="6"/>
  <c r="AC83" i="6"/>
  <c r="AC7" i="6"/>
  <c r="AE7" i="6"/>
  <c r="AO214" i="6"/>
  <c r="W83" i="6"/>
  <c r="W7" i="6"/>
  <c r="AA214" i="6"/>
  <c r="I7" i="6"/>
  <c r="Y83" i="6"/>
  <c r="Y7" i="6"/>
  <c r="Z214" i="6"/>
  <c r="H7" i="6"/>
  <c r="H83" i="6"/>
  <c r="M83" i="6"/>
  <c r="AG214" i="6"/>
  <c r="O83" i="6"/>
  <c r="O7" i="6"/>
  <c r="AG6" i="6"/>
  <c r="W214" i="6"/>
  <c r="E83" i="6"/>
  <c r="AI52" i="6"/>
  <c r="D75" i="6"/>
  <c r="L75" i="6"/>
  <c r="T75" i="6"/>
  <c r="AB75" i="6"/>
  <c r="AG73" i="6"/>
  <c r="AG83" i="6" s="1"/>
  <c r="E7" i="6"/>
  <c r="S211" i="6"/>
  <c r="D211" i="6"/>
  <c r="AM214" i="6"/>
  <c r="U83" i="6"/>
  <c r="F75" i="6"/>
  <c r="N75" i="6"/>
  <c r="V75" i="6"/>
  <c r="AD75" i="6"/>
  <c r="K75" i="6"/>
  <c r="AA75" i="6"/>
  <c r="J83" i="6"/>
  <c r="AK214" i="6"/>
  <c r="S83" i="6"/>
  <c r="AR214" i="6"/>
  <c r="Z83" i="6"/>
  <c r="D192" i="6"/>
  <c r="E102" i="6"/>
  <c r="B5" i="6"/>
  <c r="P75" i="6"/>
  <c r="X75" i="6"/>
  <c r="AF75" i="6"/>
  <c r="AH56" i="6"/>
  <c r="J7" i="6"/>
  <c r="R7" i="6"/>
  <c r="Z7" i="6"/>
  <c r="AH68" i="6"/>
  <c r="E103" i="6"/>
  <c r="D93" i="6"/>
  <c r="G194" i="6"/>
  <c r="E195" i="6"/>
  <c r="F195" i="6" s="1"/>
  <c r="G195" i="6" s="1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B195" i="6" s="1"/>
  <c r="E199" i="6"/>
  <c r="AE83" i="6" l="1"/>
  <c r="R83" i="6"/>
  <c r="AI214" i="6"/>
  <c r="Q83" i="6"/>
  <c r="AE214" i="6"/>
  <c r="G7" i="6"/>
  <c r="G83" i="6"/>
  <c r="C209" i="6"/>
  <c r="T214" i="6"/>
  <c r="B7" i="6"/>
  <c r="C83" i="6"/>
  <c r="U214" i="6"/>
  <c r="AH75" i="6"/>
  <c r="E200" i="6"/>
  <c r="AT214" i="6"/>
  <c r="AB7" i="6"/>
  <c r="AB83" i="6"/>
  <c r="X214" i="6"/>
  <c r="F7" i="6"/>
  <c r="F83" i="6"/>
  <c r="H194" i="6"/>
  <c r="E192" i="6"/>
  <c r="F102" i="6"/>
  <c r="AD214" i="6"/>
  <c r="L83" i="6"/>
  <c r="L7" i="6"/>
  <c r="V214" i="6"/>
  <c r="D83" i="6"/>
  <c r="D7" i="6"/>
  <c r="AP214" i="6"/>
  <c r="X7" i="6"/>
  <c r="X83" i="6"/>
  <c r="F200" i="6"/>
  <c r="AL214" i="6"/>
  <c r="T7" i="6"/>
  <c r="T83" i="6"/>
  <c r="AN214" i="6"/>
  <c r="V7" i="6"/>
  <c r="V83" i="6"/>
  <c r="AH214" i="6"/>
  <c r="P83" i="6"/>
  <c r="P7" i="6"/>
  <c r="AF214" i="6"/>
  <c r="N83" i="6"/>
  <c r="N7" i="6"/>
  <c r="E93" i="6"/>
  <c r="F103" i="6"/>
  <c r="AS214" i="6"/>
  <c r="AA83" i="6"/>
  <c r="AA7" i="6"/>
  <c r="AC214" i="6"/>
  <c r="K83" i="6"/>
  <c r="K7" i="6"/>
  <c r="F199" i="6"/>
  <c r="D235" i="6"/>
  <c r="AX214" i="6"/>
  <c r="AF83" i="6"/>
  <c r="AF7" i="6"/>
  <c r="AV214" i="6"/>
  <c r="AD83" i="6"/>
  <c r="AD7" i="6"/>
  <c r="AI75" i="6"/>
  <c r="B209" i="6"/>
  <c r="K6" i="6" l="1"/>
  <c r="A7" i="6"/>
  <c r="F192" i="6"/>
  <c r="G102" i="6"/>
  <c r="E235" i="6"/>
  <c r="G199" i="6"/>
  <c r="AI83" i="6"/>
  <c r="I194" i="6"/>
  <c r="AH83" i="6"/>
  <c r="F93" i="6"/>
  <c r="G103" i="6"/>
  <c r="J194" i="6" l="1"/>
  <c r="H103" i="6"/>
  <c r="G93" i="6"/>
  <c r="G192" i="6"/>
  <c r="H102" i="6"/>
  <c r="F235" i="6"/>
  <c r="H199" i="6"/>
  <c r="G200" i="6"/>
  <c r="H192" i="6" l="1"/>
  <c r="I102" i="6"/>
  <c r="K194" i="6"/>
  <c r="H93" i="6"/>
  <c r="I103" i="6"/>
  <c r="G235" i="6"/>
  <c r="I199" i="6"/>
  <c r="H200" i="6"/>
  <c r="L194" i="6" l="1"/>
  <c r="H235" i="6"/>
  <c r="J199" i="6"/>
  <c r="I200" i="6"/>
  <c r="I93" i="6"/>
  <c r="J103" i="6"/>
  <c r="I192" i="6"/>
  <c r="J102" i="6"/>
  <c r="I235" i="6" l="1"/>
  <c r="K199" i="6"/>
  <c r="J200" i="6"/>
  <c r="M194" i="6"/>
  <c r="J93" i="6"/>
  <c r="K103" i="6"/>
  <c r="J192" i="6"/>
  <c r="K102" i="6"/>
  <c r="L103" i="6" l="1"/>
  <c r="K93" i="6"/>
  <c r="N194" i="6"/>
  <c r="J235" i="6"/>
  <c r="L199" i="6"/>
  <c r="K200" i="6"/>
  <c r="K192" i="6"/>
  <c r="L102" i="6"/>
  <c r="K235" i="6" l="1"/>
  <c r="M199" i="6"/>
  <c r="L200" i="6"/>
  <c r="O194" i="6"/>
  <c r="L192" i="6"/>
  <c r="M102" i="6"/>
  <c r="M103" i="6"/>
  <c r="L93" i="6"/>
  <c r="M192" i="6" l="1"/>
  <c r="N102" i="6"/>
  <c r="P194" i="6"/>
  <c r="N199" i="6"/>
  <c r="L235" i="6"/>
  <c r="M200" i="6"/>
  <c r="N103" i="6"/>
  <c r="M93" i="6"/>
  <c r="O103" i="6" l="1"/>
  <c r="N93" i="6"/>
  <c r="M235" i="6"/>
  <c r="O199" i="6"/>
  <c r="N200" i="6"/>
  <c r="Q194" i="6"/>
  <c r="N192" i="6"/>
  <c r="O102" i="6"/>
  <c r="R194" i="6" l="1"/>
  <c r="N235" i="6"/>
  <c r="P199" i="6"/>
  <c r="O200" i="6"/>
  <c r="O192" i="6"/>
  <c r="P102" i="6"/>
  <c r="P103" i="6"/>
  <c r="O93" i="6"/>
  <c r="P93" i="6" l="1"/>
  <c r="Q103" i="6"/>
  <c r="P192" i="6"/>
  <c r="Q102" i="6"/>
  <c r="O235" i="6"/>
  <c r="Q199" i="6"/>
  <c r="P200" i="6"/>
  <c r="S194" i="6"/>
  <c r="P235" i="6" l="1"/>
  <c r="R199" i="6"/>
  <c r="Q200" i="6"/>
  <c r="Q192" i="6"/>
  <c r="R102" i="6"/>
  <c r="Q93" i="6"/>
  <c r="R103" i="6"/>
  <c r="T194" i="6"/>
  <c r="R93" i="6" l="1"/>
  <c r="S103" i="6"/>
  <c r="R192" i="6"/>
  <c r="S102" i="6"/>
  <c r="Q235" i="6"/>
  <c r="S199" i="6"/>
  <c r="R200" i="6"/>
  <c r="U194" i="6"/>
  <c r="R235" i="6" l="1"/>
  <c r="T199" i="6"/>
  <c r="S200" i="6"/>
  <c r="V194" i="6"/>
  <c r="S192" i="6"/>
  <c r="T102" i="6"/>
  <c r="S93" i="6"/>
  <c r="T103" i="6"/>
  <c r="W194" i="6" l="1"/>
  <c r="S235" i="6"/>
  <c r="U199" i="6"/>
  <c r="T200" i="6"/>
  <c r="T192" i="6"/>
  <c r="U102" i="6"/>
  <c r="U103" i="6"/>
  <c r="T93" i="6"/>
  <c r="U192" i="6" l="1"/>
  <c r="V102" i="6"/>
  <c r="V199" i="6"/>
  <c r="T235" i="6"/>
  <c r="U200" i="6"/>
  <c r="U93" i="6"/>
  <c r="V103" i="6"/>
  <c r="X194" i="6"/>
  <c r="U235" i="6" l="1"/>
  <c r="W199" i="6"/>
  <c r="V200" i="6"/>
  <c r="Y194" i="6"/>
  <c r="W103" i="6"/>
  <c r="V93" i="6"/>
  <c r="V192" i="6"/>
  <c r="W102" i="6"/>
  <c r="X103" i="6" l="1"/>
  <c r="W93" i="6"/>
  <c r="Z194" i="6"/>
  <c r="V235" i="6"/>
  <c r="X199" i="6"/>
  <c r="W200" i="6"/>
  <c r="W192" i="6"/>
  <c r="X102" i="6"/>
  <c r="W235" i="6" l="1"/>
  <c r="Y199" i="6"/>
  <c r="X200" i="6"/>
  <c r="AA194" i="6"/>
  <c r="X192" i="6"/>
  <c r="Y102" i="6"/>
  <c r="Y103" i="6"/>
  <c r="X93" i="6"/>
  <c r="Z103" i="6" l="1"/>
  <c r="Y93" i="6"/>
  <c r="Y192" i="6"/>
  <c r="Z102" i="6"/>
  <c r="AB194" i="6"/>
  <c r="X235" i="6"/>
  <c r="Z199" i="6"/>
  <c r="Y200" i="6"/>
  <c r="Y235" i="6" l="1"/>
  <c r="AA199" i="6"/>
  <c r="Z200" i="6"/>
  <c r="AC194" i="6"/>
  <c r="Z192" i="6"/>
  <c r="AA102" i="6"/>
  <c r="Z93" i="6"/>
  <c r="AA103" i="6"/>
  <c r="AA192" i="6" l="1"/>
  <c r="AB102" i="6"/>
  <c r="AD194" i="6"/>
  <c r="Z235" i="6"/>
  <c r="AB199" i="6"/>
  <c r="AA200" i="6"/>
  <c r="AA93" i="6"/>
  <c r="AB103" i="6"/>
  <c r="AA235" i="6" l="1"/>
  <c r="AC199" i="6"/>
  <c r="AB200" i="6"/>
  <c r="AE194" i="6"/>
  <c r="AB192" i="6"/>
  <c r="AC102" i="6"/>
  <c r="AC103" i="6"/>
  <c r="AB93" i="6"/>
  <c r="AC192" i="6" l="1"/>
  <c r="AD102" i="6"/>
  <c r="AF194" i="6"/>
  <c r="AC93" i="6"/>
  <c r="AD103" i="6"/>
  <c r="AD199" i="6"/>
  <c r="AB235" i="6"/>
  <c r="AC200" i="6"/>
  <c r="AE103" i="6" l="1"/>
  <c r="AD93" i="6"/>
  <c r="AC235" i="6"/>
  <c r="AE199" i="6"/>
  <c r="AD200" i="6"/>
  <c r="B194" i="6"/>
  <c r="AD192" i="6"/>
  <c r="AE102" i="6"/>
  <c r="AD235" i="6" l="1"/>
  <c r="AF199" i="6"/>
  <c r="AE200" i="6"/>
  <c r="AE192" i="6"/>
  <c r="AF102" i="6"/>
  <c r="AF103" i="6"/>
  <c r="AE93" i="6"/>
  <c r="B103" i="6" l="1"/>
  <c r="AF93" i="6"/>
  <c r="AF192" i="6"/>
  <c r="B102" i="6"/>
  <c r="B192" i="6" s="1"/>
  <c r="AE235" i="6"/>
  <c r="B199" i="6"/>
  <c r="AF200" i="6"/>
  <c r="AF235" i="6" l="1"/>
  <c r="B200" i="6"/>
  <c r="AH93" i="6"/>
  <c r="AI93" i="6"/>
  <c r="B93" i="6"/>
  <c r="M38" i="5" l="1"/>
  <c r="M37" i="5"/>
  <c r="L37" i="5"/>
  <c r="K37" i="5"/>
  <c r="J37" i="5"/>
  <c r="I37" i="5"/>
  <c r="H37" i="5"/>
  <c r="G37" i="5"/>
  <c r="F37" i="5"/>
  <c r="E37" i="5"/>
  <c r="D95" i="5"/>
  <c r="AH95" i="5" s="1"/>
  <c r="AI95" i="5" s="1"/>
  <c r="D37" i="5"/>
  <c r="C95" i="5"/>
  <c r="C37" i="5"/>
  <c r="B95" i="5"/>
  <c r="B37" i="5"/>
  <c r="B93" i="5"/>
  <c r="B68" i="5"/>
  <c r="B56" i="5"/>
  <c r="B52" i="5"/>
  <c r="B38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C235" i="5"/>
  <c r="B235" i="5"/>
  <c r="S210" i="5"/>
  <c r="AG200" i="5"/>
  <c r="C200" i="5"/>
  <c r="F199" i="5"/>
  <c r="G199" i="5" s="1"/>
  <c r="E199" i="5"/>
  <c r="D235" i="5" s="1"/>
  <c r="D199" i="5"/>
  <c r="E198" i="5"/>
  <c r="F198" i="5" s="1"/>
  <c r="G198" i="5" s="1"/>
  <c r="H198" i="5" s="1"/>
  <c r="I198" i="5" s="1"/>
  <c r="J198" i="5" s="1"/>
  <c r="K198" i="5" s="1"/>
  <c r="L198" i="5" s="1"/>
  <c r="M198" i="5" s="1"/>
  <c r="N198" i="5" s="1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B198" i="5" s="1"/>
  <c r="D198" i="5"/>
  <c r="D197" i="5"/>
  <c r="E197" i="5" s="1"/>
  <c r="F197" i="5" s="1"/>
  <c r="G197" i="5" s="1"/>
  <c r="H197" i="5" s="1"/>
  <c r="I197" i="5" s="1"/>
  <c r="J197" i="5" s="1"/>
  <c r="K197" i="5" s="1"/>
  <c r="L197" i="5" s="1"/>
  <c r="M197" i="5" s="1"/>
  <c r="N197" i="5" s="1"/>
  <c r="O197" i="5" s="1"/>
  <c r="P197" i="5" s="1"/>
  <c r="Q197" i="5" s="1"/>
  <c r="R197" i="5" s="1"/>
  <c r="S197" i="5" s="1"/>
  <c r="T197" i="5" s="1"/>
  <c r="U197" i="5" s="1"/>
  <c r="V197" i="5" s="1"/>
  <c r="W197" i="5" s="1"/>
  <c r="X197" i="5" s="1"/>
  <c r="Y197" i="5" s="1"/>
  <c r="Z197" i="5" s="1"/>
  <c r="AA197" i="5" s="1"/>
  <c r="AB197" i="5" s="1"/>
  <c r="AC197" i="5" s="1"/>
  <c r="AD197" i="5" s="1"/>
  <c r="AE197" i="5" s="1"/>
  <c r="AF197" i="5" s="1"/>
  <c r="B197" i="5"/>
  <c r="E196" i="5"/>
  <c r="F196" i="5" s="1"/>
  <c r="G196" i="5" s="1"/>
  <c r="H196" i="5" s="1"/>
  <c r="I196" i="5" s="1"/>
  <c r="J196" i="5" s="1"/>
  <c r="K196" i="5" s="1"/>
  <c r="L196" i="5" s="1"/>
  <c r="M196" i="5" s="1"/>
  <c r="N196" i="5" s="1"/>
  <c r="O196" i="5" s="1"/>
  <c r="P196" i="5" s="1"/>
  <c r="Q196" i="5" s="1"/>
  <c r="R196" i="5" s="1"/>
  <c r="S196" i="5" s="1"/>
  <c r="T196" i="5" s="1"/>
  <c r="U196" i="5" s="1"/>
  <c r="V196" i="5" s="1"/>
  <c r="W196" i="5" s="1"/>
  <c r="X196" i="5" s="1"/>
  <c r="Y196" i="5" s="1"/>
  <c r="Z196" i="5" s="1"/>
  <c r="AA196" i="5" s="1"/>
  <c r="AB196" i="5" s="1"/>
  <c r="AC196" i="5" s="1"/>
  <c r="AD196" i="5" s="1"/>
  <c r="AE196" i="5" s="1"/>
  <c r="AF196" i="5" s="1"/>
  <c r="B196" i="5" s="1"/>
  <c r="D196" i="5"/>
  <c r="E195" i="5"/>
  <c r="F195" i="5" s="1"/>
  <c r="G195" i="5" s="1"/>
  <c r="H195" i="5" s="1"/>
  <c r="I195" i="5" s="1"/>
  <c r="J195" i="5" s="1"/>
  <c r="K195" i="5" s="1"/>
  <c r="L195" i="5" s="1"/>
  <c r="M195" i="5" s="1"/>
  <c r="N195" i="5" s="1"/>
  <c r="O195" i="5" s="1"/>
  <c r="P195" i="5" s="1"/>
  <c r="Q195" i="5" s="1"/>
  <c r="R195" i="5" s="1"/>
  <c r="S195" i="5" s="1"/>
  <c r="T195" i="5" s="1"/>
  <c r="U195" i="5" s="1"/>
  <c r="V195" i="5" s="1"/>
  <c r="W195" i="5" s="1"/>
  <c r="X195" i="5" s="1"/>
  <c r="Y195" i="5" s="1"/>
  <c r="Z195" i="5" s="1"/>
  <c r="AA195" i="5" s="1"/>
  <c r="AB195" i="5" s="1"/>
  <c r="AC195" i="5" s="1"/>
  <c r="AD195" i="5" s="1"/>
  <c r="AE195" i="5" s="1"/>
  <c r="AF195" i="5" s="1"/>
  <c r="B195" i="5" s="1"/>
  <c r="D195" i="5"/>
  <c r="D194" i="5"/>
  <c r="D200" i="5" s="1"/>
  <c r="AG192" i="5"/>
  <c r="C192" i="5"/>
  <c r="D191" i="5"/>
  <c r="E191" i="5" s="1"/>
  <c r="F191" i="5" s="1"/>
  <c r="G191" i="5" s="1"/>
  <c r="H191" i="5" s="1"/>
  <c r="I191" i="5" s="1"/>
  <c r="J191" i="5" s="1"/>
  <c r="K191" i="5" s="1"/>
  <c r="L191" i="5" s="1"/>
  <c r="M191" i="5" s="1"/>
  <c r="N191" i="5" s="1"/>
  <c r="O191" i="5" s="1"/>
  <c r="P191" i="5" s="1"/>
  <c r="Q191" i="5" s="1"/>
  <c r="R191" i="5" s="1"/>
  <c r="S191" i="5" s="1"/>
  <c r="T191" i="5" s="1"/>
  <c r="U191" i="5" s="1"/>
  <c r="V191" i="5" s="1"/>
  <c r="W191" i="5" s="1"/>
  <c r="X191" i="5" s="1"/>
  <c r="Y191" i="5" s="1"/>
  <c r="Z191" i="5" s="1"/>
  <c r="AA191" i="5" s="1"/>
  <c r="AB191" i="5" s="1"/>
  <c r="AC191" i="5" s="1"/>
  <c r="AD191" i="5" s="1"/>
  <c r="AE191" i="5" s="1"/>
  <c r="AF191" i="5" s="1"/>
  <c r="B191" i="5" s="1"/>
  <c r="E190" i="5"/>
  <c r="F190" i="5" s="1"/>
  <c r="G190" i="5" s="1"/>
  <c r="H190" i="5" s="1"/>
  <c r="I190" i="5" s="1"/>
  <c r="J190" i="5" s="1"/>
  <c r="K190" i="5" s="1"/>
  <c r="L190" i="5" s="1"/>
  <c r="M190" i="5" s="1"/>
  <c r="N190" i="5" s="1"/>
  <c r="O190" i="5" s="1"/>
  <c r="P190" i="5" s="1"/>
  <c r="Q190" i="5" s="1"/>
  <c r="R190" i="5" s="1"/>
  <c r="S190" i="5" s="1"/>
  <c r="T190" i="5" s="1"/>
  <c r="U190" i="5" s="1"/>
  <c r="V190" i="5" s="1"/>
  <c r="W190" i="5" s="1"/>
  <c r="X190" i="5" s="1"/>
  <c r="Y190" i="5" s="1"/>
  <c r="Z190" i="5" s="1"/>
  <c r="AA190" i="5" s="1"/>
  <c r="AB190" i="5" s="1"/>
  <c r="AC190" i="5" s="1"/>
  <c r="AD190" i="5" s="1"/>
  <c r="AE190" i="5" s="1"/>
  <c r="AF190" i="5" s="1"/>
  <c r="B190" i="5" s="1"/>
  <c r="D190" i="5"/>
  <c r="E189" i="5"/>
  <c r="F189" i="5" s="1"/>
  <c r="G189" i="5" s="1"/>
  <c r="H189" i="5" s="1"/>
  <c r="I189" i="5" s="1"/>
  <c r="J189" i="5" s="1"/>
  <c r="K189" i="5" s="1"/>
  <c r="L189" i="5" s="1"/>
  <c r="M189" i="5" s="1"/>
  <c r="N189" i="5" s="1"/>
  <c r="O189" i="5" s="1"/>
  <c r="P189" i="5" s="1"/>
  <c r="Q189" i="5" s="1"/>
  <c r="R189" i="5" s="1"/>
  <c r="S189" i="5" s="1"/>
  <c r="T189" i="5" s="1"/>
  <c r="U189" i="5" s="1"/>
  <c r="V189" i="5" s="1"/>
  <c r="W189" i="5" s="1"/>
  <c r="X189" i="5" s="1"/>
  <c r="Y189" i="5" s="1"/>
  <c r="Z189" i="5" s="1"/>
  <c r="AA189" i="5" s="1"/>
  <c r="AB189" i="5" s="1"/>
  <c r="AC189" i="5" s="1"/>
  <c r="AD189" i="5" s="1"/>
  <c r="AE189" i="5" s="1"/>
  <c r="AF189" i="5" s="1"/>
  <c r="B189" i="5" s="1"/>
  <c r="D189" i="5"/>
  <c r="D188" i="5"/>
  <c r="E188" i="5" s="1"/>
  <c r="F188" i="5" s="1"/>
  <c r="G188" i="5" s="1"/>
  <c r="H188" i="5" s="1"/>
  <c r="I188" i="5" s="1"/>
  <c r="J188" i="5" s="1"/>
  <c r="K188" i="5" s="1"/>
  <c r="L188" i="5" s="1"/>
  <c r="M188" i="5" s="1"/>
  <c r="N188" i="5" s="1"/>
  <c r="O188" i="5" s="1"/>
  <c r="P188" i="5" s="1"/>
  <c r="Q188" i="5" s="1"/>
  <c r="R188" i="5" s="1"/>
  <c r="S188" i="5" s="1"/>
  <c r="T188" i="5" s="1"/>
  <c r="U188" i="5" s="1"/>
  <c r="V188" i="5" s="1"/>
  <c r="W188" i="5" s="1"/>
  <c r="X188" i="5" s="1"/>
  <c r="Y188" i="5" s="1"/>
  <c r="Z188" i="5" s="1"/>
  <c r="AA188" i="5" s="1"/>
  <c r="AB188" i="5" s="1"/>
  <c r="AC188" i="5" s="1"/>
  <c r="AD188" i="5" s="1"/>
  <c r="AE188" i="5" s="1"/>
  <c r="AF188" i="5" s="1"/>
  <c r="B188" i="5" s="1"/>
  <c r="D187" i="5"/>
  <c r="E187" i="5" s="1"/>
  <c r="F187" i="5" s="1"/>
  <c r="G187" i="5" s="1"/>
  <c r="H187" i="5" s="1"/>
  <c r="I187" i="5" s="1"/>
  <c r="J187" i="5" s="1"/>
  <c r="K187" i="5" s="1"/>
  <c r="L187" i="5" s="1"/>
  <c r="M187" i="5" s="1"/>
  <c r="N187" i="5" s="1"/>
  <c r="O187" i="5" s="1"/>
  <c r="P187" i="5" s="1"/>
  <c r="Q187" i="5" s="1"/>
  <c r="R187" i="5" s="1"/>
  <c r="S187" i="5" s="1"/>
  <c r="T187" i="5" s="1"/>
  <c r="U187" i="5" s="1"/>
  <c r="V187" i="5" s="1"/>
  <c r="W187" i="5" s="1"/>
  <c r="X187" i="5" s="1"/>
  <c r="Y187" i="5" s="1"/>
  <c r="Z187" i="5" s="1"/>
  <c r="AA187" i="5" s="1"/>
  <c r="AB187" i="5" s="1"/>
  <c r="AC187" i="5" s="1"/>
  <c r="AD187" i="5" s="1"/>
  <c r="AE187" i="5" s="1"/>
  <c r="AF187" i="5" s="1"/>
  <c r="B187" i="5" s="1"/>
  <c r="X186" i="5"/>
  <c r="Y186" i="5" s="1"/>
  <c r="Z186" i="5" s="1"/>
  <c r="AA186" i="5" s="1"/>
  <c r="AB186" i="5" s="1"/>
  <c r="AC186" i="5" s="1"/>
  <c r="AD186" i="5" s="1"/>
  <c r="AE186" i="5" s="1"/>
  <c r="AF186" i="5" s="1"/>
  <c r="B186" i="5" s="1"/>
  <c r="G186" i="5"/>
  <c r="H186" i="5" s="1"/>
  <c r="I186" i="5" s="1"/>
  <c r="J186" i="5" s="1"/>
  <c r="K186" i="5" s="1"/>
  <c r="L186" i="5" s="1"/>
  <c r="M186" i="5" s="1"/>
  <c r="N186" i="5" s="1"/>
  <c r="O186" i="5" s="1"/>
  <c r="P186" i="5" s="1"/>
  <c r="Q186" i="5" s="1"/>
  <c r="R186" i="5" s="1"/>
  <c r="S186" i="5" s="1"/>
  <c r="T186" i="5" s="1"/>
  <c r="U186" i="5" s="1"/>
  <c r="V186" i="5" s="1"/>
  <c r="W186" i="5" s="1"/>
  <c r="E186" i="5"/>
  <c r="F186" i="5" s="1"/>
  <c r="D186" i="5"/>
  <c r="F185" i="5"/>
  <c r="G185" i="5" s="1"/>
  <c r="H185" i="5" s="1"/>
  <c r="I185" i="5" s="1"/>
  <c r="J185" i="5" s="1"/>
  <c r="K185" i="5" s="1"/>
  <c r="L185" i="5" s="1"/>
  <c r="M185" i="5" s="1"/>
  <c r="N185" i="5" s="1"/>
  <c r="O185" i="5" s="1"/>
  <c r="P185" i="5" s="1"/>
  <c r="Q185" i="5" s="1"/>
  <c r="R185" i="5" s="1"/>
  <c r="S185" i="5" s="1"/>
  <c r="T185" i="5" s="1"/>
  <c r="U185" i="5" s="1"/>
  <c r="V185" i="5" s="1"/>
  <c r="W185" i="5" s="1"/>
  <c r="X185" i="5" s="1"/>
  <c r="Y185" i="5" s="1"/>
  <c r="Z185" i="5" s="1"/>
  <c r="AA185" i="5" s="1"/>
  <c r="AB185" i="5" s="1"/>
  <c r="AC185" i="5" s="1"/>
  <c r="AD185" i="5" s="1"/>
  <c r="AE185" i="5" s="1"/>
  <c r="AF185" i="5" s="1"/>
  <c r="B185" i="5" s="1"/>
  <c r="E185" i="5"/>
  <c r="D185" i="5"/>
  <c r="E184" i="5"/>
  <c r="F184" i="5" s="1"/>
  <c r="G184" i="5" s="1"/>
  <c r="H184" i="5" s="1"/>
  <c r="I184" i="5" s="1"/>
  <c r="J184" i="5" s="1"/>
  <c r="K184" i="5" s="1"/>
  <c r="L184" i="5" s="1"/>
  <c r="M184" i="5" s="1"/>
  <c r="N184" i="5" s="1"/>
  <c r="O184" i="5" s="1"/>
  <c r="P184" i="5" s="1"/>
  <c r="Q184" i="5" s="1"/>
  <c r="R184" i="5" s="1"/>
  <c r="S184" i="5" s="1"/>
  <c r="T184" i="5" s="1"/>
  <c r="U184" i="5" s="1"/>
  <c r="V184" i="5" s="1"/>
  <c r="W184" i="5" s="1"/>
  <c r="X184" i="5" s="1"/>
  <c r="Y184" i="5" s="1"/>
  <c r="Z184" i="5" s="1"/>
  <c r="AA184" i="5" s="1"/>
  <c r="AB184" i="5" s="1"/>
  <c r="AC184" i="5" s="1"/>
  <c r="AD184" i="5" s="1"/>
  <c r="AE184" i="5" s="1"/>
  <c r="AF184" i="5" s="1"/>
  <c r="B184" i="5" s="1"/>
  <c r="D184" i="5"/>
  <c r="D183" i="5"/>
  <c r="E183" i="5" s="1"/>
  <c r="F183" i="5" s="1"/>
  <c r="G183" i="5" s="1"/>
  <c r="H183" i="5" s="1"/>
  <c r="I183" i="5" s="1"/>
  <c r="J183" i="5" s="1"/>
  <c r="K183" i="5" s="1"/>
  <c r="L183" i="5" s="1"/>
  <c r="M183" i="5" s="1"/>
  <c r="N183" i="5" s="1"/>
  <c r="O183" i="5" s="1"/>
  <c r="P183" i="5" s="1"/>
  <c r="Q183" i="5" s="1"/>
  <c r="R183" i="5" s="1"/>
  <c r="S183" i="5" s="1"/>
  <c r="T183" i="5" s="1"/>
  <c r="U183" i="5" s="1"/>
  <c r="V183" i="5" s="1"/>
  <c r="W183" i="5" s="1"/>
  <c r="X183" i="5" s="1"/>
  <c r="Y183" i="5" s="1"/>
  <c r="Z183" i="5" s="1"/>
  <c r="AA183" i="5" s="1"/>
  <c r="AB183" i="5" s="1"/>
  <c r="AC183" i="5" s="1"/>
  <c r="AD183" i="5" s="1"/>
  <c r="AE183" i="5" s="1"/>
  <c r="AF183" i="5" s="1"/>
  <c r="B183" i="5" s="1"/>
  <c r="E182" i="5"/>
  <c r="F182" i="5" s="1"/>
  <c r="G182" i="5" s="1"/>
  <c r="H182" i="5" s="1"/>
  <c r="I182" i="5" s="1"/>
  <c r="J182" i="5" s="1"/>
  <c r="K182" i="5" s="1"/>
  <c r="L182" i="5" s="1"/>
  <c r="M182" i="5" s="1"/>
  <c r="N182" i="5" s="1"/>
  <c r="O182" i="5" s="1"/>
  <c r="P182" i="5" s="1"/>
  <c r="Q182" i="5" s="1"/>
  <c r="R182" i="5" s="1"/>
  <c r="S182" i="5" s="1"/>
  <c r="T182" i="5" s="1"/>
  <c r="U182" i="5" s="1"/>
  <c r="V182" i="5" s="1"/>
  <c r="W182" i="5" s="1"/>
  <c r="X182" i="5" s="1"/>
  <c r="Y182" i="5" s="1"/>
  <c r="Z182" i="5" s="1"/>
  <c r="AA182" i="5" s="1"/>
  <c r="AB182" i="5" s="1"/>
  <c r="AC182" i="5" s="1"/>
  <c r="AD182" i="5" s="1"/>
  <c r="AE182" i="5" s="1"/>
  <c r="AF182" i="5" s="1"/>
  <c r="B182" i="5" s="1"/>
  <c r="D182" i="5"/>
  <c r="E181" i="5"/>
  <c r="F181" i="5" s="1"/>
  <c r="G181" i="5" s="1"/>
  <c r="H181" i="5" s="1"/>
  <c r="I181" i="5" s="1"/>
  <c r="J181" i="5" s="1"/>
  <c r="K181" i="5" s="1"/>
  <c r="L181" i="5" s="1"/>
  <c r="M181" i="5" s="1"/>
  <c r="N181" i="5" s="1"/>
  <c r="O181" i="5" s="1"/>
  <c r="P181" i="5" s="1"/>
  <c r="Q181" i="5" s="1"/>
  <c r="R181" i="5" s="1"/>
  <c r="S181" i="5" s="1"/>
  <c r="T181" i="5" s="1"/>
  <c r="U181" i="5" s="1"/>
  <c r="V181" i="5" s="1"/>
  <c r="W181" i="5" s="1"/>
  <c r="X181" i="5" s="1"/>
  <c r="Y181" i="5" s="1"/>
  <c r="Z181" i="5" s="1"/>
  <c r="AA181" i="5" s="1"/>
  <c r="AB181" i="5" s="1"/>
  <c r="AC181" i="5" s="1"/>
  <c r="AD181" i="5" s="1"/>
  <c r="AE181" i="5" s="1"/>
  <c r="AF181" i="5" s="1"/>
  <c r="B181" i="5" s="1"/>
  <c r="D181" i="5"/>
  <c r="D180" i="5"/>
  <c r="E180" i="5" s="1"/>
  <c r="F180" i="5" s="1"/>
  <c r="G180" i="5" s="1"/>
  <c r="H180" i="5" s="1"/>
  <c r="I180" i="5" s="1"/>
  <c r="J180" i="5" s="1"/>
  <c r="K180" i="5" s="1"/>
  <c r="L180" i="5" s="1"/>
  <c r="M180" i="5" s="1"/>
  <c r="N180" i="5" s="1"/>
  <c r="O180" i="5" s="1"/>
  <c r="P180" i="5" s="1"/>
  <c r="Q180" i="5" s="1"/>
  <c r="R180" i="5" s="1"/>
  <c r="S180" i="5" s="1"/>
  <c r="T180" i="5" s="1"/>
  <c r="U180" i="5" s="1"/>
  <c r="V180" i="5" s="1"/>
  <c r="W180" i="5" s="1"/>
  <c r="X180" i="5" s="1"/>
  <c r="Y180" i="5" s="1"/>
  <c r="Z180" i="5" s="1"/>
  <c r="AA180" i="5" s="1"/>
  <c r="AB180" i="5" s="1"/>
  <c r="AC180" i="5" s="1"/>
  <c r="AD180" i="5" s="1"/>
  <c r="AE180" i="5" s="1"/>
  <c r="AF180" i="5" s="1"/>
  <c r="B180" i="5" s="1"/>
  <c r="D179" i="5"/>
  <c r="E179" i="5" s="1"/>
  <c r="F179" i="5" s="1"/>
  <c r="G179" i="5" s="1"/>
  <c r="H179" i="5" s="1"/>
  <c r="I179" i="5" s="1"/>
  <c r="J179" i="5" s="1"/>
  <c r="K179" i="5" s="1"/>
  <c r="L179" i="5" s="1"/>
  <c r="M179" i="5" s="1"/>
  <c r="N179" i="5" s="1"/>
  <c r="O179" i="5" s="1"/>
  <c r="P179" i="5" s="1"/>
  <c r="Q179" i="5" s="1"/>
  <c r="R179" i="5" s="1"/>
  <c r="S179" i="5" s="1"/>
  <c r="T179" i="5" s="1"/>
  <c r="U179" i="5" s="1"/>
  <c r="V179" i="5" s="1"/>
  <c r="W179" i="5" s="1"/>
  <c r="X179" i="5" s="1"/>
  <c r="Y179" i="5" s="1"/>
  <c r="Z179" i="5" s="1"/>
  <c r="AA179" i="5" s="1"/>
  <c r="AB179" i="5" s="1"/>
  <c r="AC179" i="5" s="1"/>
  <c r="AD179" i="5" s="1"/>
  <c r="AE179" i="5" s="1"/>
  <c r="AF179" i="5" s="1"/>
  <c r="B179" i="5" s="1"/>
  <c r="F177" i="5"/>
  <c r="G177" i="5" s="1"/>
  <c r="H177" i="5" s="1"/>
  <c r="I177" i="5" s="1"/>
  <c r="J177" i="5" s="1"/>
  <c r="K177" i="5" s="1"/>
  <c r="L177" i="5" s="1"/>
  <c r="M177" i="5" s="1"/>
  <c r="N177" i="5" s="1"/>
  <c r="O177" i="5" s="1"/>
  <c r="P177" i="5" s="1"/>
  <c r="Q177" i="5" s="1"/>
  <c r="R177" i="5" s="1"/>
  <c r="S177" i="5" s="1"/>
  <c r="T177" i="5" s="1"/>
  <c r="U177" i="5" s="1"/>
  <c r="V177" i="5" s="1"/>
  <c r="W177" i="5" s="1"/>
  <c r="X177" i="5" s="1"/>
  <c r="Y177" i="5" s="1"/>
  <c r="Z177" i="5" s="1"/>
  <c r="AA177" i="5" s="1"/>
  <c r="AB177" i="5" s="1"/>
  <c r="AC177" i="5" s="1"/>
  <c r="AD177" i="5" s="1"/>
  <c r="AE177" i="5" s="1"/>
  <c r="AF177" i="5" s="1"/>
  <c r="B177" i="5" s="1"/>
  <c r="E177" i="5"/>
  <c r="D177" i="5"/>
  <c r="G176" i="5"/>
  <c r="H176" i="5" s="1"/>
  <c r="I176" i="5" s="1"/>
  <c r="J176" i="5" s="1"/>
  <c r="K176" i="5" s="1"/>
  <c r="L176" i="5" s="1"/>
  <c r="M176" i="5" s="1"/>
  <c r="N176" i="5" s="1"/>
  <c r="O176" i="5" s="1"/>
  <c r="P176" i="5" s="1"/>
  <c r="Q176" i="5" s="1"/>
  <c r="R176" i="5" s="1"/>
  <c r="S176" i="5" s="1"/>
  <c r="T176" i="5" s="1"/>
  <c r="U176" i="5" s="1"/>
  <c r="V176" i="5" s="1"/>
  <c r="W176" i="5" s="1"/>
  <c r="X176" i="5" s="1"/>
  <c r="Y176" i="5" s="1"/>
  <c r="Z176" i="5" s="1"/>
  <c r="AA176" i="5" s="1"/>
  <c r="AB176" i="5" s="1"/>
  <c r="AC176" i="5" s="1"/>
  <c r="AD176" i="5" s="1"/>
  <c r="AE176" i="5" s="1"/>
  <c r="AF176" i="5" s="1"/>
  <c r="B176" i="5" s="1"/>
  <c r="D176" i="5"/>
  <c r="E176" i="5" s="1"/>
  <c r="F176" i="5" s="1"/>
  <c r="E175" i="5"/>
  <c r="F175" i="5" s="1"/>
  <c r="G175" i="5" s="1"/>
  <c r="H175" i="5" s="1"/>
  <c r="I175" i="5" s="1"/>
  <c r="J175" i="5" s="1"/>
  <c r="K175" i="5" s="1"/>
  <c r="L175" i="5" s="1"/>
  <c r="M175" i="5" s="1"/>
  <c r="N175" i="5" s="1"/>
  <c r="O175" i="5" s="1"/>
  <c r="P175" i="5" s="1"/>
  <c r="Q175" i="5" s="1"/>
  <c r="R175" i="5" s="1"/>
  <c r="S175" i="5" s="1"/>
  <c r="T175" i="5" s="1"/>
  <c r="U175" i="5" s="1"/>
  <c r="V175" i="5" s="1"/>
  <c r="W175" i="5" s="1"/>
  <c r="X175" i="5" s="1"/>
  <c r="Y175" i="5" s="1"/>
  <c r="Z175" i="5" s="1"/>
  <c r="AA175" i="5" s="1"/>
  <c r="AB175" i="5" s="1"/>
  <c r="AC175" i="5" s="1"/>
  <c r="AD175" i="5" s="1"/>
  <c r="AE175" i="5" s="1"/>
  <c r="AF175" i="5" s="1"/>
  <c r="B175" i="5" s="1"/>
  <c r="D175" i="5"/>
  <c r="S174" i="5"/>
  <c r="T174" i="5" s="1"/>
  <c r="U174" i="5" s="1"/>
  <c r="V174" i="5" s="1"/>
  <c r="W174" i="5" s="1"/>
  <c r="X174" i="5" s="1"/>
  <c r="Y174" i="5" s="1"/>
  <c r="Z174" i="5" s="1"/>
  <c r="AA174" i="5" s="1"/>
  <c r="AB174" i="5" s="1"/>
  <c r="AC174" i="5" s="1"/>
  <c r="AD174" i="5" s="1"/>
  <c r="AE174" i="5" s="1"/>
  <c r="AF174" i="5" s="1"/>
  <c r="B174" i="5" s="1"/>
  <c r="D174" i="5"/>
  <c r="E174" i="5" s="1"/>
  <c r="F174" i="5" s="1"/>
  <c r="G174" i="5" s="1"/>
  <c r="H174" i="5" s="1"/>
  <c r="I174" i="5" s="1"/>
  <c r="J174" i="5" s="1"/>
  <c r="K174" i="5" s="1"/>
  <c r="L174" i="5" s="1"/>
  <c r="M174" i="5" s="1"/>
  <c r="N174" i="5" s="1"/>
  <c r="O174" i="5" s="1"/>
  <c r="P174" i="5" s="1"/>
  <c r="Q174" i="5" s="1"/>
  <c r="R174" i="5" s="1"/>
  <c r="K173" i="5"/>
  <c r="L173" i="5" s="1"/>
  <c r="M173" i="5" s="1"/>
  <c r="N173" i="5" s="1"/>
  <c r="O173" i="5" s="1"/>
  <c r="P173" i="5" s="1"/>
  <c r="Q173" i="5" s="1"/>
  <c r="R173" i="5" s="1"/>
  <c r="S173" i="5" s="1"/>
  <c r="T173" i="5" s="1"/>
  <c r="U173" i="5" s="1"/>
  <c r="V173" i="5" s="1"/>
  <c r="W173" i="5" s="1"/>
  <c r="X173" i="5" s="1"/>
  <c r="Y173" i="5" s="1"/>
  <c r="Z173" i="5" s="1"/>
  <c r="AA173" i="5" s="1"/>
  <c r="AB173" i="5" s="1"/>
  <c r="AC173" i="5" s="1"/>
  <c r="AD173" i="5" s="1"/>
  <c r="AE173" i="5" s="1"/>
  <c r="AF173" i="5" s="1"/>
  <c r="B173" i="5" s="1"/>
  <c r="F173" i="5"/>
  <c r="G173" i="5" s="1"/>
  <c r="H173" i="5" s="1"/>
  <c r="I173" i="5" s="1"/>
  <c r="J173" i="5" s="1"/>
  <c r="E173" i="5"/>
  <c r="D173" i="5"/>
  <c r="W172" i="5"/>
  <c r="X172" i="5" s="1"/>
  <c r="Y172" i="5" s="1"/>
  <c r="Z172" i="5" s="1"/>
  <c r="AA172" i="5" s="1"/>
  <c r="AB172" i="5" s="1"/>
  <c r="AC172" i="5" s="1"/>
  <c r="AD172" i="5" s="1"/>
  <c r="AE172" i="5" s="1"/>
  <c r="AF172" i="5" s="1"/>
  <c r="B172" i="5" s="1"/>
  <c r="M172" i="5"/>
  <c r="N172" i="5" s="1"/>
  <c r="O172" i="5" s="1"/>
  <c r="P172" i="5" s="1"/>
  <c r="Q172" i="5" s="1"/>
  <c r="R172" i="5" s="1"/>
  <c r="S172" i="5" s="1"/>
  <c r="T172" i="5" s="1"/>
  <c r="U172" i="5" s="1"/>
  <c r="V172" i="5" s="1"/>
  <c r="D172" i="5"/>
  <c r="E172" i="5" s="1"/>
  <c r="F172" i="5" s="1"/>
  <c r="G172" i="5" s="1"/>
  <c r="H172" i="5" s="1"/>
  <c r="I172" i="5" s="1"/>
  <c r="J172" i="5" s="1"/>
  <c r="K172" i="5" s="1"/>
  <c r="L172" i="5" s="1"/>
  <c r="E171" i="5"/>
  <c r="F171" i="5" s="1"/>
  <c r="G171" i="5" s="1"/>
  <c r="H171" i="5" s="1"/>
  <c r="I171" i="5" s="1"/>
  <c r="J171" i="5" s="1"/>
  <c r="K171" i="5" s="1"/>
  <c r="L171" i="5" s="1"/>
  <c r="M171" i="5" s="1"/>
  <c r="N171" i="5" s="1"/>
  <c r="O171" i="5" s="1"/>
  <c r="P171" i="5" s="1"/>
  <c r="Q171" i="5" s="1"/>
  <c r="R171" i="5" s="1"/>
  <c r="S171" i="5" s="1"/>
  <c r="T171" i="5" s="1"/>
  <c r="U171" i="5" s="1"/>
  <c r="V171" i="5" s="1"/>
  <c r="W171" i="5" s="1"/>
  <c r="X171" i="5" s="1"/>
  <c r="Y171" i="5" s="1"/>
  <c r="Z171" i="5" s="1"/>
  <c r="AA171" i="5" s="1"/>
  <c r="AB171" i="5" s="1"/>
  <c r="AC171" i="5" s="1"/>
  <c r="AD171" i="5" s="1"/>
  <c r="AE171" i="5" s="1"/>
  <c r="AF171" i="5" s="1"/>
  <c r="B171" i="5" s="1"/>
  <c r="D171" i="5"/>
  <c r="D170" i="5"/>
  <c r="E170" i="5" s="1"/>
  <c r="F170" i="5" s="1"/>
  <c r="G170" i="5" s="1"/>
  <c r="H170" i="5" s="1"/>
  <c r="I170" i="5" s="1"/>
  <c r="J170" i="5" s="1"/>
  <c r="K170" i="5" s="1"/>
  <c r="L170" i="5" s="1"/>
  <c r="M170" i="5" s="1"/>
  <c r="N170" i="5" s="1"/>
  <c r="O170" i="5" s="1"/>
  <c r="P170" i="5" s="1"/>
  <c r="Q170" i="5" s="1"/>
  <c r="R170" i="5" s="1"/>
  <c r="S170" i="5" s="1"/>
  <c r="T170" i="5" s="1"/>
  <c r="U170" i="5" s="1"/>
  <c r="V170" i="5" s="1"/>
  <c r="W170" i="5" s="1"/>
  <c r="X170" i="5" s="1"/>
  <c r="Y170" i="5" s="1"/>
  <c r="Z170" i="5" s="1"/>
  <c r="AA170" i="5" s="1"/>
  <c r="AB170" i="5" s="1"/>
  <c r="AC170" i="5" s="1"/>
  <c r="AD170" i="5" s="1"/>
  <c r="AE170" i="5" s="1"/>
  <c r="AF170" i="5" s="1"/>
  <c r="B170" i="5" s="1"/>
  <c r="J168" i="5"/>
  <c r="K168" i="5" s="1"/>
  <c r="L168" i="5" s="1"/>
  <c r="M168" i="5" s="1"/>
  <c r="N168" i="5" s="1"/>
  <c r="O168" i="5" s="1"/>
  <c r="P168" i="5" s="1"/>
  <c r="Q168" i="5" s="1"/>
  <c r="R168" i="5" s="1"/>
  <c r="S168" i="5" s="1"/>
  <c r="T168" i="5" s="1"/>
  <c r="U168" i="5" s="1"/>
  <c r="V168" i="5" s="1"/>
  <c r="W168" i="5" s="1"/>
  <c r="X168" i="5" s="1"/>
  <c r="Y168" i="5" s="1"/>
  <c r="Z168" i="5" s="1"/>
  <c r="AA168" i="5" s="1"/>
  <c r="AB168" i="5" s="1"/>
  <c r="AC168" i="5" s="1"/>
  <c r="AD168" i="5" s="1"/>
  <c r="AE168" i="5" s="1"/>
  <c r="AF168" i="5" s="1"/>
  <c r="B168" i="5" s="1"/>
  <c r="E168" i="5"/>
  <c r="F168" i="5" s="1"/>
  <c r="G168" i="5" s="1"/>
  <c r="H168" i="5" s="1"/>
  <c r="I168" i="5" s="1"/>
  <c r="D168" i="5"/>
  <c r="D167" i="5"/>
  <c r="E167" i="5" s="1"/>
  <c r="F167" i="5" s="1"/>
  <c r="G167" i="5" s="1"/>
  <c r="H167" i="5" s="1"/>
  <c r="I167" i="5" s="1"/>
  <c r="J167" i="5" s="1"/>
  <c r="K167" i="5" s="1"/>
  <c r="L167" i="5" s="1"/>
  <c r="M167" i="5" s="1"/>
  <c r="N167" i="5" s="1"/>
  <c r="O167" i="5" s="1"/>
  <c r="P167" i="5" s="1"/>
  <c r="Q167" i="5" s="1"/>
  <c r="R167" i="5" s="1"/>
  <c r="S167" i="5" s="1"/>
  <c r="T167" i="5" s="1"/>
  <c r="U167" i="5" s="1"/>
  <c r="V167" i="5" s="1"/>
  <c r="W167" i="5" s="1"/>
  <c r="X167" i="5" s="1"/>
  <c r="Y167" i="5" s="1"/>
  <c r="Z167" i="5" s="1"/>
  <c r="AA167" i="5" s="1"/>
  <c r="AB167" i="5" s="1"/>
  <c r="AC167" i="5" s="1"/>
  <c r="AD167" i="5" s="1"/>
  <c r="AE167" i="5" s="1"/>
  <c r="AF167" i="5" s="1"/>
  <c r="B167" i="5" s="1"/>
  <c r="AD166" i="5"/>
  <c r="AE166" i="5" s="1"/>
  <c r="AF166" i="5" s="1"/>
  <c r="B166" i="5" s="1"/>
  <c r="N166" i="5"/>
  <c r="O166" i="5" s="1"/>
  <c r="P166" i="5" s="1"/>
  <c r="Q166" i="5" s="1"/>
  <c r="R166" i="5" s="1"/>
  <c r="S166" i="5" s="1"/>
  <c r="T166" i="5" s="1"/>
  <c r="U166" i="5" s="1"/>
  <c r="V166" i="5" s="1"/>
  <c r="W166" i="5" s="1"/>
  <c r="X166" i="5" s="1"/>
  <c r="Y166" i="5" s="1"/>
  <c r="Z166" i="5" s="1"/>
  <c r="AA166" i="5" s="1"/>
  <c r="AB166" i="5" s="1"/>
  <c r="AC166" i="5" s="1"/>
  <c r="F166" i="5"/>
  <c r="G166" i="5" s="1"/>
  <c r="H166" i="5" s="1"/>
  <c r="I166" i="5" s="1"/>
  <c r="J166" i="5" s="1"/>
  <c r="K166" i="5" s="1"/>
  <c r="L166" i="5" s="1"/>
  <c r="M166" i="5" s="1"/>
  <c r="E166" i="5"/>
  <c r="D166" i="5"/>
  <c r="L165" i="5"/>
  <c r="M165" i="5" s="1"/>
  <c r="N165" i="5" s="1"/>
  <c r="O165" i="5" s="1"/>
  <c r="P165" i="5" s="1"/>
  <c r="Q165" i="5" s="1"/>
  <c r="R165" i="5" s="1"/>
  <c r="S165" i="5" s="1"/>
  <c r="T165" i="5" s="1"/>
  <c r="U165" i="5" s="1"/>
  <c r="V165" i="5" s="1"/>
  <c r="W165" i="5" s="1"/>
  <c r="X165" i="5" s="1"/>
  <c r="Y165" i="5" s="1"/>
  <c r="Z165" i="5" s="1"/>
  <c r="AA165" i="5" s="1"/>
  <c r="AB165" i="5" s="1"/>
  <c r="AC165" i="5" s="1"/>
  <c r="AD165" i="5" s="1"/>
  <c r="AE165" i="5" s="1"/>
  <c r="AF165" i="5" s="1"/>
  <c r="B165" i="5" s="1"/>
  <c r="D165" i="5"/>
  <c r="E165" i="5" s="1"/>
  <c r="F165" i="5" s="1"/>
  <c r="G165" i="5" s="1"/>
  <c r="H165" i="5" s="1"/>
  <c r="I165" i="5" s="1"/>
  <c r="J165" i="5" s="1"/>
  <c r="K165" i="5" s="1"/>
  <c r="J164" i="5"/>
  <c r="K164" i="5" s="1"/>
  <c r="L164" i="5" s="1"/>
  <c r="M164" i="5" s="1"/>
  <c r="N164" i="5" s="1"/>
  <c r="O164" i="5" s="1"/>
  <c r="P164" i="5" s="1"/>
  <c r="Q164" i="5" s="1"/>
  <c r="R164" i="5" s="1"/>
  <c r="S164" i="5" s="1"/>
  <c r="T164" i="5" s="1"/>
  <c r="U164" i="5" s="1"/>
  <c r="V164" i="5" s="1"/>
  <c r="W164" i="5" s="1"/>
  <c r="X164" i="5" s="1"/>
  <c r="Y164" i="5" s="1"/>
  <c r="Z164" i="5" s="1"/>
  <c r="AA164" i="5" s="1"/>
  <c r="AB164" i="5" s="1"/>
  <c r="AC164" i="5" s="1"/>
  <c r="AD164" i="5" s="1"/>
  <c r="AE164" i="5" s="1"/>
  <c r="AF164" i="5" s="1"/>
  <c r="E164" i="5"/>
  <c r="F164" i="5" s="1"/>
  <c r="G164" i="5" s="1"/>
  <c r="H164" i="5" s="1"/>
  <c r="I164" i="5" s="1"/>
  <c r="D164" i="5"/>
  <c r="B164" i="5"/>
  <c r="K163" i="5"/>
  <c r="L163" i="5" s="1"/>
  <c r="M163" i="5" s="1"/>
  <c r="N163" i="5" s="1"/>
  <c r="O163" i="5" s="1"/>
  <c r="P163" i="5" s="1"/>
  <c r="Q163" i="5" s="1"/>
  <c r="R163" i="5" s="1"/>
  <c r="S163" i="5" s="1"/>
  <c r="T163" i="5" s="1"/>
  <c r="U163" i="5" s="1"/>
  <c r="V163" i="5" s="1"/>
  <c r="W163" i="5" s="1"/>
  <c r="X163" i="5" s="1"/>
  <c r="Y163" i="5" s="1"/>
  <c r="Z163" i="5" s="1"/>
  <c r="AA163" i="5" s="1"/>
  <c r="AB163" i="5" s="1"/>
  <c r="AC163" i="5" s="1"/>
  <c r="AD163" i="5" s="1"/>
  <c r="AE163" i="5" s="1"/>
  <c r="AF163" i="5" s="1"/>
  <c r="B163" i="5" s="1"/>
  <c r="H163" i="5"/>
  <c r="I163" i="5" s="1"/>
  <c r="J163" i="5" s="1"/>
  <c r="D163" i="5"/>
  <c r="E163" i="5" s="1"/>
  <c r="F163" i="5" s="1"/>
  <c r="G163" i="5" s="1"/>
  <c r="W162" i="5"/>
  <c r="X162" i="5" s="1"/>
  <c r="Y162" i="5" s="1"/>
  <c r="Z162" i="5" s="1"/>
  <c r="AA162" i="5" s="1"/>
  <c r="AB162" i="5" s="1"/>
  <c r="AC162" i="5" s="1"/>
  <c r="AD162" i="5" s="1"/>
  <c r="AE162" i="5" s="1"/>
  <c r="AF162" i="5" s="1"/>
  <c r="B162" i="5" s="1"/>
  <c r="I162" i="5"/>
  <c r="J162" i="5" s="1"/>
  <c r="K162" i="5" s="1"/>
  <c r="L162" i="5" s="1"/>
  <c r="M162" i="5" s="1"/>
  <c r="N162" i="5" s="1"/>
  <c r="O162" i="5" s="1"/>
  <c r="P162" i="5" s="1"/>
  <c r="Q162" i="5" s="1"/>
  <c r="R162" i="5" s="1"/>
  <c r="S162" i="5" s="1"/>
  <c r="T162" i="5" s="1"/>
  <c r="U162" i="5" s="1"/>
  <c r="V162" i="5" s="1"/>
  <c r="F162" i="5"/>
  <c r="G162" i="5" s="1"/>
  <c r="H162" i="5" s="1"/>
  <c r="E162" i="5"/>
  <c r="D162" i="5"/>
  <c r="D161" i="5"/>
  <c r="E161" i="5" s="1"/>
  <c r="F161" i="5" s="1"/>
  <c r="G161" i="5" s="1"/>
  <c r="H161" i="5" s="1"/>
  <c r="I161" i="5" s="1"/>
  <c r="J161" i="5" s="1"/>
  <c r="K161" i="5" s="1"/>
  <c r="L161" i="5" s="1"/>
  <c r="M161" i="5" s="1"/>
  <c r="N161" i="5" s="1"/>
  <c r="O161" i="5" s="1"/>
  <c r="P161" i="5" s="1"/>
  <c r="Q161" i="5" s="1"/>
  <c r="R161" i="5" s="1"/>
  <c r="S161" i="5" s="1"/>
  <c r="T161" i="5" s="1"/>
  <c r="U161" i="5" s="1"/>
  <c r="V161" i="5" s="1"/>
  <c r="W161" i="5" s="1"/>
  <c r="X161" i="5" s="1"/>
  <c r="Y161" i="5" s="1"/>
  <c r="Z161" i="5" s="1"/>
  <c r="AA161" i="5" s="1"/>
  <c r="AB161" i="5" s="1"/>
  <c r="AC161" i="5" s="1"/>
  <c r="AD161" i="5" s="1"/>
  <c r="AE161" i="5" s="1"/>
  <c r="AF161" i="5" s="1"/>
  <c r="B161" i="5" s="1"/>
  <c r="F160" i="5"/>
  <c r="G160" i="5" s="1"/>
  <c r="H160" i="5" s="1"/>
  <c r="I160" i="5" s="1"/>
  <c r="J160" i="5" s="1"/>
  <c r="K160" i="5" s="1"/>
  <c r="L160" i="5" s="1"/>
  <c r="M160" i="5" s="1"/>
  <c r="N160" i="5" s="1"/>
  <c r="O160" i="5" s="1"/>
  <c r="P160" i="5" s="1"/>
  <c r="Q160" i="5" s="1"/>
  <c r="R160" i="5" s="1"/>
  <c r="S160" i="5" s="1"/>
  <c r="T160" i="5" s="1"/>
  <c r="U160" i="5" s="1"/>
  <c r="V160" i="5" s="1"/>
  <c r="W160" i="5" s="1"/>
  <c r="X160" i="5" s="1"/>
  <c r="Y160" i="5" s="1"/>
  <c r="Z160" i="5" s="1"/>
  <c r="AA160" i="5" s="1"/>
  <c r="AB160" i="5" s="1"/>
  <c r="AC160" i="5" s="1"/>
  <c r="AD160" i="5" s="1"/>
  <c r="AE160" i="5" s="1"/>
  <c r="AF160" i="5" s="1"/>
  <c r="B160" i="5" s="1"/>
  <c r="E160" i="5"/>
  <c r="D160" i="5"/>
  <c r="Q159" i="5"/>
  <c r="R159" i="5" s="1"/>
  <c r="S159" i="5" s="1"/>
  <c r="T159" i="5" s="1"/>
  <c r="U159" i="5" s="1"/>
  <c r="V159" i="5" s="1"/>
  <c r="W159" i="5" s="1"/>
  <c r="X159" i="5" s="1"/>
  <c r="Y159" i="5" s="1"/>
  <c r="Z159" i="5" s="1"/>
  <c r="AA159" i="5" s="1"/>
  <c r="AB159" i="5" s="1"/>
  <c r="AC159" i="5" s="1"/>
  <c r="AD159" i="5" s="1"/>
  <c r="AE159" i="5" s="1"/>
  <c r="AF159" i="5" s="1"/>
  <c r="B159" i="5" s="1"/>
  <c r="H159" i="5"/>
  <c r="I159" i="5" s="1"/>
  <c r="J159" i="5" s="1"/>
  <c r="K159" i="5" s="1"/>
  <c r="L159" i="5" s="1"/>
  <c r="M159" i="5" s="1"/>
  <c r="N159" i="5" s="1"/>
  <c r="O159" i="5" s="1"/>
  <c r="P159" i="5" s="1"/>
  <c r="D159" i="5"/>
  <c r="E159" i="5" s="1"/>
  <c r="F159" i="5" s="1"/>
  <c r="G159" i="5" s="1"/>
  <c r="F158" i="5"/>
  <c r="G158" i="5" s="1"/>
  <c r="H158" i="5" s="1"/>
  <c r="I158" i="5" s="1"/>
  <c r="J158" i="5" s="1"/>
  <c r="K158" i="5" s="1"/>
  <c r="L158" i="5" s="1"/>
  <c r="M158" i="5" s="1"/>
  <c r="N158" i="5" s="1"/>
  <c r="O158" i="5" s="1"/>
  <c r="P158" i="5" s="1"/>
  <c r="Q158" i="5" s="1"/>
  <c r="R158" i="5" s="1"/>
  <c r="S158" i="5" s="1"/>
  <c r="T158" i="5" s="1"/>
  <c r="U158" i="5" s="1"/>
  <c r="V158" i="5" s="1"/>
  <c r="W158" i="5" s="1"/>
  <c r="X158" i="5" s="1"/>
  <c r="Y158" i="5" s="1"/>
  <c r="Z158" i="5" s="1"/>
  <c r="AA158" i="5" s="1"/>
  <c r="AB158" i="5" s="1"/>
  <c r="AC158" i="5" s="1"/>
  <c r="AD158" i="5" s="1"/>
  <c r="AE158" i="5" s="1"/>
  <c r="AF158" i="5" s="1"/>
  <c r="B158" i="5" s="1"/>
  <c r="E158" i="5"/>
  <c r="D158" i="5"/>
  <c r="G157" i="5"/>
  <c r="H157" i="5" s="1"/>
  <c r="I157" i="5" s="1"/>
  <c r="J157" i="5" s="1"/>
  <c r="K157" i="5" s="1"/>
  <c r="L157" i="5" s="1"/>
  <c r="M157" i="5" s="1"/>
  <c r="N157" i="5" s="1"/>
  <c r="O157" i="5" s="1"/>
  <c r="P157" i="5" s="1"/>
  <c r="Q157" i="5" s="1"/>
  <c r="R157" i="5" s="1"/>
  <c r="S157" i="5" s="1"/>
  <c r="T157" i="5" s="1"/>
  <c r="U157" i="5" s="1"/>
  <c r="V157" i="5" s="1"/>
  <c r="W157" i="5" s="1"/>
  <c r="X157" i="5" s="1"/>
  <c r="Y157" i="5" s="1"/>
  <c r="Z157" i="5" s="1"/>
  <c r="AA157" i="5" s="1"/>
  <c r="AB157" i="5" s="1"/>
  <c r="AC157" i="5" s="1"/>
  <c r="AD157" i="5" s="1"/>
  <c r="AE157" i="5" s="1"/>
  <c r="AF157" i="5" s="1"/>
  <c r="B157" i="5" s="1"/>
  <c r="D157" i="5"/>
  <c r="E157" i="5" s="1"/>
  <c r="F157" i="5" s="1"/>
  <c r="N156" i="5"/>
  <c r="O156" i="5" s="1"/>
  <c r="P156" i="5" s="1"/>
  <c r="Q156" i="5" s="1"/>
  <c r="R156" i="5" s="1"/>
  <c r="S156" i="5" s="1"/>
  <c r="T156" i="5" s="1"/>
  <c r="U156" i="5" s="1"/>
  <c r="V156" i="5" s="1"/>
  <c r="W156" i="5" s="1"/>
  <c r="X156" i="5" s="1"/>
  <c r="Y156" i="5" s="1"/>
  <c r="Z156" i="5" s="1"/>
  <c r="AA156" i="5" s="1"/>
  <c r="AB156" i="5" s="1"/>
  <c r="AC156" i="5" s="1"/>
  <c r="AD156" i="5" s="1"/>
  <c r="AE156" i="5" s="1"/>
  <c r="AF156" i="5" s="1"/>
  <c r="B156" i="5" s="1"/>
  <c r="F156" i="5"/>
  <c r="G156" i="5" s="1"/>
  <c r="H156" i="5" s="1"/>
  <c r="I156" i="5" s="1"/>
  <c r="J156" i="5" s="1"/>
  <c r="K156" i="5" s="1"/>
  <c r="L156" i="5" s="1"/>
  <c r="M156" i="5" s="1"/>
  <c r="D156" i="5"/>
  <c r="E156" i="5" s="1"/>
  <c r="Y154" i="5"/>
  <c r="Z154" i="5" s="1"/>
  <c r="AA154" i="5" s="1"/>
  <c r="AB154" i="5" s="1"/>
  <c r="AC154" i="5" s="1"/>
  <c r="AD154" i="5" s="1"/>
  <c r="AE154" i="5" s="1"/>
  <c r="AF154" i="5" s="1"/>
  <c r="B154" i="5" s="1"/>
  <c r="H154" i="5"/>
  <c r="I154" i="5" s="1"/>
  <c r="J154" i="5" s="1"/>
  <c r="K154" i="5" s="1"/>
  <c r="L154" i="5" s="1"/>
  <c r="M154" i="5" s="1"/>
  <c r="N154" i="5" s="1"/>
  <c r="O154" i="5" s="1"/>
  <c r="P154" i="5" s="1"/>
  <c r="Q154" i="5" s="1"/>
  <c r="R154" i="5" s="1"/>
  <c r="S154" i="5" s="1"/>
  <c r="T154" i="5" s="1"/>
  <c r="U154" i="5" s="1"/>
  <c r="V154" i="5" s="1"/>
  <c r="W154" i="5" s="1"/>
  <c r="X154" i="5" s="1"/>
  <c r="D154" i="5"/>
  <c r="E154" i="5" s="1"/>
  <c r="F154" i="5" s="1"/>
  <c r="G154" i="5" s="1"/>
  <c r="J153" i="5"/>
  <c r="K153" i="5" s="1"/>
  <c r="L153" i="5" s="1"/>
  <c r="M153" i="5" s="1"/>
  <c r="N153" i="5" s="1"/>
  <c r="O153" i="5" s="1"/>
  <c r="P153" i="5" s="1"/>
  <c r="Q153" i="5" s="1"/>
  <c r="R153" i="5" s="1"/>
  <c r="S153" i="5" s="1"/>
  <c r="T153" i="5" s="1"/>
  <c r="U153" i="5" s="1"/>
  <c r="V153" i="5" s="1"/>
  <c r="W153" i="5" s="1"/>
  <c r="X153" i="5" s="1"/>
  <c r="Y153" i="5" s="1"/>
  <c r="Z153" i="5" s="1"/>
  <c r="AA153" i="5" s="1"/>
  <c r="AB153" i="5" s="1"/>
  <c r="AC153" i="5" s="1"/>
  <c r="AD153" i="5" s="1"/>
  <c r="AE153" i="5" s="1"/>
  <c r="AF153" i="5" s="1"/>
  <c r="B153" i="5" s="1"/>
  <c r="E153" i="5"/>
  <c r="F153" i="5" s="1"/>
  <c r="G153" i="5" s="1"/>
  <c r="H153" i="5" s="1"/>
  <c r="I153" i="5" s="1"/>
  <c r="D153" i="5"/>
  <c r="D152" i="5"/>
  <c r="E152" i="5" s="1"/>
  <c r="F152" i="5" s="1"/>
  <c r="G152" i="5" s="1"/>
  <c r="H152" i="5" s="1"/>
  <c r="I152" i="5" s="1"/>
  <c r="J152" i="5" s="1"/>
  <c r="K152" i="5" s="1"/>
  <c r="L152" i="5" s="1"/>
  <c r="M152" i="5" s="1"/>
  <c r="N152" i="5" s="1"/>
  <c r="O152" i="5" s="1"/>
  <c r="P152" i="5" s="1"/>
  <c r="Q152" i="5" s="1"/>
  <c r="R152" i="5" s="1"/>
  <c r="S152" i="5" s="1"/>
  <c r="T152" i="5" s="1"/>
  <c r="U152" i="5" s="1"/>
  <c r="V152" i="5" s="1"/>
  <c r="W152" i="5" s="1"/>
  <c r="X152" i="5" s="1"/>
  <c r="Y152" i="5" s="1"/>
  <c r="Z152" i="5" s="1"/>
  <c r="AA152" i="5" s="1"/>
  <c r="AB152" i="5" s="1"/>
  <c r="AC152" i="5" s="1"/>
  <c r="AD152" i="5" s="1"/>
  <c r="AE152" i="5" s="1"/>
  <c r="AF152" i="5" s="1"/>
  <c r="B152" i="5" s="1"/>
  <c r="W151" i="5"/>
  <c r="X151" i="5" s="1"/>
  <c r="Y151" i="5" s="1"/>
  <c r="Z151" i="5" s="1"/>
  <c r="AA151" i="5" s="1"/>
  <c r="AB151" i="5" s="1"/>
  <c r="AC151" i="5" s="1"/>
  <c r="AD151" i="5" s="1"/>
  <c r="AE151" i="5" s="1"/>
  <c r="AF151" i="5" s="1"/>
  <c r="B151" i="5" s="1"/>
  <c r="L151" i="5"/>
  <c r="M151" i="5" s="1"/>
  <c r="N151" i="5" s="1"/>
  <c r="O151" i="5" s="1"/>
  <c r="P151" i="5" s="1"/>
  <c r="Q151" i="5" s="1"/>
  <c r="R151" i="5" s="1"/>
  <c r="S151" i="5" s="1"/>
  <c r="T151" i="5" s="1"/>
  <c r="U151" i="5" s="1"/>
  <c r="V151" i="5" s="1"/>
  <c r="D151" i="5"/>
  <c r="E151" i="5" s="1"/>
  <c r="F151" i="5" s="1"/>
  <c r="G151" i="5" s="1"/>
  <c r="H151" i="5" s="1"/>
  <c r="I151" i="5" s="1"/>
  <c r="J151" i="5" s="1"/>
  <c r="K151" i="5" s="1"/>
  <c r="E149" i="5"/>
  <c r="F149" i="5" s="1"/>
  <c r="G149" i="5" s="1"/>
  <c r="H149" i="5" s="1"/>
  <c r="I149" i="5" s="1"/>
  <c r="J149" i="5" s="1"/>
  <c r="K149" i="5" s="1"/>
  <c r="L149" i="5" s="1"/>
  <c r="M149" i="5" s="1"/>
  <c r="N149" i="5" s="1"/>
  <c r="O149" i="5" s="1"/>
  <c r="P149" i="5" s="1"/>
  <c r="Q149" i="5" s="1"/>
  <c r="R149" i="5" s="1"/>
  <c r="S149" i="5" s="1"/>
  <c r="T149" i="5" s="1"/>
  <c r="U149" i="5" s="1"/>
  <c r="V149" i="5" s="1"/>
  <c r="W149" i="5" s="1"/>
  <c r="X149" i="5" s="1"/>
  <c r="Y149" i="5" s="1"/>
  <c r="Z149" i="5" s="1"/>
  <c r="AA149" i="5" s="1"/>
  <c r="AB149" i="5" s="1"/>
  <c r="AC149" i="5" s="1"/>
  <c r="AD149" i="5" s="1"/>
  <c r="AE149" i="5" s="1"/>
  <c r="AF149" i="5" s="1"/>
  <c r="B149" i="5" s="1"/>
  <c r="D149" i="5"/>
  <c r="D148" i="5"/>
  <c r="E148" i="5" s="1"/>
  <c r="F148" i="5" s="1"/>
  <c r="G148" i="5" s="1"/>
  <c r="H148" i="5" s="1"/>
  <c r="I148" i="5" s="1"/>
  <c r="J148" i="5" s="1"/>
  <c r="K148" i="5" s="1"/>
  <c r="L148" i="5" s="1"/>
  <c r="M148" i="5" s="1"/>
  <c r="N148" i="5" s="1"/>
  <c r="O148" i="5" s="1"/>
  <c r="P148" i="5" s="1"/>
  <c r="Q148" i="5" s="1"/>
  <c r="R148" i="5" s="1"/>
  <c r="S148" i="5" s="1"/>
  <c r="T148" i="5" s="1"/>
  <c r="U148" i="5" s="1"/>
  <c r="V148" i="5" s="1"/>
  <c r="W148" i="5" s="1"/>
  <c r="X148" i="5" s="1"/>
  <c r="Y148" i="5" s="1"/>
  <c r="Z148" i="5" s="1"/>
  <c r="AA148" i="5" s="1"/>
  <c r="AB148" i="5" s="1"/>
  <c r="AC148" i="5" s="1"/>
  <c r="AD148" i="5" s="1"/>
  <c r="AE148" i="5" s="1"/>
  <c r="AF148" i="5" s="1"/>
  <c r="B148" i="5" s="1"/>
  <c r="N146" i="5"/>
  <c r="O146" i="5" s="1"/>
  <c r="P146" i="5" s="1"/>
  <c r="Q146" i="5" s="1"/>
  <c r="R146" i="5" s="1"/>
  <c r="S146" i="5" s="1"/>
  <c r="T146" i="5" s="1"/>
  <c r="U146" i="5" s="1"/>
  <c r="V146" i="5" s="1"/>
  <c r="W146" i="5" s="1"/>
  <c r="X146" i="5" s="1"/>
  <c r="Y146" i="5" s="1"/>
  <c r="Z146" i="5" s="1"/>
  <c r="AA146" i="5" s="1"/>
  <c r="AB146" i="5" s="1"/>
  <c r="AC146" i="5" s="1"/>
  <c r="AD146" i="5" s="1"/>
  <c r="AE146" i="5" s="1"/>
  <c r="AF146" i="5" s="1"/>
  <c r="B146" i="5" s="1"/>
  <c r="L146" i="5"/>
  <c r="M146" i="5" s="1"/>
  <c r="D146" i="5"/>
  <c r="E146" i="5" s="1"/>
  <c r="F146" i="5" s="1"/>
  <c r="G146" i="5" s="1"/>
  <c r="H146" i="5" s="1"/>
  <c r="I146" i="5" s="1"/>
  <c r="J146" i="5" s="1"/>
  <c r="K146" i="5" s="1"/>
  <c r="J145" i="5"/>
  <c r="K145" i="5" s="1"/>
  <c r="L145" i="5" s="1"/>
  <c r="M145" i="5" s="1"/>
  <c r="N145" i="5" s="1"/>
  <c r="O145" i="5" s="1"/>
  <c r="P145" i="5" s="1"/>
  <c r="Q145" i="5" s="1"/>
  <c r="R145" i="5" s="1"/>
  <c r="S145" i="5" s="1"/>
  <c r="T145" i="5" s="1"/>
  <c r="U145" i="5" s="1"/>
  <c r="V145" i="5" s="1"/>
  <c r="W145" i="5" s="1"/>
  <c r="X145" i="5" s="1"/>
  <c r="Y145" i="5" s="1"/>
  <c r="Z145" i="5" s="1"/>
  <c r="AA145" i="5" s="1"/>
  <c r="AB145" i="5" s="1"/>
  <c r="AC145" i="5" s="1"/>
  <c r="AD145" i="5" s="1"/>
  <c r="AE145" i="5" s="1"/>
  <c r="AF145" i="5" s="1"/>
  <c r="B145" i="5" s="1"/>
  <c r="G145" i="5"/>
  <c r="H145" i="5" s="1"/>
  <c r="I145" i="5" s="1"/>
  <c r="D145" i="5"/>
  <c r="E145" i="5" s="1"/>
  <c r="F145" i="5" s="1"/>
  <c r="H144" i="5"/>
  <c r="I144" i="5" s="1"/>
  <c r="J144" i="5" s="1"/>
  <c r="K144" i="5" s="1"/>
  <c r="L144" i="5" s="1"/>
  <c r="M144" i="5" s="1"/>
  <c r="N144" i="5" s="1"/>
  <c r="O144" i="5" s="1"/>
  <c r="P144" i="5" s="1"/>
  <c r="Q144" i="5" s="1"/>
  <c r="R144" i="5" s="1"/>
  <c r="S144" i="5" s="1"/>
  <c r="T144" i="5" s="1"/>
  <c r="U144" i="5" s="1"/>
  <c r="V144" i="5" s="1"/>
  <c r="W144" i="5" s="1"/>
  <c r="X144" i="5" s="1"/>
  <c r="Y144" i="5" s="1"/>
  <c r="Z144" i="5" s="1"/>
  <c r="AA144" i="5" s="1"/>
  <c r="AB144" i="5" s="1"/>
  <c r="AC144" i="5" s="1"/>
  <c r="AD144" i="5" s="1"/>
  <c r="AE144" i="5" s="1"/>
  <c r="AF144" i="5" s="1"/>
  <c r="B144" i="5" s="1"/>
  <c r="E144" i="5"/>
  <c r="F144" i="5" s="1"/>
  <c r="G144" i="5" s="1"/>
  <c r="D144" i="5"/>
  <c r="K143" i="5"/>
  <c r="L143" i="5" s="1"/>
  <c r="M143" i="5" s="1"/>
  <c r="N143" i="5" s="1"/>
  <c r="O143" i="5" s="1"/>
  <c r="P143" i="5" s="1"/>
  <c r="Q143" i="5" s="1"/>
  <c r="R143" i="5" s="1"/>
  <c r="S143" i="5" s="1"/>
  <c r="T143" i="5" s="1"/>
  <c r="U143" i="5" s="1"/>
  <c r="V143" i="5" s="1"/>
  <c r="W143" i="5" s="1"/>
  <c r="X143" i="5" s="1"/>
  <c r="Y143" i="5" s="1"/>
  <c r="Z143" i="5" s="1"/>
  <c r="AA143" i="5" s="1"/>
  <c r="AB143" i="5" s="1"/>
  <c r="AC143" i="5" s="1"/>
  <c r="AD143" i="5" s="1"/>
  <c r="AE143" i="5" s="1"/>
  <c r="AF143" i="5" s="1"/>
  <c r="B143" i="5" s="1"/>
  <c r="D143" i="5"/>
  <c r="E143" i="5" s="1"/>
  <c r="F143" i="5" s="1"/>
  <c r="G143" i="5" s="1"/>
  <c r="H143" i="5" s="1"/>
  <c r="I143" i="5" s="1"/>
  <c r="J143" i="5" s="1"/>
  <c r="Q142" i="5"/>
  <c r="R142" i="5" s="1"/>
  <c r="S142" i="5" s="1"/>
  <c r="T142" i="5" s="1"/>
  <c r="U142" i="5" s="1"/>
  <c r="V142" i="5" s="1"/>
  <c r="W142" i="5" s="1"/>
  <c r="X142" i="5" s="1"/>
  <c r="Y142" i="5" s="1"/>
  <c r="Z142" i="5" s="1"/>
  <c r="AA142" i="5" s="1"/>
  <c r="AB142" i="5" s="1"/>
  <c r="AC142" i="5" s="1"/>
  <c r="AD142" i="5" s="1"/>
  <c r="AE142" i="5" s="1"/>
  <c r="AF142" i="5" s="1"/>
  <c r="B142" i="5" s="1"/>
  <c r="I142" i="5"/>
  <c r="J142" i="5" s="1"/>
  <c r="K142" i="5" s="1"/>
  <c r="L142" i="5" s="1"/>
  <c r="M142" i="5" s="1"/>
  <c r="N142" i="5" s="1"/>
  <c r="O142" i="5" s="1"/>
  <c r="P142" i="5" s="1"/>
  <c r="F142" i="5"/>
  <c r="G142" i="5" s="1"/>
  <c r="H142" i="5" s="1"/>
  <c r="D142" i="5"/>
  <c r="E142" i="5" s="1"/>
  <c r="D141" i="5"/>
  <c r="E141" i="5" s="1"/>
  <c r="F141" i="5" s="1"/>
  <c r="G141" i="5" s="1"/>
  <c r="H141" i="5" s="1"/>
  <c r="I141" i="5" s="1"/>
  <c r="J141" i="5" s="1"/>
  <c r="K141" i="5" s="1"/>
  <c r="L141" i="5" s="1"/>
  <c r="M141" i="5" s="1"/>
  <c r="N141" i="5" s="1"/>
  <c r="O141" i="5" s="1"/>
  <c r="P141" i="5" s="1"/>
  <c r="Q141" i="5" s="1"/>
  <c r="R141" i="5" s="1"/>
  <c r="S141" i="5" s="1"/>
  <c r="T141" i="5" s="1"/>
  <c r="U141" i="5" s="1"/>
  <c r="V141" i="5" s="1"/>
  <c r="W141" i="5" s="1"/>
  <c r="X141" i="5" s="1"/>
  <c r="Y141" i="5" s="1"/>
  <c r="Z141" i="5" s="1"/>
  <c r="AA141" i="5" s="1"/>
  <c r="AB141" i="5" s="1"/>
  <c r="AC141" i="5" s="1"/>
  <c r="AD141" i="5" s="1"/>
  <c r="AE141" i="5" s="1"/>
  <c r="AF141" i="5" s="1"/>
  <c r="B141" i="5" s="1"/>
  <c r="E140" i="5"/>
  <c r="F140" i="5" s="1"/>
  <c r="G140" i="5" s="1"/>
  <c r="H140" i="5" s="1"/>
  <c r="I140" i="5" s="1"/>
  <c r="J140" i="5" s="1"/>
  <c r="K140" i="5" s="1"/>
  <c r="L140" i="5" s="1"/>
  <c r="M140" i="5" s="1"/>
  <c r="N140" i="5" s="1"/>
  <c r="O140" i="5" s="1"/>
  <c r="P140" i="5" s="1"/>
  <c r="Q140" i="5" s="1"/>
  <c r="R140" i="5" s="1"/>
  <c r="S140" i="5" s="1"/>
  <c r="T140" i="5" s="1"/>
  <c r="U140" i="5" s="1"/>
  <c r="V140" i="5" s="1"/>
  <c r="W140" i="5" s="1"/>
  <c r="X140" i="5" s="1"/>
  <c r="Y140" i="5" s="1"/>
  <c r="Z140" i="5" s="1"/>
  <c r="AA140" i="5" s="1"/>
  <c r="AB140" i="5" s="1"/>
  <c r="AC140" i="5" s="1"/>
  <c r="AD140" i="5" s="1"/>
  <c r="AE140" i="5" s="1"/>
  <c r="AF140" i="5" s="1"/>
  <c r="B140" i="5" s="1"/>
  <c r="D140" i="5"/>
  <c r="D138" i="5"/>
  <c r="E138" i="5" s="1"/>
  <c r="F138" i="5" s="1"/>
  <c r="G138" i="5" s="1"/>
  <c r="H138" i="5" s="1"/>
  <c r="I138" i="5" s="1"/>
  <c r="J138" i="5" s="1"/>
  <c r="K138" i="5" s="1"/>
  <c r="L138" i="5" s="1"/>
  <c r="M138" i="5" s="1"/>
  <c r="N138" i="5" s="1"/>
  <c r="O138" i="5" s="1"/>
  <c r="P138" i="5" s="1"/>
  <c r="Q138" i="5" s="1"/>
  <c r="R138" i="5" s="1"/>
  <c r="S138" i="5" s="1"/>
  <c r="T138" i="5" s="1"/>
  <c r="U138" i="5" s="1"/>
  <c r="V138" i="5" s="1"/>
  <c r="W138" i="5" s="1"/>
  <c r="X138" i="5" s="1"/>
  <c r="Y138" i="5" s="1"/>
  <c r="Z138" i="5" s="1"/>
  <c r="AA138" i="5" s="1"/>
  <c r="AB138" i="5" s="1"/>
  <c r="AC138" i="5" s="1"/>
  <c r="AD138" i="5" s="1"/>
  <c r="AE138" i="5" s="1"/>
  <c r="AF138" i="5" s="1"/>
  <c r="B138" i="5" s="1"/>
  <c r="D137" i="5"/>
  <c r="E137" i="5" s="1"/>
  <c r="F137" i="5" s="1"/>
  <c r="G137" i="5" s="1"/>
  <c r="H137" i="5" s="1"/>
  <c r="I137" i="5" s="1"/>
  <c r="J137" i="5" s="1"/>
  <c r="K137" i="5" s="1"/>
  <c r="L137" i="5" s="1"/>
  <c r="M137" i="5" s="1"/>
  <c r="N137" i="5" s="1"/>
  <c r="O137" i="5" s="1"/>
  <c r="P137" i="5" s="1"/>
  <c r="Q137" i="5" s="1"/>
  <c r="R137" i="5" s="1"/>
  <c r="S137" i="5" s="1"/>
  <c r="T137" i="5" s="1"/>
  <c r="U137" i="5" s="1"/>
  <c r="V137" i="5" s="1"/>
  <c r="W137" i="5" s="1"/>
  <c r="X137" i="5" s="1"/>
  <c r="Y137" i="5" s="1"/>
  <c r="Z137" i="5" s="1"/>
  <c r="AA137" i="5" s="1"/>
  <c r="AB137" i="5" s="1"/>
  <c r="AC137" i="5" s="1"/>
  <c r="AD137" i="5" s="1"/>
  <c r="AE137" i="5" s="1"/>
  <c r="AF137" i="5" s="1"/>
  <c r="B137" i="5" s="1"/>
  <c r="E136" i="5"/>
  <c r="F136" i="5" s="1"/>
  <c r="G136" i="5" s="1"/>
  <c r="H136" i="5" s="1"/>
  <c r="I136" i="5" s="1"/>
  <c r="J136" i="5" s="1"/>
  <c r="K136" i="5" s="1"/>
  <c r="L136" i="5" s="1"/>
  <c r="M136" i="5" s="1"/>
  <c r="N136" i="5" s="1"/>
  <c r="O136" i="5" s="1"/>
  <c r="P136" i="5" s="1"/>
  <c r="Q136" i="5" s="1"/>
  <c r="R136" i="5" s="1"/>
  <c r="S136" i="5" s="1"/>
  <c r="T136" i="5" s="1"/>
  <c r="U136" i="5" s="1"/>
  <c r="V136" i="5" s="1"/>
  <c r="W136" i="5" s="1"/>
  <c r="X136" i="5" s="1"/>
  <c r="Y136" i="5" s="1"/>
  <c r="Z136" i="5" s="1"/>
  <c r="AA136" i="5" s="1"/>
  <c r="AB136" i="5" s="1"/>
  <c r="AC136" i="5" s="1"/>
  <c r="AD136" i="5" s="1"/>
  <c r="AE136" i="5" s="1"/>
  <c r="AF136" i="5" s="1"/>
  <c r="B136" i="5" s="1"/>
  <c r="D136" i="5"/>
  <c r="E135" i="5"/>
  <c r="F135" i="5" s="1"/>
  <c r="G135" i="5" s="1"/>
  <c r="H135" i="5" s="1"/>
  <c r="I135" i="5" s="1"/>
  <c r="J135" i="5" s="1"/>
  <c r="K135" i="5" s="1"/>
  <c r="L135" i="5" s="1"/>
  <c r="M135" i="5" s="1"/>
  <c r="N135" i="5" s="1"/>
  <c r="O135" i="5" s="1"/>
  <c r="P135" i="5" s="1"/>
  <c r="Q135" i="5" s="1"/>
  <c r="R135" i="5" s="1"/>
  <c r="S135" i="5" s="1"/>
  <c r="T135" i="5" s="1"/>
  <c r="U135" i="5" s="1"/>
  <c r="V135" i="5" s="1"/>
  <c r="W135" i="5" s="1"/>
  <c r="X135" i="5" s="1"/>
  <c r="Y135" i="5" s="1"/>
  <c r="Z135" i="5" s="1"/>
  <c r="AA135" i="5" s="1"/>
  <c r="AB135" i="5" s="1"/>
  <c r="AC135" i="5" s="1"/>
  <c r="AD135" i="5" s="1"/>
  <c r="AE135" i="5" s="1"/>
  <c r="AF135" i="5" s="1"/>
  <c r="B135" i="5" s="1"/>
  <c r="D135" i="5"/>
  <c r="D134" i="5"/>
  <c r="E134" i="5" s="1"/>
  <c r="F134" i="5" s="1"/>
  <c r="G134" i="5" s="1"/>
  <c r="H134" i="5" s="1"/>
  <c r="I134" i="5" s="1"/>
  <c r="J134" i="5" s="1"/>
  <c r="K134" i="5" s="1"/>
  <c r="L134" i="5" s="1"/>
  <c r="M134" i="5" s="1"/>
  <c r="N134" i="5" s="1"/>
  <c r="O134" i="5" s="1"/>
  <c r="P134" i="5" s="1"/>
  <c r="Q134" i="5" s="1"/>
  <c r="R134" i="5" s="1"/>
  <c r="S134" i="5" s="1"/>
  <c r="T134" i="5" s="1"/>
  <c r="U134" i="5" s="1"/>
  <c r="V134" i="5" s="1"/>
  <c r="W134" i="5" s="1"/>
  <c r="X134" i="5" s="1"/>
  <c r="Y134" i="5" s="1"/>
  <c r="Z134" i="5" s="1"/>
  <c r="AA134" i="5" s="1"/>
  <c r="AB134" i="5" s="1"/>
  <c r="AC134" i="5" s="1"/>
  <c r="AD134" i="5" s="1"/>
  <c r="AE134" i="5" s="1"/>
  <c r="AF134" i="5" s="1"/>
  <c r="B134" i="5" s="1"/>
  <c r="E133" i="5"/>
  <c r="F133" i="5" s="1"/>
  <c r="G133" i="5" s="1"/>
  <c r="H133" i="5" s="1"/>
  <c r="I133" i="5" s="1"/>
  <c r="J133" i="5" s="1"/>
  <c r="K133" i="5" s="1"/>
  <c r="L133" i="5" s="1"/>
  <c r="M133" i="5" s="1"/>
  <c r="N133" i="5" s="1"/>
  <c r="O133" i="5" s="1"/>
  <c r="P133" i="5" s="1"/>
  <c r="Q133" i="5" s="1"/>
  <c r="R133" i="5" s="1"/>
  <c r="S133" i="5" s="1"/>
  <c r="T133" i="5" s="1"/>
  <c r="U133" i="5" s="1"/>
  <c r="V133" i="5" s="1"/>
  <c r="W133" i="5" s="1"/>
  <c r="X133" i="5" s="1"/>
  <c r="Y133" i="5" s="1"/>
  <c r="Z133" i="5" s="1"/>
  <c r="AA133" i="5" s="1"/>
  <c r="AB133" i="5" s="1"/>
  <c r="AC133" i="5" s="1"/>
  <c r="AD133" i="5" s="1"/>
  <c r="AE133" i="5" s="1"/>
  <c r="AF133" i="5" s="1"/>
  <c r="B133" i="5" s="1"/>
  <c r="D133" i="5"/>
  <c r="J132" i="5"/>
  <c r="K132" i="5" s="1"/>
  <c r="L132" i="5" s="1"/>
  <c r="M132" i="5" s="1"/>
  <c r="N132" i="5" s="1"/>
  <c r="O132" i="5" s="1"/>
  <c r="P132" i="5" s="1"/>
  <c r="Q132" i="5" s="1"/>
  <c r="R132" i="5" s="1"/>
  <c r="S132" i="5" s="1"/>
  <c r="T132" i="5" s="1"/>
  <c r="U132" i="5" s="1"/>
  <c r="V132" i="5" s="1"/>
  <c r="W132" i="5" s="1"/>
  <c r="X132" i="5" s="1"/>
  <c r="Y132" i="5" s="1"/>
  <c r="Z132" i="5" s="1"/>
  <c r="AA132" i="5" s="1"/>
  <c r="AB132" i="5" s="1"/>
  <c r="AC132" i="5" s="1"/>
  <c r="AD132" i="5" s="1"/>
  <c r="AE132" i="5" s="1"/>
  <c r="AF132" i="5" s="1"/>
  <c r="B132" i="5" s="1"/>
  <c r="F132" i="5"/>
  <c r="G132" i="5" s="1"/>
  <c r="H132" i="5" s="1"/>
  <c r="I132" i="5" s="1"/>
  <c r="E132" i="5"/>
  <c r="D132" i="5"/>
  <c r="I131" i="5"/>
  <c r="J131" i="5" s="1"/>
  <c r="K131" i="5" s="1"/>
  <c r="L131" i="5" s="1"/>
  <c r="M131" i="5" s="1"/>
  <c r="N131" i="5" s="1"/>
  <c r="O131" i="5" s="1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AA131" i="5" s="1"/>
  <c r="AB131" i="5" s="1"/>
  <c r="AC131" i="5" s="1"/>
  <c r="AD131" i="5" s="1"/>
  <c r="AE131" i="5" s="1"/>
  <c r="AF131" i="5" s="1"/>
  <c r="B131" i="5" s="1"/>
  <c r="H131" i="5"/>
  <c r="D131" i="5"/>
  <c r="E131" i="5" s="1"/>
  <c r="F131" i="5" s="1"/>
  <c r="G131" i="5" s="1"/>
  <c r="Q129" i="5"/>
  <c r="R129" i="5" s="1"/>
  <c r="S129" i="5" s="1"/>
  <c r="T129" i="5" s="1"/>
  <c r="U129" i="5" s="1"/>
  <c r="V129" i="5" s="1"/>
  <c r="W129" i="5" s="1"/>
  <c r="X129" i="5" s="1"/>
  <c r="Y129" i="5" s="1"/>
  <c r="Z129" i="5" s="1"/>
  <c r="AA129" i="5" s="1"/>
  <c r="AB129" i="5" s="1"/>
  <c r="AC129" i="5" s="1"/>
  <c r="AD129" i="5" s="1"/>
  <c r="AE129" i="5" s="1"/>
  <c r="AF129" i="5" s="1"/>
  <c r="B129" i="5" s="1"/>
  <c r="G129" i="5"/>
  <c r="H129" i="5" s="1"/>
  <c r="I129" i="5" s="1"/>
  <c r="J129" i="5" s="1"/>
  <c r="K129" i="5" s="1"/>
  <c r="L129" i="5" s="1"/>
  <c r="M129" i="5" s="1"/>
  <c r="N129" i="5" s="1"/>
  <c r="O129" i="5" s="1"/>
  <c r="P129" i="5" s="1"/>
  <c r="F129" i="5"/>
  <c r="E129" i="5"/>
  <c r="D129" i="5"/>
  <c r="T128" i="5"/>
  <c r="U128" i="5" s="1"/>
  <c r="V128" i="5" s="1"/>
  <c r="W128" i="5" s="1"/>
  <c r="X128" i="5" s="1"/>
  <c r="Y128" i="5" s="1"/>
  <c r="Z128" i="5" s="1"/>
  <c r="AA128" i="5" s="1"/>
  <c r="AB128" i="5" s="1"/>
  <c r="AC128" i="5" s="1"/>
  <c r="AD128" i="5" s="1"/>
  <c r="AE128" i="5" s="1"/>
  <c r="AF128" i="5" s="1"/>
  <c r="B128" i="5" s="1"/>
  <c r="D128" i="5"/>
  <c r="E128" i="5" s="1"/>
  <c r="F128" i="5" s="1"/>
  <c r="G128" i="5" s="1"/>
  <c r="H128" i="5" s="1"/>
  <c r="I128" i="5" s="1"/>
  <c r="J128" i="5" s="1"/>
  <c r="K128" i="5" s="1"/>
  <c r="L128" i="5" s="1"/>
  <c r="M128" i="5" s="1"/>
  <c r="N128" i="5" s="1"/>
  <c r="O128" i="5" s="1"/>
  <c r="P128" i="5" s="1"/>
  <c r="Q128" i="5" s="1"/>
  <c r="R128" i="5" s="1"/>
  <c r="S128" i="5" s="1"/>
  <c r="F127" i="5"/>
  <c r="G127" i="5" s="1"/>
  <c r="H127" i="5" s="1"/>
  <c r="I127" i="5" s="1"/>
  <c r="J127" i="5" s="1"/>
  <c r="K127" i="5" s="1"/>
  <c r="L127" i="5" s="1"/>
  <c r="M127" i="5" s="1"/>
  <c r="N127" i="5" s="1"/>
  <c r="O127" i="5" s="1"/>
  <c r="P127" i="5" s="1"/>
  <c r="Q127" i="5" s="1"/>
  <c r="R127" i="5" s="1"/>
  <c r="S127" i="5" s="1"/>
  <c r="T127" i="5" s="1"/>
  <c r="U127" i="5" s="1"/>
  <c r="V127" i="5" s="1"/>
  <c r="W127" i="5" s="1"/>
  <c r="X127" i="5" s="1"/>
  <c r="Y127" i="5" s="1"/>
  <c r="Z127" i="5" s="1"/>
  <c r="AA127" i="5" s="1"/>
  <c r="AB127" i="5" s="1"/>
  <c r="AC127" i="5" s="1"/>
  <c r="AD127" i="5" s="1"/>
  <c r="AE127" i="5" s="1"/>
  <c r="AF127" i="5" s="1"/>
  <c r="B127" i="5" s="1"/>
  <c r="E127" i="5"/>
  <c r="D127" i="5"/>
  <c r="Q126" i="5"/>
  <c r="R126" i="5" s="1"/>
  <c r="S126" i="5" s="1"/>
  <c r="T126" i="5" s="1"/>
  <c r="U126" i="5" s="1"/>
  <c r="V126" i="5" s="1"/>
  <c r="W126" i="5" s="1"/>
  <c r="X126" i="5" s="1"/>
  <c r="Y126" i="5" s="1"/>
  <c r="Z126" i="5" s="1"/>
  <c r="AA126" i="5" s="1"/>
  <c r="AB126" i="5" s="1"/>
  <c r="AC126" i="5" s="1"/>
  <c r="AD126" i="5" s="1"/>
  <c r="AE126" i="5" s="1"/>
  <c r="AF126" i="5" s="1"/>
  <c r="B126" i="5" s="1"/>
  <c r="H126" i="5"/>
  <c r="I126" i="5" s="1"/>
  <c r="J126" i="5" s="1"/>
  <c r="K126" i="5" s="1"/>
  <c r="L126" i="5" s="1"/>
  <c r="M126" i="5" s="1"/>
  <c r="N126" i="5" s="1"/>
  <c r="O126" i="5" s="1"/>
  <c r="P126" i="5" s="1"/>
  <c r="D126" i="5"/>
  <c r="E126" i="5" s="1"/>
  <c r="F126" i="5" s="1"/>
  <c r="G126" i="5" s="1"/>
  <c r="O125" i="5"/>
  <c r="P125" i="5" s="1"/>
  <c r="Q125" i="5" s="1"/>
  <c r="R125" i="5" s="1"/>
  <c r="S125" i="5" s="1"/>
  <c r="T125" i="5" s="1"/>
  <c r="U125" i="5" s="1"/>
  <c r="V125" i="5" s="1"/>
  <c r="W125" i="5" s="1"/>
  <c r="X125" i="5" s="1"/>
  <c r="Y125" i="5" s="1"/>
  <c r="Z125" i="5" s="1"/>
  <c r="AA125" i="5" s="1"/>
  <c r="AB125" i="5" s="1"/>
  <c r="AC125" i="5" s="1"/>
  <c r="AD125" i="5" s="1"/>
  <c r="AE125" i="5" s="1"/>
  <c r="AF125" i="5" s="1"/>
  <c r="B125" i="5" s="1"/>
  <c r="J125" i="5"/>
  <c r="K125" i="5" s="1"/>
  <c r="L125" i="5" s="1"/>
  <c r="M125" i="5" s="1"/>
  <c r="N125" i="5" s="1"/>
  <c r="E125" i="5"/>
  <c r="F125" i="5" s="1"/>
  <c r="G125" i="5" s="1"/>
  <c r="H125" i="5" s="1"/>
  <c r="D125" i="5"/>
  <c r="AD124" i="5"/>
  <c r="AE124" i="5" s="1"/>
  <c r="AF124" i="5" s="1"/>
  <c r="B124" i="5" s="1"/>
  <c r="N124" i="5"/>
  <c r="O124" i="5" s="1"/>
  <c r="P124" i="5" s="1"/>
  <c r="Q124" i="5" s="1"/>
  <c r="R124" i="5" s="1"/>
  <c r="S124" i="5" s="1"/>
  <c r="T124" i="5" s="1"/>
  <c r="U124" i="5" s="1"/>
  <c r="V124" i="5" s="1"/>
  <c r="W124" i="5" s="1"/>
  <c r="X124" i="5" s="1"/>
  <c r="Y124" i="5" s="1"/>
  <c r="Z124" i="5" s="1"/>
  <c r="AA124" i="5" s="1"/>
  <c r="AB124" i="5" s="1"/>
  <c r="AC124" i="5" s="1"/>
  <c r="D124" i="5"/>
  <c r="E124" i="5" s="1"/>
  <c r="F124" i="5" s="1"/>
  <c r="G124" i="5" s="1"/>
  <c r="H124" i="5" s="1"/>
  <c r="I124" i="5" s="1"/>
  <c r="J124" i="5" s="1"/>
  <c r="K124" i="5" s="1"/>
  <c r="L124" i="5" s="1"/>
  <c r="M124" i="5" s="1"/>
  <c r="M123" i="5"/>
  <c r="N123" i="5" s="1"/>
  <c r="O123" i="5" s="1"/>
  <c r="P123" i="5" s="1"/>
  <c r="Q123" i="5" s="1"/>
  <c r="R123" i="5" s="1"/>
  <c r="S123" i="5" s="1"/>
  <c r="T123" i="5" s="1"/>
  <c r="U123" i="5" s="1"/>
  <c r="V123" i="5" s="1"/>
  <c r="W123" i="5" s="1"/>
  <c r="X123" i="5" s="1"/>
  <c r="Y123" i="5" s="1"/>
  <c r="Z123" i="5" s="1"/>
  <c r="AA123" i="5" s="1"/>
  <c r="AB123" i="5" s="1"/>
  <c r="AC123" i="5" s="1"/>
  <c r="AD123" i="5" s="1"/>
  <c r="AE123" i="5" s="1"/>
  <c r="AF123" i="5" s="1"/>
  <c r="B123" i="5" s="1"/>
  <c r="E123" i="5"/>
  <c r="F123" i="5" s="1"/>
  <c r="G123" i="5" s="1"/>
  <c r="H123" i="5" s="1"/>
  <c r="I123" i="5" s="1"/>
  <c r="J123" i="5" s="1"/>
  <c r="K123" i="5" s="1"/>
  <c r="L123" i="5" s="1"/>
  <c r="D123" i="5"/>
  <c r="R122" i="5"/>
  <c r="S122" i="5" s="1"/>
  <c r="T122" i="5" s="1"/>
  <c r="U122" i="5" s="1"/>
  <c r="V122" i="5" s="1"/>
  <c r="W122" i="5" s="1"/>
  <c r="X122" i="5" s="1"/>
  <c r="Y122" i="5" s="1"/>
  <c r="Z122" i="5" s="1"/>
  <c r="AA122" i="5" s="1"/>
  <c r="AB122" i="5" s="1"/>
  <c r="AC122" i="5" s="1"/>
  <c r="AD122" i="5" s="1"/>
  <c r="AE122" i="5" s="1"/>
  <c r="AF122" i="5" s="1"/>
  <c r="B122" i="5" s="1"/>
  <c r="D122" i="5"/>
  <c r="E122" i="5" s="1"/>
  <c r="F122" i="5" s="1"/>
  <c r="G122" i="5" s="1"/>
  <c r="H122" i="5" s="1"/>
  <c r="I122" i="5" s="1"/>
  <c r="J122" i="5" s="1"/>
  <c r="K122" i="5" s="1"/>
  <c r="L122" i="5" s="1"/>
  <c r="M122" i="5" s="1"/>
  <c r="N122" i="5" s="1"/>
  <c r="O122" i="5" s="1"/>
  <c r="P122" i="5" s="1"/>
  <c r="Q122" i="5" s="1"/>
  <c r="E121" i="5"/>
  <c r="F121" i="5" s="1"/>
  <c r="G121" i="5" s="1"/>
  <c r="H121" i="5" s="1"/>
  <c r="I121" i="5" s="1"/>
  <c r="J121" i="5" s="1"/>
  <c r="K121" i="5" s="1"/>
  <c r="L121" i="5" s="1"/>
  <c r="M121" i="5" s="1"/>
  <c r="N121" i="5" s="1"/>
  <c r="O121" i="5" s="1"/>
  <c r="P121" i="5" s="1"/>
  <c r="Q121" i="5" s="1"/>
  <c r="R121" i="5" s="1"/>
  <c r="S121" i="5" s="1"/>
  <c r="T121" i="5" s="1"/>
  <c r="U121" i="5" s="1"/>
  <c r="V121" i="5" s="1"/>
  <c r="W121" i="5" s="1"/>
  <c r="X121" i="5" s="1"/>
  <c r="Y121" i="5" s="1"/>
  <c r="Z121" i="5" s="1"/>
  <c r="AA121" i="5" s="1"/>
  <c r="AB121" i="5" s="1"/>
  <c r="AC121" i="5" s="1"/>
  <c r="AD121" i="5" s="1"/>
  <c r="AE121" i="5" s="1"/>
  <c r="AF121" i="5" s="1"/>
  <c r="B121" i="5" s="1"/>
  <c r="D121" i="5"/>
  <c r="H120" i="5"/>
  <c r="I120" i="5" s="1"/>
  <c r="J120" i="5" s="1"/>
  <c r="K120" i="5" s="1"/>
  <c r="L120" i="5" s="1"/>
  <c r="M120" i="5" s="1"/>
  <c r="N120" i="5" s="1"/>
  <c r="O120" i="5" s="1"/>
  <c r="P120" i="5" s="1"/>
  <c r="Q120" i="5" s="1"/>
  <c r="R120" i="5" s="1"/>
  <c r="S120" i="5" s="1"/>
  <c r="T120" i="5" s="1"/>
  <c r="U120" i="5" s="1"/>
  <c r="V120" i="5" s="1"/>
  <c r="W120" i="5" s="1"/>
  <c r="X120" i="5" s="1"/>
  <c r="Y120" i="5" s="1"/>
  <c r="Z120" i="5" s="1"/>
  <c r="AA120" i="5" s="1"/>
  <c r="AB120" i="5" s="1"/>
  <c r="AC120" i="5" s="1"/>
  <c r="AD120" i="5" s="1"/>
  <c r="AE120" i="5" s="1"/>
  <c r="AF120" i="5" s="1"/>
  <c r="B120" i="5" s="1"/>
  <c r="F120" i="5"/>
  <c r="G120" i="5" s="1"/>
  <c r="D120" i="5"/>
  <c r="E120" i="5" s="1"/>
  <c r="T119" i="5"/>
  <c r="U119" i="5" s="1"/>
  <c r="V119" i="5" s="1"/>
  <c r="W119" i="5" s="1"/>
  <c r="X119" i="5" s="1"/>
  <c r="Y119" i="5" s="1"/>
  <c r="Z119" i="5" s="1"/>
  <c r="AA119" i="5" s="1"/>
  <c r="AB119" i="5" s="1"/>
  <c r="AC119" i="5" s="1"/>
  <c r="AD119" i="5" s="1"/>
  <c r="AE119" i="5" s="1"/>
  <c r="AF119" i="5" s="1"/>
  <c r="B119" i="5" s="1"/>
  <c r="J119" i="5"/>
  <c r="K119" i="5" s="1"/>
  <c r="L119" i="5" s="1"/>
  <c r="M119" i="5" s="1"/>
  <c r="N119" i="5" s="1"/>
  <c r="O119" i="5" s="1"/>
  <c r="P119" i="5" s="1"/>
  <c r="Q119" i="5" s="1"/>
  <c r="R119" i="5" s="1"/>
  <c r="S119" i="5" s="1"/>
  <c r="E119" i="5"/>
  <c r="F119" i="5" s="1"/>
  <c r="G119" i="5" s="1"/>
  <c r="H119" i="5" s="1"/>
  <c r="I119" i="5" s="1"/>
  <c r="D119" i="5"/>
  <c r="D118" i="5"/>
  <c r="E118" i="5" s="1"/>
  <c r="F118" i="5" s="1"/>
  <c r="G118" i="5" s="1"/>
  <c r="H118" i="5" s="1"/>
  <c r="I118" i="5" s="1"/>
  <c r="J118" i="5" s="1"/>
  <c r="K118" i="5" s="1"/>
  <c r="L118" i="5" s="1"/>
  <c r="M118" i="5" s="1"/>
  <c r="N118" i="5" s="1"/>
  <c r="O118" i="5" s="1"/>
  <c r="P118" i="5" s="1"/>
  <c r="Q118" i="5" s="1"/>
  <c r="R118" i="5" s="1"/>
  <c r="S118" i="5" s="1"/>
  <c r="T118" i="5" s="1"/>
  <c r="U118" i="5" s="1"/>
  <c r="V118" i="5" s="1"/>
  <c r="W118" i="5" s="1"/>
  <c r="X118" i="5" s="1"/>
  <c r="Y118" i="5" s="1"/>
  <c r="Z118" i="5" s="1"/>
  <c r="AA118" i="5" s="1"/>
  <c r="AB118" i="5" s="1"/>
  <c r="AC118" i="5" s="1"/>
  <c r="AD118" i="5" s="1"/>
  <c r="AE118" i="5" s="1"/>
  <c r="AF118" i="5" s="1"/>
  <c r="B118" i="5" s="1"/>
  <c r="E117" i="5"/>
  <c r="F117" i="5" s="1"/>
  <c r="G117" i="5" s="1"/>
  <c r="H117" i="5" s="1"/>
  <c r="I117" i="5" s="1"/>
  <c r="J117" i="5" s="1"/>
  <c r="K117" i="5" s="1"/>
  <c r="L117" i="5" s="1"/>
  <c r="M117" i="5" s="1"/>
  <c r="N117" i="5" s="1"/>
  <c r="O117" i="5" s="1"/>
  <c r="P117" i="5" s="1"/>
  <c r="Q117" i="5" s="1"/>
  <c r="R117" i="5" s="1"/>
  <c r="S117" i="5" s="1"/>
  <c r="T117" i="5" s="1"/>
  <c r="U117" i="5" s="1"/>
  <c r="V117" i="5" s="1"/>
  <c r="W117" i="5" s="1"/>
  <c r="X117" i="5" s="1"/>
  <c r="Y117" i="5" s="1"/>
  <c r="Z117" i="5" s="1"/>
  <c r="AA117" i="5" s="1"/>
  <c r="AB117" i="5" s="1"/>
  <c r="AC117" i="5" s="1"/>
  <c r="AD117" i="5" s="1"/>
  <c r="AE117" i="5" s="1"/>
  <c r="AF117" i="5" s="1"/>
  <c r="B117" i="5" s="1"/>
  <c r="D117" i="5"/>
  <c r="D116" i="5"/>
  <c r="E116" i="5" s="1"/>
  <c r="F116" i="5" s="1"/>
  <c r="G116" i="5" s="1"/>
  <c r="H116" i="5" s="1"/>
  <c r="I116" i="5" s="1"/>
  <c r="J116" i="5" s="1"/>
  <c r="K116" i="5" s="1"/>
  <c r="L116" i="5" s="1"/>
  <c r="M116" i="5" s="1"/>
  <c r="N116" i="5" s="1"/>
  <c r="O116" i="5" s="1"/>
  <c r="P116" i="5" s="1"/>
  <c r="Q116" i="5" s="1"/>
  <c r="R116" i="5" s="1"/>
  <c r="S116" i="5" s="1"/>
  <c r="T116" i="5" s="1"/>
  <c r="U116" i="5" s="1"/>
  <c r="V116" i="5" s="1"/>
  <c r="W116" i="5" s="1"/>
  <c r="X116" i="5" s="1"/>
  <c r="Y116" i="5" s="1"/>
  <c r="Z116" i="5" s="1"/>
  <c r="AA116" i="5" s="1"/>
  <c r="AB116" i="5" s="1"/>
  <c r="AC116" i="5" s="1"/>
  <c r="AD116" i="5" s="1"/>
  <c r="AE116" i="5" s="1"/>
  <c r="AF116" i="5" s="1"/>
  <c r="B116" i="5" s="1"/>
  <c r="F115" i="5"/>
  <c r="G115" i="5" s="1"/>
  <c r="H115" i="5" s="1"/>
  <c r="I115" i="5" s="1"/>
  <c r="J115" i="5" s="1"/>
  <c r="K115" i="5" s="1"/>
  <c r="L115" i="5" s="1"/>
  <c r="M115" i="5" s="1"/>
  <c r="N115" i="5" s="1"/>
  <c r="O115" i="5" s="1"/>
  <c r="P115" i="5" s="1"/>
  <c r="Q115" i="5" s="1"/>
  <c r="R115" i="5" s="1"/>
  <c r="S115" i="5" s="1"/>
  <c r="T115" i="5" s="1"/>
  <c r="U115" i="5" s="1"/>
  <c r="V115" i="5" s="1"/>
  <c r="W115" i="5" s="1"/>
  <c r="X115" i="5" s="1"/>
  <c r="Y115" i="5" s="1"/>
  <c r="Z115" i="5" s="1"/>
  <c r="AA115" i="5" s="1"/>
  <c r="AB115" i="5" s="1"/>
  <c r="AC115" i="5" s="1"/>
  <c r="AD115" i="5" s="1"/>
  <c r="AE115" i="5" s="1"/>
  <c r="AF115" i="5" s="1"/>
  <c r="B115" i="5" s="1"/>
  <c r="D115" i="5"/>
  <c r="E115" i="5" s="1"/>
  <c r="O114" i="5"/>
  <c r="P114" i="5" s="1"/>
  <c r="Q114" i="5" s="1"/>
  <c r="R114" i="5" s="1"/>
  <c r="S114" i="5" s="1"/>
  <c r="T114" i="5" s="1"/>
  <c r="U114" i="5" s="1"/>
  <c r="V114" i="5" s="1"/>
  <c r="W114" i="5" s="1"/>
  <c r="X114" i="5" s="1"/>
  <c r="Y114" i="5" s="1"/>
  <c r="Z114" i="5" s="1"/>
  <c r="AA114" i="5" s="1"/>
  <c r="AB114" i="5" s="1"/>
  <c r="AC114" i="5" s="1"/>
  <c r="AD114" i="5" s="1"/>
  <c r="AE114" i="5" s="1"/>
  <c r="AF114" i="5" s="1"/>
  <c r="B114" i="5" s="1"/>
  <c r="L114" i="5"/>
  <c r="M114" i="5" s="1"/>
  <c r="N114" i="5" s="1"/>
  <c r="K114" i="5"/>
  <c r="F114" i="5"/>
  <c r="G114" i="5" s="1"/>
  <c r="H114" i="5" s="1"/>
  <c r="I114" i="5" s="1"/>
  <c r="E114" i="5"/>
  <c r="D114" i="5"/>
  <c r="I113" i="5"/>
  <c r="J113" i="5" s="1"/>
  <c r="K113" i="5" s="1"/>
  <c r="L113" i="5" s="1"/>
  <c r="M113" i="5" s="1"/>
  <c r="N113" i="5" s="1"/>
  <c r="O113" i="5" s="1"/>
  <c r="P113" i="5" s="1"/>
  <c r="Q113" i="5" s="1"/>
  <c r="R113" i="5" s="1"/>
  <c r="S113" i="5" s="1"/>
  <c r="T113" i="5" s="1"/>
  <c r="U113" i="5" s="1"/>
  <c r="V113" i="5" s="1"/>
  <c r="W113" i="5" s="1"/>
  <c r="X113" i="5" s="1"/>
  <c r="Y113" i="5" s="1"/>
  <c r="Z113" i="5" s="1"/>
  <c r="AA113" i="5" s="1"/>
  <c r="AB113" i="5" s="1"/>
  <c r="AC113" i="5" s="1"/>
  <c r="AD113" i="5" s="1"/>
  <c r="AE113" i="5" s="1"/>
  <c r="AF113" i="5" s="1"/>
  <c r="B113" i="5" s="1"/>
  <c r="E113" i="5"/>
  <c r="F113" i="5" s="1"/>
  <c r="G113" i="5" s="1"/>
  <c r="H113" i="5" s="1"/>
  <c r="D113" i="5"/>
  <c r="G112" i="5"/>
  <c r="H112" i="5" s="1"/>
  <c r="I112" i="5" s="1"/>
  <c r="J112" i="5" s="1"/>
  <c r="K112" i="5" s="1"/>
  <c r="L112" i="5" s="1"/>
  <c r="M112" i="5" s="1"/>
  <c r="N112" i="5" s="1"/>
  <c r="O112" i="5" s="1"/>
  <c r="P112" i="5" s="1"/>
  <c r="Q112" i="5" s="1"/>
  <c r="R112" i="5" s="1"/>
  <c r="S112" i="5" s="1"/>
  <c r="T112" i="5" s="1"/>
  <c r="U112" i="5" s="1"/>
  <c r="V112" i="5" s="1"/>
  <c r="W112" i="5" s="1"/>
  <c r="X112" i="5" s="1"/>
  <c r="Y112" i="5" s="1"/>
  <c r="Z112" i="5" s="1"/>
  <c r="AA112" i="5" s="1"/>
  <c r="AB112" i="5" s="1"/>
  <c r="AC112" i="5" s="1"/>
  <c r="AD112" i="5" s="1"/>
  <c r="AE112" i="5" s="1"/>
  <c r="AF112" i="5" s="1"/>
  <c r="B112" i="5" s="1"/>
  <c r="E112" i="5"/>
  <c r="F112" i="5" s="1"/>
  <c r="D112" i="5"/>
  <c r="I110" i="5"/>
  <c r="J110" i="5" s="1"/>
  <c r="K110" i="5" s="1"/>
  <c r="L110" i="5" s="1"/>
  <c r="M110" i="5" s="1"/>
  <c r="N110" i="5" s="1"/>
  <c r="O110" i="5" s="1"/>
  <c r="P110" i="5" s="1"/>
  <c r="Q110" i="5" s="1"/>
  <c r="R110" i="5" s="1"/>
  <c r="S110" i="5" s="1"/>
  <c r="T110" i="5" s="1"/>
  <c r="U110" i="5" s="1"/>
  <c r="V110" i="5" s="1"/>
  <c r="W110" i="5" s="1"/>
  <c r="X110" i="5" s="1"/>
  <c r="Y110" i="5" s="1"/>
  <c r="Z110" i="5" s="1"/>
  <c r="AA110" i="5" s="1"/>
  <c r="AB110" i="5" s="1"/>
  <c r="AC110" i="5" s="1"/>
  <c r="AD110" i="5" s="1"/>
  <c r="AE110" i="5" s="1"/>
  <c r="AF110" i="5" s="1"/>
  <c r="B110" i="5" s="1"/>
  <c r="H110" i="5"/>
  <c r="E110" i="5"/>
  <c r="F110" i="5" s="1"/>
  <c r="G110" i="5" s="1"/>
  <c r="D110" i="5"/>
  <c r="E109" i="5"/>
  <c r="F109" i="5" s="1"/>
  <c r="D109" i="5"/>
  <c r="D107" i="5"/>
  <c r="E107" i="5" s="1"/>
  <c r="F107" i="5" s="1"/>
  <c r="G107" i="5" s="1"/>
  <c r="H107" i="5" s="1"/>
  <c r="I107" i="5" s="1"/>
  <c r="J107" i="5" s="1"/>
  <c r="K107" i="5" s="1"/>
  <c r="L107" i="5" s="1"/>
  <c r="M107" i="5" s="1"/>
  <c r="N107" i="5" s="1"/>
  <c r="O107" i="5" s="1"/>
  <c r="P107" i="5" s="1"/>
  <c r="Q107" i="5" s="1"/>
  <c r="R107" i="5" s="1"/>
  <c r="S107" i="5" s="1"/>
  <c r="T107" i="5" s="1"/>
  <c r="U107" i="5" s="1"/>
  <c r="V107" i="5" s="1"/>
  <c r="W107" i="5" s="1"/>
  <c r="X107" i="5" s="1"/>
  <c r="Y107" i="5" s="1"/>
  <c r="Z107" i="5" s="1"/>
  <c r="AA107" i="5" s="1"/>
  <c r="AB107" i="5" s="1"/>
  <c r="AC107" i="5" s="1"/>
  <c r="AD107" i="5" s="1"/>
  <c r="AE107" i="5" s="1"/>
  <c r="AF107" i="5" s="1"/>
  <c r="B107" i="5" s="1"/>
  <c r="E106" i="5"/>
  <c r="F106" i="5" s="1"/>
  <c r="G106" i="5" s="1"/>
  <c r="H106" i="5" s="1"/>
  <c r="I106" i="5" s="1"/>
  <c r="J106" i="5" s="1"/>
  <c r="K106" i="5" s="1"/>
  <c r="L106" i="5" s="1"/>
  <c r="M106" i="5" s="1"/>
  <c r="N106" i="5" s="1"/>
  <c r="O106" i="5" s="1"/>
  <c r="P106" i="5" s="1"/>
  <c r="Q106" i="5" s="1"/>
  <c r="R106" i="5" s="1"/>
  <c r="S106" i="5" s="1"/>
  <c r="T106" i="5" s="1"/>
  <c r="U106" i="5" s="1"/>
  <c r="V106" i="5" s="1"/>
  <c r="W106" i="5" s="1"/>
  <c r="X106" i="5" s="1"/>
  <c r="Y106" i="5" s="1"/>
  <c r="Z106" i="5" s="1"/>
  <c r="AA106" i="5" s="1"/>
  <c r="AB106" i="5" s="1"/>
  <c r="AC106" i="5" s="1"/>
  <c r="AD106" i="5" s="1"/>
  <c r="AE106" i="5" s="1"/>
  <c r="AF106" i="5" s="1"/>
  <c r="B106" i="5" s="1"/>
  <c r="D106" i="5"/>
  <c r="E105" i="5"/>
  <c r="F105" i="5" s="1"/>
  <c r="G105" i="5" s="1"/>
  <c r="H105" i="5" s="1"/>
  <c r="I105" i="5" s="1"/>
  <c r="J105" i="5" s="1"/>
  <c r="K105" i="5" s="1"/>
  <c r="L105" i="5" s="1"/>
  <c r="M105" i="5" s="1"/>
  <c r="N105" i="5" s="1"/>
  <c r="O105" i="5" s="1"/>
  <c r="P105" i="5" s="1"/>
  <c r="Q105" i="5" s="1"/>
  <c r="R105" i="5" s="1"/>
  <c r="S105" i="5" s="1"/>
  <c r="T105" i="5" s="1"/>
  <c r="U105" i="5" s="1"/>
  <c r="V105" i="5" s="1"/>
  <c r="W105" i="5" s="1"/>
  <c r="X105" i="5" s="1"/>
  <c r="Y105" i="5" s="1"/>
  <c r="Z105" i="5" s="1"/>
  <c r="AA105" i="5" s="1"/>
  <c r="AB105" i="5" s="1"/>
  <c r="AC105" i="5" s="1"/>
  <c r="AD105" i="5" s="1"/>
  <c r="AE105" i="5" s="1"/>
  <c r="AF105" i="5" s="1"/>
  <c r="B105" i="5" s="1"/>
  <c r="D105" i="5"/>
  <c r="E104" i="5"/>
  <c r="F104" i="5" s="1"/>
  <c r="G104" i="5" s="1"/>
  <c r="H104" i="5" s="1"/>
  <c r="I104" i="5" s="1"/>
  <c r="J104" i="5" s="1"/>
  <c r="K104" i="5" s="1"/>
  <c r="L104" i="5" s="1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AA104" i="5" s="1"/>
  <c r="AB104" i="5" s="1"/>
  <c r="AC104" i="5" s="1"/>
  <c r="AD104" i="5" s="1"/>
  <c r="AE104" i="5" s="1"/>
  <c r="AF104" i="5" s="1"/>
  <c r="B104" i="5" s="1"/>
  <c r="D104" i="5"/>
  <c r="J103" i="5"/>
  <c r="I103" i="5"/>
  <c r="E103" i="5"/>
  <c r="F103" i="5" s="1"/>
  <c r="G103" i="5" s="1"/>
  <c r="H103" i="5" s="1"/>
  <c r="D103" i="5"/>
  <c r="E102" i="5"/>
  <c r="D102" i="5"/>
  <c r="AH100" i="5"/>
  <c r="AI100" i="5" s="1"/>
  <c r="AH99" i="5"/>
  <c r="AI99" i="5" s="1"/>
  <c r="AH98" i="5"/>
  <c r="AI98" i="5" s="1"/>
  <c r="AH97" i="5"/>
  <c r="AI97" i="5" s="1"/>
  <c r="AH96" i="5"/>
  <c r="AI96" i="5" s="1"/>
  <c r="AH94" i="5"/>
  <c r="AI94" i="5" s="1"/>
  <c r="D93" i="5"/>
  <c r="C93" i="5"/>
  <c r="AI91" i="5"/>
  <c r="AH91" i="5"/>
  <c r="AI90" i="5"/>
  <c r="AH90" i="5"/>
  <c r="AI89" i="5"/>
  <c r="AH89" i="5"/>
  <c r="AI88" i="5"/>
  <c r="AH88" i="5"/>
  <c r="AI87" i="5"/>
  <c r="AH87" i="5"/>
  <c r="AI86" i="5"/>
  <c r="AH86" i="5"/>
  <c r="AI85" i="5"/>
  <c r="AH85" i="5"/>
  <c r="AI84" i="5"/>
  <c r="AH84" i="5"/>
  <c r="AI82" i="5"/>
  <c r="AH82" i="5"/>
  <c r="AG82" i="5"/>
  <c r="AI81" i="5"/>
  <c r="AH81" i="5"/>
  <c r="AI80" i="5"/>
  <c r="AH80" i="5"/>
  <c r="AI79" i="5"/>
  <c r="AH79" i="5"/>
  <c r="AI78" i="5"/>
  <c r="AH78" i="5"/>
  <c r="AI77" i="5"/>
  <c r="AH77" i="5"/>
  <c r="AI76" i="5"/>
  <c r="AH76" i="5"/>
  <c r="AI73" i="5"/>
  <c r="AH73" i="5"/>
  <c r="AI72" i="5"/>
  <c r="AH72" i="5"/>
  <c r="AG72" i="5"/>
  <c r="AI71" i="5"/>
  <c r="AH71" i="5"/>
  <c r="AI70" i="5"/>
  <c r="AH70" i="5"/>
  <c r="AI69" i="5"/>
  <c r="AH69" i="5"/>
  <c r="AG68" i="5"/>
  <c r="AG75" i="5" s="1"/>
  <c r="AF68" i="5"/>
  <c r="AE5" i="5" s="1"/>
  <c r="AE68" i="5"/>
  <c r="AD5" i="5" s="1"/>
  <c r="AD68" i="5"/>
  <c r="AC68" i="5"/>
  <c r="AB5" i="5" s="1"/>
  <c r="AB68" i="5"/>
  <c r="AA5" i="5" s="1"/>
  <c r="Z5" i="5"/>
  <c r="Z68" i="5"/>
  <c r="Y5" i="5" s="1"/>
  <c r="Y68" i="5"/>
  <c r="X5" i="5" s="1"/>
  <c r="X68" i="5"/>
  <c r="W68" i="5"/>
  <c r="V68" i="5"/>
  <c r="U68" i="5"/>
  <c r="T68" i="5"/>
  <c r="S5" i="5" s="1"/>
  <c r="S68" i="5"/>
  <c r="R5" i="5" s="1"/>
  <c r="R68" i="5"/>
  <c r="Q68" i="5"/>
  <c r="P68" i="5"/>
  <c r="O5" i="5" s="1"/>
  <c r="O68" i="5"/>
  <c r="N68" i="5"/>
  <c r="M5" i="5" s="1"/>
  <c r="M68" i="5"/>
  <c r="L5" i="5" s="1"/>
  <c r="L68" i="5"/>
  <c r="K5" i="5" s="1"/>
  <c r="K68" i="5"/>
  <c r="J5" i="5" s="1"/>
  <c r="J68" i="5"/>
  <c r="I5" i="5" s="1"/>
  <c r="I68" i="5"/>
  <c r="H5" i="5" s="1"/>
  <c r="H68" i="5"/>
  <c r="G68" i="5"/>
  <c r="F5" i="5" s="1"/>
  <c r="F68" i="5"/>
  <c r="E5" i="5" s="1"/>
  <c r="E68" i="5"/>
  <c r="D5" i="5" s="1"/>
  <c r="D68" i="5"/>
  <c r="C5" i="5" s="1"/>
  <c r="C68" i="5"/>
  <c r="B5" i="5" s="1"/>
  <c r="AI67" i="5"/>
  <c r="AH67" i="5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G56" i="5"/>
  <c r="AG4" i="5" s="1"/>
  <c r="AF56" i="5"/>
  <c r="AE56" i="5"/>
  <c r="AD56" i="5"/>
  <c r="AC56" i="5"/>
  <c r="AB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I55" i="5"/>
  <c r="AH55" i="5"/>
  <c r="AI54" i="5"/>
  <c r="AH54" i="5"/>
  <c r="AI53" i="5"/>
  <c r="AH53" i="5"/>
  <c r="AG52" i="5"/>
  <c r="AF52" i="5"/>
  <c r="AE52" i="5"/>
  <c r="AD52" i="5"/>
  <c r="AC52" i="5"/>
  <c r="AB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I51" i="5"/>
  <c r="AH51" i="5"/>
  <c r="AG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G38" i="5"/>
  <c r="AG2" i="5" s="1"/>
  <c r="AG6" i="5" s="1"/>
  <c r="AF38" i="5"/>
  <c r="AE38" i="5"/>
  <c r="AD38" i="5"/>
  <c r="AC38" i="5"/>
  <c r="AB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L38" i="5"/>
  <c r="K38" i="5"/>
  <c r="J38" i="5"/>
  <c r="I38" i="5"/>
  <c r="H38" i="5"/>
  <c r="G38" i="5"/>
  <c r="F38" i="5"/>
  <c r="E38" i="5"/>
  <c r="D38" i="5"/>
  <c r="C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F5" i="5"/>
  <c r="AC5" i="5"/>
  <c r="V5" i="5"/>
  <c r="U5" i="5"/>
  <c r="T5" i="5"/>
  <c r="Q5" i="5"/>
  <c r="N5" i="5"/>
  <c r="K4" i="5"/>
  <c r="B4" i="5"/>
  <c r="AG3" i="5"/>
  <c r="AF95" i="1"/>
  <c r="AF37" i="1"/>
  <c r="AE95" i="1"/>
  <c r="AE37" i="1"/>
  <c r="AD37" i="1"/>
  <c r="AC37" i="1"/>
  <c r="AB37" i="1"/>
  <c r="W37" i="1"/>
  <c r="R95" i="1"/>
  <c r="Q95" i="1"/>
  <c r="R37" i="1"/>
  <c r="Q37" i="1"/>
  <c r="P95" i="1"/>
  <c r="P37" i="1"/>
  <c r="O95" i="1"/>
  <c r="O37" i="1"/>
  <c r="E4" i="5"/>
  <c r="AE75" i="5" l="1"/>
  <c r="AD75" i="5"/>
  <c r="AV214" i="5" s="1"/>
  <c r="AC75" i="5"/>
  <c r="AU214" i="5" s="1"/>
  <c r="Z75" i="5"/>
  <c r="AR214" i="5" s="1"/>
  <c r="W75" i="5"/>
  <c r="X75" i="5"/>
  <c r="X7" i="5" s="1"/>
  <c r="V75" i="5"/>
  <c r="AN214" i="5" s="1"/>
  <c r="U75" i="5"/>
  <c r="R75" i="5"/>
  <c r="Q75" i="5"/>
  <c r="N75" i="5"/>
  <c r="M75" i="5"/>
  <c r="AE214" i="5" s="1"/>
  <c r="AI56" i="5"/>
  <c r="O75" i="5"/>
  <c r="O83" i="5" s="1"/>
  <c r="H75" i="5"/>
  <c r="Z214" i="5" s="1"/>
  <c r="J75" i="5"/>
  <c r="J7" i="5" s="1"/>
  <c r="G75" i="5"/>
  <c r="G83" i="5" s="1"/>
  <c r="F75" i="5"/>
  <c r="F7" i="5" s="1"/>
  <c r="E75" i="5"/>
  <c r="W214" i="5" s="1"/>
  <c r="AI52" i="5"/>
  <c r="B75" i="5"/>
  <c r="B83" i="5" s="1"/>
  <c r="AH56" i="5"/>
  <c r="AH52" i="5"/>
  <c r="AI38" i="5"/>
  <c r="H4" i="5"/>
  <c r="M7" i="5"/>
  <c r="AF214" i="5"/>
  <c r="N83" i="5"/>
  <c r="N7" i="5"/>
  <c r="V7" i="5"/>
  <c r="Y214" i="5"/>
  <c r="G7" i="5"/>
  <c r="AG214" i="5"/>
  <c r="O7" i="5"/>
  <c r="AO214" i="5"/>
  <c r="W7" i="5"/>
  <c r="W83" i="5"/>
  <c r="AW214" i="5"/>
  <c r="AE7" i="5"/>
  <c r="AE83" i="5"/>
  <c r="G109" i="5"/>
  <c r="AC83" i="5"/>
  <c r="AC7" i="5"/>
  <c r="H83" i="5"/>
  <c r="AP214" i="5"/>
  <c r="T214" i="5"/>
  <c r="B7" i="5"/>
  <c r="AJ214" i="5"/>
  <c r="R7" i="5"/>
  <c r="R83" i="5"/>
  <c r="AM214" i="5"/>
  <c r="U83" i="5"/>
  <c r="U7" i="5"/>
  <c r="AI214" i="5"/>
  <c r="Q7" i="5"/>
  <c r="Q83" i="5"/>
  <c r="P75" i="5"/>
  <c r="AF75" i="5"/>
  <c r="K103" i="5"/>
  <c r="AH68" i="5"/>
  <c r="S211" i="5"/>
  <c r="D211" i="5"/>
  <c r="I75" i="5"/>
  <c r="AI68" i="5"/>
  <c r="C75" i="5"/>
  <c r="K75" i="5"/>
  <c r="S75" i="5"/>
  <c r="W5" i="5"/>
  <c r="D75" i="5"/>
  <c r="L75" i="5"/>
  <c r="T75" i="5"/>
  <c r="AB75" i="5"/>
  <c r="E192" i="5"/>
  <c r="P5" i="5"/>
  <c r="AH38" i="5"/>
  <c r="AG73" i="5"/>
  <c r="AG83" i="5" s="1"/>
  <c r="F102" i="5"/>
  <c r="Y75" i="5"/>
  <c r="G5" i="5"/>
  <c r="D192" i="5"/>
  <c r="H199" i="5"/>
  <c r="F235" i="5"/>
  <c r="E235" i="5"/>
  <c r="E194" i="5"/>
  <c r="AD83" i="5" l="1"/>
  <c r="AD7" i="5"/>
  <c r="Z83" i="5"/>
  <c r="Z7" i="5"/>
  <c r="X83" i="5"/>
  <c r="V83" i="5"/>
  <c r="M83" i="5"/>
  <c r="E7" i="5"/>
  <c r="E83" i="5"/>
  <c r="F83" i="5"/>
  <c r="X214" i="5"/>
  <c r="J83" i="5"/>
  <c r="AB214" i="5"/>
  <c r="H7" i="5"/>
  <c r="C209" i="5"/>
  <c r="K6" i="5" s="1"/>
  <c r="B209" i="5"/>
  <c r="AI75" i="5"/>
  <c r="AH75" i="5"/>
  <c r="V214" i="5"/>
  <c r="D83" i="5"/>
  <c r="D7" i="5"/>
  <c r="E200" i="5"/>
  <c r="F194" i="5"/>
  <c r="E93" i="5"/>
  <c r="F192" i="5"/>
  <c r="G102" i="5"/>
  <c r="G235" i="5"/>
  <c r="I199" i="5"/>
  <c r="AK214" i="5"/>
  <c r="S83" i="5"/>
  <c r="S7" i="5"/>
  <c r="L103" i="5"/>
  <c r="AC214" i="5"/>
  <c r="K83" i="5"/>
  <c r="K7" i="5"/>
  <c r="AX214" i="5"/>
  <c r="AF7" i="5"/>
  <c r="AF83" i="5"/>
  <c r="H109" i="5"/>
  <c r="U214" i="5"/>
  <c r="C7" i="5"/>
  <c r="C83" i="5"/>
  <c r="AT214" i="5"/>
  <c r="AB83" i="5"/>
  <c r="AB7" i="5"/>
  <c r="AH214" i="5"/>
  <c r="P7" i="5"/>
  <c r="P83" i="5"/>
  <c r="AL214" i="5"/>
  <c r="T83" i="5"/>
  <c r="T7" i="5"/>
  <c r="AS214" i="5"/>
  <c r="AA7" i="5"/>
  <c r="AQ214" i="5"/>
  <c r="Y7" i="5"/>
  <c r="Y83" i="5"/>
  <c r="AD214" i="5"/>
  <c r="L83" i="5"/>
  <c r="L7" i="5"/>
  <c r="AA214" i="5"/>
  <c r="I7" i="5"/>
  <c r="I83" i="5"/>
  <c r="A7" i="5" l="1"/>
  <c r="AI83" i="5"/>
  <c r="I109" i="5"/>
  <c r="G192" i="5"/>
  <c r="H102" i="5"/>
  <c r="AH83" i="5"/>
  <c r="M103" i="5"/>
  <c r="G194" i="5"/>
  <c r="F200" i="5"/>
  <c r="F93" i="5"/>
  <c r="H235" i="5"/>
  <c r="J199" i="5"/>
  <c r="N103" i="5" l="1"/>
  <c r="I235" i="5"/>
  <c r="K199" i="5"/>
  <c r="H192" i="5"/>
  <c r="I102" i="5"/>
  <c r="H194" i="5"/>
  <c r="G200" i="5"/>
  <c r="G93" i="5"/>
  <c r="J109" i="5"/>
  <c r="J235" i="5" l="1"/>
  <c r="L199" i="5"/>
  <c r="I194" i="5"/>
  <c r="H200" i="5"/>
  <c r="H93" i="5"/>
  <c r="K109" i="5"/>
  <c r="O103" i="5"/>
  <c r="I192" i="5"/>
  <c r="J102" i="5"/>
  <c r="L109" i="5" l="1"/>
  <c r="J192" i="5"/>
  <c r="K102" i="5"/>
  <c r="J194" i="5"/>
  <c r="I200" i="5"/>
  <c r="I93" i="5"/>
  <c r="K235" i="5"/>
  <c r="M199" i="5"/>
  <c r="P103" i="5"/>
  <c r="J200" i="5" l="1"/>
  <c r="K194" i="5"/>
  <c r="J93" i="5"/>
  <c r="K192" i="5"/>
  <c r="L102" i="5"/>
  <c r="Q103" i="5"/>
  <c r="N199" i="5"/>
  <c r="L235" i="5"/>
  <c r="M109" i="5"/>
  <c r="L192" i="5" l="1"/>
  <c r="M102" i="5"/>
  <c r="N109" i="5"/>
  <c r="K200" i="5"/>
  <c r="L194" i="5"/>
  <c r="K93" i="5"/>
  <c r="R103" i="5"/>
  <c r="O199" i="5"/>
  <c r="M235" i="5"/>
  <c r="S103" i="5" l="1"/>
  <c r="L200" i="5"/>
  <c r="M194" i="5"/>
  <c r="L93" i="5"/>
  <c r="O109" i="5"/>
  <c r="N235" i="5"/>
  <c r="P199" i="5"/>
  <c r="M192" i="5"/>
  <c r="N102" i="5"/>
  <c r="P109" i="5" l="1"/>
  <c r="N192" i="5"/>
  <c r="O102" i="5"/>
  <c r="M200" i="5"/>
  <c r="N194" i="5"/>
  <c r="M93" i="5"/>
  <c r="O235" i="5"/>
  <c r="Q199" i="5"/>
  <c r="T103" i="5"/>
  <c r="N200" i="5" l="1"/>
  <c r="O194" i="5"/>
  <c r="N93" i="5"/>
  <c r="U103" i="5"/>
  <c r="O192" i="5"/>
  <c r="P102" i="5"/>
  <c r="P235" i="5"/>
  <c r="R199" i="5"/>
  <c r="Q109" i="5"/>
  <c r="P192" i="5" l="1"/>
  <c r="Q102" i="5"/>
  <c r="V103" i="5"/>
  <c r="R109" i="5"/>
  <c r="P194" i="5"/>
  <c r="O200" i="5"/>
  <c r="O93" i="5"/>
  <c r="Q235" i="5"/>
  <c r="S199" i="5"/>
  <c r="S109" i="5" l="1"/>
  <c r="W103" i="5"/>
  <c r="Q194" i="5"/>
  <c r="P200" i="5"/>
  <c r="P93" i="5"/>
  <c r="R235" i="5"/>
  <c r="T199" i="5"/>
  <c r="Q192" i="5"/>
  <c r="R102" i="5"/>
  <c r="R194" i="5" l="1"/>
  <c r="Q200" i="5"/>
  <c r="Q93" i="5"/>
  <c r="R192" i="5"/>
  <c r="S102" i="5"/>
  <c r="X103" i="5"/>
  <c r="S235" i="5"/>
  <c r="U199" i="5"/>
  <c r="T109" i="5"/>
  <c r="Y103" i="5" l="1"/>
  <c r="S192" i="5"/>
  <c r="T102" i="5"/>
  <c r="U109" i="5"/>
  <c r="T235" i="5"/>
  <c r="V199" i="5"/>
  <c r="S194" i="5"/>
  <c r="R200" i="5"/>
  <c r="R93" i="5"/>
  <c r="U235" i="5" l="1"/>
  <c r="W199" i="5"/>
  <c r="V109" i="5"/>
  <c r="T192" i="5"/>
  <c r="U102" i="5"/>
  <c r="S200" i="5"/>
  <c r="T194" i="5"/>
  <c r="S93" i="5"/>
  <c r="Z103" i="5"/>
  <c r="T200" i="5" l="1"/>
  <c r="U194" i="5"/>
  <c r="T93" i="5"/>
  <c r="U192" i="5"/>
  <c r="V102" i="5"/>
  <c r="AA103" i="5"/>
  <c r="W109" i="5"/>
  <c r="V235" i="5"/>
  <c r="X199" i="5"/>
  <c r="X109" i="5" l="1"/>
  <c r="V192" i="5"/>
  <c r="W102" i="5"/>
  <c r="U200" i="5"/>
  <c r="V194" i="5"/>
  <c r="U93" i="5"/>
  <c r="AB103" i="5"/>
  <c r="W235" i="5"/>
  <c r="Y199" i="5"/>
  <c r="V200" i="5" l="1"/>
  <c r="W194" i="5"/>
  <c r="V93" i="5"/>
  <c r="W192" i="5"/>
  <c r="X102" i="5"/>
  <c r="X235" i="5"/>
  <c r="Z199" i="5"/>
  <c r="AC103" i="5"/>
  <c r="Y109" i="5"/>
  <c r="Y235" i="5" l="1"/>
  <c r="AA199" i="5"/>
  <c r="X192" i="5"/>
  <c r="Y102" i="5"/>
  <c r="X194" i="5"/>
  <c r="W200" i="5"/>
  <c r="W93" i="5"/>
  <c r="Z109" i="5"/>
  <c r="AD103" i="5"/>
  <c r="AA109" i="5" l="1"/>
  <c r="X200" i="5"/>
  <c r="Y194" i="5"/>
  <c r="X93" i="5"/>
  <c r="AE103" i="5"/>
  <c r="Z235" i="5"/>
  <c r="AB199" i="5"/>
  <c r="Y192" i="5"/>
  <c r="Z102" i="5"/>
  <c r="AF103" i="5" l="1"/>
  <c r="Z194" i="5"/>
  <c r="Y200" i="5"/>
  <c r="Y93" i="5"/>
  <c r="Z192" i="5"/>
  <c r="AA102" i="5"/>
  <c r="AA235" i="5"/>
  <c r="AC199" i="5"/>
  <c r="AB109" i="5"/>
  <c r="AA192" i="5" l="1"/>
  <c r="AB102" i="5"/>
  <c r="AA194" i="5"/>
  <c r="Z200" i="5"/>
  <c r="Z93" i="5"/>
  <c r="AC109" i="5"/>
  <c r="AB235" i="5"/>
  <c r="AD199" i="5"/>
  <c r="B103" i="5"/>
  <c r="AA200" i="5" l="1"/>
  <c r="AB194" i="5"/>
  <c r="AA93" i="5"/>
  <c r="AB192" i="5"/>
  <c r="AC102" i="5"/>
  <c r="AD109" i="5"/>
  <c r="AC235" i="5"/>
  <c r="AE199" i="5"/>
  <c r="AE109" i="5" l="1"/>
  <c r="AC192" i="5"/>
  <c r="AD102" i="5"/>
  <c r="AD235" i="5"/>
  <c r="AF199" i="5"/>
  <c r="AC194" i="5"/>
  <c r="AB200" i="5"/>
  <c r="AB93" i="5"/>
  <c r="AC200" i="5" l="1"/>
  <c r="AD194" i="5"/>
  <c r="AC93" i="5"/>
  <c r="AE235" i="5"/>
  <c r="B199" i="5"/>
  <c r="AF235" i="5" s="1"/>
  <c r="AD192" i="5"/>
  <c r="AE102" i="5"/>
  <c r="AF109" i="5"/>
  <c r="B109" i="5" l="1"/>
  <c r="AE192" i="5"/>
  <c r="AF102" i="5"/>
  <c r="AD200" i="5"/>
  <c r="AE194" i="5"/>
  <c r="AD93" i="5"/>
  <c r="AF194" i="5" l="1"/>
  <c r="AE200" i="5"/>
  <c r="AE93" i="5"/>
  <c r="AF192" i="5"/>
  <c r="B102" i="5"/>
  <c r="B192" i="5" s="1"/>
  <c r="AF200" i="5" l="1"/>
  <c r="B194" i="5"/>
  <c r="AF93" i="5"/>
  <c r="AI93" i="5" l="1"/>
  <c r="AH93" i="5"/>
  <c r="B200" i="5"/>
  <c r="N95" i="1" l="1"/>
  <c r="N37" i="1"/>
  <c r="M95" i="1" l="1"/>
  <c r="M37" i="1"/>
  <c r="B4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D235" i="4"/>
  <c r="C235" i="4"/>
  <c r="B235" i="4"/>
  <c r="S210" i="4"/>
  <c r="AG200" i="4"/>
  <c r="C200" i="4"/>
  <c r="F199" i="4"/>
  <c r="E199" i="4"/>
  <c r="D199" i="4"/>
  <c r="E198" i="4"/>
  <c r="F198" i="4" s="1"/>
  <c r="G198" i="4" s="1"/>
  <c r="H198" i="4" s="1"/>
  <c r="I198" i="4" s="1"/>
  <c r="J198" i="4" s="1"/>
  <c r="K198" i="4" s="1"/>
  <c r="L198" i="4" s="1"/>
  <c r="M198" i="4" s="1"/>
  <c r="N198" i="4" s="1"/>
  <c r="O198" i="4" s="1"/>
  <c r="P198" i="4" s="1"/>
  <c r="Q198" i="4" s="1"/>
  <c r="R198" i="4" s="1"/>
  <c r="S198" i="4" s="1"/>
  <c r="T198" i="4" s="1"/>
  <c r="U198" i="4" s="1"/>
  <c r="V198" i="4" s="1"/>
  <c r="W198" i="4" s="1"/>
  <c r="X198" i="4" s="1"/>
  <c r="Y198" i="4" s="1"/>
  <c r="Z198" i="4" s="1"/>
  <c r="AA198" i="4" s="1"/>
  <c r="AB198" i="4" s="1"/>
  <c r="AC198" i="4" s="1"/>
  <c r="AD198" i="4" s="1"/>
  <c r="AE198" i="4" s="1"/>
  <c r="AF198" i="4" s="1"/>
  <c r="B198" i="4" s="1"/>
  <c r="D198" i="4"/>
  <c r="D197" i="4"/>
  <c r="E197" i="4" s="1"/>
  <c r="F197" i="4" s="1"/>
  <c r="G197" i="4" s="1"/>
  <c r="H197" i="4" s="1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B197" i="4" s="1"/>
  <c r="G196" i="4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B196" i="4" s="1"/>
  <c r="E196" i="4"/>
  <c r="F196" i="4" s="1"/>
  <c r="D196" i="4"/>
  <c r="F195" i="4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B195" i="4" s="1"/>
  <c r="E195" i="4"/>
  <c r="D195" i="4"/>
  <c r="E194" i="4"/>
  <c r="D194" i="4"/>
  <c r="D200" i="4" s="1"/>
  <c r="AG192" i="4"/>
  <c r="C192" i="4"/>
  <c r="D191" i="4"/>
  <c r="E191" i="4" s="1"/>
  <c r="F191" i="4" s="1"/>
  <c r="G191" i="4" s="1"/>
  <c r="H191" i="4" s="1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X191" i="4" s="1"/>
  <c r="Y191" i="4" s="1"/>
  <c r="Z191" i="4" s="1"/>
  <c r="AA191" i="4" s="1"/>
  <c r="AB191" i="4" s="1"/>
  <c r="AC191" i="4" s="1"/>
  <c r="AD191" i="4" s="1"/>
  <c r="AE191" i="4" s="1"/>
  <c r="AF191" i="4" s="1"/>
  <c r="B191" i="4" s="1"/>
  <c r="W190" i="4"/>
  <c r="X190" i="4" s="1"/>
  <c r="Y190" i="4" s="1"/>
  <c r="Z190" i="4" s="1"/>
  <c r="AA190" i="4" s="1"/>
  <c r="AB190" i="4" s="1"/>
  <c r="AC190" i="4" s="1"/>
  <c r="AD190" i="4" s="1"/>
  <c r="AE190" i="4" s="1"/>
  <c r="AF190" i="4" s="1"/>
  <c r="B190" i="4" s="1"/>
  <c r="E190" i="4"/>
  <c r="F190" i="4" s="1"/>
  <c r="G190" i="4" s="1"/>
  <c r="H190" i="4" s="1"/>
  <c r="I190" i="4" s="1"/>
  <c r="J190" i="4" s="1"/>
  <c r="K190" i="4" s="1"/>
  <c r="L190" i="4" s="1"/>
  <c r="M190" i="4" s="1"/>
  <c r="N190" i="4" s="1"/>
  <c r="O190" i="4" s="1"/>
  <c r="P190" i="4" s="1"/>
  <c r="Q190" i="4" s="1"/>
  <c r="R190" i="4" s="1"/>
  <c r="S190" i="4" s="1"/>
  <c r="T190" i="4" s="1"/>
  <c r="U190" i="4" s="1"/>
  <c r="V190" i="4" s="1"/>
  <c r="D190" i="4"/>
  <c r="D189" i="4"/>
  <c r="E189" i="4" s="1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B189" i="4" s="1"/>
  <c r="F188" i="4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B188" i="4" s="1"/>
  <c r="D188" i="4"/>
  <c r="E188" i="4" s="1"/>
  <c r="R187" i="4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B187" i="4" s="1"/>
  <c r="D187" i="4"/>
  <c r="E187" i="4" s="1"/>
  <c r="F187" i="4" s="1"/>
  <c r="G187" i="4" s="1"/>
  <c r="H187" i="4" s="1"/>
  <c r="I187" i="4" s="1"/>
  <c r="J187" i="4" s="1"/>
  <c r="K187" i="4" s="1"/>
  <c r="L187" i="4" s="1"/>
  <c r="M187" i="4" s="1"/>
  <c r="N187" i="4" s="1"/>
  <c r="O187" i="4" s="1"/>
  <c r="P187" i="4" s="1"/>
  <c r="Q187" i="4" s="1"/>
  <c r="G186" i="4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B186" i="4" s="1"/>
  <c r="F186" i="4"/>
  <c r="E186" i="4"/>
  <c r="D186" i="4"/>
  <c r="D185" i="4"/>
  <c r="E185" i="4" s="1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B185" i="4" s="1"/>
  <c r="D184" i="4"/>
  <c r="E184" i="4" s="1"/>
  <c r="F184" i="4" s="1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B184" i="4" s="1"/>
  <c r="U183" i="4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B183" i="4" s="1"/>
  <c r="G183" i="4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E183" i="4"/>
  <c r="F183" i="4" s="1"/>
  <c r="D183" i="4"/>
  <c r="Y182" i="4"/>
  <c r="Z182" i="4" s="1"/>
  <c r="AA182" i="4" s="1"/>
  <c r="AB182" i="4" s="1"/>
  <c r="AC182" i="4" s="1"/>
  <c r="AD182" i="4" s="1"/>
  <c r="AE182" i="4" s="1"/>
  <c r="AF182" i="4" s="1"/>
  <c r="B182" i="4" s="1"/>
  <c r="N182" i="4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F182" i="4"/>
  <c r="G182" i="4" s="1"/>
  <c r="H182" i="4" s="1"/>
  <c r="I182" i="4" s="1"/>
  <c r="J182" i="4" s="1"/>
  <c r="K182" i="4" s="1"/>
  <c r="L182" i="4" s="1"/>
  <c r="M182" i="4" s="1"/>
  <c r="E182" i="4"/>
  <c r="D182" i="4"/>
  <c r="E181" i="4"/>
  <c r="F181" i="4" s="1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B181" i="4" s="1"/>
  <c r="D181" i="4"/>
  <c r="D180" i="4"/>
  <c r="E180" i="4" s="1"/>
  <c r="F180" i="4" s="1"/>
  <c r="G180" i="4" s="1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B180" i="4" s="1"/>
  <c r="E179" i="4"/>
  <c r="F179" i="4" s="1"/>
  <c r="G179" i="4" s="1"/>
  <c r="H179" i="4" s="1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B179" i="4" s="1"/>
  <c r="D179" i="4"/>
  <c r="D177" i="4"/>
  <c r="E177" i="4" s="1"/>
  <c r="F177" i="4" s="1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B177" i="4" s="1"/>
  <c r="F176" i="4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B176" i="4" s="1"/>
  <c r="E176" i="4"/>
  <c r="D176" i="4"/>
  <c r="D175" i="4"/>
  <c r="E175" i="4" s="1"/>
  <c r="F175" i="4" s="1"/>
  <c r="G175" i="4" s="1"/>
  <c r="H175" i="4" s="1"/>
  <c r="I175" i="4" s="1"/>
  <c r="J175" i="4" s="1"/>
  <c r="K175" i="4" s="1"/>
  <c r="L175" i="4" s="1"/>
  <c r="M175" i="4" s="1"/>
  <c r="N175" i="4" s="1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B175" i="4" s="1"/>
  <c r="U174" i="4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B174" i="4" s="1"/>
  <c r="K174" i="4"/>
  <c r="L174" i="4" s="1"/>
  <c r="M174" i="4" s="1"/>
  <c r="N174" i="4" s="1"/>
  <c r="O174" i="4" s="1"/>
  <c r="P174" i="4" s="1"/>
  <c r="Q174" i="4" s="1"/>
  <c r="R174" i="4" s="1"/>
  <c r="S174" i="4" s="1"/>
  <c r="T174" i="4" s="1"/>
  <c r="D174" i="4"/>
  <c r="E174" i="4" s="1"/>
  <c r="F174" i="4" s="1"/>
  <c r="G174" i="4" s="1"/>
  <c r="H174" i="4" s="1"/>
  <c r="I174" i="4" s="1"/>
  <c r="J174" i="4" s="1"/>
  <c r="S173" i="4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B173" i="4" s="1"/>
  <c r="D173" i="4"/>
  <c r="E173" i="4" s="1"/>
  <c r="F173" i="4" s="1"/>
  <c r="G173" i="4" s="1"/>
  <c r="H173" i="4" s="1"/>
  <c r="I173" i="4" s="1"/>
  <c r="J173" i="4" s="1"/>
  <c r="K173" i="4" s="1"/>
  <c r="L173" i="4" s="1"/>
  <c r="M173" i="4" s="1"/>
  <c r="N173" i="4" s="1"/>
  <c r="O173" i="4" s="1"/>
  <c r="P173" i="4" s="1"/>
  <c r="Q173" i="4" s="1"/>
  <c r="R173" i="4" s="1"/>
  <c r="D172" i="4"/>
  <c r="E172" i="4" s="1"/>
  <c r="F172" i="4" s="1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B172" i="4" s="1"/>
  <c r="D171" i="4"/>
  <c r="E171" i="4" s="1"/>
  <c r="F171" i="4" s="1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B171" i="4" s="1"/>
  <c r="E170" i="4"/>
  <c r="F170" i="4" s="1"/>
  <c r="G170" i="4" s="1"/>
  <c r="H170" i="4" s="1"/>
  <c r="I170" i="4" s="1"/>
  <c r="J170" i="4" s="1"/>
  <c r="K170" i="4" s="1"/>
  <c r="L170" i="4" s="1"/>
  <c r="M170" i="4" s="1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B170" i="4" s="1"/>
  <c r="D170" i="4"/>
  <c r="H168" i="4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B168" i="4" s="1"/>
  <c r="D168" i="4"/>
  <c r="E168" i="4" s="1"/>
  <c r="F168" i="4" s="1"/>
  <c r="G168" i="4" s="1"/>
  <c r="D167" i="4"/>
  <c r="E167" i="4" s="1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B167" i="4" s="1"/>
  <c r="D166" i="4"/>
  <c r="E166" i="4" s="1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B166" i="4" s="1"/>
  <c r="R165" i="4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B165" i="4" s="1"/>
  <c r="F165" i="4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E165" i="4"/>
  <c r="D165" i="4"/>
  <c r="H164" i="4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B164" i="4" s="1"/>
  <c r="D164" i="4"/>
  <c r="E164" i="4" s="1"/>
  <c r="F164" i="4" s="1"/>
  <c r="G164" i="4" s="1"/>
  <c r="Z163" i="4"/>
  <c r="AA163" i="4" s="1"/>
  <c r="AB163" i="4" s="1"/>
  <c r="AC163" i="4" s="1"/>
  <c r="AD163" i="4" s="1"/>
  <c r="AE163" i="4" s="1"/>
  <c r="AF163" i="4" s="1"/>
  <c r="B163" i="4" s="1"/>
  <c r="Q163" i="4"/>
  <c r="R163" i="4" s="1"/>
  <c r="S163" i="4" s="1"/>
  <c r="T163" i="4" s="1"/>
  <c r="U163" i="4" s="1"/>
  <c r="V163" i="4" s="1"/>
  <c r="W163" i="4" s="1"/>
  <c r="X163" i="4" s="1"/>
  <c r="Y163" i="4" s="1"/>
  <c r="F163" i="4"/>
  <c r="G163" i="4" s="1"/>
  <c r="H163" i="4" s="1"/>
  <c r="I163" i="4" s="1"/>
  <c r="J163" i="4" s="1"/>
  <c r="K163" i="4" s="1"/>
  <c r="L163" i="4" s="1"/>
  <c r="M163" i="4" s="1"/>
  <c r="N163" i="4" s="1"/>
  <c r="O163" i="4" s="1"/>
  <c r="P163" i="4" s="1"/>
  <c r="D163" i="4"/>
  <c r="E163" i="4" s="1"/>
  <c r="M162" i="4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B162" i="4" s="1"/>
  <c r="E162" i="4"/>
  <c r="F162" i="4" s="1"/>
  <c r="G162" i="4" s="1"/>
  <c r="H162" i="4" s="1"/>
  <c r="I162" i="4" s="1"/>
  <c r="J162" i="4" s="1"/>
  <c r="K162" i="4" s="1"/>
  <c r="L162" i="4" s="1"/>
  <c r="D162" i="4"/>
  <c r="K161" i="4"/>
  <c r="L161" i="4" s="1"/>
  <c r="M161" i="4" s="1"/>
  <c r="N161" i="4" s="1"/>
  <c r="O161" i="4" s="1"/>
  <c r="P161" i="4" s="1"/>
  <c r="Q161" i="4" s="1"/>
  <c r="R161" i="4" s="1"/>
  <c r="S161" i="4" s="1"/>
  <c r="T161" i="4" s="1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B161" i="4" s="1"/>
  <c r="E161" i="4"/>
  <c r="F161" i="4" s="1"/>
  <c r="G161" i="4" s="1"/>
  <c r="H161" i="4" s="1"/>
  <c r="I161" i="4" s="1"/>
  <c r="J161" i="4" s="1"/>
  <c r="D161" i="4"/>
  <c r="K160" i="4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B160" i="4" s="1"/>
  <c r="D160" i="4"/>
  <c r="E160" i="4" s="1"/>
  <c r="F160" i="4" s="1"/>
  <c r="G160" i="4" s="1"/>
  <c r="H160" i="4" s="1"/>
  <c r="I160" i="4" s="1"/>
  <c r="J160" i="4" s="1"/>
  <c r="Y159" i="4"/>
  <c r="Z159" i="4" s="1"/>
  <c r="AA159" i="4" s="1"/>
  <c r="AB159" i="4" s="1"/>
  <c r="AC159" i="4" s="1"/>
  <c r="AD159" i="4" s="1"/>
  <c r="AE159" i="4" s="1"/>
  <c r="AF159" i="4" s="1"/>
  <c r="B159" i="4" s="1"/>
  <c r="D159" i="4"/>
  <c r="E159" i="4" s="1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G158" i="4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B158" i="4" s="1"/>
  <c r="E158" i="4"/>
  <c r="F158" i="4" s="1"/>
  <c r="D158" i="4"/>
  <c r="G157" i="4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B157" i="4" s="1"/>
  <c r="D157" i="4"/>
  <c r="E157" i="4" s="1"/>
  <c r="F157" i="4" s="1"/>
  <c r="E156" i="4"/>
  <c r="F156" i="4" s="1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B156" i="4" s="1"/>
  <c r="D156" i="4"/>
  <c r="D154" i="4"/>
  <c r="E154" i="4" s="1"/>
  <c r="F154" i="4" s="1"/>
  <c r="G154" i="4" s="1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B154" i="4" s="1"/>
  <c r="O153" i="4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B153" i="4" s="1"/>
  <c r="J153" i="4"/>
  <c r="K153" i="4" s="1"/>
  <c r="L153" i="4" s="1"/>
  <c r="M153" i="4" s="1"/>
  <c r="N153" i="4" s="1"/>
  <c r="F153" i="4"/>
  <c r="G153" i="4" s="1"/>
  <c r="H153" i="4" s="1"/>
  <c r="I153" i="4" s="1"/>
  <c r="E153" i="4"/>
  <c r="D153" i="4"/>
  <c r="D152" i="4"/>
  <c r="E152" i="4" s="1"/>
  <c r="F152" i="4" s="1"/>
  <c r="G152" i="4" s="1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B152" i="4" s="1"/>
  <c r="N151" i="4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B151" i="4" s="1"/>
  <c r="J151" i="4"/>
  <c r="K151" i="4" s="1"/>
  <c r="L151" i="4" s="1"/>
  <c r="M151" i="4" s="1"/>
  <c r="F151" i="4"/>
  <c r="G151" i="4" s="1"/>
  <c r="H151" i="4" s="1"/>
  <c r="I151" i="4" s="1"/>
  <c r="E151" i="4"/>
  <c r="D151" i="4"/>
  <c r="H149" i="4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B149" i="4" s="1"/>
  <c r="D149" i="4"/>
  <c r="E149" i="4" s="1"/>
  <c r="F149" i="4" s="1"/>
  <c r="G149" i="4" s="1"/>
  <c r="I148" i="4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B148" i="4" s="1"/>
  <c r="F148" i="4"/>
  <c r="G148" i="4" s="1"/>
  <c r="H148" i="4" s="1"/>
  <c r="E148" i="4"/>
  <c r="D148" i="4"/>
  <c r="H146" i="4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B146" i="4" s="1"/>
  <c r="G146" i="4"/>
  <c r="D146" i="4"/>
  <c r="E146" i="4" s="1"/>
  <c r="F146" i="4" s="1"/>
  <c r="AD145" i="4"/>
  <c r="AE145" i="4" s="1"/>
  <c r="AF145" i="4" s="1"/>
  <c r="B145" i="4" s="1"/>
  <c r="J145" i="4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E145" i="4"/>
  <c r="F145" i="4" s="1"/>
  <c r="G145" i="4" s="1"/>
  <c r="H145" i="4" s="1"/>
  <c r="I145" i="4" s="1"/>
  <c r="D145" i="4"/>
  <c r="H144" i="4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B144" i="4" s="1"/>
  <c r="D144" i="4"/>
  <c r="E144" i="4" s="1"/>
  <c r="F144" i="4" s="1"/>
  <c r="G144" i="4" s="1"/>
  <c r="Q143" i="4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B143" i="4" s="1"/>
  <c r="I143" i="4"/>
  <c r="J143" i="4" s="1"/>
  <c r="K143" i="4" s="1"/>
  <c r="L143" i="4" s="1"/>
  <c r="M143" i="4" s="1"/>
  <c r="N143" i="4" s="1"/>
  <c r="O143" i="4" s="1"/>
  <c r="P143" i="4" s="1"/>
  <c r="F143" i="4"/>
  <c r="G143" i="4" s="1"/>
  <c r="H143" i="4" s="1"/>
  <c r="E143" i="4"/>
  <c r="D143" i="4"/>
  <c r="H142" i="4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B142" i="4" s="1"/>
  <c r="G142" i="4"/>
  <c r="D142" i="4"/>
  <c r="E142" i="4" s="1"/>
  <c r="F142" i="4" s="1"/>
  <c r="E141" i="4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B141" i="4" s="1"/>
  <c r="D141" i="4"/>
  <c r="D140" i="4"/>
  <c r="E140" i="4" s="1"/>
  <c r="F140" i="4" s="1"/>
  <c r="G140" i="4" s="1"/>
  <c r="H140" i="4" s="1"/>
  <c r="I140" i="4" s="1"/>
  <c r="J140" i="4" s="1"/>
  <c r="K140" i="4" s="1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B140" i="4" s="1"/>
  <c r="G138" i="4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B138" i="4" s="1"/>
  <c r="F138" i="4"/>
  <c r="E138" i="4"/>
  <c r="D138" i="4"/>
  <c r="D137" i="4"/>
  <c r="E137" i="4" s="1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B137" i="4" s="1"/>
  <c r="F136" i="4"/>
  <c r="G136" i="4" s="1"/>
  <c r="H136" i="4" s="1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B136" i="4" s="1"/>
  <c r="E136" i="4"/>
  <c r="D136" i="4"/>
  <c r="P135" i="4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B135" i="4" s="1"/>
  <c r="K135" i="4"/>
  <c r="L135" i="4" s="1"/>
  <c r="M135" i="4" s="1"/>
  <c r="N135" i="4" s="1"/>
  <c r="O135" i="4" s="1"/>
  <c r="E135" i="4"/>
  <c r="F135" i="4" s="1"/>
  <c r="G135" i="4" s="1"/>
  <c r="H135" i="4" s="1"/>
  <c r="I135" i="4" s="1"/>
  <c r="J135" i="4" s="1"/>
  <c r="D135" i="4"/>
  <c r="H134" i="4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B134" i="4" s="1"/>
  <c r="G134" i="4"/>
  <c r="F134" i="4"/>
  <c r="E134" i="4"/>
  <c r="D134" i="4"/>
  <c r="O133" i="4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B133" i="4" s="1"/>
  <c r="H133" i="4"/>
  <c r="I133" i="4" s="1"/>
  <c r="J133" i="4" s="1"/>
  <c r="K133" i="4" s="1"/>
  <c r="L133" i="4" s="1"/>
  <c r="M133" i="4" s="1"/>
  <c r="N133" i="4" s="1"/>
  <c r="E133" i="4"/>
  <c r="F133" i="4" s="1"/>
  <c r="G133" i="4" s="1"/>
  <c r="D133" i="4"/>
  <c r="I132" i="4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B132" i="4" s="1"/>
  <c r="E132" i="4"/>
  <c r="F132" i="4" s="1"/>
  <c r="G132" i="4" s="1"/>
  <c r="H132" i="4" s="1"/>
  <c r="D132" i="4"/>
  <c r="H131" i="4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B131" i="4" s="1"/>
  <c r="D131" i="4"/>
  <c r="E131" i="4" s="1"/>
  <c r="F131" i="4" s="1"/>
  <c r="G131" i="4" s="1"/>
  <c r="E129" i="4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B129" i="4" s="1"/>
  <c r="D129" i="4"/>
  <c r="E128" i="4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B128" i="4" s="1"/>
  <c r="D128" i="4"/>
  <c r="H127" i="4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B127" i="4" s="1"/>
  <c r="E127" i="4"/>
  <c r="F127" i="4" s="1"/>
  <c r="G127" i="4" s="1"/>
  <c r="D127" i="4"/>
  <c r="V126" i="4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B126" i="4" s="1"/>
  <c r="D126" i="4"/>
  <c r="E126" i="4" s="1"/>
  <c r="F126" i="4" s="1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L125" i="4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B125" i="4" s="1"/>
  <c r="J125" i="4"/>
  <c r="K125" i="4" s="1"/>
  <c r="E125" i="4"/>
  <c r="F125" i="4" s="1"/>
  <c r="G125" i="4" s="1"/>
  <c r="H125" i="4" s="1"/>
  <c r="D125" i="4"/>
  <c r="Y124" i="4"/>
  <c r="Z124" i="4" s="1"/>
  <c r="AA124" i="4" s="1"/>
  <c r="AB124" i="4" s="1"/>
  <c r="AC124" i="4" s="1"/>
  <c r="AD124" i="4" s="1"/>
  <c r="AE124" i="4" s="1"/>
  <c r="AF124" i="4" s="1"/>
  <c r="B124" i="4" s="1"/>
  <c r="D124" i="4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D123" i="4"/>
  <c r="E123" i="4" s="1"/>
  <c r="F123" i="4" s="1"/>
  <c r="G123" i="4" s="1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B123" i="4" s="1"/>
  <c r="W122" i="4"/>
  <c r="X122" i="4" s="1"/>
  <c r="Y122" i="4" s="1"/>
  <c r="Z122" i="4" s="1"/>
  <c r="AA122" i="4" s="1"/>
  <c r="AB122" i="4" s="1"/>
  <c r="AC122" i="4" s="1"/>
  <c r="AD122" i="4" s="1"/>
  <c r="AE122" i="4" s="1"/>
  <c r="AF122" i="4" s="1"/>
  <c r="B122" i="4" s="1"/>
  <c r="E122" i="4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D122" i="4"/>
  <c r="M121" i="4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B121" i="4" s="1"/>
  <c r="E121" i="4"/>
  <c r="F121" i="4" s="1"/>
  <c r="G121" i="4" s="1"/>
  <c r="H121" i="4" s="1"/>
  <c r="I121" i="4" s="1"/>
  <c r="J121" i="4" s="1"/>
  <c r="K121" i="4" s="1"/>
  <c r="L121" i="4" s="1"/>
  <c r="D121" i="4"/>
  <c r="I120" i="4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B120" i="4" s="1"/>
  <c r="E120" i="4"/>
  <c r="F120" i="4" s="1"/>
  <c r="G120" i="4" s="1"/>
  <c r="H120" i="4" s="1"/>
  <c r="D120" i="4"/>
  <c r="G119" i="4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B119" i="4" s="1"/>
  <c r="D119" i="4"/>
  <c r="E119" i="4" s="1"/>
  <c r="F119" i="4" s="1"/>
  <c r="W118" i="4"/>
  <c r="X118" i="4" s="1"/>
  <c r="Y118" i="4" s="1"/>
  <c r="Z118" i="4" s="1"/>
  <c r="AA118" i="4" s="1"/>
  <c r="AB118" i="4" s="1"/>
  <c r="AC118" i="4" s="1"/>
  <c r="AD118" i="4" s="1"/>
  <c r="AE118" i="4" s="1"/>
  <c r="AF118" i="4" s="1"/>
  <c r="B118" i="4" s="1"/>
  <c r="H118" i="4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G118" i="4"/>
  <c r="E118" i="4"/>
  <c r="F118" i="4" s="1"/>
  <c r="D118" i="4"/>
  <c r="N117" i="4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B117" i="4" s="1"/>
  <c r="F117" i="4"/>
  <c r="G117" i="4" s="1"/>
  <c r="H117" i="4" s="1"/>
  <c r="I117" i="4" s="1"/>
  <c r="J117" i="4" s="1"/>
  <c r="K117" i="4" s="1"/>
  <c r="L117" i="4" s="1"/>
  <c r="M117" i="4" s="1"/>
  <c r="E117" i="4"/>
  <c r="D117" i="4"/>
  <c r="V116" i="4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B116" i="4" s="1"/>
  <c r="M116" i="4"/>
  <c r="N116" i="4" s="1"/>
  <c r="O116" i="4" s="1"/>
  <c r="P116" i="4" s="1"/>
  <c r="Q116" i="4" s="1"/>
  <c r="R116" i="4" s="1"/>
  <c r="S116" i="4" s="1"/>
  <c r="T116" i="4" s="1"/>
  <c r="U116" i="4" s="1"/>
  <c r="D116" i="4"/>
  <c r="E116" i="4" s="1"/>
  <c r="F116" i="4" s="1"/>
  <c r="G116" i="4" s="1"/>
  <c r="H116" i="4" s="1"/>
  <c r="I116" i="4" s="1"/>
  <c r="J116" i="4" s="1"/>
  <c r="K116" i="4" s="1"/>
  <c r="L116" i="4" s="1"/>
  <c r="Y115" i="4"/>
  <c r="Z115" i="4" s="1"/>
  <c r="AA115" i="4" s="1"/>
  <c r="AB115" i="4" s="1"/>
  <c r="AC115" i="4" s="1"/>
  <c r="AD115" i="4" s="1"/>
  <c r="AE115" i="4" s="1"/>
  <c r="AF115" i="4" s="1"/>
  <c r="B115" i="4" s="1"/>
  <c r="P115" i="4"/>
  <c r="Q115" i="4" s="1"/>
  <c r="R115" i="4" s="1"/>
  <c r="S115" i="4" s="1"/>
  <c r="T115" i="4" s="1"/>
  <c r="U115" i="4" s="1"/>
  <c r="V115" i="4" s="1"/>
  <c r="W115" i="4" s="1"/>
  <c r="X115" i="4" s="1"/>
  <c r="G115" i="4"/>
  <c r="H115" i="4" s="1"/>
  <c r="I115" i="4" s="1"/>
  <c r="J115" i="4" s="1"/>
  <c r="K115" i="4" s="1"/>
  <c r="L115" i="4" s="1"/>
  <c r="M115" i="4" s="1"/>
  <c r="N115" i="4" s="1"/>
  <c r="O115" i="4" s="1"/>
  <c r="E115" i="4"/>
  <c r="F115" i="4" s="1"/>
  <c r="D115" i="4"/>
  <c r="AA114" i="4"/>
  <c r="AB114" i="4" s="1"/>
  <c r="AC114" i="4" s="1"/>
  <c r="AD114" i="4" s="1"/>
  <c r="AE114" i="4" s="1"/>
  <c r="AF114" i="4" s="1"/>
  <c r="B114" i="4" s="1"/>
  <c r="R114" i="4"/>
  <c r="S114" i="4" s="1"/>
  <c r="T114" i="4" s="1"/>
  <c r="U114" i="4" s="1"/>
  <c r="V114" i="4" s="1"/>
  <c r="W114" i="4" s="1"/>
  <c r="X114" i="4" s="1"/>
  <c r="Y114" i="4" s="1"/>
  <c r="Z114" i="4" s="1"/>
  <c r="M114" i="4"/>
  <c r="N114" i="4" s="1"/>
  <c r="O114" i="4" s="1"/>
  <c r="P114" i="4" s="1"/>
  <c r="Q114" i="4" s="1"/>
  <c r="K114" i="4"/>
  <c r="L114" i="4" s="1"/>
  <c r="H114" i="4"/>
  <c r="I114" i="4" s="1"/>
  <c r="E114" i="4"/>
  <c r="F114" i="4" s="1"/>
  <c r="G114" i="4" s="1"/>
  <c r="D114" i="4"/>
  <c r="T113" i="4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B113" i="4" s="1"/>
  <c r="K113" i="4"/>
  <c r="L113" i="4" s="1"/>
  <c r="M113" i="4" s="1"/>
  <c r="N113" i="4" s="1"/>
  <c r="O113" i="4" s="1"/>
  <c r="P113" i="4" s="1"/>
  <c r="Q113" i="4" s="1"/>
  <c r="R113" i="4" s="1"/>
  <c r="S113" i="4" s="1"/>
  <c r="E113" i="4"/>
  <c r="F113" i="4" s="1"/>
  <c r="G113" i="4" s="1"/>
  <c r="H113" i="4" s="1"/>
  <c r="I113" i="4" s="1"/>
  <c r="J113" i="4" s="1"/>
  <c r="D113" i="4"/>
  <c r="D112" i="4"/>
  <c r="E112" i="4" s="1"/>
  <c r="F112" i="4" s="1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B112" i="4" s="1"/>
  <c r="Y110" i="4"/>
  <c r="Z110" i="4" s="1"/>
  <c r="AA110" i="4" s="1"/>
  <c r="AB110" i="4" s="1"/>
  <c r="AC110" i="4" s="1"/>
  <c r="AD110" i="4" s="1"/>
  <c r="AE110" i="4" s="1"/>
  <c r="AF110" i="4" s="1"/>
  <c r="B110" i="4" s="1"/>
  <c r="P110" i="4"/>
  <c r="Q110" i="4" s="1"/>
  <c r="R110" i="4" s="1"/>
  <c r="S110" i="4" s="1"/>
  <c r="T110" i="4" s="1"/>
  <c r="U110" i="4" s="1"/>
  <c r="V110" i="4" s="1"/>
  <c r="W110" i="4" s="1"/>
  <c r="X110" i="4" s="1"/>
  <c r="G110" i="4"/>
  <c r="H110" i="4" s="1"/>
  <c r="I110" i="4" s="1"/>
  <c r="J110" i="4" s="1"/>
  <c r="K110" i="4" s="1"/>
  <c r="L110" i="4" s="1"/>
  <c r="M110" i="4" s="1"/>
  <c r="N110" i="4" s="1"/>
  <c r="O110" i="4" s="1"/>
  <c r="F110" i="4"/>
  <c r="D110" i="4"/>
  <c r="E110" i="4" s="1"/>
  <c r="D109" i="4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B109" i="4" s="1"/>
  <c r="L107" i="4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B107" i="4" s="1"/>
  <c r="D107" i="4"/>
  <c r="E107" i="4" s="1"/>
  <c r="F107" i="4" s="1"/>
  <c r="G107" i="4" s="1"/>
  <c r="H107" i="4" s="1"/>
  <c r="I107" i="4" s="1"/>
  <c r="J107" i="4" s="1"/>
  <c r="K107" i="4" s="1"/>
  <c r="E106" i="4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B106" i="4" s="1"/>
  <c r="D106" i="4"/>
  <c r="Q105" i="4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B105" i="4" s="1"/>
  <c r="H105" i="4"/>
  <c r="I105" i="4" s="1"/>
  <c r="J105" i="4" s="1"/>
  <c r="K105" i="4" s="1"/>
  <c r="L105" i="4" s="1"/>
  <c r="M105" i="4" s="1"/>
  <c r="N105" i="4" s="1"/>
  <c r="O105" i="4" s="1"/>
  <c r="P105" i="4" s="1"/>
  <c r="E105" i="4"/>
  <c r="F105" i="4" s="1"/>
  <c r="G105" i="4" s="1"/>
  <c r="D105" i="4"/>
  <c r="V104" i="4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B104" i="4" s="1"/>
  <c r="N104" i="4"/>
  <c r="O104" i="4" s="1"/>
  <c r="P104" i="4" s="1"/>
  <c r="Q104" i="4" s="1"/>
  <c r="R104" i="4" s="1"/>
  <c r="S104" i="4" s="1"/>
  <c r="T104" i="4" s="1"/>
  <c r="U104" i="4" s="1"/>
  <c r="F104" i="4"/>
  <c r="G104" i="4" s="1"/>
  <c r="H104" i="4" s="1"/>
  <c r="I104" i="4" s="1"/>
  <c r="J104" i="4" s="1"/>
  <c r="K104" i="4" s="1"/>
  <c r="L104" i="4" s="1"/>
  <c r="M104" i="4" s="1"/>
  <c r="E104" i="4"/>
  <c r="D104" i="4"/>
  <c r="D103" i="4"/>
  <c r="E102" i="4"/>
  <c r="D102" i="4"/>
  <c r="AI100" i="4"/>
  <c r="AH100" i="4"/>
  <c r="AH99" i="4"/>
  <c r="AI99" i="4" s="1"/>
  <c r="AH98" i="4"/>
  <c r="AI98" i="4" s="1"/>
  <c r="AH97" i="4"/>
  <c r="AI97" i="4" s="1"/>
  <c r="AI96" i="4"/>
  <c r="AH96" i="4"/>
  <c r="AH95" i="4"/>
  <c r="AI95" i="4" s="1"/>
  <c r="AH94" i="4"/>
  <c r="AI94" i="4" s="1"/>
  <c r="C93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2" i="4"/>
  <c r="AH82" i="4"/>
  <c r="AG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A75" i="4"/>
  <c r="S75" i="4"/>
  <c r="K75" i="4"/>
  <c r="C75" i="4"/>
  <c r="U214" i="4" s="1"/>
  <c r="AI74" i="4"/>
  <c r="AH74" i="4"/>
  <c r="AI73" i="4"/>
  <c r="AH73" i="4"/>
  <c r="AI72" i="4"/>
  <c r="AH72" i="4"/>
  <c r="AG72" i="4"/>
  <c r="AG75" i="4" s="1"/>
  <c r="AI71" i="4"/>
  <c r="AH71" i="4"/>
  <c r="AI70" i="4"/>
  <c r="AH70" i="4"/>
  <c r="AI69" i="4"/>
  <c r="AH69" i="4"/>
  <c r="AG68" i="4"/>
  <c r="AF68" i="4"/>
  <c r="AE68" i="4"/>
  <c r="AD68" i="4"/>
  <c r="AD75" i="4" s="1"/>
  <c r="AC68" i="4"/>
  <c r="AB5" i="4" s="1"/>
  <c r="AB68" i="4"/>
  <c r="AB75" i="4" s="1"/>
  <c r="AA68" i="4"/>
  <c r="Z68" i="4"/>
  <c r="Y5" i="4" s="1"/>
  <c r="Y68" i="4"/>
  <c r="X68" i="4"/>
  <c r="W68" i="4"/>
  <c r="V68" i="4"/>
  <c r="V75" i="4" s="1"/>
  <c r="U68" i="4"/>
  <c r="T5" i="4" s="1"/>
  <c r="T68" i="4"/>
  <c r="T75" i="4" s="1"/>
  <c r="S68" i="4"/>
  <c r="R68" i="4"/>
  <c r="Q5" i="4" s="1"/>
  <c r="Q68" i="4"/>
  <c r="P68" i="4"/>
  <c r="O68" i="4"/>
  <c r="N68" i="4"/>
  <c r="N75" i="4" s="1"/>
  <c r="M68" i="4"/>
  <c r="L5" i="4" s="1"/>
  <c r="L68" i="4"/>
  <c r="L75" i="4" s="1"/>
  <c r="K68" i="4"/>
  <c r="J68" i="4"/>
  <c r="I5" i="4" s="1"/>
  <c r="I68" i="4"/>
  <c r="H68" i="4"/>
  <c r="G68" i="4"/>
  <c r="F68" i="4"/>
  <c r="F75" i="4" s="1"/>
  <c r="E68" i="4"/>
  <c r="D5" i="4" s="1"/>
  <c r="D68" i="4"/>
  <c r="D75" i="4" s="1"/>
  <c r="C68" i="4"/>
  <c r="B68" i="4"/>
  <c r="AI68" i="4" s="1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I56" i="4" s="1"/>
  <c r="AI55" i="4"/>
  <c r="AH55" i="4"/>
  <c r="AI54" i="4"/>
  <c r="AH54" i="4"/>
  <c r="AI53" i="4"/>
  <c r="AH53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H52" i="4" s="1"/>
  <c r="H52" i="4"/>
  <c r="G52" i="4"/>
  <c r="F52" i="4"/>
  <c r="E52" i="4"/>
  <c r="D52" i="4"/>
  <c r="C52" i="4"/>
  <c r="B52" i="4"/>
  <c r="AI52" i="4" s="1"/>
  <c r="AI51" i="4"/>
  <c r="AH51" i="4"/>
  <c r="AG51" i="4"/>
  <c r="AG52" i="4" s="1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G38" i="4"/>
  <c r="AG2" i="4" s="1"/>
  <c r="AG6" i="4" s="1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I38" i="4" s="1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A7" i="4"/>
  <c r="S7" i="4"/>
  <c r="K7" i="4"/>
  <c r="C7" i="4"/>
  <c r="AF5" i="4"/>
  <c r="AE5" i="4"/>
  <c r="AD5" i="4"/>
  <c r="AC5" i="4"/>
  <c r="AA5" i="4"/>
  <c r="Z5" i="4"/>
  <c r="X5" i="4"/>
  <c r="W5" i="4"/>
  <c r="V5" i="4"/>
  <c r="U5" i="4"/>
  <c r="S5" i="4"/>
  <c r="R5" i="4"/>
  <c r="P5" i="4"/>
  <c r="O5" i="4"/>
  <c r="N5" i="4"/>
  <c r="M5" i="4"/>
  <c r="K5" i="4"/>
  <c r="J5" i="4"/>
  <c r="H5" i="4"/>
  <c r="G5" i="4"/>
  <c r="F5" i="4"/>
  <c r="E5" i="4"/>
  <c r="C5" i="4"/>
  <c r="B5" i="4"/>
  <c r="AG4" i="4"/>
  <c r="K4" i="4"/>
  <c r="AG3" i="4"/>
  <c r="B4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235" i="1"/>
  <c r="S210" i="1"/>
  <c r="AG200" i="1"/>
  <c r="C200" i="1"/>
  <c r="E199" i="1"/>
  <c r="D235" i="1" s="1"/>
  <c r="D199" i="1"/>
  <c r="C235" i="1" s="1"/>
  <c r="D198" i="1"/>
  <c r="E198" i="1" s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B198" i="1" s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B197" i="1" s="1"/>
  <c r="D196" i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B196" i="1" s="1"/>
  <c r="D195" i="1"/>
  <c r="E195" i="1" s="1"/>
  <c r="F195" i="1" s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B195" i="1" s="1"/>
  <c r="D194" i="1"/>
  <c r="AG192" i="1"/>
  <c r="C192" i="1"/>
  <c r="D191" i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B191" i="1" s="1"/>
  <c r="D190" i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B190" i="1" s="1"/>
  <c r="D189" i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B189" i="1" s="1"/>
  <c r="D188" i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B188" i="1" s="1"/>
  <c r="D187" i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B187" i="1" s="1"/>
  <c r="D186" i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B186" i="1" s="1"/>
  <c r="D185" i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B185" i="1" s="1"/>
  <c r="D184" i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B184" i="1" s="1"/>
  <c r="D183" i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B183" i="1" s="1"/>
  <c r="D182" i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B182" i="1" s="1"/>
  <c r="D181" i="1"/>
  <c r="E181" i="1" s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B181" i="1" s="1"/>
  <c r="D180" i="1"/>
  <c r="E180" i="1" s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B180" i="1" s="1"/>
  <c r="D179" i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B179" i="1" s="1"/>
  <c r="D177" i="1"/>
  <c r="E177" i="1" s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B177" i="1" s="1"/>
  <c r="E176" i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B176" i="1" s="1"/>
  <c r="D176" i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B175" i="1" s="1"/>
  <c r="D174" i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B174" i="1" s="1"/>
  <c r="D173" i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B173" i="1" s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B172" i="1" s="1"/>
  <c r="D172" i="1"/>
  <c r="D171" i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B171" i="1" s="1"/>
  <c r="E170" i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B170" i="1" s="1"/>
  <c r="D170" i="1"/>
  <c r="D168" i="1"/>
  <c r="E168" i="1" s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B168" i="1" s="1"/>
  <c r="E167" i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B167" i="1" s="1"/>
  <c r="D167" i="1"/>
  <c r="D166" i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B166" i="1" s="1"/>
  <c r="E165" i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B165" i="1" s="1"/>
  <c r="D165" i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B164" i="1" s="1"/>
  <c r="E163" i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B163" i="1" s="1"/>
  <c r="D163" i="1"/>
  <c r="E162" i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B162" i="1" s="1"/>
  <c r="D162" i="1"/>
  <c r="D161" i="1"/>
  <c r="E161" i="1" s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B161" i="1" s="1"/>
  <c r="E160" i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B160" i="1" s="1"/>
  <c r="D160" i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B159" i="1" s="1"/>
  <c r="D159" i="1"/>
  <c r="G158" i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B158" i="1" s="1"/>
  <c r="D158" i="1"/>
  <c r="E158" i="1" s="1"/>
  <c r="F158" i="1" s="1"/>
  <c r="E157" i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B157" i="1" s="1"/>
  <c r="D157" i="1"/>
  <c r="D156" i="1"/>
  <c r="E156" i="1" s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B156" i="1" s="1"/>
  <c r="D154" i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B154" i="1" s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B153" i="1" s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B152" i="1" s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B151" i="1" s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B149" i="1" s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B148" i="1" s="1"/>
  <c r="D146" i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B146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B145" i="1" s="1"/>
  <c r="D145" i="1"/>
  <c r="D144" i="1"/>
  <c r="E144" i="1" s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B144" i="1" s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B143" i="1" s="1"/>
  <c r="D142" i="1"/>
  <c r="E142" i="1" s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B142" i="1" s="1"/>
  <c r="D141" i="1"/>
  <c r="E141" i="1" s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B141" i="1" s="1"/>
  <c r="D140" i="1"/>
  <c r="E140" i="1" s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B140" i="1" s="1"/>
  <c r="D138" i="1"/>
  <c r="E138" i="1" s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B138" i="1" s="1"/>
  <c r="D137" i="1"/>
  <c r="E137" i="1" s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B137" i="1" s="1"/>
  <c r="D136" i="1"/>
  <c r="E136" i="1" s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B136" i="1" s="1"/>
  <c r="F135" i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B135" i="1" s="1"/>
  <c r="D135" i="1"/>
  <c r="E135" i="1" s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B134" i="1" s="1"/>
  <c r="D133" i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B133" i="1" s="1"/>
  <c r="J132" i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B132" i="1" s="1"/>
  <c r="F132" i="1"/>
  <c r="G132" i="1" s="1"/>
  <c r="H132" i="1" s="1"/>
  <c r="I132" i="1" s="1"/>
  <c r="D132" i="1"/>
  <c r="E132" i="1" s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B131" i="1" s="1"/>
  <c r="D129" i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B129" i="1" s="1"/>
  <c r="D128" i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B128" i="1" s="1"/>
  <c r="D127" i="1"/>
  <c r="E127" i="1" s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B127" i="1" s="1"/>
  <c r="D126" i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B126" i="1" s="1"/>
  <c r="K125" i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B125" i="1" s="1"/>
  <c r="J125" i="1"/>
  <c r="E125" i="1"/>
  <c r="F125" i="1" s="1"/>
  <c r="G125" i="1" s="1"/>
  <c r="H125" i="1" s="1"/>
  <c r="D125" i="1"/>
  <c r="D124" i="1"/>
  <c r="E124" i="1" s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B124" i="1" s="1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B123" i="1" s="1"/>
  <c r="D123" i="1"/>
  <c r="D122" i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B122" i="1" s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B121" i="1" s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B120" i="1" s="1"/>
  <c r="D119" i="1"/>
  <c r="E119" i="1" s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B119" i="1" s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B118" i="1" s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B117" i="1" s="1"/>
  <c r="F116" i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B116" i="1" s="1"/>
  <c r="D116" i="1"/>
  <c r="E116" i="1" s="1"/>
  <c r="D115" i="1"/>
  <c r="E115" i="1" s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B115" i="1" s="1"/>
  <c r="K114" i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B114" i="1" s="1"/>
  <c r="E114" i="1"/>
  <c r="F114" i="1" s="1"/>
  <c r="G114" i="1" s="1"/>
  <c r="H114" i="1" s="1"/>
  <c r="I114" i="1" s="1"/>
  <c r="D114" i="1"/>
  <c r="G113" i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B113" i="1" s="1"/>
  <c r="D113" i="1"/>
  <c r="E113" i="1" s="1"/>
  <c r="F113" i="1" s="1"/>
  <c r="D112" i="1"/>
  <c r="E112" i="1" s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B112" i="1" s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B110" i="1" s="1"/>
  <c r="D109" i="1"/>
  <c r="E109" i="1" s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B107" i="1" s="1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B106" i="1" s="1"/>
  <c r="D106" i="1"/>
  <c r="D105" i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B105" i="1" s="1"/>
  <c r="E104" i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B104" i="1" s="1"/>
  <c r="D104" i="1"/>
  <c r="D103" i="1"/>
  <c r="E103" i="1" s="1"/>
  <c r="F103" i="1" s="1"/>
  <c r="G103" i="1" s="1"/>
  <c r="D102" i="1"/>
  <c r="E102" i="1" s="1"/>
  <c r="AH100" i="1"/>
  <c r="AI100" i="1" s="1"/>
  <c r="AH99" i="1"/>
  <c r="AI99" i="1" s="1"/>
  <c r="AH98" i="1"/>
  <c r="AI98" i="1" s="1"/>
  <c r="AH97" i="1"/>
  <c r="AI97" i="1" s="1"/>
  <c r="AH96" i="1"/>
  <c r="AI96" i="1" s="1"/>
  <c r="AH95" i="1"/>
  <c r="AI95" i="1" s="1"/>
  <c r="AH94" i="1"/>
  <c r="AI94" i="1" s="1"/>
  <c r="C93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2" i="1"/>
  <c r="AH82" i="1"/>
  <c r="AG82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4" i="1"/>
  <c r="AH74" i="1"/>
  <c r="AI73" i="1"/>
  <c r="AH73" i="1"/>
  <c r="AI72" i="1"/>
  <c r="AH72" i="1"/>
  <c r="AG72" i="1"/>
  <c r="AI71" i="1"/>
  <c r="AH71" i="1"/>
  <c r="AI70" i="1"/>
  <c r="AH70" i="1"/>
  <c r="AI69" i="1"/>
  <c r="AH69" i="1"/>
  <c r="AG68" i="1"/>
  <c r="AF68" i="1"/>
  <c r="AE5" i="1" s="1"/>
  <c r="AE68" i="1"/>
  <c r="AD5" i="1" s="1"/>
  <c r="AD68" i="1"/>
  <c r="AC5" i="1" s="1"/>
  <c r="AC68" i="1"/>
  <c r="AB68" i="1"/>
  <c r="AA68" i="1"/>
  <c r="Z68" i="1"/>
  <c r="Y5" i="1" s="1"/>
  <c r="Y68" i="1"/>
  <c r="X5" i="1" s="1"/>
  <c r="X68" i="1"/>
  <c r="W5" i="1" s="1"/>
  <c r="W68" i="1"/>
  <c r="V5" i="1" s="1"/>
  <c r="V68" i="1"/>
  <c r="U5" i="1" s="1"/>
  <c r="U68" i="1"/>
  <c r="T68" i="1"/>
  <c r="S68" i="1"/>
  <c r="R5" i="1" s="1"/>
  <c r="R68" i="1"/>
  <c r="Q68" i="1"/>
  <c r="P5" i="1" s="1"/>
  <c r="P68" i="1"/>
  <c r="O68" i="1"/>
  <c r="N5" i="1" s="1"/>
  <c r="N68" i="1"/>
  <c r="M68" i="1"/>
  <c r="L68" i="1"/>
  <c r="K68" i="1"/>
  <c r="J68" i="1"/>
  <c r="I5" i="1" s="1"/>
  <c r="I68" i="1"/>
  <c r="H5" i="1" s="1"/>
  <c r="H68" i="1"/>
  <c r="G5" i="1" s="1"/>
  <c r="G68" i="1"/>
  <c r="F5" i="1" s="1"/>
  <c r="F68" i="1"/>
  <c r="E68" i="1"/>
  <c r="D68" i="1"/>
  <c r="C68" i="1"/>
  <c r="C75" i="1" s="1"/>
  <c r="B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G56" i="1"/>
  <c r="AG4" i="1" s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I55" i="1"/>
  <c r="AH55" i="1"/>
  <c r="AI54" i="1"/>
  <c r="AH54" i="1"/>
  <c r="AI53" i="1"/>
  <c r="AH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I51" i="1"/>
  <c r="AH51" i="1"/>
  <c r="AG51" i="1"/>
  <c r="AG52" i="1" s="1"/>
  <c r="AG3" i="1" s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G38" i="1"/>
  <c r="AG2" i="1" s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AB5" i="1"/>
  <c r="AA5" i="1"/>
  <c r="T5" i="1"/>
  <c r="S5" i="1"/>
  <c r="Q5" i="1"/>
  <c r="O5" i="1"/>
  <c r="M5" i="1"/>
  <c r="L5" i="1"/>
  <c r="K5" i="1"/>
  <c r="J5" i="1"/>
  <c r="E5" i="1"/>
  <c r="D5" i="1"/>
  <c r="C5" i="1"/>
  <c r="K4" i="1"/>
  <c r="E4" i="4"/>
  <c r="E4" i="1"/>
  <c r="AA75" i="1" l="1"/>
  <c r="D75" i="1"/>
  <c r="T75" i="1"/>
  <c r="E75" i="1"/>
  <c r="U75" i="1"/>
  <c r="U7" i="1" s="1"/>
  <c r="B5" i="1"/>
  <c r="D93" i="1"/>
  <c r="Z5" i="1"/>
  <c r="X75" i="1"/>
  <c r="X7" i="1" s="1"/>
  <c r="D200" i="1"/>
  <c r="E194" i="1"/>
  <c r="F194" i="1" s="1"/>
  <c r="AB75" i="1"/>
  <c r="AB7" i="1" s="1"/>
  <c r="AC75" i="1"/>
  <c r="AU214" i="1" s="1"/>
  <c r="V75" i="1"/>
  <c r="AN214" i="1" s="1"/>
  <c r="AD75" i="1"/>
  <c r="AD83" i="1" s="1"/>
  <c r="AF75" i="1"/>
  <c r="AF83" i="1" s="1"/>
  <c r="Y75" i="1"/>
  <c r="Y7" i="1" s="1"/>
  <c r="B75" i="1"/>
  <c r="Z75" i="1"/>
  <c r="Z7" i="1" s="1"/>
  <c r="S75" i="1"/>
  <c r="AH56" i="1"/>
  <c r="R75" i="1"/>
  <c r="Q75" i="1"/>
  <c r="AI214" i="1" s="1"/>
  <c r="P75" i="1"/>
  <c r="AH214" i="1" s="1"/>
  <c r="N75" i="1"/>
  <c r="AF214" i="1" s="1"/>
  <c r="M75" i="1"/>
  <c r="AE214" i="1" s="1"/>
  <c r="L75" i="1"/>
  <c r="AD214" i="1" s="1"/>
  <c r="K75" i="1"/>
  <c r="AI56" i="1"/>
  <c r="J75" i="1"/>
  <c r="I75" i="1"/>
  <c r="I83" i="1" s="1"/>
  <c r="H75" i="1"/>
  <c r="H7" i="1" s="1"/>
  <c r="AI52" i="1"/>
  <c r="AH52" i="1"/>
  <c r="F75" i="1"/>
  <c r="F83" i="1" s="1"/>
  <c r="AI38" i="1"/>
  <c r="H4" i="4"/>
  <c r="V214" i="4"/>
  <c r="D83" i="4"/>
  <c r="D7" i="4"/>
  <c r="AD214" i="4"/>
  <c r="L83" i="4"/>
  <c r="L7" i="4"/>
  <c r="AL214" i="4"/>
  <c r="T83" i="4"/>
  <c r="T7" i="4"/>
  <c r="AT214" i="4"/>
  <c r="AB83" i="4"/>
  <c r="AB7" i="4"/>
  <c r="X214" i="4"/>
  <c r="F83" i="4"/>
  <c r="F7" i="4"/>
  <c r="AF214" i="4"/>
  <c r="N83" i="4"/>
  <c r="N7" i="4"/>
  <c r="AN214" i="4"/>
  <c r="V83" i="4"/>
  <c r="V7" i="4"/>
  <c r="AV214" i="4"/>
  <c r="AD83" i="4"/>
  <c r="AD7" i="4"/>
  <c r="I75" i="4"/>
  <c r="Q75" i="4"/>
  <c r="Y75" i="4"/>
  <c r="B75" i="4"/>
  <c r="R75" i="4"/>
  <c r="D211" i="4"/>
  <c r="S211" i="4"/>
  <c r="AH56" i="4"/>
  <c r="AH68" i="4"/>
  <c r="AK214" i="4"/>
  <c r="S83" i="4"/>
  <c r="C83" i="4"/>
  <c r="E75" i="4"/>
  <c r="M75" i="4"/>
  <c r="U75" i="4"/>
  <c r="AC75" i="4"/>
  <c r="J75" i="4"/>
  <c r="Z75" i="4"/>
  <c r="D93" i="4"/>
  <c r="E103" i="4"/>
  <c r="AH38" i="4"/>
  <c r="AC214" i="4"/>
  <c r="K83" i="4"/>
  <c r="AS214" i="4"/>
  <c r="AA83" i="4"/>
  <c r="G75" i="4"/>
  <c r="O75" i="4"/>
  <c r="W75" i="4"/>
  <c r="AE75" i="4"/>
  <c r="AG73" i="4"/>
  <c r="AG83" i="4" s="1"/>
  <c r="H75" i="4"/>
  <c r="P75" i="4"/>
  <c r="X75" i="4"/>
  <c r="AF75" i="4"/>
  <c r="D192" i="4"/>
  <c r="E192" i="4"/>
  <c r="F102" i="4"/>
  <c r="E235" i="4"/>
  <c r="G199" i="4"/>
  <c r="E200" i="4"/>
  <c r="F194" i="4"/>
  <c r="H4" i="1"/>
  <c r="U214" i="1"/>
  <c r="C83" i="1"/>
  <c r="C7" i="1"/>
  <c r="AC214" i="1"/>
  <c r="K83" i="1"/>
  <c r="K7" i="1"/>
  <c r="AK214" i="1"/>
  <c r="S83" i="1"/>
  <c r="S7" i="1"/>
  <c r="AS214" i="1"/>
  <c r="AA83" i="1"/>
  <c r="AA7" i="1"/>
  <c r="AL214" i="1"/>
  <c r="T83" i="1"/>
  <c r="T7" i="1"/>
  <c r="AT214" i="1"/>
  <c r="AB83" i="1"/>
  <c r="V214" i="1"/>
  <c r="D83" i="1"/>
  <c r="D7" i="1"/>
  <c r="W214" i="1"/>
  <c r="E83" i="1"/>
  <c r="E7" i="1"/>
  <c r="AM214" i="1"/>
  <c r="U83" i="1"/>
  <c r="T214" i="1"/>
  <c r="B83" i="1"/>
  <c r="B7" i="1"/>
  <c r="AJ214" i="1"/>
  <c r="R83" i="1"/>
  <c r="R7" i="1"/>
  <c r="N7" i="1"/>
  <c r="AB214" i="1"/>
  <c r="J83" i="1"/>
  <c r="J7" i="1"/>
  <c r="Z83" i="1"/>
  <c r="AG6" i="1"/>
  <c r="Z214" i="1"/>
  <c r="F109" i="1"/>
  <c r="E93" i="1"/>
  <c r="I7" i="1"/>
  <c r="Q83" i="1"/>
  <c r="AG73" i="1"/>
  <c r="AG83" i="1" s="1"/>
  <c r="H103" i="1"/>
  <c r="E192" i="1"/>
  <c r="F102" i="1"/>
  <c r="G75" i="1"/>
  <c r="S211" i="1"/>
  <c r="D211" i="1"/>
  <c r="AG75" i="1"/>
  <c r="O75" i="1"/>
  <c r="W75" i="1"/>
  <c r="AE75" i="1"/>
  <c r="AH68" i="1"/>
  <c r="AI68" i="1"/>
  <c r="AH38" i="1"/>
  <c r="D192" i="1"/>
  <c r="G194" i="1"/>
  <c r="E200" i="1"/>
  <c r="F199" i="1"/>
  <c r="AF7" i="1" l="1"/>
  <c r="AX214" i="1"/>
  <c r="AV214" i="1"/>
  <c r="AC7" i="1"/>
  <c r="AC83" i="1"/>
  <c r="AQ214" i="1"/>
  <c r="Y83" i="1"/>
  <c r="AP214" i="1"/>
  <c r="X83" i="1"/>
  <c r="V83" i="1"/>
  <c r="V7" i="1"/>
  <c r="AA214" i="1"/>
  <c r="P83" i="1"/>
  <c r="N83" i="1"/>
  <c r="P7" i="1"/>
  <c r="AD7" i="1"/>
  <c r="AR214" i="1"/>
  <c r="L7" i="1"/>
  <c r="L83" i="1"/>
  <c r="Q7" i="1"/>
  <c r="M7" i="1"/>
  <c r="M83" i="1"/>
  <c r="F7" i="1"/>
  <c r="X214" i="1"/>
  <c r="H83" i="1"/>
  <c r="AI75" i="1"/>
  <c r="AM214" i="4"/>
  <c r="U7" i="4"/>
  <c r="U83" i="4"/>
  <c r="AW214" i="4"/>
  <c r="AE83" i="4"/>
  <c r="AE7" i="4"/>
  <c r="AE214" i="4"/>
  <c r="M83" i="4"/>
  <c r="M7" i="4"/>
  <c r="AO214" i="4"/>
  <c r="W83" i="4"/>
  <c r="W7" i="4"/>
  <c r="W214" i="4"/>
  <c r="E83" i="4"/>
  <c r="E7" i="4"/>
  <c r="AJ214" i="4"/>
  <c r="R83" i="4"/>
  <c r="R7" i="4"/>
  <c r="G194" i="4"/>
  <c r="F200" i="4"/>
  <c r="AG214" i="4"/>
  <c r="O83" i="4"/>
  <c r="O7" i="4"/>
  <c r="E93" i="4"/>
  <c r="F103" i="4"/>
  <c r="T214" i="4"/>
  <c r="B83" i="4"/>
  <c r="AI75" i="4"/>
  <c r="AH75" i="4"/>
  <c r="B7" i="4"/>
  <c r="AX214" i="4"/>
  <c r="AF83" i="4"/>
  <c r="AF7" i="4"/>
  <c r="Y214" i="4"/>
  <c r="C209" i="4"/>
  <c r="B209" i="4"/>
  <c r="K6" i="4" s="1"/>
  <c r="G83" i="4"/>
  <c r="G7" i="4"/>
  <c r="AQ214" i="4"/>
  <c r="Y7" i="4"/>
  <c r="Y83" i="4"/>
  <c r="H199" i="4"/>
  <c r="F235" i="4"/>
  <c r="AP214" i="4"/>
  <c r="X83" i="4"/>
  <c r="X7" i="4"/>
  <c r="AR214" i="4"/>
  <c r="Z83" i="4"/>
  <c r="Z7" i="4"/>
  <c r="AI214" i="4"/>
  <c r="Q83" i="4"/>
  <c r="Q7" i="4"/>
  <c r="AH214" i="4"/>
  <c r="P83" i="4"/>
  <c r="P7" i="4"/>
  <c r="AB214" i="4"/>
  <c r="J83" i="4"/>
  <c r="J7" i="4"/>
  <c r="AA214" i="4"/>
  <c r="I7" i="4"/>
  <c r="I83" i="4"/>
  <c r="F192" i="4"/>
  <c r="G102" i="4"/>
  <c r="Z214" i="4"/>
  <c r="H83" i="4"/>
  <c r="H7" i="4"/>
  <c r="AU214" i="4"/>
  <c r="AC83" i="4"/>
  <c r="AC7" i="4"/>
  <c r="Y214" i="1"/>
  <c r="B209" i="1"/>
  <c r="C209" i="1"/>
  <c r="G7" i="1"/>
  <c r="G83" i="1"/>
  <c r="G109" i="1"/>
  <c r="F93" i="1"/>
  <c r="E235" i="1"/>
  <c r="G199" i="1"/>
  <c r="F192" i="1"/>
  <c r="G102" i="1"/>
  <c r="AW214" i="1"/>
  <c r="AE7" i="1"/>
  <c r="AE83" i="1"/>
  <c r="F200" i="1"/>
  <c r="AO214" i="1"/>
  <c r="W7" i="1"/>
  <c r="W83" i="1"/>
  <c r="G200" i="1"/>
  <c r="H194" i="1"/>
  <c r="AG214" i="1"/>
  <c r="O7" i="1"/>
  <c r="O83" i="1"/>
  <c r="I103" i="1"/>
  <c r="AH75" i="1"/>
  <c r="A7" i="1" l="1"/>
  <c r="AI83" i="1"/>
  <c r="A7" i="4"/>
  <c r="AI83" i="4"/>
  <c r="AH83" i="4"/>
  <c r="H194" i="4"/>
  <c r="G200" i="4"/>
  <c r="G235" i="4"/>
  <c r="I199" i="4"/>
  <c r="F93" i="4"/>
  <c r="G103" i="4"/>
  <c r="G192" i="4" s="1"/>
  <c r="H102" i="4"/>
  <c r="I194" i="1"/>
  <c r="H200" i="1"/>
  <c r="H109" i="1"/>
  <c r="G93" i="1"/>
  <c r="G192" i="1"/>
  <c r="H102" i="1"/>
  <c r="F235" i="1"/>
  <c r="H199" i="1"/>
  <c r="J103" i="1"/>
  <c r="K6" i="1"/>
  <c r="AH83" i="1"/>
  <c r="H235" i="4" l="1"/>
  <c r="J199" i="4"/>
  <c r="I194" i="4"/>
  <c r="H200" i="4"/>
  <c r="I102" i="4"/>
  <c r="H103" i="4"/>
  <c r="G93" i="4"/>
  <c r="H192" i="1"/>
  <c r="I102" i="1"/>
  <c r="K103" i="1"/>
  <c r="I109" i="1"/>
  <c r="H93" i="1"/>
  <c r="I199" i="1"/>
  <c r="G235" i="1"/>
  <c r="J194" i="1"/>
  <c r="J102" i="4" l="1"/>
  <c r="J194" i="4"/>
  <c r="I200" i="4"/>
  <c r="I103" i="4"/>
  <c r="H93" i="4"/>
  <c r="H192" i="4"/>
  <c r="I235" i="4"/>
  <c r="K199" i="4"/>
  <c r="L103" i="1"/>
  <c r="K194" i="1"/>
  <c r="I192" i="1"/>
  <c r="J102" i="1"/>
  <c r="H235" i="1"/>
  <c r="J199" i="1"/>
  <c r="J200" i="1" s="1"/>
  <c r="J109" i="1"/>
  <c r="I93" i="1"/>
  <c r="I200" i="1"/>
  <c r="K102" i="4" l="1"/>
  <c r="J103" i="4"/>
  <c r="I93" i="4"/>
  <c r="J200" i="4"/>
  <c r="K194" i="4"/>
  <c r="L199" i="4"/>
  <c r="J235" i="4"/>
  <c r="I192" i="4"/>
  <c r="J192" i="1"/>
  <c r="K102" i="1"/>
  <c r="L194" i="1"/>
  <c r="K109" i="1"/>
  <c r="J93" i="1"/>
  <c r="K199" i="1"/>
  <c r="K200" i="1" s="1"/>
  <c r="I235" i="1"/>
  <c r="M103" i="1"/>
  <c r="M199" i="4" l="1"/>
  <c r="K235" i="4"/>
  <c r="K200" i="4"/>
  <c r="L194" i="4"/>
  <c r="J93" i="4"/>
  <c r="K103" i="4"/>
  <c r="K192" i="4"/>
  <c r="L102" i="4"/>
  <c r="J192" i="4"/>
  <c r="M194" i="1"/>
  <c r="K192" i="1"/>
  <c r="L102" i="1"/>
  <c r="J235" i="1"/>
  <c r="L199" i="1"/>
  <c r="L109" i="1"/>
  <c r="K93" i="1"/>
  <c r="N103" i="1"/>
  <c r="M102" i="4" l="1"/>
  <c r="K93" i="4"/>
  <c r="L103" i="4"/>
  <c r="L200" i="4"/>
  <c r="M194" i="4"/>
  <c r="N199" i="4"/>
  <c r="L235" i="4"/>
  <c r="K235" i="1"/>
  <c r="M199" i="1"/>
  <c r="M109" i="1"/>
  <c r="L93" i="1"/>
  <c r="L192" i="1"/>
  <c r="M102" i="1"/>
  <c r="N194" i="1"/>
  <c r="M200" i="1"/>
  <c r="O103" i="1"/>
  <c r="L200" i="1"/>
  <c r="M200" i="4" l="1"/>
  <c r="N194" i="4"/>
  <c r="O199" i="4"/>
  <c r="M235" i="4"/>
  <c r="L93" i="4"/>
  <c r="M103" i="4"/>
  <c r="M192" i="4"/>
  <c r="N102" i="4"/>
  <c r="L192" i="4"/>
  <c r="M192" i="1"/>
  <c r="N102" i="1"/>
  <c r="O194" i="1"/>
  <c r="N109" i="1"/>
  <c r="M93" i="1"/>
  <c r="L235" i="1"/>
  <c r="N199" i="1"/>
  <c r="N200" i="1" s="1"/>
  <c r="P103" i="1"/>
  <c r="O102" i="4" l="1"/>
  <c r="M93" i="4"/>
  <c r="N103" i="4"/>
  <c r="N235" i="4"/>
  <c r="P199" i="4"/>
  <c r="N200" i="4"/>
  <c r="O194" i="4"/>
  <c r="O109" i="1"/>
  <c r="N93" i="1"/>
  <c r="P194" i="1"/>
  <c r="N192" i="1"/>
  <c r="O102" i="1"/>
  <c r="M235" i="1"/>
  <c r="O199" i="1"/>
  <c r="Q103" i="1"/>
  <c r="P194" i="4" l="1"/>
  <c r="O200" i="4"/>
  <c r="O235" i="4"/>
  <c r="Q199" i="4"/>
  <c r="N93" i="4"/>
  <c r="O103" i="4"/>
  <c r="O192" i="4"/>
  <c r="P102" i="4"/>
  <c r="N192" i="4"/>
  <c r="O192" i="1"/>
  <c r="P102" i="1"/>
  <c r="N235" i="1"/>
  <c r="P199" i="1"/>
  <c r="Q194" i="1"/>
  <c r="P200" i="1"/>
  <c r="O200" i="1"/>
  <c r="R103" i="1"/>
  <c r="P109" i="1"/>
  <c r="O93" i="1"/>
  <c r="Q102" i="4" l="1"/>
  <c r="P103" i="4"/>
  <c r="O93" i="4"/>
  <c r="P235" i="4"/>
  <c r="R199" i="4"/>
  <c r="Q194" i="4"/>
  <c r="P200" i="4"/>
  <c r="S103" i="1"/>
  <c r="Q199" i="1"/>
  <c r="O235" i="1"/>
  <c r="Q200" i="1"/>
  <c r="R194" i="1"/>
  <c r="Q109" i="1"/>
  <c r="P93" i="1"/>
  <c r="P192" i="1"/>
  <c r="Q102" i="1"/>
  <c r="R194" i="4" l="1"/>
  <c r="Q200" i="4"/>
  <c r="R102" i="4"/>
  <c r="Q235" i="4"/>
  <c r="S199" i="4"/>
  <c r="Q103" i="4"/>
  <c r="Q192" i="4" s="1"/>
  <c r="P93" i="4"/>
  <c r="P192" i="4"/>
  <c r="R109" i="1"/>
  <c r="Q93" i="1"/>
  <c r="P235" i="1"/>
  <c r="R199" i="1"/>
  <c r="Q192" i="1"/>
  <c r="R102" i="1"/>
  <c r="R200" i="1"/>
  <c r="S194" i="1"/>
  <c r="T103" i="1"/>
  <c r="T199" i="4" l="1"/>
  <c r="R235" i="4"/>
  <c r="R103" i="4"/>
  <c r="Q93" i="4"/>
  <c r="R192" i="4"/>
  <c r="S102" i="4"/>
  <c r="S194" i="4"/>
  <c r="R200" i="4"/>
  <c r="R192" i="1"/>
  <c r="S102" i="1"/>
  <c r="T194" i="1"/>
  <c r="S199" i="1"/>
  <c r="S200" i="1" s="1"/>
  <c r="Q235" i="1"/>
  <c r="U103" i="1"/>
  <c r="S109" i="1"/>
  <c r="R93" i="1"/>
  <c r="S200" i="4" l="1"/>
  <c r="T194" i="4"/>
  <c r="T102" i="4"/>
  <c r="R93" i="4"/>
  <c r="S103" i="4"/>
  <c r="S235" i="4"/>
  <c r="U199" i="4"/>
  <c r="U194" i="1"/>
  <c r="R235" i="1"/>
  <c r="T199" i="1"/>
  <c r="S192" i="1"/>
  <c r="T102" i="1"/>
  <c r="V103" i="1"/>
  <c r="T109" i="1"/>
  <c r="S93" i="1"/>
  <c r="V199" i="4" l="1"/>
  <c r="T235" i="4"/>
  <c r="S93" i="4"/>
  <c r="T103" i="4"/>
  <c r="T200" i="4"/>
  <c r="U194" i="4"/>
  <c r="T192" i="4"/>
  <c r="U102" i="4"/>
  <c r="S192" i="4"/>
  <c r="W103" i="1"/>
  <c r="T192" i="1"/>
  <c r="U102" i="1"/>
  <c r="S235" i="1"/>
  <c r="U199" i="1"/>
  <c r="V194" i="1"/>
  <c r="U200" i="1"/>
  <c r="U109" i="1"/>
  <c r="T93" i="1"/>
  <c r="T200" i="1"/>
  <c r="V102" i="4" l="1"/>
  <c r="U200" i="4"/>
  <c r="V194" i="4"/>
  <c r="T93" i="4"/>
  <c r="U103" i="4"/>
  <c r="W199" i="4"/>
  <c r="U235" i="4"/>
  <c r="W194" i="1"/>
  <c r="T235" i="1"/>
  <c r="V199" i="1"/>
  <c r="V200" i="1" s="1"/>
  <c r="U192" i="1"/>
  <c r="V102" i="1"/>
  <c r="V109" i="1"/>
  <c r="U93" i="1"/>
  <c r="X103" i="1"/>
  <c r="U93" i="4" l="1"/>
  <c r="V103" i="4"/>
  <c r="V192" i="4"/>
  <c r="W102" i="4"/>
  <c r="X199" i="4"/>
  <c r="V235" i="4"/>
  <c r="V200" i="4"/>
  <c r="W194" i="4"/>
  <c r="U192" i="4"/>
  <c r="V192" i="1"/>
  <c r="W102" i="1"/>
  <c r="W109" i="1"/>
  <c r="V93" i="1"/>
  <c r="U235" i="1"/>
  <c r="W199" i="1"/>
  <c r="Y103" i="1"/>
  <c r="X194" i="1"/>
  <c r="X194" i="4" l="1"/>
  <c r="W200" i="4"/>
  <c r="W235" i="4"/>
  <c r="Y199" i="4"/>
  <c r="X102" i="4"/>
  <c r="V93" i="4"/>
  <c r="W103" i="4"/>
  <c r="Z103" i="1"/>
  <c r="V235" i="1"/>
  <c r="X199" i="1"/>
  <c r="X109" i="1"/>
  <c r="W93" i="1"/>
  <c r="Y194" i="1"/>
  <c r="X200" i="1"/>
  <c r="W192" i="1"/>
  <c r="X102" i="1"/>
  <c r="W200" i="1"/>
  <c r="X103" i="4" l="1"/>
  <c r="W93" i="4"/>
  <c r="X192" i="4"/>
  <c r="Y102" i="4"/>
  <c r="W192" i="4"/>
  <c r="X235" i="4"/>
  <c r="Z199" i="4"/>
  <c r="X200" i="4"/>
  <c r="Y194" i="4"/>
  <c r="Z194" i="1"/>
  <c r="Y109" i="1"/>
  <c r="X93" i="1"/>
  <c r="Y199" i="1"/>
  <c r="W235" i="1"/>
  <c r="X192" i="1"/>
  <c r="Y102" i="1"/>
  <c r="AA103" i="1"/>
  <c r="Z102" i="4" l="1"/>
  <c r="Y235" i="4"/>
  <c r="AA199" i="4"/>
  <c r="Z194" i="4"/>
  <c r="Y200" i="4"/>
  <c r="Y103" i="4"/>
  <c r="X93" i="4"/>
  <c r="Y192" i="1"/>
  <c r="Z102" i="1"/>
  <c r="X235" i="1"/>
  <c r="Z199" i="1"/>
  <c r="Z109" i="1"/>
  <c r="Y93" i="1"/>
  <c r="AB103" i="1"/>
  <c r="AA194" i="1"/>
  <c r="Y200" i="1"/>
  <c r="AA194" i="4" l="1"/>
  <c r="Z200" i="4"/>
  <c r="AA102" i="4"/>
  <c r="Z103" i="4"/>
  <c r="Z192" i="4" s="1"/>
  <c r="Y93" i="4"/>
  <c r="AB199" i="4"/>
  <c r="Z235" i="4"/>
  <c r="Y192" i="4"/>
  <c r="AC103" i="1"/>
  <c r="AA109" i="1"/>
  <c r="Z93" i="1"/>
  <c r="AA199" i="1"/>
  <c r="Y235" i="1"/>
  <c r="AB194" i="1"/>
  <c r="AA200" i="1"/>
  <c r="Z192" i="1"/>
  <c r="AA102" i="1"/>
  <c r="Z200" i="1"/>
  <c r="AA235" i="4" l="1"/>
  <c r="AC199" i="4"/>
  <c r="Z93" i="4"/>
  <c r="AA103" i="4"/>
  <c r="AA192" i="4"/>
  <c r="AB102" i="4"/>
  <c r="AA200" i="4"/>
  <c r="AB194" i="4"/>
  <c r="Z235" i="1"/>
  <c r="AB199" i="1"/>
  <c r="AB109" i="1"/>
  <c r="AA93" i="1"/>
  <c r="AB200" i="1"/>
  <c r="AC194" i="1"/>
  <c r="AA192" i="1"/>
  <c r="AB102" i="1"/>
  <c r="AD103" i="1"/>
  <c r="AC194" i="4" l="1"/>
  <c r="AB200" i="4"/>
  <c r="AC102" i="4"/>
  <c r="AA93" i="4"/>
  <c r="AB103" i="4"/>
  <c r="AB235" i="4"/>
  <c r="AD199" i="4"/>
  <c r="AD194" i="1"/>
  <c r="AC109" i="1"/>
  <c r="AB93" i="1"/>
  <c r="AA235" i="1"/>
  <c r="AC199" i="1"/>
  <c r="AB192" i="1"/>
  <c r="AC102" i="1"/>
  <c r="AE103" i="1"/>
  <c r="AC235" i="4" l="1"/>
  <c r="AE199" i="4"/>
  <c r="AB93" i="4"/>
  <c r="AC103" i="4"/>
  <c r="AC192" i="4"/>
  <c r="AD102" i="4"/>
  <c r="AB192" i="4"/>
  <c r="AC200" i="4"/>
  <c r="AD194" i="4"/>
  <c r="AC192" i="1"/>
  <c r="AD102" i="1"/>
  <c r="AB235" i="1"/>
  <c r="AD199" i="1"/>
  <c r="AD200" i="1" s="1"/>
  <c r="AC200" i="1"/>
  <c r="AD109" i="1"/>
  <c r="AC93" i="1"/>
  <c r="AF103" i="1"/>
  <c r="AE194" i="1"/>
  <c r="AE102" i="4" l="1"/>
  <c r="AC93" i="4"/>
  <c r="AD103" i="4"/>
  <c r="AD235" i="4"/>
  <c r="AF199" i="4"/>
  <c r="AD200" i="4"/>
  <c r="AE194" i="4"/>
  <c r="AE109" i="1"/>
  <c r="AD93" i="1"/>
  <c r="AF194" i="1"/>
  <c r="AD192" i="1"/>
  <c r="AE102" i="1"/>
  <c r="B103" i="1"/>
  <c r="AC235" i="1"/>
  <c r="AE199" i="1"/>
  <c r="AE200" i="1" s="1"/>
  <c r="AF194" i="4" l="1"/>
  <c r="AE200" i="4"/>
  <c r="AE235" i="4"/>
  <c r="B199" i="4"/>
  <c r="AF235" i="4" s="1"/>
  <c r="AD93" i="4"/>
  <c r="AE103" i="4"/>
  <c r="AE192" i="4"/>
  <c r="AF102" i="4"/>
  <c r="AD192" i="4"/>
  <c r="AE192" i="1"/>
  <c r="AF102" i="1"/>
  <c r="B194" i="1"/>
  <c r="AD235" i="1"/>
  <c r="AF199" i="1"/>
  <c r="AF109" i="1"/>
  <c r="AE93" i="1"/>
  <c r="AF103" i="4" l="1"/>
  <c r="AE93" i="4"/>
  <c r="AF192" i="4"/>
  <c r="B102" i="4"/>
  <c r="AF200" i="4"/>
  <c r="B194" i="4"/>
  <c r="B200" i="4" s="1"/>
  <c r="B199" i="1"/>
  <c r="AF235" i="1" s="1"/>
  <c r="AE235" i="1"/>
  <c r="B109" i="1"/>
  <c r="AF93" i="1"/>
  <c r="AF200" i="1"/>
  <c r="AF192" i="1"/>
  <c r="B102" i="1"/>
  <c r="B192" i="1" s="1"/>
  <c r="B200" i="1" l="1"/>
  <c r="B93" i="1"/>
  <c r="B103" i="4"/>
  <c r="B93" i="4" s="1"/>
  <c r="AF93" i="4"/>
  <c r="AI93" i="1"/>
  <c r="AH93" i="1"/>
  <c r="AI93" i="4" l="1"/>
  <c r="AH93" i="4"/>
  <c r="B192" i="4"/>
</calcChain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  <comment ref="Z74" authorId="0">
      <text>
        <r>
          <rPr>
            <b/>
            <sz val="9"/>
            <color indexed="81"/>
            <rFont val="Tahoma"/>
            <family val="2"/>
          </rPr>
          <t>Data Server: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<sst xmlns="http://schemas.openxmlformats.org/spreadsheetml/2006/main" count="7529" uniqueCount="247">
  <si>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</si>
  <si>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</si>
  <si>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</si>
  <si>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</si>
  <si>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</si>
  <si>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</si>
  <si>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</si>
  <si>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</si>
  <si>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</si>
  <si>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</si>
  <si>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</si>
  <si>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</si>
  <si>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</si>
  <si>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</si>
  <si>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</si>
  <si>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</si>
  <si>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</si>
  <si>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</si>
  <si>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</si>
  <si>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</si>
  <si>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</si>
  <si>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Likhu IV (52.4)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</si>
  <si>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</si>
  <si>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</si>
  <si>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</si>
  <si>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</si>
  <si>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</si>
  <si>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</si>
  <si>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</si>
  <si>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</si>
  <si>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</si>
  <si>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</si>
  <si>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</si>
  <si>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</si>
  <si>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</si>
  <si>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</si>
  <si>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</si>
  <si>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</si>
  <si>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</si>
  <si>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</si>
  <si>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</si>
  <si>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Tallo Khare Khola(11)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</si>
  <si>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</si>
  <si>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</si>
  <si>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</si>
  <si>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</si>
  <si>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</si>
  <si>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</si>
  <si>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</si>
  <si>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</si>
  <si>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</si>
  <si>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</si>
  <si>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</si>
  <si>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</si>
  <si>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</si>
  <si>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</si>
  <si>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</si>
  <si>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</si>
  <si>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</si>
  <si>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</si>
  <si>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</si>
  <si>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</si>
  <si>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</si>
  <si>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</si>
  <si>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</si>
  <si>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</si>
  <si>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</si>
  <si>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</si>
  <si>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</si>
  <si>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</si>
  <si>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</si>
  <si>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</si>
  <si>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</si>
  <si>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</si>
  <si>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</si>
  <si>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</si>
  <si>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</si>
  <si>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</si>
  <si>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</si>
  <si>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</si>
  <si>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</si>
  <si>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</si>
  <si>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</si>
  <si>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</si>
  <si>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</si>
  <si>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 xml:space="preserve">                   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</si>
  <si>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</si>
  <si>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</si>
  <si>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</si>
  <si>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</si>
  <si>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</si>
  <si>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</si>
  <si>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</si>
  <si>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</si>
  <si>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</si>
  <si>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</si>
  <si>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</si>
  <si>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</si>
  <si>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</si>
  <si>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</si>
  <si>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</si>
  <si>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</si>
  <si>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</si>
  <si>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</si>
  <si>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</si>
  <si>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DHALKE-MIRCHYA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</si>
  <si>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</si>
  <si>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</si>
  <si>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</si>
  <si>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</si>
  <si>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</si>
  <si>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</si>
  <si>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</si>
  <si>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</si>
  <si>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</si>
  <si>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</si>
  <si>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</si>
  <si>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</si>
  <si>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</si>
  <si>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</si>
  <si>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</si>
  <si>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</si>
  <si>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</si>
  <si>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</si>
  <si>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</si>
  <si>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</si>
  <si>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</si>
  <si>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</si>
  <si>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</si>
  <si>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</si>
  <si>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</si>
  <si>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;/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</si>
  <si>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</si>
  <si>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</si>
  <si>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</si>
  <si>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</si>
  <si>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</si>
  <si>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</si>
  <si>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</si>
  <si>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</si>
  <si>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</si>
  <si>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</si>
  <si>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</si>
  <si>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</si>
  <si>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</si>
  <si>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</si>
  <si>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</si>
  <si>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</si>
  <si>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</si>
  <si>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</si>
  <si>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</si>
  <si>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</si>
  <si>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</si>
  <si>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</si>
  <si>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</si>
  <si>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</si>
  <si>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</si>
  <si>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</si>
  <si>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</si>
  <si>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</si>
  <si>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</si>
  <si>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</si>
  <si>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</si>
  <si>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</si>
  <si>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</si>
  <si>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</si>
  <si>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</si>
  <si>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</si>
  <si>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</si>
  <si>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</si>
  <si>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</si>
  <si>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</si>
  <si>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</si>
  <si>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</si>
  <si>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</si>
  <si>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</si>
  <si>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</si>
  <si>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</si>
  <si>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</si>
  <si>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</si>
  <si>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</si>
  <si>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</si>
  <si>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</si>
  <si>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</si>
  <si>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</si>
  <si>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</si>
  <si>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</si>
  <si>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</si>
  <si>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</si>
  <si>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</si>
  <si>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</si>
  <si>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</si>
  <si>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</si>
  <si>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</si>
  <si>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</si>
  <si>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</si>
  <si>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</si>
  <si>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</si>
  <si>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</si>
  <si>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</si>
  <si>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</si>
  <si>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</si>
  <si>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</si>
  <si>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</si>
  <si>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</si>
  <si>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</si>
  <si>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</si>
  <si>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</si>
  <si>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</si>
  <si>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</si>
  <si>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</si>
  <si>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</si>
  <si>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</si>
  <si>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</si>
  <si>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</si>
  <si>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</si>
  <si>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</si>
  <si>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</si>
  <si>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</si>
  <si>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</si>
  <si>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</si>
  <si>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</si>
  <si>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</si>
  <si>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</si>
  <si>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</si>
  <si>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</si>
  <si>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</si>
  <si>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</si>
  <si>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</si>
  <si>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</si>
  <si>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</si>
  <si>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 xml:space="preserve"> </t>
  </si>
  <si>
    <t xml:space="preserve">  </t>
  </si>
  <si>
    <t>Bharatpur - Kawasoti</t>
  </si>
  <si>
    <t>42..5</t>
  </si>
  <si>
    <t>66..2</t>
  </si>
  <si>
    <t>HETAUDA - KAMANE</t>
  </si>
  <si>
    <t>4..5</t>
  </si>
  <si>
    <t>4..6</t>
  </si>
  <si>
    <t>4..7</t>
  </si>
  <si>
    <t>4..8</t>
  </si>
  <si>
    <t>P</t>
  </si>
  <si>
    <t>A</t>
  </si>
  <si>
    <t>L</t>
  </si>
  <si>
    <t>126..7</t>
  </si>
  <si>
    <t>N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</si>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</sst>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2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0" fillId="0" borderId="0" xfId="0" applyNumberFormat="1"/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  <xf numFmtId="164" fontId="14" fillId="0" borderId="0" xfId="0" applyNumberFormat="1" applyFont="1" applyFill="1" applyBorder="1" applyAlignme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20" fontId="0" fillId="0" borderId="0" xfId="0" applyNumberFormat="1" applyAlignment="1">
      <alignment horizontal="center" vertical="center"/>
    </xf>
    <xf numFmtId="0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12" fillId="0" borderId="24" xfId="0" applyFont="1" applyBorder="1" applyAlignment="1">
      <alignment horizontal="right" vertical="center"/>
    </xf>
    <xf numFmtId="167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26" xfId="0" applyNumberFormat="1" applyFont="1" applyBorder="1" applyAlignment="1" applyProtection="1">
      <alignment horizontal="center" vertical="center"/>
      <protection locked="0"/>
    </xf>
    <xf numFmtId="167" fontId="12" fillId="0" borderId="27" xfId="0" applyNumberFormat="1" applyFont="1" applyBorder="1" applyAlignment="1" applyProtection="1">
      <alignment horizontal="center" vertical="center"/>
      <protection locked="0"/>
    </xf>
    <xf numFmtId="167" fontId="12" fillId="9" borderId="27" xfId="0" applyNumberFormat="1" applyFont="1" applyFill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28" xfId="0" applyFont="1" applyBorder="1" applyAlignment="1">
      <alignment horizontal="right" vertical="center"/>
    </xf>
    <xf numFmtId="2" fontId="12" fillId="0" borderId="25" xfId="0" applyNumberFormat="1" applyFont="1" applyBorder="1" applyAlignment="1" applyProtection="1">
      <alignment horizontal="center" vertical="center"/>
      <protection locked="0"/>
    </xf>
    <xf numFmtId="2" fontId="25" fillId="0" borderId="29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right" vertical="center"/>
    </xf>
    <xf numFmtId="2" fontId="25" fillId="0" borderId="31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right" vertical="center"/>
    </xf>
    <xf numFmtId="167" fontId="12" fillId="9" borderId="6" xfId="0" applyNumberFormat="1" applyFont="1" applyFill="1" applyBorder="1" applyAlignment="1" applyProtection="1">
      <alignment horizontal="center" vertical="center"/>
      <protection locked="0"/>
    </xf>
    <xf numFmtId="0" fontId="16" fillId="0" borderId="28" xfId="0" applyFont="1" applyBorder="1" applyAlignment="1">
      <alignment horizontal="right" vertical="center"/>
    </xf>
    <xf numFmtId="167" fontId="12" fillId="10" borderId="27" xfId="0" applyNumberFormat="1" applyFont="1" applyFill="1" applyBorder="1" applyAlignment="1" applyProtection="1">
      <alignment horizontal="center" vertical="center"/>
      <protection locked="0"/>
    </xf>
    <xf numFmtId="0" fontId="16" fillId="0" borderId="32" xfId="0" applyFont="1" applyBorder="1" applyAlignment="1">
      <alignment horizontal="left" vertical="center"/>
    </xf>
    <xf numFmtId="167" fontId="16" fillId="0" borderId="33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4" xfId="0" applyFont="1" applyBorder="1" applyAlignment="1">
      <alignment horizontal="right" vertical="center"/>
    </xf>
    <xf numFmtId="2" fontId="26" fillId="0" borderId="35" xfId="0" applyNumberFormat="1" applyFont="1" applyBorder="1" applyAlignment="1">
      <alignment horizontal="center" vertical="center"/>
    </xf>
    <xf numFmtId="2" fontId="16" fillId="0" borderId="36" xfId="0" applyNumberFormat="1" applyFont="1" applyBorder="1" applyAlignment="1">
      <alignment horizontal="center" vertical="center"/>
    </xf>
    <xf numFmtId="167" fontId="12" fillId="0" borderId="22" xfId="0" applyNumberFormat="1" applyFont="1" applyBorder="1" applyAlignment="1" applyProtection="1">
      <alignment horizontal="center" vertical="center"/>
      <protection locked="0"/>
    </xf>
    <xf numFmtId="2" fontId="25" fillId="0" borderId="23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167" fontId="12" fillId="0" borderId="27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right" vertical="center"/>
    </xf>
    <xf numFmtId="167" fontId="12" fillId="0" borderId="35" xfId="0" applyNumberFormat="1" applyFont="1" applyBorder="1" applyAlignment="1">
      <alignment horizontal="center" vertical="center"/>
    </xf>
    <xf numFmtId="2" fontId="12" fillId="0" borderId="38" xfId="0" applyNumberFormat="1" applyFont="1" applyBorder="1" applyAlignment="1">
      <alignment horizontal="center" vertical="center"/>
    </xf>
    <xf numFmtId="2" fontId="12" fillId="0" borderId="29" xfId="0" applyNumberFormat="1" applyFont="1" applyBorder="1" applyAlignment="1">
      <alignment horizontal="center" vertical="center"/>
    </xf>
    <xf numFmtId="1" fontId="16" fillId="0" borderId="33" xfId="0" applyNumberFormat="1" applyFont="1" applyBorder="1" applyAlignment="1">
      <alignment horizontal="center" vertical="center"/>
    </xf>
    <xf numFmtId="0" fontId="16" fillId="11" borderId="32" xfId="0" applyFont="1" applyFill="1" applyBorder="1" applyAlignment="1">
      <alignment vertical="center" wrapText="1"/>
    </xf>
    <xf numFmtId="167" fontId="12" fillId="0" borderId="33" xfId="0" applyNumberFormat="1" applyFont="1" applyBorder="1" applyAlignment="1" applyProtection="1">
      <alignment horizontal="center" vertical="center"/>
      <protection locked="0"/>
    </xf>
    <xf numFmtId="2" fontId="25" fillId="0" borderId="38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2" fontId="12" fillId="0" borderId="42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167" fontId="12" fillId="0" borderId="6" xfId="0" applyNumberFormat="1" applyFont="1" applyBorder="1" applyAlignment="1" applyProtection="1">
      <alignment horizontal="center"/>
      <protection locked="0"/>
    </xf>
    <xf numFmtId="2" fontId="12" fillId="0" borderId="42" xfId="0" applyNumberFormat="1" applyFont="1" applyBorder="1" applyAlignment="1">
      <alignment horizontal="center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44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9" xfId="0" applyFont="1" applyBorder="1" applyAlignment="1">
      <alignment vertical="center"/>
    </xf>
    <xf numFmtId="167" fontId="12" fillId="0" borderId="45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1" xfId="0" applyFont="1" applyBorder="1" applyAlignment="1">
      <alignment vertical="center"/>
    </xf>
    <xf numFmtId="167" fontId="12" fillId="0" borderId="46" xfId="0" applyNumberFormat="1" applyFont="1" applyBorder="1" applyAlignment="1" applyProtection="1">
      <alignment horizontal="center" vertical="center"/>
      <protection locked="0"/>
    </xf>
    <xf numFmtId="0" fontId="12" fillId="0" borderId="47" xfId="0" applyFont="1" applyBorder="1" applyAlignment="1">
      <alignment vertical="center"/>
    </xf>
    <xf numFmtId="167" fontId="12" fillId="0" borderId="48" xfId="0" applyNumberFormat="1" applyFont="1" applyBorder="1" applyAlignment="1" applyProtection="1">
      <alignment horizontal="center"/>
      <protection locked="0"/>
    </xf>
    <xf numFmtId="2" fontId="0" fillId="0" borderId="35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12" fillId="0" borderId="6" xfId="0" applyFont="1" applyBorder="1" applyAlignment="1">
      <alignment vertical="center"/>
    </xf>
    <xf numFmtId="0" fontId="16" fillId="0" borderId="49" xfId="0" applyFont="1" applyBorder="1" applyAlignment="1">
      <alignment vertical="center"/>
    </xf>
    <xf numFmtId="0" fontId="0" fillId="0" borderId="50" xfId="0" applyBorder="1" applyAlignment="1">
      <alignment horizontal="center"/>
    </xf>
    <xf numFmtId="2" fontId="0" fillId="0" borderId="51" xfId="0" applyNumberFormat="1" applyBorder="1" applyAlignment="1">
      <alignment horizontal="center"/>
    </xf>
    <xf numFmtId="167" fontId="0" fillId="0" borderId="0" xfId="0" applyNumberFormat="1" applyBorder="1" applyAlignment="1" applyProtection="1">
      <alignment horizontal="center"/>
      <protection locked="0"/>
    </xf>
    <xf numFmtId="0" fontId="12" fillId="0" borderId="52" xfId="0" applyFont="1" applyBorder="1" applyAlignment="1">
      <alignment vertical="center"/>
    </xf>
    <xf numFmtId="2" fontId="12" fillId="0" borderId="27" xfId="0" applyNumberFormat="1" applyFont="1" applyBorder="1" applyAlignment="1">
      <alignment horizontal="center" vertical="center"/>
    </xf>
    <xf numFmtId="170" fontId="25" fillId="0" borderId="53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70" fontId="25" fillId="0" borderId="54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54" xfId="0" applyNumberFormat="1" applyFont="1" applyBorder="1" applyAlignment="1">
      <alignment horizontal="center" vertical="center"/>
    </xf>
    <xf numFmtId="2" fontId="12" fillId="0" borderId="35" xfId="0" applyNumberFormat="1" applyFont="1" applyBorder="1" applyAlignment="1">
      <alignment horizontal="center" vertical="center"/>
    </xf>
    <xf numFmtId="2" fontId="28" fillId="0" borderId="55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2" fontId="12" fillId="0" borderId="33" xfId="0" applyNumberFormat="1" applyFon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vertical="center"/>
    </xf>
    <xf numFmtId="2" fontId="29" fillId="0" borderId="27" xfId="0" applyNumberFormat="1" applyFont="1" applyBorder="1" applyAlignment="1">
      <alignment horizontal="center" vertical="center"/>
    </xf>
    <xf numFmtId="2" fontId="29" fillId="0" borderId="53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4" borderId="0" xfId="0" applyFont="1" applyFill="1"/>
    <xf numFmtId="0" fontId="0" fillId="15" borderId="0" xfId="0" applyFill="1" applyProtection="1">
      <protection locked="0"/>
    </xf>
    <xf numFmtId="0" fontId="0" fillId="0" borderId="0" xfId="0" applyAlignment="1"/>
    <xf numFmtId="0" fontId="16" fillId="0" borderId="0" xfId="0" applyFont="1" applyBorder="1" applyAlignment="1">
      <alignment vertical="top" wrapText="1"/>
    </xf>
    <xf numFmtId="20" fontId="12" fillId="0" borderId="35" xfId="0" applyNumberFormat="1" applyFont="1" applyBorder="1" applyAlignment="1">
      <alignment vertical="center"/>
    </xf>
    <xf numFmtId="168" fontId="12" fillId="0" borderId="60" xfId="0" applyNumberFormat="1" applyFont="1" applyBorder="1" applyAlignment="1">
      <alignment vertical="center"/>
    </xf>
    <xf numFmtId="168" fontId="12" fillId="0" borderId="35" xfId="0" applyNumberFormat="1" applyFont="1" applyBorder="1" applyAlignment="1">
      <alignment vertical="center"/>
    </xf>
    <xf numFmtId="168" fontId="12" fillId="0" borderId="18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5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167" fontId="33" fillId="16" borderId="6" xfId="0" applyNumberFormat="1" applyFont="1" applyFill="1" applyBorder="1" applyAlignment="1">
      <alignment horizontal="center" vertical="top" wrapText="1"/>
    </xf>
    <xf numFmtId="167" fontId="33" fillId="16" borderId="52" xfId="0" applyNumberFormat="1" applyFont="1" applyFill="1" applyBorder="1" applyAlignment="1" applyProtection="1">
      <alignment horizontal="center" vertical="top" wrapText="1"/>
      <protection locked="0"/>
    </xf>
    <xf numFmtId="167" fontId="33" fillId="16" borderId="41" xfId="0" applyNumberFormat="1" applyFont="1" applyFill="1" applyBorder="1" applyAlignment="1">
      <alignment horizontal="center" vertical="top" wrapText="1"/>
    </xf>
    <xf numFmtId="167" fontId="33" fillId="16" borderId="41" xfId="0" applyNumberFormat="1" applyFont="1" applyFill="1" applyBorder="1" applyAlignment="1" applyProtection="1">
      <alignment horizontal="center" vertical="top" wrapText="1"/>
      <protection locked="0"/>
    </xf>
    <xf numFmtId="167" fontId="33" fillId="16" borderId="27" xfId="0" applyNumberFormat="1" applyFont="1" applyFill="1" applyBorder="1" applyAlignment="1">
      <alignment horizontal="center" vertical="top" wrapText="1"/>
    </xf>
    <xf numFmtId="167" fontId="33" fillId="16" borderId="35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168" fontId="12" fillId="7" borderId="18" xfId="0" applyNumberFormat="1" applyFont="1" applyFill="1" applyBorder="1" applyAlignment="1">
      <alignment horizontal="center" vertical="center"/>
    </xf>
    <xf numFmtId="168" fontId="12" fillId="7" borderId="21" xfId="0" applyNumberFormat="1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20" fontId="12" fillId="0" borderId="18" xfId="0" applyNumberFormat="1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168" fontId="12" fillId="0" borderId="18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2" fontId="23" fillId="0" borderId="61" xfId="0" applyNumberFormat="1" applyFont="1" applyBorder="1" applyAlignment="1">
      <alignment horizontal="center" vertical="center"/>
    </xf>
    <xf numFmtId="169" fontId="24" fillId="8" borderId="19" xfId="0" applyNumberFormat="1" applyFont="1" applyFill="1" applyBorder="1" applyAlignment="1">
      <alignment horizontal="center" vertical="center" wrapText="1"/>
    </xf>
    <xf numFmtId="169" fontId="24" fillId="8" borderId="23" xfId="0" applyNumberFormat="1" applyFont="1" applyFill="1" applyBorder="1" applyAlignment="1">
      <alignment horizontal="center" vertical="center" wrapText="1"/>
    </xf>
    <xf numFmtId="168" fontId="12" fillId="0" borderId="6" xfId="0" applyNumberFormat="1" applyFont="1" applyBorder="1" applyAlignment="1">
      <alignment horizontal="center" vertical="center"/>
    </xf>
    <xf numFmtId="0" fontId="31" fillId="13" borderId="0" xfId="0" applyFont="1" applyFill="1" applyAlignment="1">
      <alignment horizontal="center"/>
    </xf>
    <xf numFmtId="168" fontId="12" fillId="0" borderId="22" xfId="0" applyNumberFormat="1" applyFont="1" applyBorder="1" applyAlignment="1">
      <alignment horizontal="center" vertical="center"/>
    </xf>
    <xf numFmtId="0" fontId="12" fillId="0" borderId="22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950"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2.xml"/><Relationship Id="rId38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hartsheet" Target="chartsheets/sheet1.xml"/><Relationship Id="rId37" Type="http://schemas.openxmlformats.org/officeDocument/2006/relationships/externalLink" Target="externalLinks/externalLink1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4.xml"/><Relationship Id="rId43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[3]Jestha1!$A$212:$A$216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[3]Jestha1!$B$212:$B$216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[3]Jestha1!$S$214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[3]Jestha1!$T$212:$AX$212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[3]Jestha1!$U$213:$AX$213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32960"/>
        <c:axId val="411108864"/>
      </c:lineChart>
      <c:catAx>
        <c:axId val="411032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108864"/>
        <c:crosses val="autoZero"/>
        <c:auto val="1"/>
        <c:lblAlgn val="ctr"/>
        <c:lblOffset val="100"/>
        <c:noMultiLvlLbl val="0"/>
      </c:catAx>
      <c:valAx>
        <c:axId val="411108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3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'2'!$T$212:$AX$212</c:f>
              <c:numCache>
                <c:formatCode>General</c:formatCode>
                <c:ptCount val="31"/>
              </c:numCache>
            </c:numRef>
          </c:cat>
          <c:val>
            <c:numRef>
              <c:f>'2'!$U$213:$AX$213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399488"/>
        <c:axId val="414422144"/>
      </c:lineChart>
      <c:catAx>
        <c:axId val="414399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22144"/>
        <c:crosses val="autoZero"/>
        <c:auto val="1"/>
        <c:lblAlgn val="ctr"/>
        <c:lblOffset val="100"/>
        <c:noMultiLvlLbl val="0"/>
      </c:catAx>
      <c:valAx>
        <c:axId val="414422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9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'3'!$T$212:$AX$212</c:f>
              <c:numCache>
                <c:formatCode>General</c:formatCode>
                <c:ptCount val="31"/>
              </c:numCache>
            </c:numRef>
          </c:cat>
          <c:val>
            <c:numRef>
              <c:f>'3'!$U$213:$AX$213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643136"/>
        <c:axId val="417645312"/>
      </c:lineChart>
      <c:catAx>
        <c:axId val="417643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45312"/>
        <c:crosses val="autoZero"/>
        <c:auto val="1"/>
        <c:lblAlgn val="ctr"/>
        <c:lblOffset val="100"/>
        <c:noMultiLvlLbl val="0"/>
      </c:catAx>
      <c:valAx>
        <c:axId val="417645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4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'4'!$T$212:$AX$212</c:f>
              <c:numCache>
                <c:formatCode>General</c:formatCode>
                <c:ptCount val="31"/>
              </c:numCache>
            </c:numRef>
          </c:cat>
          <c:val>
            <c:numRef>
              <c:f>'4'!$U$213:$AX$213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9205120"/>
        <c:axId val="419207040"/>
      </c:lineChart>
      <c:catAx>
        <c:axId val="419205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7040"/>
        <c:crosses val="autoZero"/>
        <c:auto val="1"/>
        <c:lblAlgn val="ctr"/>
        <c:lblOffset val="100"/>
        <c:noMultiLvlLbl val="0"/>
      </c:catAx>
      <c:valAx>
        <c:axId val="419207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'5'!$T$212:$AX$212</c:f>
              <c:numCache>
                <c:formatCode>General</c:formatCode>
                <c:ptCount val="31"/>
              </c:numCache>
            </c:numRef>
          </c:cat>
          <c:val>
            <c:numRef>
              <c:f>'5'!$U$213:$AX$213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218112"/>
        <c:axId val="432220032"/>
      </c:lineChart>
      <c:catAx>
        <c:axId val="432218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20032"/>
        <c:crosses val="autoZero"/>
        <c:auto val="1"/>
        <c:lblAlgn val="ctr"/>
        <c:lblOffset val="100"/>
        <c:noMultiLvlLbl val="0"/>
      </c:catAx>
      <c:valAx>
        <c:axId val="432220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1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'6'!$T$212:$AX$212</c:f>
              <c:numCache>
                <c:formatCode>General</c:formatCode>
                <c:ptCount val="31"/>
              </c:numCache>
            </c:numRef>
          </c:cat>
          <c:val>
            <c:numRef>
              <c:f>'6'!$U$213:$AX$213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455488"/>
        <c:axId val="433457408"/>
      </c:lineChart>
      <c:catAx>
        <c:axId val="433455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57408"/>
        <c:crosses val="autoZero"/>
        <c:auto val="1"/>
        <c:lblAlgn val="ctr"/>
        <c:lblOffset val="100"/>
        <c:noMultiLvlLbl val="0"/>
      </c:catAx>
      <c:valAx>
        <c:axId val="433457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5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'7'!$T$212:$AX$212</c:f>
              <c:numCache>
                <c:formatCode>General</c:formatCode>
                <c:ptCount val="31"/>
              </c:numCache>
            </c:numRef>
          </c:cat>
          <c:val>
            <c:numRef>
              <c:f>'7'!$U$213:$AX$213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473280"/>
        <c:axId val="483491840"/>
      </c:lineChart>
      <c:catAx>
        <c:axId val="483473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91840"/>
        <c:crosses val="autoZero"/>
        <c:auto val="1"/>
        <c:lblAlgn val="ctr"/>
        <c:lblOffset val="100"/>
        <c:noMultiLvlLbl val="0"/>
      </c:catAx>
      <c:valAx>
        <c:axId val="483491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7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'8'!$T$212:$AX$212</c:f>
              <c:numCache>
                <c:formatCode>General</c:formatCode>
                <c:ptCount val="31"/>
              </c:numCache>
            </c:numRef>
          </c:cat>
          <c:val>
            <c:numRef>
              <c:f>'8'!$U$213:$AX$213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889920"/>
        <c:axId val="485896192"/>
      </c:lineChart>
      <c:catAx>
        <c:axId val="485889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96192"/>
        <c:crosses val="autoZero"/>
        <c:auto val="1"/>
        <c:lblAlgn val="ctr"/>
        <c:lblOffset val="100"/>
        <c:noMultiLvlLbl val="0"/>
      </c:catAx>
      <c:valAx>
        <c:axId val="485896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8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'9'!$T$212:$AX$212</c:f>
              <c:numCache>
                <c:formatCode>General</c:formatCode>
                <c:ptCount val="31"/>
              </c:numCache>
            </c:numRef>
          </c:cat>
          <c:val>
            <c:numRef>
              <c:f>'9'!$U$213:$AX$213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583552"/>
        <c:axId val="490585472"/>
      </c:lineChart>
      <c:catAx>
        <c:axId val="490583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85472"/>
        <c:crosses val="autoZero"/>
        <c:auto val="1"/>
        <c:lblAlgn val="ctr"/>
        <c:lblOffset val="100"/>
        <c:noMultiLvlLbl val="0"/>
      </c:catAx>
      <c:valAx>
        <c:axId val="490585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8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'10'!$T$212:$AX$212</c:f>
              <c:numCache>
                <c:formatCode>General</c:formatCode>
                <c:ptCount val="31"/>
              </c:numCache>
            </c:numRef>
          </c:cat>
          <c:val>
            <c:numRef>
              <c:f>'10'!$U$213:$AX$213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670144"/>
        <c:axId val="491684608"/>
      </c:lineChart>
      <c:catAx>
        <c:axId val="491670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84608"/>
        <c:crosses val="autoZero"/>
        <c:auto val="1"/>
        <c:lblAlgn val="ctr"/>
        <c:lblOffset val="100"/>
        <c:noMultiLvlLbl val="0"/>
      </c:catAx>
      <c:valAx>
        <c:axId val="491684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7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'11'!$T$212:$AX$212</c:f>
              <c:numCache>
                <c:formatCode>General</c:formatCode>
                <c:ptCount val="31"/>
              </c:numCache>
            </c:numRef>
          </c:cat>
          <c:val>
            <c:numRef>
              <c:f>'11'!$U$213:$AX$213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851200"/>
        <c:axId val="492853120"/>
      </c:lineChart>
      <c:catAx>
        <c:axId val="492851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53120"/>
        <c:crosses val="autoZero"/>
        <c:auto val="1"/>
        <c:lblAlgn val="ctr"/>
        <c:lblOffset val="100"/>
        <c:noMultiLvlLbl val="0"/>
      </c:catAx>
      <c:valAx>
        <c:axId val="492853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'12'!$T$212:$AX$212</c:f>
              <c:numCache>
                <c:formatCode>General</c:formatCode>
                <c:ptCount val="31"/>
              </c:numCache>
            </c:numRef>
          </c:cat>
          <c:val>
            <c:numRef>
              <c:f>'12'!$U$213:$AX$213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393280"/>
        <c:axId val="519395200"/>
      </c:lineChart>
      <c:catAx>
        <c:axId val="519393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95200"/>
        <c:crosses val="autoZero"/>
        <c:auto val="1"/>
        <c:lblAlgn val="ctr"/>
        <c:lblOffset val="100"/>
        <c:noMultiLvlLbl val="0"/>
      </c:catAx>
      <c:valAx>
        <c:axId val="519395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9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'13'!$T$212:$AX$212</c:f>
              <c:numCache>
                <c:formatCode>General</c:formatCode>
                <c:ptCount val="31"/>
              </c:numCache>
            </c:numRef>
          </c:cat>
          <c:val>
            <c:numRef>
              <c:f>'13'!$U$213:$AX$213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540928"/>
        <c:axId val="522543104"/>
      </c:lineChart>
      <c:catAx>
        <c:axId val="522540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43104"/>
        <c:crosses val="autoZero"/>
        <c:auto val="1"/>
        <c:lblAlgn val="ctr"/>
        <c:lblOffset val="100"/>
        <c:noMultiLvlLbl val="0"/>
      </c:catAx>
      <c:valAx>
        <c:axId val="522543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5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'14'!$T$212:$AX$212</c:f>
              <c:numCache>
                <c:formatCode>General</c:formatCode>
                <c:ptCount val="31"/>
              </c:numCache>
            </c:numRef>
          </c:cat>
          <c:val>
            <c:numRef>
              <c:f>'14'!$U$213:$AX$213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788096"/>
        <c:axId val="548892672"/>
      </c:lineChart>
      <c:catAx>
        <c:axId val="548788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892672"/>
        <c:crosses val="autoZero"/>
        <c:auto val="1"/>
        <c:lblAlgn val="ctr"/>
        <c:lblOffset val="100"/>
        <c:noMultiLvlLbl val="0"/>
      </c:catAx>
      <c:valAx>
        <c:axId val="548892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8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'15'!$T$212:$AX$212</c:f>
              <c:numCache>
                <c:formatCode>General</c:formatCode>
                <c:ptCount val="31"/>
              </c:numCache>
            </c:numRef>
          </c:cat>
          <c:val>
            <c:numRef>
              <c:f>'15'!$U$213:$AX$213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043264"/>
        <c:axId val="552045184"/>
      </c:lineChart>
      <c:catAx>
        <c:axId val="552043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45184"/>
        <c:crosses val="autoZero"/>
        <c:auto val="1"/>
        <c:lblAlgn val="ctr"/>
        <c:lblOffset val="100"/>
        <c:noMultiLvlLbl val="0"/>
      </c:catAx>
      <c:valAx>
        <c:axId val="552045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4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'16'!$T$212:$AX$212</c:f>
              <c:numCache>
                <c:formatCode>General</c:formatCode>
                <c:ptCount val="31"/>
              </c:numCache>
            </c:numRef>
          </c:cat>
          <c:val>
            <c:numRef>
              <c:f>'16'!$U$213:$AX$213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989248"/>
        <c:axId val="597999616"/>
      </c:lineChart>
      <c:catAx>
        <c:axId val="597989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99616"/>
        <c:crosses val="autoZero"/>
        <c:auto val="1"/>
        <c:lblAlgn val="ctr"/>
        <c:lblOffset val="100"/>
        <c:noMultiLvlLbl val="0"/>
      </c:catAx>
      <c:valAx>
        <c:axId val="597999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98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'17'!$T$212:$AX$212</c:f>
              <c:numCache>
                <c:formatCode>General</c:formatCode>
                <c:ptCount val="31"/>
              </c:numCache>
            </c:numRef>
          </c:cat>
          <c:val>
            <c:numRef>
              <c:f>'17'!$U$213:$AX$213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156992"/>
        <c:axId val="599163264"/>
      </c:lineChart>
      <c:catAx>
        <c:axId val="599156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63264"/>
        <c:crosses val="autoZero"/>
        <c:auto val="1"/>
        <c:lblAlgn val="ctr"/>
        <c:lblOffset val="100"/>
        <c:noMultiLvlLbl val="0"/>
      </c:catAx>
      <c:valAx>
        <c:axId val="599163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5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'18'!$T$212:$AX$212</c:f>
              <c:numCache>
                <c:formatCode>General</c:formatCode>
                <c:ptCount val="31"/>
              </c:numCache>
            </c:numRef>
          </c:cat>
          <c:val>
            <c:numRef>
              <c:f>'18'!$U$213:$AX$213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487424"/>
        <c:axId val="600489344"/>
      </c:lineChart>
      <c:catAx>
        <c:axId val="600487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89344"/>
        <c:crosses val="autoZero"/>
        <c:auto val="1"/>
        <c:lblAlgn val="ctr"/>
        <c:lblOffset val="100"/>
        <c:noMultiLvlLbl val="0"/>
      </c:catAx>
      <c:valAx>
        <c:axId val="600489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8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'19'!$T$212:$AX$212</c:f>
              <c:numCache>
                <c:formatCode>General</c:formatCode>
                <c:ptCount val="31"/>
              </c:numCache>
            </c:numRef>
          </c:cat>
          <c:val>
            <c:numRef>
              <c:f>'19'!$U$213:$AX$213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772416"/>
        <c:axId val="601774336"/>
      </c:lineChart>
      <c:catAx>
        <c:axId val="601772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74336"/>
        <c:crosses val="autoZero"/>
        <c:auto val="1"/>
        <c:lblAlgn val="ctr"/>
        <c:lblOffset val="100"/>
        <c:noMultiLvlLbl val="0"/>
      </c:catAx>
      <c:valAx>
        <c:axId val="601774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7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'20'!$T$212:$AX$212</c:f>
              <c:numCache>
                <c:formatCode>General</c:formatCode>
                <c:ptCount val="31"/>
              </c:numCache>
            </c:numRef>
          </c:cat>
          <c:val>
            <c:numRef>
              <c:f>'20'!$U$213:$AX$213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075904"/>
        <c:axId val="604082176"/>
      </c:lineChart>
      <c:catAx>
        <c:axId val="604075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82176"/>
        <c:crosses val="autoZero"/>
        <c:auto val="1"/>
        <c:lblAlgn val="ctr"/>
        <c:lblOffset val="100"/>
        <c:noMultiLvlLbl val="0"/>
      </c:catAx>
      <c:valAx>
        <c:axId val="604082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7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'21'!$T$212:$AX$212</c:f>
              <c:numCache>
                <c:formatCode>General</c:formatCode>
                <c:ptCount val="31"/>
              </c:numCache>
            </c:numRef>
          </c:cat>
          <c:val>
            <c:numRef>
              <c:f>'21'!$U$213:$AX$213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331456"/>
        <c:axId val="605333376"/>
      </c:lineChart>
      <c:catAx>
        <c:axId val="605331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33376"/>
        <c:crosses val="autoZero"/>
        <c:auto val="1"/>
        <c:lblAlgn val="ctr"/>
        <c:lblOffset val="100"/>
        <c:noMultiLvlLbl val="0"/>
      </c:catAx>
      <c:valAx>
        <c:axId val="605333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33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'22'!$T$212:$AX$212</c:f>
              <c:numCache>
                <c:formatCode>General</c:formatCode>
                <c:ptCount val="31"/>
              </c:numCache>
            </c:numRef>
          </c:cat>
          <c:val>
            <c:numRef>
              <c:f>'22'!$U$213:$AX$213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223360"/>
        <c:axId val="606225536"/>
      </c:lineChart>
      <c:catAx>
        <c:axId val="606223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25536"/>
        <c:crosses val="autoZero"/>
        <c:auto val="1"/>
        <c:lblAlgn val="ctr"/>
        <c:lblOffset val="100"/>
        <c:noMultiLvlLbl val="0"/>
      </c:catAx>
      <c:valAx>
        <c:axId val="60622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2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'23'!$T$212:$AX$212</c:f>
              <c:numCache>
                <c:formatCode>General</c:formatCode>
                <c:ptCount val="31"/>
              </c:numCache>
            </c:numRef>
          </c:cat>
          <c:val>
            <c:numRef>
              <c:f>'23'!$U$213:$AX$213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161344"/>
        <c:axId val="607184000"/>
      </c:lineChart>
      <c:catAx>
        <c:axId val="607161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84000"/>
        <c:crosses val="autoZero"/>
        <c:auto val="1"/>
        <c:lblAlgn val="ctr"/>
        <c:lblOffset val="100"/>
        <c:noMultiLvlLbl val="0"/>
      </c:catAx>
      <c:valAx>
        <c:axId val="607184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6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'24'!$T$212:$AX$212</c:f>
              <c:numCache>
                <c:formatCode>General</c:formatCode>
                <c:ptCount val="31"/>
              </c:numCache>
            </c:numRef>
          </c:cat>
          <c:val>
            <c:numRef>
              <c:f>'24'!$U$213:$AX$213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045696"/>
        <c:axId val="668047616"/>
      </c:lineChart>
      <c:catAx>
        <c:axId val="668045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47616"/>
        <c:crosses val="autoZero"/>
        <c:auto val="1"/>
        <c:lblAlgn val="ctr"/>
        <c:lblOffset val="100"/>
        <c:noMultiLvlLbl val="0"/>
      </c:catAx>
      <c:valAx>
        <c:axId val="668047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04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'25'!$T$212:$AX$212</c:f>
              <c:numCache>
                <c:formatCode>General</c:formatCode>
                <c:ptCount val="31"/>
              </c:numCache>
            </c:numRef>
          </c:cat>
          <c:val>
            <c:numRef>
              <c:f>'25'!$U$213:$AX$213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732608"/>
        <c:axId val="688455680"/>
      </c:lineChart>
      <c:catAx>
        <c:axId val="687732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55680"/>
        <c:crosses val="autoZero"/>
        <c:auto val="1"/>
        <c:lblAlgn val="ctr"/>
        <c:lblOffset val="100"/>
        <c:noMultiLvlLbl val="0"/>
      </c:catAx>
      <c:valAx>
        <c:axId val="688455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7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'26'!$T$212:$AX$212</c:f>
              <c:numCache>
                <c:formatCode>General</c:formatCode>
                <c:ptCount val="31"/>
              </c:numCache>
            </c:numRef>
          </c:cat>
          <c:val>
            <c:numRef>
              <c:f>'26'!$U$213:$AX$213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419200"/>
        <c:axId val="410421120"/>
      </c:lineChart>
      <c:catAx>
        <c:axId val="410419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21120"/>
        <c:crosses val="autoZero"/>
        <c:auto val="1"/>
        <c:lblAlgn val="ctr"/>
        <c:lblOffset val="100"/>
        <c:noMultiLvlLbl val="0"/>
      </c:catAx>
      <c:valAx>
        <c:axId val="410421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41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'27'!$T$212:$AX$212</c:f>
              <c:numCache>
                <c:formatCode>General</c:formatCode>
                <c:ptCount val="31"/>
              </c:numCache>
            </c:numRef>
          </c:cat>
          <c:val>
            <c:numRef>
              <c:f>'27'!$U$213:$AX$213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356672"/>
        <c:axId val="399358592"/>
      </c:lineChart>
      <c:catAx>
        <c:axId val="3993566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58592"/>
        <c:crosses val="autoZero"/>
        <c:auto val="1"/>
        <c:lblAlgn val="ctr"/>
        <c:lblOffset val="100"/>
        <c:noMultiLvlLbl val="0"/>
      </c:catAx>
      <c:valAx>
        <c:axId val="399358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'28'!$A$213:$A$217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'28'!$T$213:$AX$213</c:f>
              <c:numCache>
                <c:formatCode>General</c:formatCode>
                <c:ptCount val="31"/>
              </c:numCache>
            </c:numRef>
          </c:cat>
          <c:val>
            <c:numRef>
              <c:f>'28'!$U$214:$AX$214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338304"/>
        <c:axId val="396340224"/>
      </c:lineChart>
      <c:catAx>
        <c:axId val="3963383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40224"/>
        <c:crosses val="autoZero"/>
        <c:auto val="1"/>
        <c:lblAlgn val="ctr"/>
        <c:lblOffset val="100"/>
        <c:noMultiLvlLbl val="0"/>
      </c:catAx>
      <c:valAx>
        <c:axId val="396340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3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'29'!$A$213:$A$217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'29'!$T$213:$AX$213</c:f>
              <c:numCache>
                <c:formatCode>General</c:formatCode>
                <c:ptCount val="31"/>
              </c:numCache>
            </c:numRef>
          </c:cat>
          <c:val>
            <c:numRef>
              <c:f>'29'!$U$214:$AX$214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665728"/>
        <c:axId val="410667648"/>
      </c:lineChart>
      <c:catAx>
        <c:axId val="4106657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67648"/>
        <c:crosses val="autoZero"/>
        <c:auto val="1"/>
        <c:lblAlgn val="ctr"/>
        <c:lblOffset val="100"/>
        <c:noMultiLvlLbl val="0"/>
      </c:catAx>
      <c:valAx>
        <c:axId val="410667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6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'30'!$A$213:$A$217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'30'!$T$213:$AX$213</c:f>
              <c:numCache>
                <c:formatCode>General</c:formatCode>
                <c:ptCount val="31"/>
              </c:numCache>
            </c:numRef>
          </c:cat>
          <c:val>
            <c:numRef>
              <c:f>'30'!$U$214:$AX$214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550720"/>
        <c:axId val="417552640"/>
      </c:lineChart>
      <c:catAx>
        <c:axId val="417550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52640"/>
        <c:crosses val="autoZero"/>
        <c:auto val="1"/>
        <c:lblAlgn val="ctr"/>
        <c:lblOffset val="100"/>
        <c:noMultiLvlLbl val="0"/>
      </c:catAx>
      <c:valAx>
        <c:axId val="417552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55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'31'!$A$213:$A$217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'31'!$B$213:$B$217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'31'!$S$215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'31'!$T$213:$AX$213</c:f>
              <c:numCache>
                <c:formatCode>General</c:formatCode>
                <c:ptCount val="31"/>
              </c:numCache>
            </c:numRef>
          </c:cat>
          <c:val>
            <c:numRef>
              <c:f>'31'!$U$214:$AX$214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662528"/>
        <c:axId val="419489280"/>
      </c:lineChart>
      <c:catAx>
        <c:axId val="406662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89280"/>
        <c:crosses val="autoZero"/>
        <c:auto val="1"/>
        <c:lblAlgn val="ctr"/>
        <c:lblOffset val="100"/>
        <c:noMultiLvlLbl val="0"/>
      </c:catAx>
      <c:valAx>
        <c:axId val="4194892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6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'25'!$B$1:$B$91</c:f>
              <c:numCache>
                <c:formatCode>General</c:formatCode>
                <c:ptCount val="90"/>
                <c:pt idx="1">
                  <c:v>0</c:v>
                </c:pt>
                <c:pt idx="3">
                  <c:v>0</c:v>
                </c:pt>
                <c:pt idx="5" formatCode="0">
                  <c:v>1376.8400000000001</c:v>
                </c:pt>
                <c:pt idx="6" formatCode="0.00">
                  <c:v>0</c:v>
                </c:pt>
                <c:pt idx="7" formatCode="h:mm">
                  <c:v>0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37.700000000000003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24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24.7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133.80000000000001</c:v>
                </c:pt>
                <c:pt idx="36" formatCode="0.0">
                  <c:v>1142.9000000000001</c:v>
                </c:pt>
                <c:pt idx="37" formatCode="0.0">
                  <c:v>146.4</c:v>
                </c:pt>
                <c:pt idx="38" formatCode="0.0">
                  <c:v>69.5</c:v>
                </c:pt>
                <c:pt idx="39" formatCode="0.0">
                  <c:v>66.8</c:v>
                </c:pt>
                <c:pt idx="40" formatCode="0.0">
                  <c:v>51.1</c:v>
                </c:pt>
                <c:pt idx="41" formatCode="0.0">
                  <c:v>27.4</c:v>
                </c:pt>
                <c:pt idx="42" formatCode="0.0">
                  <c:v>0</c:v>
                </c:pt>
                <c:pt idx="43" formatCode="0.0">
                  <c:v>14.7</c:v>
                </c:pt>
                <c:pt idx="44" formatCode="0.0">
                  <c:v>2</c:v>
                </c:pt>
                <c:pt idx="45" formatCode="0.0">
                  <c:v>13.6</c:v>
                </c:pt>
                <c:pt idx="46" formatCode="0.0">
                  <c:v>12.9</c:v>
                </c:pt>
                <c:pt idx="47" formatCode="0.0">
                  <c:v>6.3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427.34000000000003</c:v>
                </c:pt>
                <c:pt idx="51" formatCode="0.0">
                  <c:v>14</c:v>
                </c:pt>
                <c:pt idx="52" formatCode="0.0">
                  <c:v>8</c:v>
                </c:pt>
                <c:pt idx="53" formatCode="0.0">
                  <c:v>3.6</c:v>
                </c:pt>
                <c:pt idx="54" formatCode="0.0">
                  <c:v>22.6</c:v>
                </c:pt>
                <c:pt idx="55" formatCode="0.0">
                  <c:v>53.5</c:v>
                </c:pt>
                <c:pt idx="56" formatCode="0.0">
                  <c:v>0</c:v>
                </c:pt>
                <c:pt idx="57" formatCode="0.0">
                  <c:v>-302</c:v>
                </c:pt>
                <c:pt idx="58" formatCode="0.0">
                  <c:v>10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-216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1376.8400000000001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2578.73</c:v>
                </c:pt>
                <c:pt idx="82" formatCode="0.00">
                  <c:v>49.96</c:v>
                </c:pt>
                <c:pt idx="83" formatCode="0.0">
                  <c:v>122.4</c:v>
                </c:pt>
                <c:pt idx="84" formatCode="0.0">
                  <c:v>127.3</c:v>
                </c:pt>
                <c:pt idx="85" formatCode="0.0">
                  <c:v>128.80000000000001</c:v>
                </c:pt>
                <c:pt idx="86" formatCode="0.0">
                  <c:v>132.4</c:v>
                </c:pt>
                <c:pt idx="87" formatCode="0.0">
                  <c:v>133.80000000000001</c:v>
                </c:pt>
                <c:pt idx="88" formatCode="0.0">
                  <c:v>126.4</c:v>
                </c:pt>
                <c:pt idx="89" formatCode="0.0">
                  <c:v>64.5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'25'!$C$1:$C$91</c:f>
              <c:numCache>
                <c:formatCode>General</c:formatCode>
                <c:ptCount val="90"/>
                <c:pt idx="5" formatCode="0">
                  <c:v>1351.5400000000002</c:v>
                </c:pt>
                <c:pt idx="7" formatCode="[hh]:mm">
                  <c:v>4.1666666666666664E-2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37.700000000000003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24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24.7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130.19999999999999</c:v>
                </c:pt>
                <c:pt idx="36" formatCode="0.0">
                  <c:v>1153.9000000000001</c:v>
                </c:pt>
                <c:pt idx="37" formatCode="0.0">
                  <c:v>142.4</c:v>
                </c:pt>
                <c:pt idx="38" formatCode="0.0">
                  <c:v>60</c:v>
                </c:pt>
                <c:pt idx="39" formatCode="0.0">
                  <c:v>66.8</c:v>
                </c:pt>
                <c:pt idx="40" formatCode="0.0">
                  <c:v>51.1</c:v>
                </c:pt>
                <c:pt idx="41" formatCode="0.0">
                  <c:v>27.4</c:v>
                </c:pt>
                <c:pt idx="42" formatCode="0.0">
                  <c:v>0</c:v>
                </c:pt>
                <c:pt idx="43" formatCode="0.0">
                  <c:v>14.7</c:v>
                </c:pt>
                <c:pt idx="44" formatCode="0.0">
                  <c:v>2</c:v>
                </c:pt>
                <c:pt idx="45" formatCode="0.0">
                  <c:v>13.6</c:v>
                </c:pt>
                <c:pt idx="46" formatCode="0.0">
                  <c:v>12.9</c:v>
                </c:pt>
                <c:pt idx="47" formatCode="0.0">
                  <c:v>6.3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403.84000000000003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59.3</c:v>
                </c:pt>
                <c:pt idx="56" formatCode="0.0">
                  <c:v>0</c:v>
                </c:pt>
                <c:pt idx="57" formatCode="0.0">
                  <c:v>-280</c:v>
                </c:pt>
                <c:pt idx="58" formatCode="0.0">
                  <c:v>10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-206.2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1351.5400000000002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2553.4300000000003</c:v>
                </c:pt>
                <c:pt idx="82" formatCode="0.00">
                  <c:v>50.03</c:v>
                </c:pt>
                <c:pt idx="83" formatCode="0.0">
                  <c:v>122.6</c:v>
                </c:pt>
                <c:pt idx="84" formatCode="0.0">
                  <c:v>128</c:v>
                </c:pt>
                <c:pt idx="85" formatCode="0.0">
                  <c:v>127.9</c:v>
                </c:pt>
                <c:pt idx="86" formatCode="0.0">
                  <c:v>132.80000000000001</c:v>
                </c:pt>
                <c:pt idx="87" formatCode="0.0">
                  <c:v>133.80000000000001</c:v>
                </c:pt>
                <c:pt idx="88" formatCode="0.0">
                  <c:v>119</c:v>
                </c:pt>
                <c:pt idx="89" formatCode="0.0">
                  <c:v>64.5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'25'!$D$1:$D$91</c:f>
              <c:numCache>
                <c:formatCode>General</c:formatCode>
                <c:ptCount val="90"/>
                <c:pt idx="1">
                  <c:v>0</c:v>
                </c:pt>
                <c:pt idx="5" formatCode="0">
                  <c:v>1413.8400000000001</c:v>
                </c:pt>
                <c:pt idx="7" formatCode="[hh]:mm">
                  <c:v>8.3333333333333301E-2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37.700000000000003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24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24.7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130.19999999999999</c:v>
                </c:pt>
                <c:pt idx="36" formatCode="0.0">
                  <c:v>1153.9000000000001</c:v>
                </c:pt>
                <c:pt idx="37" formatCode="0.0">
                  <c:v>142.4</c:v>
                </c:pt>
                <c:pt idx="38" formatCode="0.0">
                  <c:v>60</c:v>
                </c:pt>
                <c:pt idx="39" formatCode="0.0">
                  <c:v>66.8</c:v>
                </c:pt>
                <c:pt idx="40" formatCode="0.0">
                  <c:v>60</c:v>
                </c:pt>
                <c:pt idx="41" formatCode="0.0">
                  <c:v>27.4</c:v>
                </c:pt>
                <c:pt idx="42" formatCode="0.0">
                  <c:v>0</c:v>
                </c:pt>
                <c:pt idx="43" formatCode="0.0">
                  <c:v>14.7</c:v>
                </c:pt>
                <c:pt idx="44" formatCode="0.0">
                  <c:v>2</c:v>
                </c:pt>
                <c:pt idx="45" formatCode="0.0">
                  <c:v>13.6</c:v>
                </c:pt>
                <c:pt idx="46" formatCode="0.0">
                  <c:v>12.9</c:v>
                </c:pt>
                <c:pt idx="47" formatCode="0.0">
                  <c:v>6.3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412.74</c:v>
                </c:pt>
                <c:pt idx="51" formatCode="0.0">
                  <c:v>20</c:v>
                </c:pt>
                <c:pt idx="52" formatCode="0.0">
                  <c:v>15.7</c:v>
                </c:pt>
                <c:pt idx="53" formatCode="0.0">
                  <c:v>5.7</c:v>
                </c:pt>
                <c:pt idx="54" formatCode="0.0">
                  <c:v>41.400000000000006</c:v>
                </c:pt>
                <c:pt idx="55" formatCode="0.0">
                  <c:v>59.3</c:v>
                </c:pt>
                <c:pt idx="56" formatCode="0.0">
                  <c:v>0</c:v>
                </c:pt>
                <c:pt idx="57" formatCode="0.0">
                  <c:v>-268</c:v>
                </c:pt>
                <c:pt idx="58" formatCode="0.0">
                  <c:v>10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-194.2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1413.8400000000001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2615.73</c:v>
                </c:pt>
                <c:pt idx="82" formatCode="0.00">
                  <c:v>50.05</c:v>
                </c:pt>
                <c:pt idx="83" formatCode="0.0">
                  <c:v>123.8</c:v>
                </c:pt>
                <c:pt idx="84" formatCode="0.0">
                  <c:v>128.1</c:v>
                </c:pt>
                <c:pt idx="85" formatCode="0.0">
                  <c:v>132.80000000000001</c:v>
                </c:pt>
                <c:pt idx="86" formatCode="0.0">
                  <c:v>132.4</c:v>
                </c:pt>
                <c:pt idx="87" formatCode="0.0">
                  <c:v>133.80000000000001</c:v>
                </c:pt>
                <c:pt idx="88" formatCode="0.0">
                  <c:v>122</c:v>
                </c:pt>
                <c:pt idx="89" formatCode="0.0">
                  <c:v>65.2</c:v>
                </c:pt>
              </c:numCache>
            </c:numRef>
          </c:val>
        </c:ser>
        <c:ser>
          <c:idx val="3"/>
          <c:order val="3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'25'!$E$1:$E$91</c:f>
              <c:numCache>
                <c:formatCode>General</c:formatCode>
                <c:ptCount val="90"/>
                <c:pt idx="3" formatCode="[$-409]d\-mmm\-yyyy;@">
                  <c:v>0</c:v>
                </c:pt>
                <c:pt idx="5" formatCode="0">
                  <c:v>1212.1399999999999</c:v>
                </c:pt>
                <c:pt idx="7" formatCode="[hh]:mm">
                  <c:v>0.125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40.4</c:v>
                </c:pt>
                <c:pt idx="12" formatCode="0.0">
                  <c:v>0</c:v>
                </c:pt>
                <c:pt idx="13" formatCode="0.0">
                  <c:v>45.7</c:v>
                </c:pt>
                <c:pt idx="14" formatCode="0.0">
                  <c:v>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0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0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0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130.19999999999999</c:v>
                </c:pt>
                <c:pt idx="36" formatCode="0.0">
                  <c:v>1018.4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60</c:v>
                </c:pt>
                <c:pt idx="41" formatCode="0.0">
                  <c:v>15</c:v>
                </c:pt>
                <c:pt idx="42" formatCode="0.0">
                  <c:v>0</c:v>
                </c:pt>
                <c:pt idx="43" formatCode="0.0">
                  <c:v>14.7</c:v>
                </c:pt>
                <c:pt idx="44" formatCode="0.0">
                  <c:v>2</c:v>
                </c:pt>
                <c:pt idx="45" formatCode="0.0">
                  <c:v>13.6</c:v>
                </c:pt>
                <c:pt idx="46" formatCode="0.0">
                  <c:v>0</c:v>
                </c:pt>
                <c:pt idx="47" formatCode="0.0">
                  <c:v>6.3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118.24</c:v>
                </c:pt>
                <c:pt idx="51" formatCode="0.0">
                  <c:v>30</c:v>
                </c:pt>
                <c:pt idx="52" formatCode="0.0">
                  <c:v>15</c:v>
                </c:pt>
                <c:pt idx="53" formatCode="0.0">
                  <c:v>6</c:v>
                </c:pt>
                <c:pt idx="54" formatCode="0.0">
                  <c:v>51</c:v>
                </c:pt>
                <c:pt idx="55" formatCode="0.0">
                  <c:v>60</c:v>
                </c:pt>
                <c:pt idx="56" formatCode="0.0">
                  <c:v>0</c:v>
                </c:pt>
                <c:pt idx="57" formatCode="0.0">
                  <c:v>-250</c:v>
                </c:pt>
                <c:pt idx="58" formatCode="0.0">
                  <c:v>10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-175.5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200</c:v>
                </c:pt>
                <c:pt idx="73" formatCode="0">
                  <c:v>1212.1399999999999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2614.0299999999997</c:v>
                </c:pt>
              </c:numCache>
            </c:numRef>
          </c:val>
        </c:ser>
        <c:ser>
          <c:idx val="4"/>
          <c:order val="4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'25'!$F$1:$F$91</c:f>
              <c:numCache>
                <c:formatCode>General</c:formatCode>
                <c:ptCount val="90"/>
                <c:pt idx="1">
                  <c:v>0</c:v>
                </c:pt>
                <c:pt idx="5" formatCode="0">
                  <c:v>1308.1399999999999</c:v>
                </c:pt>
                <c:pt idx="7" formatCode="[hh]:mm">
                  <c:v>0.16666666666666699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40.4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0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0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122.7</c:v>
                </c:pt>
                <c:pt idx="36" formatCode="0.0">
                  <c:v>1092.0999999999999</c:v>
                </c:pt>
                <c:pt idx="37" formatCode="0.0">
                  <c:v>146.69999999999999</c:v>
                </c:pt>
                <c:pt idx="38" formatCode="0.0">
                  <c:v>35</c:v>
                </c:pt>
                <c:pt idx="39" formatCode="0.0">
                  <c:v>57.4</c:v>
                </c:pt>
                <c:pt idx="40" formatCode="0.0">
                  <c:v>61.2</c:v>
                </c:pt>
                <c:pt idx="41" formatCode="0.0">
                  <c:v>15</c:v>
                </c:pt>
                <c:pt idx="42" formatCode="0.0">
                  <c:v>0</c:v>
                </c:pt>
                <c:pt idx="43" formatCode="0.0">
                  <c:v>14.7</c:v>
                </c:pt>
                <c:pt idx="44" formatCode="0.0">
                  <c:v>2</c:v>
                </c:pt>
                <c:pt idx="45" formatCode="0.0">
                  <c:v>13.6</c:v>
                </c:pt>
                <c:pt idx="46" formatCode="0.0">
                  <c:v>0</c:v>
                </c:pt>
                <c:pt idx="47" formatCode="0.0">
                  <c:v>6.3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358.54000000000008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58</c:v>
                </c:pt>
                <c:pt idx="56" formatCode="0.0">
                  <c:v>0</c:v>
                </c:pt>
                <c:pt idx="57" formatCode="0.0">
                  <c:v>-275</c:v>
                </c:pt>
                <c:pt idx="58" formatCode="0.0">
                  <c:v>10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-202.5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60</c:v>
                </c:pt>
                <c:pt idx="73" formatCode="0">
                  <c:v>1308.1399999999999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2570.0299999999997</c:v>
                </c:pt>
                <c:pt idx="82" formatCode="0.00">
                  <c:v>50.042999999999999</c:v>
                </c:pt>
                <c:pt idx="83" formatCode="0.0">
                  <c:v>123</c:v>
                </c:pt>
                <c:pt idx="84" formatCode="0.0">
                  <c:v>127.6</c:v>
                </c:pt>
                <c:pt idx="85" formatCode="0.0">
                  <c:v>129.19999999999999</c:v>
                </c:pt>
                <c:pt idx="86" formatCode="0.0">
                  <c:v>134</c:v>
                </c:pt>
                <c:pt idx="87" formatCode="0.0">
                  <c:v>129.69999999999999</c:v>
                </c:pt>
                <c:pt idx="88" formatCode="0.0">
                  <c:v>125.1</c:v>
                </c:pt>
                <c:pt idx="89" formatCode="0.0">
                  <c:v>64.599999999999994</c:v>
                </c:pt>
              </c:numCache>
            </c:numRef>
          </c:val>
        </c:ser>
        <c:ser>
          <c:idx val="5"/>
          <c:order val="5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'25'!$G$1:$G$91</c:f>
              <c:numCache>
                <c:formatCode>General</c:formatCode>
                <c:ptCount val="90"/>
                <c:pt idx="5" formatCode="0">
                  <c:v>1306.24</c:v>
                </c:pt>
                <c:pt idx="7" formatCode="[hh]:mm">
                  <c:v>0.20833333333333301</c:v>
                </c:pt>
                <c:pt idx="9" formatCode="0.0">
                  <c:v>426</c:v>
                </c:pt>
                <c:pt idx="10" formatCode="0.0">
                  <c:v>60</c:v>
                </c:pt>
                <c:pt idx="11" formatCode="0.0">
                  <c:v>40.4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0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0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130.6</c:v>
                </c:pt>
                <c:pt idx="36" formatCode="0.0">
                  <c:v>1062.0999999999999</c:v>
                </c:pt>
                <c:pt idx="37" formatCode="0.0">
                  <c:v>146.5</c:v>
                </c:pt>
                <c:pt idx="38" formatCode="0.0">
                  <c:v>58.6</c:v>
                </c:pt>
                <c:pt idx="39" formatCode="0.0">
                  <c:v>65</c:v>
                </c:pt>
                <c:pt idx="40" formatCode="0.0">
                  <c:v>60.9</c:v>
                </c:pt>
                <c:pt idx="41" formatCode="0.0">
                  <c:v>10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386.64000000000004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60</c:v>
                </c:pt>
                <c:pt idx="56" formatCode="0.0">
                  <c:v>0</c:v>
                </c:pt>
                <c:pt idx="57" formatCode="0.0">
                  <c:v>-287</c:v>
                </c:pt>
                <c:pt idx="58" formatCode="0.0">
                  <c:v>20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-202.5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60</c:v>
                </c:pt>
                <c:pt idx="73" formatCode="0">
                  <c:v>1306.24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2568.13</c:v>
                </c:pt>
                <c:pt idx="82" formatCode="0.00">
                  <c:v>50.021000000000001</c:v>
                </c:pt>
                <c:pt idx="83" formatCode="0.0">
                  <c:v>122.4</c:v>
                </c:pt>
                <c:pt idx="84" formatCode="0.0">
                  <c:v>127</c:v>
                </c:pt>
                <c:pt idx="85" formatCode="0.0">
                  <c:v>128.80000000000001</c:v>
                </c:pt>
                <c:pt idx="86" formatCode="0.0">
                  <c:v>131.9</c:v>
                </c:pt>
                <c:pt idx="87" formatCode="0.0">
                  <c:v>132.1</c:v>
                </c:pt>
                <c:pt idx="88" formatCode="0.0">
                  <c:v>125.1</c:v>
                </c:pt>
                <c:pt idx="89" formatCode="0.0">
                  <c:v>64.5</c:v>
                </c:pt>
              </c:numCache>
            </c:numRef>
          </c:val>
        </c:ser>
        <c:ser>
          <c:idx val="6"/>
          <c:order val="6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'25'!$H$1:$H$91</c:f>
              <c:numCache>
                <c:formatCode>General</c:formatCode>
                <c:ptCount val="90"/>
                <c:pt idx="1">
                  <c:v>0</c:v>
                </c:pt>
                <c:pt idx="3" formatCode="[$-F800]dddd\,\ mmmm\ dd\,\ yyyy">
                  <c:v>0</c:v>
                </c:pt>
                <c:pt idx="5" formatCode="0">
                  <c:v>1295.7399999999998</c:v>
                </c:pt>
                <c:pt idx="7" formatCode="[hh]:mm">
                  <c:v>0.22916666666666666</c:v>
                </c:pt>
                <c:pt idx="9" formatCode="0.0">
                  <c:v>400</c:v>
                </c:pt>
                <c:pt idx="10" formatCode="0.0">
                  <c:v>60</c:v>
                </c:pt>
                <c:pt idx="11" formatCode="0.0">
                  <c:v>37.700000000000003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24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129.30000000000001</c:v>
                </c:pt>
                <c:pt idx="36" formatCode="0.0">
                  <c:v>1073.1999999999998</c:v>
                </c:pt>
                <c:pt idx="37" formatCode="0.0">
                  <c:v>146.19999999999999</c:v>
                </c:pt>
                <c:pt idx="38" formatCode="0.0">
                  <c:v>60</c:v>
                </c:pt>
                <c:pt idx="39" formatCode="0.0">
                  <c:v>65</c:v>
                </c:pt>
                <c:pt idx="40" formatCode="0.0">
                  <c:v>61.2</c:v>
                </c:pt>
                <c:pt idx="41" formatCode="0.0">
                  <c:v>10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388.04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60</c:v>
                </c:pt>
                <c:pt idx="56" formatCode="0.0">
                  <c:v>0</c:v>
                </c:pt>
                <c:pt idx="57" formatCode="0.0">
                  <c:v>-290</c:v>
                </c:pt>
                <c:pt idx="58" formatCode="0.0">
                  <c:v>20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-205.5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40</c:v>
                </c:pt>
                <c:pt idx="73" formatCode="0">
                  <c:v>1295.7399999999998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2537.6299999999997</c:v>
                </c:pt>
                <c:pt idx="82" formatCode="0.00">
                  <c:v>50.036999999999999</c:v>
                </c:pt>
                <c:pt idx="83" formatCode="0.0">
                  <c:v>122.6</c:v>
                </c:pt>
                <c:pt idx="84" formatCode="0.0">
                  <c:v>127</c:v>
                </c:pt>
                <c:pt idx="85" formatCode="0.0">
                  <c:v>129.69999999999999</c:v>
                </c:pt>
                <c:pt idx="86" formatCode="0.0">
                  <c:v>132.30000000000001</c:v>
                </c:pt>
                <c:pt idx="87" formatCode="0.0">
                  <c:v>129.30000000000001</c:v>
                </c:pt>
                <c:pt idx="88" formatCode="0.0">
                  <c:v>121</c:v>
                </c:pt>
                <c:pt idx="89" formatCode="0.0">
                  <c:v>64.3</c:v>
                </c:pt>
              </c:numCache>
            </c:numRef>
          </c:val>
        </c:ser>
        <c:ser>
          <c:idx val="7"/>
          <c:order val="7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'25'!$I$1:$I$91</c:f>
              <c:numCache>
                <c:formatCode>General</c:formatCode>
                <c:ptCount val="90"/>
                <c:pt idx="5" formatCode="0">
                  <c:v>1267.7399999999998</c:v>
                </c:pt>
                <c:pt idx="7" formatCode="[hh]:mm">
                  <c:v>0.25</c:v>
                </c:pt>
                <c:pt idx="9" formatCode="0.0">
                  <c:v>400</c:v>
                </c:pt>
                <c:pt idx="10" formatCode="0.0">
                  <c:v>60</c:v>
                </c:pt>
                <c:pt idx="11" formatCode="0.0">
                  <c:v>37.700000000000003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35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129</c:v>
                </c:pt>
                <c:pt idx="36" formatCode="0.0">
                  <c:v>1084.1999999999998</c:v>
                </c:pt>
                <c:pt idx="37" formatCode="0.0">
                  <c:v>146.69999999999999</c:v>
                </c:pt>
                <c:pt idx="38" formatCode="0.0">
                  <c:v>60</c:v>
                </c:pt>
                <c:pt idx="39" formatCode="0.0">
                  <c:v>65</c:v>
                </c:pt>
                <c:pt idx="40" formatCode="0.0">
                  <c:v>61.7</c:v>
                </c:pt>
                <c:pt idx="41" formatCode="0.0">
                  <c:v>10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389.04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50</c:v>
                </c:pt>
                <c:pt idx="56" formatCode="0.0">
                  <c:v>0</c:v>
                </c:pt>
                <c:pt idx="57" formatCode="0.0">
                  <c:v>-300</c:v>
                </c:pt>
                <c:pt idx="58" formatCode="0.0">
                  <c:v>20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-225.5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20</c:v>
                </c:pt>
                <c:pt idx="73" formatCode="0">
                  <c:v>1267.7399999999998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2489.6299999999997</c:v>
                </c:pt>
                <c:pt idx="82" formatCode="0.00">
                  <c:v>50.024000000000001</c:v>
                </c:pt>
                <c:pt idx="83" formatCode="0.0">
                  <c:v>122.7</c:v>
                </c:pt>
                <c:pt idx="84" formatCode="0.0">
                  <c:v>126.7</c:v>
                </c:pt>
                <c:pt idx="85" formatCode="0.0">
                  <c:v>128.5</c:v>
                </c:pt>
                <c:pt idx="86" formatCode="0.0">
                  <c:v>131.5</c:v>
                </c:pt>
                <c:pt idx="87" formatCode="0.0">
                  <c:v>132.1</c:v>
                </c:pt>
                <c:pt idx="88" formatCode="0.0">
                  <c:v>128</c:v>
                </c:pt>
                <c:pt idx="89" formatCode="0.0">
                  <c:v>63.9</c:v>
                </c:pt>
              </c:numCache>
            </c:numRef>
          </c:val>
        </c:ser>
        <c:ser>
          <c:idx val="8"/>
          <c:order val="8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'25'!$J$1:$J$91</c:f>
              <c:numCache>
                <c:formatCode>General</c:formatCode>
                <c:ptCount val="90"/>
                <c:pt idx="1">
                  <c:v>0</c:v>
                </c:pt>
                <c:pt idx="5" formatCode="0">
                  <c:v>1330.94</c:v>
                </c:pt>
                <c:pt idx="7" formatCode="[hh]:mm">
                  <c:v>0.27083333333333331</c:v>
                </c:pt>
                <c:pt idx="9" formatCode="0.0">
                  <c:v>430</c:v>
                </c:pt>
                <c:pt idx="10" formatCode="0.0">
                  <c:v>60</c:v>
                </c:pt>
                <c:pt idx="11" formatCode="0.0">
                  <c:v>47.8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35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128.1</c:v>
                </c:pt>
                <c:pt idx="36" formatCode="0.0">
                  <c:v>1124.3</c:v>
                </c:pt>
                <c:pt idx="37" formatCode="0.0">
                  <c:v>146.5</c:v>
                </c:pt>
                <c:pt idx="38" formatCode="0.0">
                  <c:v>70.3</c:v>
                </c:pt>
                <c:pt idx="39" formatCode="0.0">
                  <c:v>65</c:v>
                </c:pt>
                <c:pt idx="40" formatCode="0.0">
                  <c:v>61.7</c:v>
                </c:pt>
                <c:pt idx="41" formatCode="0.0">
                  <c:v>20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409.14000000000004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42</c:v>
                </c:pt>
                <c:pt idx="56" formatCode="0.0">
                  <c:v>0</c:v>
                </c:pt>
                <c:pt idx="57" formatCode="0.0">
                  <c:v>-270</c:v>
                </c:pt>
                <c:pt idx="58" formatCode="0.0">
                  <c:v>11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-212.5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10</c:v>
                </c:pt>
                <c:pt idx="73" formatCode="0">
                  <c:v>1330.94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2542.83</c:v>
                </c:pt>
                <c:pt idx="82" formatCode="0.00">
                  <c:v>49.887</c:v>
                </c:pt>
                <c:pt idx="83" formatCode="0.0">
                  <c:v>122.4</c:v>
                </c:pt>
                <c:pt idx="84" formatCode="0.0">
                  <c:v>126.7</c:v>
                </c:pt>
                <c:pt idx="85" formatCode="0.0">
                  <c:v>127</c:v>
                </c:pt>
                <c:pt idx="86" formatCode="0.0">
                  <c:v>130</c:v>
                </c:pt>
                <c:pt idx="87" formatCode="0.0">
                  <c:v>130.4</c:v>
                </c:pt>
                <c:pt idx="88" formatCode="0.0">
                  <c:v>122.7</c:v>
                </c:pt>
                <c:pt idx="89" formatCode="0.0">
                  <c:v>63.9</c:v>
                </c:pt>
              </c:numCache>
            </c:numRef>
          </c:val>
        </c:ser>
        <c:ser>
          <c:idx val="9"/>
          <c:order val="9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'25'!$K$1:$K$91</c:f>
              <c:numCache>
                <c:formatCode>General</c:formatCode>
                <c:ptCount val="9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 formatCode="0">
                  <c:v>1394.5400000000002</c:v>
                </c:pt>
                <c:pt idx="7" formatCode="[hh]:mm">
                  <c:v>0.29166666666666669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35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126.7</c:v>
                </c:pt>
                <c:pt idx="36" formatCode="0.0">
                  <c:v>1147.4000000000001</c:v>
                </c:pt>
                <c:pt idx="37" formatCode="0.0">
                  <c:v>146.4</c:v>
                </c:pt>
                <c:pt idx="38" formatCode="0.0">
                  <c:v>70.400000000000006</c:v>
                </c:pt>
                <c:pt idx="39" formatCode="0.0">
                  <c:v>64.3</c:v>
                </c:pt>
                <c:pt idx="40" formatCode="0.0">
                  <c:v>61.7</c:v>
                </c:pt>
                <c:pt idx="41" formatCode="0.0">
                  <c:v>20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408.44000000000005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73.2</c:v>
                </c:pt>
                <c:pt idx="56" formatCode="0.0">
                  <c:v>0</c:v>
                </c:pt>
                <c:pt idx="57" formatCode="0.0">
                  <c:v>-250</c:v>
                </c:pt>
                <c:pt idx="58" formatCode="0.0">
                  <c:v>11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-161.30000000000001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1394.5400000000002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2596.4300000000003</c:v>
                </c:pt>
                <c:pt idx="82" formatCode="0.00">
                  <c:v>49.929000000000002</c:v>
                </c:pt>
                <c:pt idx="83" formatCode="0.0">
                  <c:v>121.1</c:v>
                </c:pt>
                <c:pt idx="84" formatCode="0.0">
                  <c:v>125.7</c:v>
                </c:pt>
                <c:pt idx="85" formatCode="0.0">
                  <c:v>127.9</c:v>
                </c:pt>
                <c:pt idx="86" formatCode="0.0">
                  <c:v>131.4</c:v>
                </c:pt>
                <c:pt idx="87" formatCode="0.0">
                  <c:v>129.19999999999999</c:v>
                </c:pt>
                <c:pt idx="88" formatCode="0.0">
                  <c:v>121.5</c:v>
                </c:pt>
                <c:pt idx="89" formatCode="0.0">
                  <c:v>63.2</c:v>
                </c:pt>
              </c:numCache>
            </c:numRef>
          </c:val>
        </c:ser>
        <c:ser>
          <c:idx val="10"/>
          <c:order val="10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'25'!$L$1:$L$91</c:f>
              <c:numCache>
                <c:formatCode>General</c:formatCode>
                <c:ptCount val="90"/>
                <c:pt idx="1">
                  <c:v>0</c:v>
                </c:pt>
                <c:pt idx="5" formatCode="0">
                  <c:v>1414.64</c:v>
                </c:pt>
                <c:pt idx="7" formatCode="[hh]:mm">
                  <c:v>0.3125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126.9</c:v>
                </c:pt>
                <c:pt idx="36" formatCode="0.0">
                  <c:v>1149.4000000000001</c:v>
                </c:pt>
                <c:pt idx="37" formatCode="0.0">
                  <c:v>146.30000000000001</c:v>
                </c:pt>
                <c:pt idx="38" formatCode="0.0">
                  <c:v>71.3</c:v>
                </c:pt>
                <c:pt idx="39" formatCode="0.0">
                  <c:v>64.400000000000006</c:v>
                </c:pt>
                <c:pt idx="40" formatCode="0.0">
                  <c:v>61.7</c:v>
                </c:pt>
                <c:pt idx="41" formatCode="0.0">
                  <c:v>25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414.34000000000003</c:v>
                </c:pt>
                <c:pt idx="51" formatCode="0.0">
                  <c:v>10</c:v>
                </c:pt>
                <c:pt idx="52" formatCode="0.0">
                  <c:v>4</c:v>
                </c:pt>
                <c:pt idx="53" formatCode="0.0">
                  <c:v>1.4</c:v>
                </c:pt>
                <c:pt idx="54" formatCode="0.0">
                  <c:v>15.4</c:v>
                </c:pt>
                <c:pt idx="55" formatCode="0.0">
                  <c:v>69</c:v>
                </c:pt>
                <c:pt idx="56" formatCode="0.0">
                  <c:v>0</c:v>
                </c:pt>
                <c:pt idx="57" formatCode="0.0">
                  <c:v>-250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-164.5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1414.64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2616.5299999999997</c:v>
                </c:pt>
                <c:pt idx="82" formatCode="0.00">
                  <c:v>49.98</c:v>
                </c:pt>
                <c:pt idx="83" formatCode="0.0">
                  <c:v>121.9</c:v>
                </c:pt>
                <c:pt idx="84" formatCode="0.0">
                  <c:v>125.7</c:v>
                </c:pt>
                <c:pt idx="85" formatCode="0.0">
                  <c:v>126.3</c:v>
                </c:pt>
                <c:pt idx="86" formatCode="0.0">
                  <c:v>129.4</c:v>
                </c:pt>
                <c:pt idx="87" formatCode="0.0">
                  <c:v>133.80000000000001</c:v>
                </c:pt>
                <c:pt idx="88" formatCode="0.0">
                  <c:v>122.6</c:v>
                </c:pt>
                <c:pt idx="89" formatCode="0.0">
                  <c:v>63.3</c:v>
                </c:pt>
              </c:numCache>
            </c:numRef>
          </c:val>
        </c:ser>
        <c:ser>
          <c:idx val="11"/>
          <c:order val="11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'25'!$M$1:$M$91</c:f>
              <c:numCache>
                <c:formatCode>General</c:formatCode>
                <c:ptCount val="90"/>
                <c:pt idx="1">
                  <c:v>0</c:v>
                </c:pt>
                <c:pt idx="5" formatCode="0">
                  <c:v>1431.15</c:v>
                </c:pt>
                <c:pt idx="6" formatCode="0.00">
                  <c:v>0</c:v>
                </c:pt>
                <c:pt idx="7" formatCode="[hh]:mm">
                  <c:v>0.33333333333333331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126.9</c:v>
                </c:pt>
                <c:pt idx="36" formatCode="0.0">
                  <c:v>1149.4000000000001</c:v>
                </c:pt>
                <c:pt idx="37" formatCode="0.0">
                  <c:v>146.30000000000001</c:v>
                </c:pt>
                <c:pt idx="38" formatCode="0.0">
                  <c:v>71.3</c:v>
                </c:pt>
                <c:pt idx="39" formatCode="0.0">
                  <c:v>64.400000000000006</c:v>
                </c:pt>
                <c:pt idx="40" formatCode="0.0">
                  <c:v>61.7</c:v>
                </c:pt>
                <c:pt idx="41" formatCode="0.0">
                  <c:v>25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421.34000000000003</c:v>
                </c:pt>
                <c:pt idx="51" formatCode="0.0">
                  <c:v>34</c:v>
                </c:pt>
                <c:pt idx="52" formatCode="0.0">
                  <c:v>15.4</c:v>
                </c:pt>
                <c:pt idx="53" formatCode="0.0">
                  <c:v>5.6</c:v>
                </c:pt>
                <c:pt idx="54" formatCode="0.0">
                  <c:v>55</c:v>
                </c:pt>
                <c:pt idx="55" formatCode="0.0">
                  <c:v>68.91</c:v>
                </c:pt>
                <c:pt idx="56" formatCode="0.0">
                  <c:v>0</c:v>
                </c:pt>
                <c:pt idx="57" formatCode="0.0">
                  <c:v>-280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-194.59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1431.15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2633.04</c:v>
                </c:pt>
                <c:pt idx="82" formatCode="0.00">
                  <c:v>50.018999999999998</c:v>
                </c:pt>
                <c:pt idx="83" formatCode="0.0">
                  <c:v>122.1</c:v>
                </c:pt>
                <c:pt idx="84" formatCode="0.0">
                  <c:v>126.1</c:v>
                </c:pt>
                <c:pt idx="85" formatCode="0.0">
                  <c:v>130</c:v>
                </c:pt>
                <c:pt idx="86" formatCode="0.0">
                  <c:v>132.1</c:v>
                </c:pt>
                <c:pt idx="87" formatCode="0.0">
                  <c:v>133.69999999999999</c:v>
                </c:pt>
                <c:pt idx="88" formatCode="0.0">
                  <c:v>128</c:v>
                </c:pt>
                <c:pt idx="89" formatCode="0.0">
                  <c:v>63.4</c:v>
                </c:pt>
              </c:numCache>
            </c:numRef>
          </c:val>
        </c:ser>
        <c:ser>
          <c:idx val="12"/>
          <c:order val="12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'25'!$N$1:$N$91</c:f>
              <c:numCache>
                <c:formatCode>General</c:formatCode>
                <c:ptCount val="90"/>
                <c:pt idx="1">
                  <c:v>0</c:v>
                </c:pt>
                <c:pt idx="5" formatCode="0">
                  <c:v>1436.65</c:v>
                </c:pt>
                <c:pt idx="7" formatCode="[hh]:mm">
                  <c:v>0.375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128</c:v>
                </c:pt>
                <c:pt idx="36" formatCode="0.0">
                  <c:v>1149.4000000000001</c:v>
                </c:pt>
                <c:pt idx="37" formatCode="0.0">
                  <c:v>146.30000000000001</c:v>
                </c:pt>
                <c:pt idx="38" formatCode="0.0">
                  <c:v>71.3</c:v>
                </c:pt>
                <c:pt idx="39" formatCode="0.0">
                  <c:v>64.400000000000006</c:v>
                </c:pt>
                <c:pt idx="40" formatCode="0.0">
                  <c:v>61.7</c:v>
                </c:pt>
                <c:pt idx="41" formatCode="0.0">
                  <c:v>30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426.34000000000003</c:v>
                </c:pt>
                <c:pt idx="51" formatCode="0.0">
                  <c:v>28.2</c:v>
                </c:pt>
                <c:pt idx="52" formatCode="0.0">
                  <c:v>12.7</c:v>
                </c:pt>
                <c:pt idx="53" formatCode="0.0">
                  <c:v>4.5999999999999996</c:v>
                </c:pt>
                <c:pt idx="54" formatCode="0.0">
                  <c:v>45.5</c:v>
                </c:pt>
                <c:pt idx="55" formatCode="0.0">
                  <c:v>68.91</c:v>
                </c:pt>
                <c:pt idx="56" formatCode="0.0">
                  <c:v>0</c:v>
                </c:pt>
                <c:pt idx="57" formatCode="0.0">
                  <c:v>-258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-184.59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1436.65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2638.54</c:v>
                </c:pt>
                <c:pt idx="82" formatCode="0.00">
                  <c:v>50.006</c:v>
                </c:pt>
                <c:pt idx="83" formatCode="0.0">
                  <c:v>120.5</c:v>
                </c:pt>
                <c:pt idx="84" formatCode="0.0">
                  <c:v>124.7</c:v>
                </c:pt>
                <c:pt idx="85" formatCode="0.0">
                  <c:v>126.3</c:v>
                </c:pt>
                <c:pt idx="86" formatCode="0.0">
                  <c:v>128</c:v>
                </c:pt>
                <c:pt idx="87" formatCode="0.0">
                  <c:v>129.5</c:v>
                </c:pt>
                <c:pt idx="88" formatCode="0.0">
                  <c:v>127</c:v>
                </c:pt>
                <c:pt idx="89" formatCode="0.0">
                  <c:v>62.8</c:v>
                </c:pt>
              </c:numCache>
            </c:numRef>
          </c:val>
        </c:ser>
        <c:ser>
          <c:idx val="13"/>
          <c:order val="13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'25'!$O$1:$O$91</c:f>
              <c:numCache>
                <c:formatCode>General</c:formatCode>
                <c:ptCount val="90"/>
                <c:pt idx="5" formatCode="0">
                  <c:v>1406.2400000000002</c:v>
                </c:pt>
                <c:pt idx="7" formatCode="[hh]:mm">
                  <c:v>0.41666666666666702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128</c:v>
                </c:pt>
                <c:pt idx="36" formatCode="0.0">
                  <c:v>1149.4000000000001</c:v>
                </c:pt>
                <c:pt idx="37" formatCode="0.0">
                  <c:v>146.30000000000001</c:v>
                </c:pt>
                <c:pt idx="38" formatCode="0.0">
                  <c:v>71.3</c:v>
                </c:pt>
                <c:pt idx="39" formatCode="0.0">
                  <c:v>64.400000000000006</c:v>
                </c:pt>
                <c:pt idx="40" formatCode="0.0">
                  <c:v>61.7</c:v>
                </c:pt>
                <c:pt idx="41" formatCode="0.0">
                  <c:v>30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426.34000000000003</c:v>
                </c:pt>
                <c:pt idx="51" formatCode="0.0">
                  <c:v>40</c:v>
                </c:pt>
                <c:pt idx="52" formatCode="0.0">
                  <c:v>17.399999999999999</c:v>
                </c:pt>
                <c:pt idx="53" formatCode="0.0">
                  <c:v>6.6</c:v>
                </c:pt>
                <c:pt idx="54" formatCode="0.0">
                  <c:v>64</c:v>
                </c:pt>
                <c:pt idx="55" formatCode="0.0">
                  <c:v>67</c:v>
                </c:pt>
                <c:pt idx="56" formatCode="0.0">
                  <c:v>0</c:v>
                </c:pt>
                <c:pt idx="57" formatCode="0.0">
                  <c:v>-305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-233.5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1406.2400000000002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2608.13</c:v>
                </c:pt>
                <c:pt idx="82" formatCode="0.00">
                  <c:v>50.033000000000001</c:v>
                </c:pt>
                <c:pt idx="83" formatCode="0.0">
                  <c:v>120.7</c:v>
                </c:pt>
                <c:pt idx="84" formatCode="0.0">
                  <c:v>124.8</c:v>
                </c:pt>
                <c:pt idx="85" formatCode="0.0">
                  <c:v>124.7</c:v>
                </c:pt>
                <c:pt idx="86" formatCode="0.0">
                  <c:v>126</c:v>
                </c:pt>
                <c:pt idx="87" formatCode="0.0">
                  <c:v>129</c:v>
                </c:pt>
                <c:pt idx="88" formatCode="0.0">
                  <c:v>122.8</c:v>
                </c:pt>
                <c:pt idx="89" formatCode="0.0">
                  <c:v>62.5</c:v>
                </c:pt>
              </c:numCache>
            </c:numRef>
          </c:val>
        </c:ser>
        <c:ser>
          <c:idx val="14"/>
          <c:order val="14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'25'!$P$1:$P$91</c:f>
              <c:numCache>
                <c:formatCode>General</c:formatCode>
                <c:ptCount val="90"/>
                <c:pt idx="5" formatCode="0">
                  <c:v>1482.3400000000001</c:v>
                </c:pt>
                <c:pt idx="7" formatCode="[hh]:mm">
                  <c:v>0.45833333333333298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126.5</c:v>
                </c:pt>
                <c:pt idx="36" formatCode="0.0">
                  <c:v>1149.4000000000001</c:v>
                </c:pt>
                <c:pt idx="37" formatCode="0.0">
                  <c:v>146.30000000000001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58.5</c:v>
                </c:pt>
                <c:pt idx="41" formatCode="0.0">
                  <c:v>30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423.74000000000007</c:v>
                </c:pt>
                <c:pt idx="51" formatCode="0.0">
                  <c:v>40</c:v>
                </c:pt>
                <c:pt idx="52" formatCode="0.0">
                  <c:v>28.2</c:v>
                </c:pt>
                <c:pt idx="53" formatCode="0.0">
                  <c:v>10.3</c:v>
                </c:pt>
                <c:pt idx="54" formatCode="0.0">
                  <c:v>78.5</c:v>
                </c:pt>
                <c:pt idx="55" formatCode="0.0">
                  <c:v>74.2</c:v>
                </c:pt>
                <c:pt idx="56" formatCode="0.0">
                  <c:v>0</c:v>
                </c:pt>
                <c:pt idx="57" formatCode="0.0">
                  <c:v>-248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-169.3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1482.3400000000001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2684.23</c:v>
                </c:pt>
                <c:pt idx="82" formatCode="0.00">
                  <c:v>50.027999999999999</c:v>
                </c:pt>
                <c:pt idx="83" formatCode="0.0">
                  <c:v>119.6</c:v>
                </c:pt>
                <c:pt idx="84" formatCode="0.0">
                  <c:v>124</c:v>
                </c:pt>
                <c:pt idx="85" formatCode="0.0">
                  <c:v>124.3</c:v>
                </c:pt>
                <c:pt idx="86" formatCode="0.0">
                  <c:v>127</c:v>
                </c:pt>
                <c:pt idx="87" formatCode="0.0">
                  <c:v>129.19999999999999</c:v>
                </c:pt>
                <c:pt idx="88" formatCode="0.0">
                  <c:v>122.5</c:v>
                </c:pt>
                <c:pt idx="89" formatCode="0.0">
                  <c:v>62</c:v>
                </c:pt>
              </c:numCache>
            </c:numRef>
          </c:val>
        </c:ser>
        <c:ser>
          <c:idx val="15"/>
          <c:order val="15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'25'!$Q$1:$Q$91</c:f>
              <c:numCache>
                <c:formatCode>m/d/yyyy</c:formatCode>
                <c:ptCount val="90"/>
                <c:pt idx="5" formatCode="0">
                  <c:v>1468.64</c:v>
                </c:pt>
                <c:pt idx="7" formatCode="[hh]:mm">
                  <c:v>0.5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126.6</c:v>
                </c:pt>
                <c:pt idx="36" formatCode="0.0">
                  <c:v>1149.4000000000001</c:v>
                </c:pt>
                <c:pt idx="37" formatCode="0.0">
                  <c:v>144.80000000000001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58.5</c:v>
                </c:pt>
                <c:pt idx="41" formatCode="0.0">
                  <c:v>30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422.24000000000007</c:v>
                </c:pt>
                <c:pt idx="51" formatCode="0.0">
                  <c:v>59.5</c:v>
                </c:pt>
                <c:pt idx="52" formatCode="0.0">
                  <c:v>31.3</c:v>
                </c:pt>
                <c:pt idx="53" formatCode="0.0">
                  <c:v>11.4</c:v>
                </c:pt>
                <c:pt idx="54" formatCode="0.0">
                  <c:v>102.2</c:v>
                </c:pt>
                <c:pt idx="55" formatCode="0.0">
                  <c:v>67.3</c:v>
                </c:pt>
                <c:pt idx="56" formatCode="0.0">
                  <c:v>0</c:v>
                </c:pt>
                <c:pt idx="57" formatCode="0.0">
                  <c:v>-289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-205.2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1468.64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2670.5299999999997</c:v>
                </c:pt>
                <c:pt idx="82" formatCode="0.00">
                  <c:v>50</c:v>
                </c:pt>
                <c:pt idx="83" formatCode="0.0">
                  <c:v>121.4</c:v>
                </c:pt>
                <c:pt idx="84" formatCode="0.0">
                  <c:v>125.4</c:v>
                </c:pt>
                <c:pt idx="85" formatCode="0.0">
                  <c:v>128.9</c:v>
                </c:pt>
                <c:pt idx="86" formatCode="0.0">
                  <c:v>132.1</c:v>
                </c:pt>
                <c:pt idx="87" formatCode="0.0">
                  <c:v>128.6</c:v>
                </c:pt>
                <c:pt idx="88" formatCode="0.0">
                  <c:v>123.6</c:v>
                </c:pt>
                <c:pt idx="89" formatCode="0.0">
                  <c:v>62.6</c:v>
                </c:pt>
              </c:numCache>
            </c:numRef>
          </c:val>
        </c:ser>
        <c:ser>
          <c:idx val="16"/>
          <c:order val="16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'25'!$R$1:$R$91</c:f>
              <c:numCache>
                <c:formatCode>m/d/yyyy</c:formatCode>
                <c:ptCount val="90"/>
                <c:pt idx="5" formatCode="0">
                  <c:v>1446.3700000000001</c:v>
                </c:pt>
                <c:pt idx="7" formatCode="[hh]:mm">
                  <c:v>0.54166666666666696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121</c:v>
                </c:pt>
                <c:pt idx="36" formatCode="0.0">
                  <c:v>1149.4000000000001</c:v>
                </c:pt>
                <c:pt idx="37" formatCode="0.0">
                  <c:v>144.80000000000001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60.4</c:v>
                </c:pt>
                <c:pt idx="41" formatCode="0.0">
                  <c:v>25.3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419.44000000000005</c:v>
                </c:pt>
                <c:pt idx="51" formatCode="0.0">
                  <c:v>41</c:v>
                </c:pt>
                <c:pt idx="52" formatCode="0.0">
                  <c:v>19.399999999999999</c:v>
                </c:pt>
                <c:pt idx="53" formatCode="0.0">
                  <c:v>7.1</c:v>
                </c:pt>
                <c:pt idx="54" formatCode="0.0">
                  <c:v>67.5</c:v>
                </c:pt>
                <c:pt idx="55" formatCode="0.0">
                  <c:v>69.53</c:v>
                </c:pt>
                <c:pt idx="56" formatCode="0.0">
                  <c:v>0</c:v>
                </c:pt>
                <c:pt idx="57" formatCode="0.0">
                  <c:v>-276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-189.97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1446.3700000000001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2648.26</c:v>
                </c:pt>
                <c:pt idx="82" formatCode="0.00">
                  <c:v>49.99</c:v>
                </c:pt>
                <c:pt idx="83" formatCode="0.0">
                  <c:v>121.8</c:v>
                </c:pt>
                <c:pt idx="84" formatCode="0.0">
                  <c:v>125.6</c:v>
                </c:pt>
                <c:pt idx="85" formatCode="0.0">
                  <c:v>128.69999999999999</c:v>
                </c:pt>
                <c:pt idx="86" formatCode="0.0">
                  <c:v>131.19999999999999</c:v>
                </c:pt>
                <c:pt idx="87" formatCode="0.0">
                  <c:v>132</c:v>
                </c:pt>
                <c:pt idx="88" formatCode="0.0">
                  <c:v>130.19999999999999</c:v>
                </c:pt>
                <c:pt idx="89" formatCode="0.0">
                  <c:v>62.7</c:v>
                </c:pt>
              </c:numCache>
            </c:numRef>
          </c:val>
        </c:ser>
        <c:ser>
          <c:idx val="17"/>
          <c:order val="17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'25'!$S$1:$S$91</c:f>
              <c:numCache>
                <c:formatCode>m/d/yyyy</c:formatCode>
                <c:ptCount val="90"/>
                <c:pt idx="5" formatCode="0">
                  <c:v>1483.94</c:v>
                </c:pt>
                <c:pt idx="6" formatCode="0.00">
                  <c:v>0</c:v>
                </c:pt>
                <c:pt idx="7" formatCode="[hh]:mm">
                  <c:v>0.58333333333333304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121</c:v>
                </c:pt>
                <c:pt idx="36" formatCode="0.0">
                  <c:v>1149.4000000000001</c:v>
                </c:pt>
                <c:pt idx="37" formatCode="0.0">
                  <c:v>144.80000000000001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60.4</c:v>
                </c:pt>
                <c:pt idx="41" formatCode="0.0">
                  <c:v>25.3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430.44000000000005</c:v>
                </c:pt>
                <c:pt idx="51" formatCode="0.0">
                  <c:v>58.3</c:v>
                </c:pt>
                <c:pt idx="52" formatCode="0.0">
                  <c:v>25</c:v>
                </c:pt>
                <c:pt idx="53" formatCode="0.0">
                  <c:v>9.1</c:v>
                </c:pt>
                <c:pt idx="54" formatCode="0.0">
                  <c:v>92.399999999999991</c:v>
                </c:pt>
                <c:pt idx="55" formatCode="0.0">
                  <c:v>71.2</c:v>
                </c:pt>
                <c:pt idx="56" formatCode="0.0">
                  <c:v>0</c:v>
                </c:pt>
                <c:pt idx="57" formatCode="0.0">
                  <c:v>-276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-188.3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1483.94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2685.83</c:v>
                </c:pt>
                <c:pt idx="82" formatCode="0.00">
                  <c:v>50</c:v>
                </c:pt>
                <c:pt idx="83" formatCode="0.0">
                  <c:v>121.7</c:v>
                </c:pt>
                <c:pt idx="84" formatCode="0.0">
                  <c:v>125.8</c:v>
                </c:pt>
                <c:pt idx="85" formatCode="0.0">
                  <c:v>126.3</c:v>
                </c:pt>
                <c:pt idx="86" formatCode="0.0">
                  <c:v>128.30000000000001</c:v>
                </c:pt>
                <c:pt idx="87" formatCode="0.0">
                  <c:v>133.1</c:v>
                </c:pt>
                <c:pt idx="88" formatCode="0.0">
                  <c:v>125.6</c:v>
                </c:pt>
                <c:pt idx="89" formatCode="0.0">
                  <c:v>62.9</c:v>
                </c:pt>
              </c:numCache>
            </c:numRef>
          </c:val>
        </c:ser>
        <c:ser>
          <c:idx val="18"/>
          <c:order val="18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'25'!$T$1:$T$91</c:f>
              <c:numCache>
                <c:formatCode>m/d/yyyy</c:formatCode>
                <c:ptCount val="90"/>
                <c:pt idx="5" formatCode="0">
                  <c:v>1472.44</c:v>
                </c:pt>
                <c:pt idx="7" formatCode="[hh]:mm">
                  <c:v>0.625</c:v>
                </c:pt>
                <c:pt idx="9" formatCode="0.0">
                  <c:v>445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122</c:v>
                </c:pt>
                <c:pt idx="36" formatCode="0.0">
                  <c:v>1138.4000000000001</c:v>
                </c:pt>
                <c:pt idx="37" formatCode="0.0">
                  <c:v>144.6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60.4</c:v>
                </c:pt>
                <c:pt idx="41" formatCode="0.0">
                  <c:v>25.3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430.24</c:v>
                </c:pt>
                <c:pt idx="51" formatCode="0.0">
                  <c:v>44.9</c:v>
                </c:pt>
                <c:pt idx="52" formatCode="0.0">
                  <c:v>29.9</c:v>
                </c:pt>
                <c:pt idx="53" formatCode="0.0">
                  <c:v>10.9</c:v>
                </c:pt>
                <c:pt idx="54" formatCode="0.0">
                  <c:v>85.7</c:v>
                </c:pt>
                <c:pt idx="55" formatCode="0.0">
                  <c:v>73.900000000000006</c:v>
                </c:pt>
                <c:pt idx="56" formatCode="0.0">
                  <c:v>0</c:v>
                </c:pt>
                <c:pt idx="57" formatCode="0.0">
                  <c:v>-272.3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-181.9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1472.44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2674.33</c:v>
                </c:pt>
                <c:pt idx="82" formatCode="0.00">
                  <c:v>49.954000000000001</c:v>
                </c:pt>
                <c:pt idx="83" formatCode="0.0">
                  <c:v>120.3</c:v>
                </c:pt>
                <c:pt idx="84" formatCode="0.0">
                  <c:v>124.6</c:v>
                </c:pt>
                <c:pt idx="85" formatCode="0.0">
                  <c:v>124.7</c:v>
                </c:pt>
                <c:pt idx="86" formatCode="0.0">
                  <c:v>126.7</c:v>
                </c:pt>
                <c:pt idx="87" formatCode="0.0">
                  <c:v>132.1</c:v>
                </c:pt>
                <c:pt idx="88" formatCode="0.0">
                  <c:v>119.3</c:v>
                </c:pt>
                <c:pt idx="89" formatCode="0.0">
                  <c:v>62.9</c:v>
                </c:pt>
              </c:numCache>
            </c:numRef>
          </c:val>
        </c:ser>
        <c:ser>
          <c:idx val="19"/>
          <c:order val="19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'25'!$U$1:$U$91</c:f>
              <c:numCache>
                <c:formatCode>m/d/yyyy</c:formatCode>
                <c:ptCount val="90"/>
                <c:pt idx="5" formatCode="0">
                  <c:v>1474.8400000000001</c:v>
                </c:pt>
                <c:pt idx="7" formatCode="[hh]:mm">
                  <c:v>0.66666666666666696</c:v>
                </c:pt>
                <c:pt idx="9" formatCode="0.0">
                  <c:v>430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126.3</c:v>
                </c:pt>
                <c:pt idx="36" formatCode="0.0">
                  <c:v>1123.4000000000001</c:v>
                </c:pt>
                <c:pt idx="37" formatCode="0.0">
                  <c:v>144.6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60.4</c:v>
                </c:pt>
                <c:pt idx="41" formatCode="0.0">
                  <c:v>25.3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430.24</c:v>
                </c:pt>
                <c:pt idx="51" formatCode="0.0">
                  <c:v>50</c:v>
                </c:pt>
                <c:pt idx="52" formatCode="0.0">
                  <c:v>20.399999999999999</c:v>
                </c:pt>
                <c:pt idx="53" formatCode="0.0">
                  <c:v>7.3</c:v>
                </c:pt>
                <c:pt idx="54" formatCode="0.0">
                  <c:v>77.7</c:v>
                </c:pt>
                <c:pt idx="55" formatCode="0.0">
                  <c:v>73</c:v>
                </c:pt>
                <c:pt idx="56" formatCode="0.0">
                  <c:v>0</c:v>
                </c:pt>
                <c:pt idx="57" formatCode="0.0">
                  <c:v>-246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-156.5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1474.8400000000001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2676.73</c:v>
                </c:pt>
                <c:pt idx="82" formatCode="0.00">
                  <c:v>50.061999999999998</c:v>
                </c:pt>
                <c:pt idx="83" formatCode="0.0">
                  <c:v>121.3</c:v>
                </c:pt>
                <c:pt idx="84" formatCode="0.0">
                  <c:v>125.3</c:v>
                </c:pt>
                <c:pt idx="85" formatCode="0.0">
                  <c:v>126.6</c:v>
                </c:pt>
                <c:pt idx="86" formatCode="0.0">
                  <c:v>128.30000000000001</c:v>
                </c:pt>
                <c:pt idx="87" formatCode="0.0">
                  <c:v>128.1</c:v>
                </c:pt>
                <c:pt idx="88" formatCode="0.0">
                  <c:v>120.7</c:v>
                </c:pt>
                <c:pt idx="89" formatCode="0.0">
                  <c:v>62.6</c:v>
                </c:pt>
              </c:numCache>
            </c:numRef>
          </c:val>
        </c:ser>
        <c:ser>
          <c:idx val="20"/>
          <c:order val="20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'25'!$V$1:$V$91</c:f>
              <c:numCache>
                <c:formatCode>General</c:formatCode>
                <c:ptCount val="90"/>
                <c:pt idx="2">
                  <c:v>0</c:v>
                </c:pt>
                <c:pt idx="5" formatCode="0">
                  <c:v>1449.44</c:v>
                </c:pt>
                <c:pt idx="7" formatCode="[hh]:mm">
                  <c:v>0.70833333333333304</c:v>
                </c:pt>
                <c:pt idx="9" formatCode="0.0">
                  <c:v>420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37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125</c:v>
                </c:pt>
                <c:pt idx="36" formatCode="0.0">
                  <c:v>1113.4000000000001</c:v>
                </c:pt>
                <c:pt idx="37" formatCode="0.0">
                  <c:v>144.6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60.4</c:v>
                </c:pt>
                <c:pt idx="41" formatCode="0.0">
                  <c:v>25.3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430.24</c:v>
                </c:pt>
                <c:pt idx="51" formatCode="0.0">
                  <c:v>40</c:v>
                </c:pt>
                <c:pt idx="52" formatCode="0.0">
                  <c:v>19.100000000000001</c:v>
                </c:pt>
                <c:pt idx="53" formatCode="0.0">
                  <c:v>6.9</c:v>
                </c:pt>
                <c:pt idx="54" formatCode="0.0">
                  <c:v>66</c:v>
                </c:pt>
                <c:pt idx="55" formatCode="0.0">
                  <c:v>76.3</c:v>
                </c:pt>
                <c:pt idx="56" formatCode="0.0">
                  <c:v>0</c:v>
                </c:pt>
                <c:pt idx="57" formatCode="0.0">
                  <c:v>-253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-160.19999999999999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1449.44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2651.33</c:v>
                </c:pt>
                <c:pt idx="82" formatCode="0.00">
                  <c:v>50.01</c:v>
                </c:pt>
                <c:pt idx="83" formatCode="0.0">
                  <c:v>123.6</c:v>
                </c:pt>
                <c:pt idx="84" formatCode="0.0">
                  <c:v>127.5</c:v>
                </c:pt>
                <c:pt idx="85" formatCode="0.0">
                  <c:v>131.19999999999999</c:v>
                </c:pt>
                <c:pt idx="86" formatCode="0.0">
                  <c:v>133</c:v>
                </c:pt>
                <c:pt idx="87" formatCode="0.0">
                  <c:v>135</c:v>
                </c:pt>
                <c:pt idx="88" formatCode="0.0">
                  <c:v>119.8</c:v>
                </c:pt>
                <c:pt idx="89" formatCode="0.0">
                  <c:v>64.2</c:v>
                </c:pt>
              </c:numCache>
            </c:numRef>
          </c:val>
        </c:ser>
        <c:ser>
          <c:idx val="21"/>
          <c:order val="21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'25'!$W$1:$W$91</c:f>
              <c:numCache>
                <c:formatCode>General</c:formatCode>
                <c:ptCount val="90"/>
                <c:pt idx="5" formatCode="0">
                  <c:v>1431.04</c:v>
                </c:pt>
                <c:pt idx="7" formatCode="[hh]:mm">
                  <c:v>0.72916666666666663</c:v>
                </c:pt>
                <c:pt idx="9" formatCode="0.0">
                  <c:v>420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124.7</c:v>
                </c:pt>
                <c:pt idx="36" formatCode="0.0">
                  <c:v>1116.4000000000001</c:v>
                </c:pt>
                <c:pt idx="37" formatCode="0.0">
                  <c:v>144.6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60.4</c:v>
                </c:pt>
                <c:pt idx="41" formatCode="0.0">
                  <c:v>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404.94</c:v>
                </c:pt>
                <c:pt idx="51" formatCode="0.0">
                  <c:v>40</c:v>
                </c:pt>
                <c:pt idx="52" formatCode="0.0">
                  <c:v>18.100000000000001</c:v>
                </c:pt>
                <c:pt idx="53" formatCode="0.0">
                  <c:v>6.6</c:v>
                </c:pt>
                <c:pt idx="54" formatCode="0.0">
                  <c:v>64.7</c:v>
                </c:pt>
                <c:pt idx="55" formatCode="0.0">
                  <c:v>74.5</c:v>
                </c:pt>
                <c:pt idx="56" formatCode="0.0">
                  <c:v>0</c:v>
                </c:pt>
                <c:pt idx="57" formatCode="0.0">
                  <c:v>-276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-185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30</c:v>
                </c:pt>
                <c:pt idx="73" formatCode="0">
                  <c:v>1431.04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2662.93</c:v>
                </c:pt>
                <c:pt idx="82" formatCode="0.00">
                  <c:v>50.03</c:v>
                </c:pt>
                <c:pt idx="83" formatCode="0.0">
                  <c:v>124.2</c:v>
                </c:pt>
                <c:pt idx="84" formatCode="0.0">
                  <c:v>128</c:v>
                </c:pt>
                <c:pt idx="85" formatCode="0.0">
                  <c:v>129.6</c:v>
                </c:pt>
                <c:pt idx="86" formatCode="0.0">
                  <c:v>131.6</c:v>
                </c:pt>
                <c:pt idx="87" formatCode="0.0">
                  <c:v>133.30000000000001</c:v>
                </c:pt>
                <c:pt idx="88" formatCode="0.0">
                  <c:v>122.9</c:v>
                </c:pt>
                <c:pt idx="89" formatCode="0.0">
                  <c:v>64.5</c:v>
                </c:pt>
              </c:numCache>
            </c:numRef>
          </c:val>
        </c:ser>
        <c:ser>
          <c:idx val="22"/>
          <c:order val="22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'25'!$X$1:$X$91</c:f>
              <c:numCache>
                <c:formatCode>General</c:formatCode>
                <c:ptCount val="90"/>
                <c:pt idx="2">
                  <c:v>0</c:v>
                </c:pt>
                <c:pt idx="5" formatCode="0">
                  <c:v>1463.8399999999997</c:v>
                </c:pt>
                <c:pt idx="7" formatCode="[hh]:mm">
                  <c:v>0.75</c:v>
                </c:pt>
                <c:pt idx="9" formatCode="0.0">
                  <c:v>425</c:v>
                </c:pt>
                <c:pt idx="10" formatCode="0.0">
                  <c:v>60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23.3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124.9</c:v>
                </c:pt>
                <c:pt idx="36" formatCode="0.0">
                  <c:v>1152.6999999999998</c:v>
                </c:pt>
                <c:pt idx="37" formatCode="0.0">
                  <c:v>144.6</c:v>
                </c:pt>
                <c:pt idx="38" formatCode="0.0">
                  <c:v>71.3</c:v>
                </c:pt>
                <c:pt idx="39" formatCode="0.0">
                  <c:v>65</c:v>
                </c:pt>
                <c:pt idx="40" formatCode="0.0">
                  <c:v>60.4</c:v>
                </c:pt>
                <c:pt idx="41" formatCode="0.0">
                  <c:v>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404.94</c:v>
                </c:pt>
                <c:pt idx="51" formatCode="0.0">
                  <c:v>40</c:v>
                </c:pt>
                <c:pt idx="52" formatCode="0.0">
                  <c:v>18.100000000000001</c:v>
                </c:pt>
                <c:pt idx="53" formatCode="0.0">
                  <c:v>6.6</c:v>
                </c:pt>
                <c:pt idx="54" formatCode="0.0">
                  <c:v>64.7</c:v>
                </c:pt>
                <c:pt idx="55" formatCode="0.0">
                  <c:v>66</c:v>
                </c:pt>
                <c:pt idx="56" formatCode="0.0">
                  <c:v>0</c:v>
                </c:pt>
                <c:pt idx="57" formatCode="0.0">
                  <c:v>-271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-188.5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30</c:v>
                </c:pt>
                <c:pt idx="73" formatCode="0">
                  <c:v>1463.8399999999997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2695.7299999999996</c:v>
                </c:pt>
                <c:pt idx="82" formatCode="0.00">
                  <c:v>49.94</c:v>
                </c:pt>
                <c:pt idx="83" formatCode="0.0">
                  <c:v>125.6</c:v>
                </c:pt>
                <c:pt idx="84" formatCode="0.0">
                  <c:v>128.9</c:v>
                </c:pt>
                <c:pt idx="85" formatCode="0.0">
                  <c:v>130.4</c:v>
                </c:pt>
                <c:pt idx="86" formatCode="0.0">
                  <c:v>132.1</c:v>
                </c:pt>
                <c:pt idx="87" formatCode="0.0">
                  <c:v>133.1</c:v>
                </c:pt>
                <c:pt idx="88" formatCode="0.0">
                  <c:v>124.3</c:v>
                </c:pt>
                <c:pt idx="89" formatCode="0.0">
                  <c:v>64.900000000000006</c:v>
                </c:pt>
              </c:numCache>
            </c:numRef>
          </c:val>
        </c:ser>
        <c:ser>
          <c:idx val="23"/>
          <c:order val="23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'25'!$Y$1:$Y$91</c:f>
              <c:numCache>
                <c:formatCode>General</c:formatCode>
                <c:ptCount val="90"/>
                <c:pt idx="5" formatCode="0">
                  <c:v>1468.7399999999998</c:v>
                </c:pt>
                <c:pt idx="7" formatCode="[hh]:mm">
                  <c:v>0.77083333333333337</c:v>
                </c:pt>
                <c:pt idx="9" formatCode="0.0">
                  <c:v>415</c:v>
                </c:pt>
                <c:pt idx="10" formatCode="0.0">
                  <c:v>45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23.3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123.6</c:v>
                </c:pt>
                <c:pt idx="36" formatCode="0.0">
                  <c:v>1127.6999999999998</c:v>
                </c:pt>
                <c:pt idx="37" formatCode="0.0">
                  <c:v>145</c:v>
                </c:pt>
                <c:pt idx="38" formatCode="0.0">
                  <c:v>70.3</c:v>
                </c:pt>
                <c:pt idx="39" formatCode="0.0">
                  <c:v>67.2</c:v>
                </c:pt>
                <c:pt idx="40" formatCode="0.0">
                  <c:v>60.2</c:v>
                </c:pt>
                <c:pt idx="41" formatCode="0.0">
                  <c:v>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406.34000000000003</c:v>
                </c:pt>
                <c:pt idx="51" formatCode="0.0">
                  <c:v>40</c:v>
                </c:pt>
                <c:pt idx="52" formatCode="0.0">
                  <c:v>18.100000000000001</c:v>
                </c:pt>
                <c:pt idx="53" formatCode="0.0">
                  <c:v>6.6</c:v>
                </c:pt>
                <c:pt idx="54" formatCode="0.0">
                  <c:v>64.7</c:v>
                </c:pt>
                <c:pt idx="55" formatCode="0.0">
                  <c:v>75.400000000000006</c:v>
                </c:pt>
                <c:pt idx="56" formatCode="0.0">
                  <c:v>0</c:v>
                </c:pt>
                <c:pt idx="57" formatCode="0.0">
                  <c:v>-251.9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-160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30</c:v>
                </c:pt>
                <c:pt idx="73" formatCode="0">
                  <c:v>1468.7399999999998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2700.6299999999997</c:v>
                </c:pt>
                <c:pt idx="82" formatCode="0.00">
                  <c:v>50.058999999999997</c:v>
                </c:pt>
                <c:pt idx="83" formatCode="0.0">
                  <c:v>125.2</c:v>
                </c:pt>
                <c:pt idx="84" formatCode="0.0">
                  <c:v>128.9</c:v>
                </c:pt>
                <c:pt idx="85" formatCode="0.0">
                  <c:v>128.69999999999999</c:v>
                </c:pt>
                <c:pt idx="86" formatCode="0.0">
                  <c:v>131.1</c:v>
                </c:pt>
                <c:pt idx="87" formatCode="0.0">
                  <c:v>131.9</c:v>
                </c:pt>
                <c:pt idx="88" formatCode="0.0">
                  <c:v>121.8</c:v>
                </c:pt>
                <c:pt idx="89" formatCode="0.0">
                  <c:v>65</c:v>
                </c:pt>
              </c:numCache>
            </c:numRef>
          </c:val>
        </c:ser>
        <c:ser>
          <c:idx val="24"/>
          <c:order val="24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'25'!$Z$1:$Z$91</c:f>
              <c:numCache>
                <c:formatCode>General</c:formatCode>
                <c:ptCount val="90"/>
                <c:pt idx="5" formatCode="0">
                  <c:v>1541.54</c:v>
                </c:pt>
                <c:pt idx="7" formatCode="[hh]:mm">
                  <c:v>0.79166666666666663</c:v>
                </c:pt>
                <c:pt idx="9" formatCode="0.0">
                  <c:v>390</c:v>
                </c:pt>
                <c:pt idx="10" formatCode="0.0">
                  <c:v>45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23.2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123.4</c:v>
                </c:pt>
                <c:pt idx="36" formatCode="0.0">
                  <c:v>1102.5999999999999</c:v>
                </c:pt>
                <c:pt idx="37" formatCode="0.0">
                  <c:v>145</c:v>
                </c:pt>
                <c:pt idx="38" formatCode="0.0">
                  <c:v>70.3</c:v>
                </c:pt>
                <c:pt idx="39" formatCode="0.0">
                  <c:v>67.2</c:v>
                </c:pt>
                <c:pt idx="40" formatCode="0.0">
                  <c:v>60.2</c:v>
                </c:pt>
                <c:pt idx="41" formatCode="0.0">
                  <c:v>16.5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415.84000000000003</c:v>
                </c:pt>
                <c:pt idx="51" formatCode="0.0">
                  <c:v>50</c:v>
                </c:pt>
                <c:pt idx="52" formatCode="0.0">
                  <c:v>25.3</c:v>
                </c:pt>
                <c:pt idx="53" formatCode="0.0">
                  <c:v>9.1999999999999993</c:v>
                </c:pt>
                <c:pt idx="54" formatCode="0.0">
                  <c:v>84.5</c:v>
                </c:pt>
                <c:pt idx="55" formatCode="0.0">
                  <c:v>57.4</c:v>
                </c:pt>
                <c:pt idx="56" formatCode="0.0">
                  <c:v>0</c:v>
                </c:pt>
                <c:pt idx="57" formatCode="0.0">
                  <c:v>-155.30000000000001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-81.400000000000006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20</c:v>
                </c:pt>
                <c:pt idx="73" formatCode="0">
                  <c:v>1541.54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79" formatCode="0.0">
                  <c:v>0</c:v>
                </c:pt>
                <c:pt idx="80" formatCode="0.0">
                  <c:v>0</c:v>
                </c:pt>
                <c:pt idx="81" formatCode="0.0">
                  <c:v>2763.43</c:v>
                </c:pt>
                <c:pt idx="82" formatCode="0.00">
                  <c:v>50.000999999999998</c:v>
                </c:pt>
                <c:pt idx="83" formatCode="0.0">
                  <c:v>124.3</c:v>
                </c:pt>
                <c:pt idx="84" formatCode="0.0">
                  <c:v>128.1</c:v>
                </c:pt>
                <c:pt idx="85" formatCode="0.0">
                  <c:v>126.2</c:v>
                </c:pt>
                <c:pt idx="86" formatCode="0.0">
                  <c:v>128.5</c:v>
                </c:pt>
                <c:pt idx="87" formatCode="0.0">
                  <c:v>129.4</c:v>
                </c:pt>
                <c:pt idx="88" formatCode="0.0">
                  <c:v>123.9</c:v>
                </c:pt>
                <c:pt idx="89" formatCode="0.0">
                  <c:v>64.7</c:v>
                </c:pt>
              </c:numCache>
            </c:numRef>
          </c:val>
        </c:ser>
        <c:ser>
          <c:idx val="25"/>
          <c:order val="25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'25'!$AA$1:$AA$91</c:f>
              <c:numCache>
                <c:formatCode>General</c:formatCode>
                <c:ptCount val="90"/>
                <c:pt idx="5" formatCode="0">
                  <c:v>1602.9299999999998</c:v>
                </c:pt>
                <c:pt idx="7" formatCode="[hh]:mm">
                  <c:v>0.8125</c:v>
                </c:pt>
                <c:pt idx="9" formatCode="0.0">
                  <c:v>410</c:v>
                </c:pt>
                <c:pt idx="10" formatCode="0.0">
                  <c:v>45</c:v>
                </c:pt>
                <c:pt idx="11" formatCode="0.0">
                  <c:v>44.9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23.2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127.1</c:v>
                </c:pt>
                <c:pt idx="36" formatCode="0.0">
                  <c:v>1122.5999999999999</c:v>
                </c:pt>
                <c:pt idx="37" formatCode="0.0">
                  <c:v>145</c:v>
                </c:pt>
                <c:pt idx="38" formatCode="0.0">
                  <c:v>70.3</c:v>
                </c:pt>
                <c:pt idx="39" formatCode="0.0">
                  <c:v>67.2</c:v>
                </c:pt>
                <c:pt idx="40" formatCode="0.0">
                  <c:v>60.2</c:v>
                </c:pt>
                <c:pt idx="41" formatCode="0.0">
                  <c:v>30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429.34000000000003</c:v>
                </c:pt>
                <c:pt idx="51" formatCode="0.0">
                  <c:v>60</c:v>
                </c:pt>
                <c:pt idx="52" formatCode="0.0">
                  <c:v>30</c:v>
                </c:pt>
                <c:pt idx="53" formatCode="0.0">
                  <c:v>11</c:v>
                </c:pt>
                <c:pt idx="54" formatCode="0.0">
                  <c:v>101</c:v>
                </c:pt>
                <c:pt idx="55" formatCode="0.0">
                  <c:v>77.290000000000006</c:v>
                </c:pt>
                <c:pt idx="56" formatCode="0.0">
                  <c:v>0</c:v>
                </c:pt>
                <c:pt idx="57" formatCode="0.0">
                  <c:v>-163.80000000000001</c:v>
                </c:pt>
                <c:pt idx="58" formatCode="0.0">
                  <c:v>12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-70.010000000000005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20</c:v>
                </c:pt>
                <c:pt idx="73" formatCode="0">
                  <c:v>1602.9299999999998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79" formatCode="0.0">
                  <c:v>0</c:v>
                </c:pt>
                <c:pt idx="80" formatCode="0.0">
                  <c:v>0</c:v>
                </c:pt>
                <c:pt idx="81" formatCode="0.0">
                  <c:v>2824.8199999999997</c:v>
                </c:pt>
                <c:pt idx="82" formatCode="0.00">
                  <c:v>50.055999999999997</c:v>
                </c:pt>
                <c:pt idx="83" formatCode="0.0">
                  <c:v>123.4</c:v>
                </c:pt>
                <c:pt idx="84" formatCode="0.0">
                  <c:v>127</c:v>
                </c:pt>
                <c:pt idx="85" formatCode="0.0">
                  <c:v>125.9</c:v>
                </c:pt>
                <c:pt idx="86" formatCode="0.0">
                  <c:v>128.5</c:v>
                </c:pt>
                <c:pt idx="87" formatCode="0.0">
                  <c:v>131.6</c:v>
                </c:pt>
                <c:pt idx="88" formatCode="0.0">
                  <c:v>123.1</c:v>
                </c:pt>
                <c:pt idx="89" formatCode="0.0">
                  <c:v>64.2</c:v>
                </c:pt>
              </c:numCache>
            </c:numRef>
          </c:val>
        </c:ser>
        <c:ser>
          <c:idx val="26"/>
          <c:order val="26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'25'!$AB$1:$AB$91</c:f>
              <c:numCache>
                <c:formatCode>General</c:formatCode>
                <c:ptCount val="90"/>
                <c:pt idx="5" formatCode="0">
                  <c:v>1621.6399999999999</c:v>
                </c:pt>
                <c:pt idx="6" formatCode="0.00">
                  <c:v>0</c:v>
                </c:pt>
                <c:pt idx="7" formatCode="[hh]:mm">
                  <c:v>0.83333333333333337</c:v>
                </c:pt>
                <c:pt idx="9" formatCode="0.0">
                  <c:v>432</c:v>
                </c:pt>
                <c:pt idx="10" formatCode="0.0">
                  <c:v>45</c:v>
                </c:pt>
                <c:pt idx="11" formatCode="0.0">
                  <c:v>45</c:v>
                </c:pt>
                <c:pt idx="12" formatCode="0.0">
                  <c:v>50.4</c:v>
                </c:pt>
                <c:pt idx="13" formatCode="0.0">
                  <c:v>45.4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23.2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128.89999999999998</c:v>
                </c:pt>
                <c:pt idx="36" formatCode="0.0">
                  <c:v>1144.0999999999999</c:v>
                </c:pt>
                <c:pt idx="37" formatCode="0.0">
                  <c:v>144.6</c:v>
                </c:pt>
                <c:pt idx="38" formatCode="0.0">
                  <c:v>69.3</c:v>
                </c:pt>
                <c:pt idx="39" formatCode="0.0">
                  <c:v>66.900000000000006</c:v>
                </c:pt>
                <c:pt idx="40" formatCode="0.0">
                  <c:v>60</c:v>
                </c:pt>
                <c:pt idx="41" formatCode="0.0">
                  <c:v>30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427.44</c:v>
                </c:pt>
                <c:pt idx="51" formatCode="0.0">
                  <c:v>60</c:v>
                </c:pt>
                <c:pt idx="52" formatCode="0.0">
                  <c:v>31.2</c:v>
                </c:pt>
                <c:pt idx="53" formatCode="0.0">
                  <c:v>11.4</c:v>
                </c:pt>
                <c:pt idx="54" formatCode="0.0">
                  <c:v>102.60000000000001</c:v>
                </c:pt>
                <c:pt idx="55" formatCode="0.0">
                  <c:v>79.2</c:v>
                </c:pt>
                <c:pt idx="56" formatCode="0.0">
                  <c:v>0</c:v>
                </c:pt>
                <c:pt idx="57" formatCode="0.0">
                  <c:v>-170.2</c:v>
                </c:pt>
                <c:pt idx="58" formatCode="0.0">
                  <c:v>14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-72.499999999999986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2" formatCode="0.0">
                  <c:v>20</c:v>
                </c:pt>
                <c:pt idx="73" formatCode="0">
                  <c:v>1621.6399999999999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79" formatCode="0.0">
                  <c:v>0</c:v>
                </c:pt>
                <c:pt idx="81" formatCode="0.0">
                  <c:v>2843.5299999999997</c:v>
                </c:pt>
                <c:pt idx="82" formatCode="0.00">
                  <c:v>50.003999999999998</c:v>
                </c:pt>
                <c:pt idx="83" formatCode="0.0">
                  <c:v>125.3</c:v>
                </c:pt>
                <c:pt idx="84" formatCode="0.0">
                  <c:v>128.80000000000001</c:v>
                </c:pt>
                <c:pt idx="85" formatCode="0.0">
                  <c:v>125.5</c:v>
                </c:pt>
                <c:pt idx="86" formatCode="0.0">
                  <c:v>129.1</c:v>
                </c:pt>
                <c:pt idx="87" formatCode="0.0">
                  <c:v>134.4</c:v>
                </c:pt>
                <c:pt idx="88" formatCode="0.0">
                  <c:v>125.2</c:v>
                </c:pt>
                <c:pt idx="89" formatCode="0.0">
                  <c:v>65.2</c:v>
                </c:pt>
              </c:numCache>
            </c:numRef>
          </c:val>
        </c:ser>
        <c:ser>
          <c:idx val="27"/>
          <c:order val="27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'25'!$AC$1:$AC$91</c:f>
              <c:numCache>
                <c:formatCode>General</c:formatCode>
                <c:ptCount val="90"/>
                <c:pt idx="5" formatCode="0">
                  <c:v>1580.6399999999999</c:v>
                </c:pt>
                <c:pt idx="7" formatCode="[hh]:mm">
                  <c:v>0.85416666666666663</c:v>
                </c:pt>
                <c:pt idx="9" formatCode="0.0">
                  <c:v>432</c:v>
                </c:pt>
                <c:pt idx="10" formatCode="0.0">
                  <c:v>45</c:v>
                </c:pt>
                <c:pt idx="11" formatCode="0.0">
                  <c:v>45</c:v>
                </c:pt>
                <c:pt idx="12" formatCode="0.0">
                  <c:v>50.4</c:v>
                </c:pt>
                <c:pt idx="13" formatCode="0.0">
                  <c:v>45.4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23.2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128.89999999999998</c:v>
                </c:pt>
                <c:pt idx="36" formatCode="0.0">
                  <c:v>1144.0999999999999</c:v>
                </c:pt>
                <c:pt idx="37" formatCode="0.0">
                  <c:v>144.6</c:v>
                </c:pt>
                <c:pt idx="38" formatCode="0.0">
                  <c:v>69.3</c:v>
                </c:pt>
                <c:pt idx="39" formatCode="0.0">
                  <c:v>66.900000000000006</c:v>
                </c:pt>
                <c:pt idx="40" formatCode="0.0">
                  <c:v>60</c:v>
                </c:pt>
                <c:pt idx="41" formatCode="0.0">
                  <c:v>30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427.44</c:v>
                </c:pt>
                <c:pt idx="51" formatCode="0.0">
                  <c:v>60</c:v>
                </c:pt>
                <c:pt idx="52" formatCode="0.0">
                  <c:v>31.2</c:v>
                </c:pt>
                <c:pt idx="53" formatCode="0.0">
                  <c:v>11.4</c:v>
                </c:pt>
                <c:pt idx="54" formatCode="0.0">
                  <c:v>102.60000000000001</c:v>
                </c:pt>
                <c:pt idx="55" formatCode="0.0">
                  <c:v>78</c:v>
                </c:pt>
                <c:pt idx="56" formatCode="0.0">
                  <c:v>0</c:v>
                </c:pt>
                <c:pt idx="57" formatCode="0.0">
                  <c:v>-190</c:v>
                </c:pt>
                <c:pt idx="58" formatCode="0.0">
                  <c:v>14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-93.5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1580.6399999999999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2782.5299999999997</c:v>
                </c:pt>
              </c:numCache>
            </c:numRef>
          </c:val>
        </c:ser>
        <c:ser>
          <c:idx val="28"/>
          <c:order val="28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'25'!$AD$1:$AD$91</c:f>
              <c:numCache>
                <c:formatCode>General</c:formatCode>
                <c:ptCount val="90"/>
                <c:pt idx="5" formatCode="0">
                  <c:v>1466.6399999999999</c:v>
                </c:pt>
                <c:pt idx="7" formatCode="[hh]:mm">
                  <c:v>0.875</c:v>
                </c:pt>
                <c:pt idx="9" formatCode="0.0">
                  <c:v>456</c:v>
                </c:pt>
                <c:pt idx="10" formatCode="0.0">
                  <c:v>45</c:v>
                </c:pt>
                <c:pt idx="11" formatCode="0.0">
                  <c:v>45</c:v>
                </c:pt>
                <c:pt idx="12" formatCode="0.0">
                  <c:v>50.4</c:v>
                </c:pt>
                <c:pt idx="13" formatCode="0.0">
                  <c:v>45.4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23.2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128.89999999999998</c:v>
                </c:pt>
                <c:pt idx="36" formatCode="0.0">
                  <c:v>1168.0999999999999</c:v>
                </c:pt>
                <c:pt idx="37" formatCode="0.0">
                  <c:v>144.6</c:v>
                </c:pt>
                <c:pt idx="38" formatCode="0.0">
                  <c:v>69.3</c:v>
                </c:pt>
                <c:pt idx="39" formatCode="0.0">
                  <c:v>66.900000000000006</c:v>
                </c:pt>
                <c:pt idx="40" formatCode="0.0">
                  <c:v>60</c:v>
                </c:pt>
                <c:pt idx="41" formatCode="0.0">
                  <c:v>30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427.44</c:v>
                </c:pt>
                <c:pt idx="51" formatCode="0.0">
                  <c:v>50</c:v>
                </c:pt>
                <c:pt idx="52" formatCode="0.0">
                  <c:v>31.2</c:v>
                </c:pt>
                <c:pt idx="53" formatCode="0.0">
                  <c:v>11.4</c:v>
                </c:pt>
                <c:pt idx="54" formatCode="0.0">
                  <c:v>92.600000000000009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-240</c:v>
                </c:pt>
                <c:pt idx="58" formatCode="0.0">
                  <c:v>14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-221.5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1466.6399999999999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2668.5299999999997</c:v>
                </c:pt>
              </c:numCache>
            </c:numRef>
          </c:val>
        </c:ser>
        <c:ser>
          <c:idx val="29"/>
          <c:order val="29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'25'!$AE$1:$AE$91</c:f>
              <c:numCache>
                <c:formatCode>General</c:formatCode>
                <c:ptCount val="90"/>
                <c:pt idx="5" formatCode="0">
                  <c:v>1499.6399999999999</c:v>
                </c:pt>
                <c:pt idx="7" formatCode="[hh]:mm">
                  <c:v>0.91666666666666696</c:v>
                </c:pt>
                <c:pt idx="9" formatCode="0.0">
                  <c:v>456</c:v>
                </c:pt>
                <c:pt idx="10" formatCode="0.0">
                  <c:v>45</c:v>
                </c:pt>
                <c:pt idx="11" formatCode="0.0">
                  <c:v>45</c:v>
                </c:pt>
                <c:pt idx="12" formatCode="0.0">
                  <c:v>50.4</c:v>
                </c:pt>
                <c:pt idx="13" formatCode="0.0">
                  <c:v>45.4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23.2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128.89999999999998</c:v>
                </c:pt>
                <c:pt idx="36" formatCode="0.0">
                  <c:v>1168.0999999999999</c:v>
                </c:pt>
                <c:pt idx="37" formatCode="0.0">
                  <c:v>144.6</c:v>
                </c:pt>
                <c:pt idx="38" formatCode="0.0">
                  <c:v>69.3</c:v>
                </c:pt>
                <c:pt idx="39" formatCode="0.0">
                  <c:v>66.900000000000006</c:v>
                </c:pt>
                <c:pt idx="40" formatCode="0.0">
                  <c:v>60</c:v>
                </c:pt>
                <c:pt idx="41" formatCode="0.0">
                  <c:v>30</c:v>
                </c:pt>
                <c:pt idx="42" formatCode="0.0">
                  <c:v>0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11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0">
                  <c:v>3.54</c:v>
                </c:pt>
                <c:pt idx="50" formatCode="0.0">
                  <c:v>427.44</c:v>
                </c:pt>
                <c:pt idx="51" formatCode="0.0">
                  <c:v>50</c:v>
                </c:pt>
                <c:pt idx="52" formatCode="0.0">
                  <c:v>31.2</c:v>
                </c:pt>
                <c:pt idx="53" formatCode="0.0">
                  <c:v>11.4</c:v>
                </c:pt>
                <c:pt idx="54" formatCode="0.0">
                  <c:v>92.600000000000009</c:v>
                </c:pt>
                <c:pt idx="55" formatCode="0.0">
                  <c:v>76</c:v>
                </c:pt>
                <c:pt idx="56" formatCode="0.0">
                  <c:v>0</c:v>
                </c:pt>
                <c:pt idx="57" formatCode="0.0">
                  <c:v>-283</c:v>
                </c:pt>
                <c:pt idx="58" formatCode="0.0">
                  <c:v>14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-188.5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1499.6399999999999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2701.5299999999997</c:v>
                </c:pt>
              </c:numCache>
            </c:numRef>
          </c:val>
        </c:ser>
        <c:ser>
          <c:idx val="30"/>
          <c:order val="30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'25'!$AF$1:$AF$91</c:f>
              <c:numCache>
                <c:formatCode>General</c:formatCode>
                <c:ptCount val="90"/>
                <c:pt idx="5" formatCode="0">
                  <c:v>-256.45999999999998</c:v>
                </c:pt>
                <c:pt idx="7" formatCode="[hh]:mm">
                  <c:v>0.95833333333333304</c:v>
                </c:pt>
                <c:pt idx="36" formatCode="0.0">
                  <c:v>0</c:v>
                </c:pt>
                <c:pt idx="49" formatCode="0.00">
                  <c:v>3.54</c:v>
                </c:pt>
                <c:pt idx="50" formatCode="0.0">
                  <c:v>3.54</c:v>
                </c:pt>
                <c:pt idx="54" formatCode="0.0">
                  <c:v>0</c:v>
                </c:pt>
                <c:pt idx="57" formatCode="0.0">
                  <c:v>-260</c:v>
                </c:pt>
                <c:pt idx="66" formatCode="0.0">
                  <c:v>-260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">
                  <c:v>1201.8899999999999</c:v>
                </c:pt>
                <c:pt idx="73" formatCode="0">
                  <c:v>-256.45999999999998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81" formatCode="0.0">
                  <c:v>945.42999999999984</c:v>
                </c:pt>
              </c:numCache>
            </c:numRef>
          </c:val>
        </c:ser>
        <c:ser>
          <c:idx val="31"/>
          <c:order val="31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'25'!$AG$1:$AG$91</c:f>
              <c:numCache>
                <c:formatCode>_(* #,##0.00_);_(* \(#,##0.00\);_(* "-"??_);_(@_)</c:formatCode>
                <c:ptCount val="90"/>
                <c:pt idx="0" formatCode="General">
                  <c:v>0</c:v>
                </c:pt>
                <c:pt idx="1">
                  <c:v>1492.8299999999997</c:v>
                </c:pt>
                <c:pt idx="2">
                  <c:v>489.91</c:v>
                </c:pt>
                <c:pt idx="3">
                  <c:v>106</c:v>
                </c:pt>
                <c:pt idx="4">
                  <c:v>2088.7399999999998</c:v>
                </c:pt>
                <c:pt idx="7" formatCode="00.00">
                  <c:v>0</c:v>
                </c:pt>
                <c:pt idx="9" formatCode="0.00">
                  <c:v>456</c:v>
                </c:pt>
                <c:pt idx="10" formatCode="0.00">
                  <c:v>60</c:v>
                </c:pt>
                <c:pt idx="11" formatCode="0.00">
                  <c:v>52.4</c:v>
                </c:pt>
                <c:pt idx="12" formatCode="0.00">
                  <c:v>50</c:v>
                </c:pt>
                <c:pt idx="13" formatCode="0.00">
                  <c:v>45</c:v>
                </c:pt>
                <c:pt idx="14" formatCode="0.00">
                  <c:v>45</c:v>
                </c:pt>
                <c:pt idx="15" formatCode="0.00">
                  <c:v>42</c:v>
                </c:pt>
                <c:pt idx="16" formatCode="0.00">
                  <c:v>36</c:v>
                </c:pt>
                <c:pt idx="17" formatCode="0.00">
                  <c:v>30</c:v>
                </c:pt>
                <c:pt idx="18" formatCode="0.00">
                  <c:v>27</c:v>
                </c:pt>
                <c:pt idx="19" formatCode="0.00">
                  <c:v>25</c:v>
                </c:pt>
                <c:pt idx="20" formatCode="0.00">
                  <c:v>25</c:v>
                </c:pt>
                <c:pt idx="21" formatCode="0.00">
                  <c:v>25</c:v>
                </c:pt>
                <c:pt idx="22" formatCode="0.00">
                  <c:v>25</c:v>
                </c:pt>
                <c:pt idx="23" formatCode="0.00">
                  <c:v>24.2</c:v>
                </c:pt>
                <c:pt idx="24" formatCode="0.00">
                  <c:v>20</c:v>
                </c:pt>
                <c:pt idx="25" formatCode="0.00">
                  <c:v>23.5</c:v>
                </c:pt>
                <c:pt idx="26" formatCode="0.00">
                  <c:v>22.2</c:v>
                </c:pt>
                <c:pt idx="27" formatCode="0.00">
                  <c:v>22.1</c:v>
                </c:pt>
                <c:pt idx="28" formatCode="0.00">
                  <c:v>22.1</c:v>
                </c:pt>
                <c:pt idx="29" formatCode="0.00">
                  <c:v>22</c:v>
                </c:pt>
                <c:pt idx="30" formatCode="0.00">
                  <c:v>22</c:v>
                </c:pt>
                <c:pt idx="31" formatCode="0.00">
                  <c:v>11</c:v>
                </c:pt>
                <c:pt idx="32" formatCode="0.00">
                  <c:v>20</c:v>
                </c:pt>
                <c:pt idx="33" formatCode="0.00">
                  <c:v>15.33</c:v>
                </c:pt>
                <c:pt idx="34" formatCode="0.00">
                  <c:v>85</c:v>
                </c:pt>
                <c:pt idx="35" formatCode="0.00">
                  <c:v>240</c:v>
                </c:pt>
                <c:pt idx="36" formatCode="0.00">
                  <c:v>1492.8299999999997</c:v>
                </c:pt>
                <c:pt idx="37" formatCode="0.00">
                  <c:v>144</c:v>
                </c:pt>
                <c:pt idx="38" formatCode="0.00">
                  <c:v>70</c:v>
                </c:pt>
                <c:pt idx="39" formatCode="0.00">
                  <c:v>69</c:v>
                </c:pt>
                <c:pt idx="40" formatCode="0.00">
                  <c:v>60</c:v>
                </c:pt>
                <c:pt idx="41" formatCode="0.00">
                  <c:v>30</c:v>
                </c:pt>
                <c:pt idx="42" formatCode="0.00">
                  <c:v>25</c:v>
                </c:pt>
                <c:pt idx="43" formatCode="0.00">
                  <c:v>24</c:v>
                </c:pt>
                <c:pt idx="44" formatCode="0.00">
                  <c:v>15</c:v>
                </c:pt>
                <c:pt idx="45" formatCode="0.00">
                  <c:v>14.1</c:v>
                </c:pt>
                <c:pt idx="46" formatCode="0.00">
                  <c:v>14</c:v>
                </c:pt>
                <c:pt idx="47" formatCode="0.00">
                  <c:v>10.050000000000001</c:v>
                </c:pt>
                <c:pt idx="48" formatCode="0.00">
                  <c:v>6.2</c:v>
                </c:pt>
                <c:pt idx="49" formatCode="0.00">
                  <c:v>8.56</c:v>
                </c:pt>
                <c:pt idx="50" formatCode="0.00">
                  <c:v>489.91</c:v>
                </c:pt>
                <c:pt idx="51" formatCode="0.00">
                  <c:v>60</c:v>
                </c:pt>
                <c:pt idx="52" formatCode="0.00">
                  <c:v>32</c:v>
                </c:pt>
                <c:pt idx="53" formatCode="0.00">
                  <c:v>14</c:v>
                </c:pt>
                <c:pt idx="54" formatCode="0.00">
                  <c:v>106</c:v>
                </c:pt>
                <c:pt idx="66" formatCode="0.00">
                  <c:v>0</c:v>
                </c:pt>
                <c:pt idx="67" formatCode="0.00">
                  <c:v>39</c:v>
                </c:pt>
                <c:pt idx="68" formatCode="0.00">
                  <c:v>14.4</c:v>
                </c:pt>
                <c:pt idx="69" formatCode="0.00">
                  <c:v>2</c:v>
                </c:pt>
                <c:pt idx="70" formatCode="0.00">
                  <c:v>55.4</c:v>
                </c:pt>
                <c:pt idx="71" formatCode="0">
                  <c:v>2144.14</c:v>
                </c:pt>
                <c:pt idx="73" formatCode="0.00">
                  <c:v>2144.14</c:v>
                </c:pt>
                <c:pt idx="80" formatCode="0.00">
                  <c:v>0</c:v>
                </c:pt>
                <c:pt idx="81" formatCode="0.00">
                  <c:v>4360.08</c:v>
                </c:pt>
              </c:numCache>
            </c:numRef>
          </c:val>
        </c:ser>
        <c:ser>
          <c:idx val="32"/>
          <c:order val="32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'25'!$AH$1:$AH$91</c:f>
              <c:numCache>
                <c:formatCode>General</c:formatCode>
                <c:ptCount val="9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9" formatCode="0.0">
                  <c:v>456</c:v>
                </c:pt>
                <c:pt idx="10" formatCode="0.0">
                  <c:v>60</c:v>
                </c:pt>
                <c:pt idx="11" formatCode="0.0">
                  <c:v>47.8</c:v>
                </c:pt>
                <c:pt idx="12" formatCode="0.0">
                  <c:v>50.7</c:v>
                </c:pt>
                <c:pt idx="13" formatCode="0.0">
                  <c:v>45.7</c:v>
                </c:pt>
                <c:pt idx="14" formatCode="0.0">
                  <c:v>40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23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24.7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8</c:v>
                </c:pt>
                <c:pt idx="25" formatCode="0.0">
                  <c:v>8</c:v>
                </c:pt>
                <c:pt idx="26" formatCode="0.0">
                  <c:v>7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8.8000000000000007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133.80000000000001</c:v>
                </c:pt>
                <c:pt idx="36" formatCode="0.0">
                  <c:v>1168.0999999999999</c:v>
                </c:pt>
                <c:pt idx="37" formatCode="0.0">
                  <c:v>146.69999999999999</c:v>
                </c:pt>
                <c:pt idx="38" formatCode="0.0">
                  <c:v>71.3</c:v>
                </c:pt>
                <c:pt idx="39" formatCode="0.0">
                  <c:v>67.2</c:v>
                </c:pt>
                <c:pt idx="40" formatCode="0.0">
                  <c:v>61.7</c:v>
                </c:pt>
                <c:pt idx="41" formatCode="0.0">
                  <c:v>30</c:v>
                </c:pt>
                <c:pt idx="42" formatCode="0.0">
                  <c:v>7</c:v>
                </c:pt>
                <c:pt idx="43" formatCode="0.0">
                  <c:v>17</c:v>
                </c:pt>
                <c:pt idx="44" formatCode="0.0">
                  <c:v>2</c:v>
                </c:pt>
                <c:pt idx="45" formatCode="0.0">
                  <c:v>13.6</c:v>
                </c:pt>
                <c:pt idx="46" formatCode="0.0">
                  <c:v>12.9</c:v>
                </c:pt>
                <c:pt idx="47" formatCode="0.0">
                  <c:v>6.5</c:v>
                </c:pt>
                <c:pt idx="48" formatCode="0.0">
                  <c:v>3.1</c:v>
                </c:pt>
                <c:pt idx="49" formatCode="0.0">
                  <c:v>3.54</c:v>
                </c:pt>
                <c:pt idx="50" formatCode="0.0">
                  <c:v>430.44000000000005</c:v>
                </c:pt>
                <c:pt idx="51" formatCode="0.0">
                  <c:v>60</c:v>
                </c:pt>
                <c:pt idx="52" formatCode="0.0">
                  <c:v>31.3</c:v>
                </c:pt>
                <c:pt idx="53" formatCode="0.0">
                  <c:v>11.4</c:v>
                </c:pt>
                <c:pt idx="54" formatCode="0.0">
                  <c:v>102.60000000000001</c:v>
                </c:pt>
                <c:pt idx="55" formatCode="0.0">
                  <c:v>79.2</c:v>
                </c:pt>
                <c:pt idx="56" formatCode="0.0">
                  <c:v>0</c:v>
                </c:pt>
                <c:pt idx="57" formatCode="0.0">
                  <c:v>-155.30000000000001</c:v>
                </c:pt>
                <c:pt idx="58" formatCode="0.0">
                  <c:v>20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-70.010000000000005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.0">
                  <c:v>1201.8899999999999</c:v>
                </c:pt>
                <c:pt idx="72" formatCode="0.0">
                  <c:v>200</c:v>
                </c:pt>
                <c:pt idx="73" formatCode="0.0">
                  <c:v>1621.6399999999999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79" formatCode="0.0">
                  <c:v>0</c:v>
                </c:pt>
                <c:pt idx="80" formatCode="0.0">
                  <c:v>0</c:v>
                </c:pt>
                <c:pt idx="81" formatCode="0.0">
                  <c:v>2843.5299999999997</c:v>
                </c:pt>
                <c:pt idx="82" formatCode="0.0">
                  <c:v>50.061999999999998</c:v>
                </c:pt>
                <c:pt idx="83" formatCode="0.0">
                  <c:v>125.6</c:v>
                </c:pt>
                <c:pt idx="84" formatCode="0.0">
                  <c:v>128.9</c:v>
                </c:pt>
                <c:pt idx="85" formatCode="0.0">
                  <c:v>132.80000000000001</c:v>
                </c:pt>
                <c:pt idx="86" formatCode="0.0">
                  <c:v>134</c:v>
                </c:pt>
                <c:pt idx="87" formatCode="0.0">
                  <c:v>135</c:v>
                </c:pt>
                <c:pt idx="88" formatCode="0.0">
                  <c:v>130.19999999999999</c:v>
                </c:pt>
                <c:pt idx="89" formatCode="0.0">
                  <c:v>65.2</c:v>
                </c:pt>
              </c:numCache>
            </c:numRef>
          </c:val>
        </c:ser>
        <c:ser>
          <c:idx val="33"/>
          <c:order val="33"/>
          <c:invertIfNegative val="0"/>
          <c:cat>
            <c:strRef>
              <c:f>'25'!$A$1:$A$91</c:f>
              <c:strCache>
                <c:ptCount val="90"/>
                <c:pt idx="0">
                  <c:v>LOAD DISPATCH  CENTRE,  NEPAL   ELECTRICITY   AUTHORITY
DAILY SYSTEM OPERATION LOG  FOR INPS </c:v>
                </c:pt>
                <c:pt idx="3">
                  <c:v>Nepali Date:</c:v>
                </c:pt>
                <c:pt idx="5">
                  <c:v>Base Load=-256</c:v>
                </c:pt>
                <c:pt idx="7">
                  <c:v>                              Hrs.               Source</c:v>
                </c:pt>
                <c:pt idx="9">
                  <c:v>Upper Tama Koshi (456)</c:v>
                </c:pt>
                <c:pt idx="10">
                  <c:v>Khimti Khola (60)</c:v>
                </c:pt>
                <c:pt idx="11">
                  <c:v>Likhu IV (52.4)</c:v>
                </c:pt>
                <c:pt idx="12">
                  <c:v>Upper Marsyangdi "A" (50)</c:v>
                </c:pt>
                <c:pt idx="13">
                  <c:v>Bhotekoshi Khola (45)</c:v>
                </c:pt>
                <c:pt idx="14">
                  <c:v>Mistri Khola (42)</c:v>
                </c:pt>
                <c:pt idx="15">
                  <c:v>Kabeli B-1 (25)</c:v>
                </c:pt>
                <c:pt idx="16">
                  <c:v>Singati Khola (25)</c:v>
                </c:pt>
                <c:pt idx="17">
                  <c:v>Upper Madi (25)</c:v>
                </c:pt>
                <c:pt idx="18">
                  <c:v>Solu Khola (23.5)</c:v>
                </c:pt>
                <c:pt idx="19">
                  <c:v>Upper Chaku A (22.2)</c:v>
                </c:pt>
                <c:pt idx="20">
                  <c:v>Chilime (22.1)</c:v>
                </c:pt>
                <c:pt idx="21">
                  <c:v>Lower Hewa Khola (22.1)</c:v>
                </c:pt>
                <c:pt idx="22">
                  <c:v>Bagmati KholaSmall (22)</c:v>
                </c:pt>
                <c:pt idx="23">
                  <c:v>Sanima Mai Khola (22)</c:v>
                </c:pt>
                <c:pt idx="24">
                  <c:v>Lower Modi (20)</c:v>
                </c:pt>
                <c:pt idx="25">
                  <c:v>Hewa Khola A (14.9)</c:v>
                </c:pt>
                <c:pt idx="26">
                  <c:v>Thapa Khola (13.6)</c:v>
                </c:pt>
                <c:pt idx="27">
                  <c:v>Sikles Khola (13)</c:v>
                </c:pt>
                <c:pt idx="28">
                  <c:v>Jhimruk Khola (12)</c:v>
                </c:pt>
                <c:pt idx="29">
                  <c:v>Upper Mai Khola (12)</c:v>
                </c:pt>
                <c:pt idx="30">
                  <c:v>Namarjun Madi (11.8)</c:v>
                </c:pt>
                <c:pt idx="31">
                  <c:v>Tallo Khare Khola(11)</c:v>
                </c:pt>
                <c:pt idx="32">
                  <c:v>Lower Modi 1 (10)</c:v>
                </c:pt>
                <c:pt idx="33">
                  <c:v>Mithila Solar PV Electric Project (10)</c:v>
                </c:pt>
                <c:pt idx="34">
                  <c:v>Other IPP Total</c:v>
                </c:pt>
                <c:pt idx="35">
                  <c:v>Kabeli Corridor</c:v>
                </c:pt>
                <c:pt idx="36">
                  <c:v>Total IPP</c:v>
                </c:pt>
                <c:pt idx="37">
                  <c:v>KGA(144)</c:v>
                </c:pt>
                <c:pt idx="38">
                  <c:v>Middle MRS(70)</c:v>
                </c:pt>
                <c:pt idx="39">
                  <c:v>MRS(69)</c:v>
                </c:pt>
                <c:pt idx="40">
                  <c:v>U Trisuli 3A(60)</c:v>
                </c:pt>
                <c:pt idx="41">
                  <c:v>CHM(30)</c:v>
                </c:pt>
                <c:pt idx="42">
                  <c:v>NEA  SOLAR(25)</c:v>
                </c:pt>
                <c:pt idx="43">
                  <c:v>TRI(24)</c:v>
                </c:pt>
                <c:pt idx="44">
                  <c:v>GDK(15)</c:v>
                </c:pt>
                <c:pt idx="45">
                  <c:v>DEVI(14.1)</c:v>
                </c:pt>
                <c:pt idx="46">
                  <c:v>MODI(14)</c:v>
                </c:pt>
                <c:pt idx="47">
                  <c:v>SUN(10.05)</c:v>
                </c:pt>
                <c:pt idx="48">
                  <c:v>PUWA(6.2)</c:v>
                </c:pt>
                <c:pt idx="49">
                  <c:v>Other NEA Small</c:v>
                </c:pt>
                <c:pt idx="50">
                  <c:v>Total ROR</c:v>
                </c:pt>
                <c:pt idx="51">
                  <c:v>KL1(60)</c:v>
                </c:pt>
                <c:pt idx="52">
                  <c:v>KL2(32)</c:v>
                </c:pt>
                <c:pt idx="53">
                  <c:v>KL3(14)</c:v>
                </c:pt>
                <c:pt idx="54">
                  <c:v>Total STORGE</c:v>
                </c:pt>
                <c:pt idx="55">
                  <c:v>TANAKPUR</c:v>
                </c:pt>
                <c:pt idx="56">
                  <c:v>KATAIYA</c:v>
                </c:pt>
                <c:pt idx="57">
                  <c:v>MUJAFFARPUR</c:v>
                </c:pt>
                <c:pt idx="58">
                  <c:v>RAMNAGAR</c:v>
                </c:pt>
                <c:pt idx="59">
                  <c:v>RAXAUL 132</c:v>
                </c:pt>
                <c:pt idx="60">
                  <c:v>NANPARA(33kV)</c:v>
                </c:pt>
                <c:pt idx="61">
                  <c:v>BISHANPUR(33kV)</c:v>
                </c:pt>
                <c:pt idx="62">
                  <c:v>JALESHWOR(33kV)</c:v>
                </c:pt>
                <c:pt idx="63">
                  <c:v>RAJBIRAJ(33kV)</c:v>
                </c:pt>
                <c:pt idx="64">
                  <c:v>RAXAUL(33kV)</c:v>
                </c:pt>
                <c:pt idx="65">
                  <c:v>OTHERS IMPORT</c:v>
                </c:pt>
                <c:pt idx="66">
                  <c:v>Total IMPORT</c:v>
                </c:pt>
                <c:pt idx="67">
                  <c:v>MULTI F(39)</c:v>
                </c:pt>
                <c:pt idx="68">
                  <c:v>HTD DIE(14.41)</c:v>
                </c:pt>
                <c:pt idx="69">
                  <c:v>MRS DI()</c:v>
                </c:pt>
                <c:pt idx="70">
                  <c:v>Total THERMAL</c:v>
                </c:pt>
                <c:pt idx="71">
                  <c:v>TOTAL SYSTEM LOAD (ACTUAL)</c:v>
                </c:pt>
                <c:pt idx="72">
                  <c:v>Interruption/Tripping</c:v>
                </c:pt>
                <c:pt idx="73">
                  <c:v>TOTAL SYSTEM LOAD (EXPECTED)</c:v>
                </c:pt>
                <c:pt idx="74">
                  <c:v>RAMNAGAR</c:v>
                </c:pt>
                <c:pt idx="75">
                  <c:v>KATAIYA</c:v>
                </c:pt>
                <c:pt idx="76">
                  <c:v>RAXAUL</c:v>
                </c:pt>
                <c:pt idx="77">
                  <c:v>MUZAFFARPUR</c:v>
                </c:pt>
                <c:pt idx="78">
                  <c:v>TANAKPUR</c:v>
                </c:pt>
                <c:pt idx="79">
                  <c:v>OTHERS EXPORT</c:v>
                </c:pt>
                <c:pt idx="80">
                  <c:v>Total EXPORT</c:v>
                </c:pt>
                <c:pt idx="81">
                  <c:v>NET IMPORT</c:v>
                </c:pt>
                <c:pt idx="82">
                  <c:v>HZ</c:v>
                </c:pt>
                <c:pt idx="83">
                  <c:v>HTD 132KV</c:v>
                </c:pt>
                <c:pt idx="84">
                  <c:v>SUI 132KV </c:v>
                </c:pt>
                <c:pt idx="85">
                  <c:v>DUBI 132KV </c:v>
                </c:pt>
                <c:pt idx="86">
                  <c:v>ANAMANI 132KV </c:v>
                </c:pt>
                <c:pt idx="87">
                  <c:v>KG-A 132KV </c:v>
                </c:pt>
                <c:pt idx="88">
                  <c:v>KOHALPUR 132KV </c:v>
                </c:pt>
                <c:pt idx="89">
                  <c:v>SUI 66KV </c:v>
                </c:pt>
              </c:strCache>
            </c:strRef>
          </c:cat>
          <c:val>
            <c:numRef>
              <c:f>'25'!$AI$1:$AI$91</c:f>
              <c:numCache>
                <c:formatCode>General</c:formatCode>
                <c:ptCount val="90"/>
                <c:pt idx="9" formatCode="0.0">
                  <c:v>390</c:v>
                </c:pt>
                <c:pt idx="10" formatCode="0.0">
                  <c:v>45</c:v>
                </c:pt>
                <c:pt idx="11" formatCode="0.0">
                  <c:v>37.700000000000003</c:v>
                </c:pt>
                <c:pt idx="12" formatCode="0.0">
                  <c:v>0</c:v>
                </c:pt>
                <c:pt idx="13" formatCode="0.0">
                  <c:v>45.4</c:v>
                </c:pt>
                <c:pt idx="14" formatCode="0.0">
                  <c:v>0</c:v>
                </c:pt>
                <c:pt idx="15" formatCode="0.0">
                  <c:v>25</c:v>
                </c:pt>
                <c:pt idx="16" formatCode="0.0">
                  <c:v>16</c:v>
                </c:pt>
                <c:pt idx="17" formatCode="0.0">
                  <c:v>0</c:v>
                </c:pt>
                <c:pt idx="18" formatCode="0.0">
                  <c:v>15.5</c:v>
                </c:pt>
                <c:pt idx="19" formatCode="0.0">
                  <c:v>4</c:v>
                </c:pt>
                <c:pt idx="20" formatCode="0.0">
                  <c:v>0</c:v>
                </c:pt>
                <c:pt idx="21" formatCode="0.0">
                  <c:v>10</c:v>
                </c:pt>
                <c:pt idx="22" formatCode="0.0">
                  <c:v>22.3</c:v>
                </c:pt>
                <c:pt idx="23" formatCode="0.0">
                  <c:v>14</c:v>
                </c:pt>
                <c:pt idx="24" formatCode="0.0">
                  <c:v>0</c:v>
                </c:pt>
                <c:pt idx="25" formatCode="0.0">
                  <c:v>8</c:v>
                </c:pt>
                <c:pt idx="26" formatCode="0.0">
                  <c:v>0</c:v>
                </c:pt>
                <c:pt idx="27" formatCode="0.0">
                  <c:v>7</c:v>
                </c:pt>
                <c:pt idx="28" formatCode="0.0">
                  <c:v>12</c:v>
                </c:pt>
                <c:pt idx="29" formatCode="0.0">
                  <c:v>6</c:v>
                </c:pt>
                <c:pt idx="30" formatCode="0.0">
                  <c:v>7</c:v>
                </c:pt>
                <c:pt idx="31" formatCode="0.0">
                  <c:v>2.5</c:v>
                </c:pt>
                <c:pt idx="32" formatCode="0.0">
                  <c:v>0</c:v>
                </c:pt>
                <c:pt idx="33" formatCode="0.0">
                  <c:v>7</c:v>
                </c:pt>
                <c:pt idx="34" formatCode="0.0">
                  <c:v>260</c:v>
                </c:pt>
                <c:pt idx="35" formatCode="0.0">
                  <c:v>121</c:v>
                </c:pt>
                <c:pt idx="36" formatCode="0.0">
                  <c:v>0</c:v>
                </c:pt>
                <c:pt idx="37" formatCode="0.0">
                  <c:v>0</c:v>
                </c:pt>
                <c:pt idx="38" formatCode="0.0">
                  <c:v>0</c:v>
                </c:pt>
                <c:pt idx="39" formatCode="0.0">
                  <c:v>0</c:v>
                </c:pt>
                <c:pt idx="40" formatCode="0.0">
                  <c:v>51.1</c:v>
                </c:pt>
                <c:pt idx="41" formatCode="0.0">
                  <c:v>0</c:v>
                </c:pt>
                <c:pt idx="42" formatCode="0.0">
                  <c:v>0</c:v>
                </c:pt>
                <c:pt idx="43" formatCode="0.0">
                  <c:v>14.7</c:v>
                </c:pt>
                <c:pt idx="44" formatCode="0.0">
                  <c:v>2</c:v>
                </c:pt>
                <c:pt idx="45" formatCode="0.0">
                  <c:v>13.5</c:v>
                </c:pt>
                <c:pt idx="46" formatCode="0.0">
                  <c:v>0</c:v>
                </c:pt>
                <c:pt idx="47" formatCode="0.0">
                  <c:v>6.3</c:v>
                </c:pt>
                <c:pt idx="48" formatCode="0.0">
                  <c:v>3.1</c:v>
                </c:pt>
                <c:pt idx="49" formatCode="0.0">
                  <c:v>3.54</c:v>
                </c:pt>
                <c:pt idx="50" formatCode="0.0">
                  <c:v>3.54</c:v>
                </c:pt>
                <c:pt idx="51" formatCode="0.0">
                  <c:v>0</c:v>
                </c:pt>
                <c:pt idx="52" formatCode="0.0">
                  <c:v>0</c:v>
                </c:pt>
                <c:pt idx="53" formatCode="0.0">
                  <c:v>0</c:v>
                </c:pt>
                <c:pt idx="54" formatCode="0.0">
                  <c:v>0</c:v>
                </c:pt>
                <c:pt idx="55" formatCode="0.0">
                  <c:v>0</c:v>
                </c:pt>
                <c:pt idx="56" formatCode="0.0">
                  <c:v>0</c:v>
                </c:pt>
                <c:pt idx="57" formatCode="0.0">
                  <c:v>-305</c:v>
                </c:pt>
                <c:pt idx="58" formatCode="0.0">
                  <c:v>0</c:v>
                </c:pt>
                <c:pt idx="59" formatCode="0.0">
                  <c:v>0</c:v>
                </c:pt>
                <c:pt idx="60" formatCode="0.0">
                  <c:v>4.5</c:v>
                </c:pt>
                <c:pt idx="61" formatCode="0.0">
                  <c:v>0</c:v>
                </c:pt>
                <c:pt idx="62" formatCode="0.0">
                  <c:v>0</c:v>
                </c:pt>
                <c:pt idx="63" formatCode="0.0">
                  <c:v>0</c:v>
                </c:pt>
                <c:pt idx="64" formatCode="0.0">
                  <c:v>0</c:v>
                </c:pt>
                <c:pt idx="65" formatCode="0.0">
                  <c:v>0</c:v>
                </c:pt>
                <c:pt idx="66" formatCode="0.0">
                  <c:v>-260</c:v>
                </c:pt>
                <c:pt idx="67" formatCode="0.0">
                  <c:v>0</c:v>
                </c:pt>
                <c:pt idx="68" formatCode="0.0">
                  <c:v>0</c:v>
                </c:pt>
                <c:pt idx="69" formatCode="0.0">
                  <c:v>0</c:v>
                </c:pt>
                <c:pt idx="70" formatCode="0.0">
                  <c:v>0</c:v>
                </c:pt>
                <c:pt idx="71" formatCode="0.0">
                  <c:v>1201.8899999999999</c:v>
                </c:pt>
                <c:pt idx="72" formatCode="0.0">
                  <c:v>10</c:v>
                </c:pt>
                <c:pt idx="73" formatCode="0.0">
                  <c:v>-256.45999999999998</c:v>
                </c:pt>
                <c:pt idx="74" formatCode="0.0">
                  <c:v>0</c:v>
                </c:pt>
                <c:pt idx="75" formatCode="0.0">
                  <c:v>0</c:v>
                </c:pt>
                <c:pt idx="76" formatCode="0.0">
                  <c:v>0</c:v>
                </c:pt>
                <c:pt idx="77" formatCode="0.0">
                  <c:v>0</c:v>
                </c:pt>
                <c:pt idx="78" formatCode="0.0">
                  <c:v>0</c:v>
                </c:pt>
                <c:pt idx="79" formatCode="0.0">
                  <c:v>0</c:v>
                </c:pt>
                <c:pt idx="80" formatCode="0.0">
                  <c:v>0</c:v>
                </c:pt>
                <c:pt idx="81" formatCode="0.0">
                  <c:v>945.42999999999984</c:v>
                </c:pt>
                <c:pt idx="82" formatCode="0.0">
                  <c:v>49.887</c:v>
                </c:pt>
                <c:pt idx="83" formatCode="0.0">
                  <c:v>119.6</c:v>
                </c:pt>
                <c:pt idx="84" formatCode="0.0">
                  <c:v>124</c:v>
                </c:pt>
                <c:pt idx="85" formatCode="0.0">
                  <c:v>124.3</c:v>
                </c:pt>
                <c:pt idx="86" formatCode="0.0">
                  <c:v>126</c:v>
                </c:pt>
                <c:pt idx="87" formatCode="0.0">
                  <c:v>128.1</c:v>
                </c:pt>
                <c:pt idx="88" formatCode="0.0">
                  <c:v>119</c:v>
                </c:pt>
                <c:pt idx="89" formatCode="0.0">
                  <c:v>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892480"/>
        <c:axId val="421894016"/>
      </c:barChart>
      <c:catAx>
        <c:axId val="421892480"/>
        <c:scaling>
          <c:orientation val="minMax"/>
        </c:scaling>
        <c:delete val="0"/>
        <c:axPos val="b"/>
        <c:majorTickMark val="out"/>
        <c:minorTickMark val="none"/>
        <c:tickLblPos val="nextTo"/>
        <c:crossAx val="421894016"/>
        <c:crosses val="autoZero"/>
        <c:auto val="1"/>
        <c:lblAlgn val="ctr"/>
        <c:lblOffset val="100"/>
        <c:noMultiLvlLbl val="0"/>
      </c:catAx>
      <c:valAx>
        <c:axId val="421894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1892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Sample!$A$212:$A$216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Sample!$B$212:$B$216</c:f>
              <c:numCache>
                <c:formatCode>General</c:formatCode>
                <c:ptCount val="5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Sample!$T$212:$AX$212</c:f>
              <c:numCache>
                <c:formatCode>General</c:formatCode>
                <c:ptCount val="31"/>
              </c:numCache>
            </c:numRef>
          </c:cat>
          <c:val>
            <c:numRef>
              <c:f>Sample!$U$213:$AX$213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825344"/>
        <c:axId val="422848000"/>
      </c:lineChart>
      <c:catAx>
        <c:axId val="422825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48000"/>
        <c:crosses val="autoZero"/>
        <c:auto val="1"/>
        <c:lblAlgn val="ctr"/>
        <c:lblOffset val="100"/>
        <c:noMultiLvlLbl val="0"/>
      </c:catAx>
      <c:valAx>
        <c:axId val="422848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82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5.xml"/><Relationship Id="rId1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212</xdr:row>
      <xdr:rowOff>57156</xdr:rowOff>
    </xdr:from>
    <xdr:to>
      <xdr:col>15</xdr:col>
      <xdr:colOff>219074</xdr:colOff>
      <xdr:row>234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215</xdr:row>
      <xdr:rowOff>133356</xdr:rowOff>
    </xdr:from>
    <xdr:to>
      <xdr:col>32</xdr:col>
      <xdr:colOff>9524</xdr:colOff>
      <xdr:row>233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absoluteAnchor>
    <xdr:pos x="0" y="0"/>
    <xdr:ext cx="9309199" cy="607962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8-08-Mangsi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-Logsheet-2079-01-Baisak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new_sample"/>
      <sheetName val="Sheet1"/>
      <sheetName val="Sheet2"/>
      <sheetName val="Sheet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1">
          <cell r="A211" t="str">
            <v>IPP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Jestha1"/>
      <sheetName val="Sample"/>
      <sheetName val="Sheet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12">
          <cell r="A212" t="str">
            <v>IPP</v>
          </cell>
          <cell r="B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</row>
        <row r="213">
          <cell r="A213" t="str">
            <v>NEA(RoR+PRoR)</v>
          </cell>
          <cell r="B213">
            <v>0</v>
          </cell>
          <cell r="U213">
            <v>4.1666666666666664E-2</v>
          </cell>
          <cell r="V213">
            <v>8.3333333333333301E-2</v>
          </cell>
          <cell r="W213">
            <v>0.125</v>
          </cell>
          <cell r="X213">
            <v>0.16666666666666699</v>
          </cell>
          <cell r="Y213">
            <v>0.20833333333333301</v>
          </cell>
          <cell r="Z213">
            <v>0.22916666666666666</v>
          </cell>
          <cell r="AA213">
            <v>0.25</v>
          </cell>
          <cell r="AB213">
            <v>0.27083333333333331</v>
          </cell>
          <cell r="AC213">
            <v>0.29166666666666669</v>
          </cell>
          <cell r="AD213">
            <v>0.3125</v>
          </cell>
          <cell r="AE213">
            <v>0.33333333333333331</v>
          </cell>
          <cell r="AF213">
            <v>0.375</v>
          </cell>
          <cell r="AG213">
            <v>0.41666666666666702</v>
          </cell>
          <cell r="AH213">
            <v>0.45833333333333298</v>
          </cell>
          <cell r="AI213">
            <v>0.5</v>
          </cell>
          <cell r="AJ213">
            <v>0.54166666666666696</v>
          </cell>
          <cell r="AK213">
            <v>0.58333333333333304</v>
          </cell>
          <cell r="AL213">
            <v>0.625</v>
          </cell>
          <cell r="AM213">
            <v>0.66666666666666696</v>
          </cell>
          <cell r="AN213">
            <v>0.70833333333333304</v>
          </cell>
          <cell r="AO213">
            <v>0.72916666666666663</v>
          </cell>
          <cell r="AP213">
            <v>0.75</v>
          </cell>
          <cell r="AQ213">
            <v>0.77083333333333337</v>
          </cell>
          <cell r="AR213">
            <v>0.79166666666666663</v>
          </cell>
          <cell r="AS213">
            <v>0.8125</v>
          </cell>
          <cell r="AT213">
            <v>0.83333333333333337</v>
          </cell>
          <cell r="AU213">
            <v>0.85416666666666663</v>
          </cell>
          <cell r="AV213">
            <v>0.875</v>
          </cell>
          <cell r="AW213">
            <v>0.91666666666666696</v>
          </cell>
          <cell r="AX213">
            <v>0.95833333333333304</v>
          </cell>
        </row>
        <row r="214">
          <cell r="A214" t="str">
            <v>KL1+KL2+KL3</v>
          </cell>
          <cell r="B214">
            <v>0</v>
          </cell>
          <cell r="S214" t="str">
            <v>T_Load</v>
          </cell>
        </row>
        <row r="215">
          <cell r="A215" t="str">
            <v>Import</v>
          </cell>
          <cell r="B215">
            <v>0</v>
          </cell>
        </row>
        <row r="216">
          <cell r="A216" t="str">
            <v>Export</v>
          </cell>
          <cell r="B216">
            <v>0</v>
          </cell>
        </row>
      </sheetData>
      <sheetData sheetId="32">
        <row r="212">
          <cell r="A212" t="str">
            <v>IPP</v>
          </cell>
        </row>
      </sheetData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selection activeCell="W30" sqref="W3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1" width="6.28515625" customWidth="1"/>
    <col min="12" max="12" width="6.140625" customWidth="1"/>
    <col min="13" max="13" width="6.5703125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42</v>
      </c>
      <c r="C5" s="32">
        <f t="shared" si="0"/>
        <v>50</v>
      </c>
      <c r="D5" s="32">
        <f t="shared" si="0"/>
        <v>48</v>
      </c>
      <c r="E5" s="32">
        <f t="shared" si="0"/>
        <v>51</v>
      </c>
      <c r="F5" s="32">
        <f t="shared" si="0"/>
        <v>4</v>
      </c>
      <c r="G5" s="32">
        <f t="shared" si="0"/>
        <v>-2.0999999999999979</v>
      </c>
      <c r="H5" s="32">
        <f t="shared" si="0"/>
        <v>2.3999999999999986</v>
      </c>
      <c r="I5" s="32">
        <f t="shared" si="0"/>
        <v>0</v>
      </c>
      <c r="J5" s="32">
        <f t="shared" si="0"/>
        <v>41.5</v>
      </c>
      <c r="K5" s="32">
        <f t="shared" si="0"/>
        <v>38</v>
      </c>
      <c r="L5" s="32">
        <f t="shared" si="0"/>
        <v>41.5</v>
      </c>
      <c r="M5" s="32">
        <f t="shared" si="0"/>
        <v>45</v>
      </c>
      <c r="N5" s="32">
        <f t="shared" si="0"/>
        <v>24</v>
      </c>
      <c r="O5" s="32">
        <f t="shared" si="0"/>
        <v>27</v>
      </c>
      <c r="P5" s="32">
        <f t="shared" si="0"/>
        <v>27</v>
      </c>
      <c r="Q5" s="32">
        <f t="shared" si="0"/>
        <v>27</v>
      </c>
      <c r="R5" s="32">
        <f t="shared" si="0"/>
        <v>8</v>
      </c>
      <c r="S5" s="32">
        <f t="shared" si="0"/>
        <v>152</v>
      </c>
      <c r="T5" s="32">
        <f t="shared" si="0"/>
        <v>184.7</v>
      </c>
      <c r="U5" s="32">
        <f t="shared" si="0"/>
        <v>174.10000000000002</v>
      </c>
      <c r="V5" s="32">
        <f t="shared" si="0"/>
        <v>136.24</v>
      </c>
      <c r="W5" s="32">
        <f t="shared" si="0"/>
        <v>105.6</v>
      </c>
      <c r="X5" s="32">
        <f t="shared" si="0"/>
        <v>111.01999999999998</v>
      </c>
      <c r="Y5" s="32">
        <f t="shared" si="0"/>
        <v>68.180000000000007</v>
      </c>
      <c r="Z5" s="32">
        <f t="shared" si="0"/>
        <v>88.6</v>
      </c>
      <c r="AA5" s="32">
        <f t="shared" si="0"/>
        <v>83.759999999999991</v>
      </c>
      <c r="AB5" s="32">
        <f t="shared" si="0"/>
        <v>80</v>
      </c>
      <c r="AC5" s="32">
        <f t="shared" si="0"/>
        <v>93</v>
      </c>
      <c r="AD5" s="32">
        <f t="shared" si="0"/>
        <v>95.5</v>
      </c>
      <c r="AE5" s="32">
        <f t="shared" si="0"/>
        <v>105.6</v>
      </c>
      <c r="AF5" s="32">
        <f>B68</f>
        <v>110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1339MW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</v>
      </c>
      <c r="B7" s="37">
        <f>B75</f>
        <v>1244.44</v>
      </c>
      <c r="C7" s="37">
        <f t="shared" ref="C7:AF7" si="1">C75</f>
        <v>1197.24</v>
      </c>
      <c r="D7" s="37">
        <f t="shared" si="1"/>
        <v>1180.2400000000002</v>
      </c>
      <c r="E7" s="37">
        <f t="shared" si="1"/>
        <v>1197.3400000000001</v>
      </c>
      <c r="F7" s="37">
        <f t="shared" si="1"/>
        <v>1167.44</v>
      </c>
      <c r="G7" s="37">
        <f t="shared" si="1"/>
        <v>1200.1399999999999</v>
      </c>
      <c r="H7" s="37">
        <f t="shared" si="1"/>
        <v>1189.74</v>
      </c>
      <c r="I7" s="37">
        <f t="shared" si="1"/>
        <v>1182.2399999999998</v>
      </c>
      <c r="J7" s="37">
        <f t="shared" si="1"/>
        <v>1205.44</v>
      </c>
      <c r="K7" s="37">
        <f t="shared" si="1"/>
        <v>1261.94</v>
      </c>
      <c r="L7" s="37">
        <f t="shared" si="1"/>
        <v>1306.8400000000001</v>
      </c>
      <c r="M7" s="37">
        <f t="shared" si="1"/>
        <v>1315.3400000000001</v>
      </c>
      <c r="N7" s="37">
        <f t="shared" si="1"/>
        <v>1339.14</v>
      </c>
      <c r="O7" s="37">
        <f t="shared" si="1"/>
        <v>1355.3400000000001</v>
      </c>
      <c r="P7" s="37">
        <f t="shared" si="1"/>
        <v>1376.24</v>
      </c>
      <c r="Q7" s="37">
        <f t="shared" si="1"/>
        <v>1345.54</v>
      </c>
      <c r="R7" s="37">
        <f t="shared" si="1"/>
        <v>1350.54</v>
      </c>
      <c r="S7" s="37">
        <f t="shared" si="1"/>
        <v>11.54</v>
      </c>
      <c r="T7" s="37">
        <f t="shared" si="1"/>
        <v>1376.54</v>
      </c>
      <c r="U7" s="37">
        <f t="shared" si="1"/>
        <v>1313.44</v>
      </c>
      <c r="V7" s="37">
        <f t="shared" si="1"/>
        <v>1314.1399999999999</v>
      </c>
      <c r="W7" s="37">
        <f t="shared" si="1"/>
        <v>1297.3800000000001</v>
      </c>
      <c r="X7" s="37">
        <f t="shared" si="1"/>
        <v>1290.8400000000001</v>
      </c>
      <c r="Y7" s="37">
        <f t="shared" si="1"/>
        <v>1337.06</v>
      </c>
      <c r="Z7" s="37">
        <f t="shared" si="1"/>
        <v>1372.52</v>
      </c>
      <c r="AA7" s="37">
        <f t="shared" si="1"/>
        <v>1494.94</v>
      </c>
      <c r="AB7" s="37">
        <f t="shared" si="1"/>
        <v>1465.9</v>
      </c>
      <c r="AC7" s="37">
        <f t="shared" si="1"/>
        <v>1452.74</v>
      </c>
      <c r="AD7" s="37">
        <f t="shared" si="1"/>
        <v>1384.84</v>
      </c>
      <c r="AE7" s="37">
        <f t="shared" si="1"/>
        <v>1366.24</v>
      </c>
      <c r="AF7" s="37">
        <f t="shared" si="1"/>
        <v>1377.2400000000002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9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8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198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210</v>
      </c>
      <c r="C11" s="50">
        <v>210</v>
      </c>
      <c r="D11" s="50">
        <v>200</v>
      </c>
      <c r="E11" s="51">
        <v>220</v>
      </c>
      <c r="F11" s="51">
        <v>250</v>
      </c>
      <c r="G11" s="51">
        <v>270</v>
      </c>
      <c r="H11" s="51">
        <v>270</v>
      </c>
      <c r="I11" s="51">
        <v>250</v>
      </c>
      <c r="J11" s="52">
        <v>280</v>
      </c>
      <c r="K11" s="52">
        <v>290</v>
      </c>
      <c r="L11" s="52">
        <v>340</v>
      </c>
      <c r="M11" s="51">
        <v>335</v>
      </c>
      <c r="N11" s="51">
        <v>331</v>
      </c>
      <c r="O11" s="51">
        <v>335</v>
      </c>
      <c r="P11" s="51">
        <v>316</v>
      </c>
      <c r="Q11" s="51">
        <v>316</v>
      </c>
      <c r="R11" s="51">
        <v>329</v>
      </c>
      <c r="S11" s="49" t="s">
        <v>221</v>
      </c>
      <c r="T11" s="49">
        <v>320</v>
      </c>
      <c r="U11" s="49">
        <v>190</v>
      </c>
      <c r="V11" s="49">
        <v>150</v>
      </c>
      <c r="W11" s="49">
        <v>170</v>
      </c>
      <c r="X11" s="49">
        <v>230</v>
      </c>
      <c r="Y11" s="49">
        <v>270</v>
      </c>
      <c r="Z11" s="49">
        <v>320</v>
      </c>
      <c r="AA11" s="49">
        <v>350</v>
      </c>
      <c r="AB11" s="49">
        <v>370</v>
      </c>
      <c r="AC11" s="49">
        <v>360</v>
      </c>
      <c r="AD11" s="49">
        <v>300</v>
      </c>
      <c r="AE11" s="49">
        <v>250</v>
      </c>
      <c r="AF11" s="49">
        <v>230</v>
      </c>
      <c r="AG11" s="53">
        <v>456</v>
      </c>
      <c r="AH11" s="54">
        <f>MAX(B11:AF11)</f>
        <v>370</v>
      </c>
      <c r="AI11" s="55">
        <f>MIN(B11:AF11)</f>
        <v>150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31</v>
      </c>
      <c r="C12" s="51">
        <v>31</v>
      </c>
      <c r="D12" s="51">
        <v>31</v>
      </c>
      <c r="E12" s="51">
        <v>31</v>
      </c>
      <c r="F12" s="51">
        <v>31</v>
      </c>
      <c r="G12" s="51">
        <v>31</v>
      </c>
      <c r="H12" s="51">
        <v>31</v>
      </c>
      <c r="I12" s="51">
        <v>31</v>
      </c>
      <c r="J12" s="51">
        <v>31</v>
      </c>
      <c r="K12" s="51">
        <v>31</v>
      </c>
      <c r="L12" s="51">
        <v>31</v>
      </c>
      <c r="M12" s="51">
        <v>31</v>
      </c>
      <c r="N12" s="51">
        <v>31</v>
      </c>
      <c r="O12" s="51">
        <v>31</v>
      </c>
      <c r="P12" s="51">
        <v>31</v>
      </c>
      <c r="Q12" s="51">
        <v>31</v>
      </c>
      <c r="R12" s="51">
        <v>31</v>
      </c>
      <c r="S12" s="51" t="s">
        <v>222</v>
      </c>
      <c r="T12" s="51">
        <v>31</v>
      </c>
      <c r="U12" s="51">
        <v>31</v>
      </c>
      <c r="V12" s="51">
        <v>31</v>
      </c>
      <c r="W12" s="51">
        <v>31</v>
      </c>
      <c r="X12" s="51">
        <v>31</v>
      </c>
      <c r="Y12" s="51">
        <v>40</v>
      </c>
      <c r="Z12" s="51">
        <v>40</v>
      </c>
      <c r="AA12" s="51">
        <v>40</v>
      </c>
      <c r="AB12" s="51">
        <v>40</v>
      </c>
      <c r="AC12" s="51">
        <v>40</v>
      </c>
      <c r="AD12" s="51">
        <v>40</v>
      </c>
      <c r="AE12" s="51">
        <v>48</v>
      </c>
      <c r="AF12" s="51">
        <v>48</v>
      </c>
      <c r="AG12" s="58">
        <v>60</v>
      </c>
      <c r="AH12" s="54">
        <f t="shared" ref="AH12:AH75" si="2">MAX(B12:AF12)</f>
        <v>48</v>
      </c>
      <c r="AI12" s="55">
        <f t="shared" ref="AI12:AI75" si="3">MIN(B12:AF12)</f>
        <v>31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19.399999999999999</v>
      </c>
      <c r="C13" s="51">
        <v>19.399999999999999</v>
      </c>
      <c r="D13" s="51">
        <v>19.399999999999999</v>
      </c>
      <c r="E13" s="51">
        <v>19.3</v>
      </c>
      <c r="F13" s="51">
        <v>19.399999999999999</v>
      </c>
      <c r="G13" s="51">
        <v>19.399999999999999</v>
      </c>
      <c r="H13" s="51">
        <v>20.9</v>
      </c>
      <c r="I13" s="51">
        <v>20.8</v>
      </c>
      <c r="J13" s="51">
        <v>20.8</v>
      </c>
      <c r="K13" s="51">
        <v>20.8</v>
      </c>
      <c r="L13" s="51">
        <v>20.8</v>
      </c>
      <c r="M13" s="51">
        <v>20.7</v>
      </c>
      <c r="N13" s="51">
        <v>20.2</v>
      </c>
      <c r="O13" s="51">
        <v>19.7</v>
      </c>
      <c r="P13" s="51">
        <v>19.899999999999999</v>
      </c>
      <c r="Q13" s="51">
        <v>19.899999999999999</v>
      </c>
      <c r="R13" s="51">
        <v>19.899999999999999</v>
      </c>
      <c r="S13" s="51" t="s">
        <v>221</v>
      </c>
      <c r="T13" s="51">
        <v>19.899999999999999</v>
      </c>
      <c r="U13" s="51">
        <v>19.899999999999999</v>
      </c>
      <c r="V13" s="51">
        <v>19.899999999999999</v>
      </c>
      <c r="W13" s="51">
        <v>20.6</v>
      </c>
      <c r="X13" s="51">
        <v>20.6</v>
      </c>
      <c r="Y13" s="51">
        <v>20.6</v>
      </c>
      <c r="Z13" s="51">
        <v>20.6</v>
      </c>
      <c r="AA13" s="51">
        <v>32.6</v>
      </c>
      <c r="AB13" s="51">
        <v>30.4</v>
      </c>
      <c r="AC13" s="51">
        <v>30.4</v>
      </c>
      <c r="AD13" s="51">
        <v>34.1</v>
      </c>
      <c r="AE13" s="51">
        <v>32.4</v>
      </c>
      <c r="AF13" s="51">
        <v>28.5</v>
      </c>
      <c r="AG13" s="58">
        <v>52.4</v>
      </c>
      <c r="AH13" s="54">
        <f t="shared" si="2"/>
        <v>34.1</v>
      </c>
      <c r="AI13" s="55">
        <f t="shared" si="3"/>
        <v>19.3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50.7</v>
      </c>
      <c r="C14" s="51">
        <v>50.7</v>
      </c>
      <c r="D14" s="51">
        <v>50.7</v>
      </c>
      <c r="E14" s="51">
        <v>50</v>
      </c>
      <c r="F14" s="51">
        <v>50.5</v>
      </c>
      <c r="G14" s="51">
        <v>50.5</v>
      </c>
      <c r="H14" s="51">
        <v>50.4</v>
      </c>
      <c r="I14" s="51">
        <v>50.2</v>
      </c>
      <c r="J14" s="51">
        <v>50.2</v>
      </c>
      <c r="K14" s="51">
        <v>50.2</v>
      </c>
      <c r="L14" s="51">
        <v>50.2</v>
      </c>
      <c r="M14" s="51">
        <v>49.8</v>
      </c>
      <c r="N14" s="51">
        <v>50.2</v>
      </c>
      <c r="O14" s="51">
        <v>50.4</v>
      </c>
      <c r="P14" s="51">
        <v>50.4</v>
      </c>
      <c r="Q14" s="51">
        <v>50.4</v>
      </c>
      <c r="R14" s="51">
        <v>50.4</v>
      </c>
      <c r="S14" s="51" t="s">
        <v>223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23</v>
      </c>
      <c r="Z14" s="51">
        <v>50.7</v>
      </c>
      <c r="AA14" s="51">
        <v>50.7</v>
      </c>
      <c r="AB14" s="51">
        <v>50.7</v>
      </c>
      <c r="AC14" s="51">
        <v>50.7</v>
      </c>
      <c r="AD14" s="51">
        <v>50.7</v>
      </c>
      <c r="AE14" s="51">
        <v>50.5</v>
      </c>
      <c r="AF14" s="51">
        <v>50.1</v>
      </c>
      <c r="AG14" s="58">
        <v>50</v>
      </c>
      <c r="AH14" s="54">
        <f t="shared" si="2"/>
        <v>50.7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32.299999999999997</v>
      </c>
      <c r="C15" s="51">
        <v>32.299999999999997</v>
      </c>
      <c r="D15" s="51">
        <v>32.299999999999997</v>
      </c>
      <c r="E15" s="51">
        <v>33.200000000000003</v>
      </c>
      <c r="F15" s="51">
        <v>33.5</v>
      </c>
      <c r="G15" s="51">
        <v>33.5</v>
      </c>
      <c r="H15" s="51">
        <v>33.5</v>
      </c>
      <c r="I15" s="51">
        <v>33.4</v>
      </c>
      <c r="J15" s="51">
        <v>33.4</v>
      </c>
      <c r="K15" s="51">
        <v>33.4</v>
      </c>
      <c r="L15" s="51">
        <v>33.4</v>
      </c>
      <c r="M15" s="51">
        <v>32.5</v>
      </c>
      <c r="N15" s="51">
        <v>32.5</v>
      </c>
      <c r="O15" s="51">
        <v>32.5</v>
      </c>
      <c r="P15" s="51">
        <v>32.5</v>
      </c>
      <c r="Q15" s="51">
        <v>24</v>
      </c>
      <c r="R15" s="51">
        <v>24</v>
      </c>
      <c r="S15" s="51" t="s">
        <v>224</v>
      </c>
      <c r="T15" s="51">
        <v>24</v>
      </c>
      <c r="U15" s="51">
        <v>24</v>
      </c>
      <c r="V15" s="51">
        <v>24</v>
      </c>
      <c r="W15" s="51">
        <v>24</v>
      </c>
      <c r="X15" s="51">
        <v>24</v>
      </c>
      <c r="Y15" s="51">
        <v>24</v>
      </c>
      <c r="Z15" s="51">
        <v>24</v>
      </c>
      <c r="AA15" s="51">
        <v>39.1</v>
      </c>
      <c r="AB15" s="51">
        <v>40.4</v>
      </c>
      <c r="AC15" s="51">
        <v>40.4</v>
      </c>
      <c r="AD15" s="51">
        <v>40.4</v>
      </c>
      <c r="AE15" s="51">
        <v>42.5</v>
      </c>
      <c r="AF15" s="51">
        <v>41.4</v>
      </c>
      <c r="AG15" s="59">
        <v>45</v>
      </c>
      <c r="AH15" s="54">
        <f t="shared" si="2"/>
        <v>42.5</v>
      </c>
      <c r="AI15" s="55">
        <f t="shared" si="3"/>
        <v>24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28</v>
      </c>
      <c r="C16" s="51">
        <v>28</v>
      </c>
      <c r="D16" s="51">
        <v>28</v>
      </c>
      <c r="E16" s="51">
        <v>28</v>
      </c>
      <c r="F16" s="51">
        <v>28</v>
      </c>
      <c r="G16" s="51">
        <v>28</v>
      </c>
      <c r="H16" s="51">
        <v>26</v>
      </c>
      <c r="I16" s="51">
        <v>26</v>
      </c>
      <c r="J16" s="51">
        <v>26</v>
      </c>
      <c r="K16" s="51">
        <v>26</v>
      </c>
      <c r="L16" s="51">
        <v>26</v>
      </c>
      <c r="M16" s="51">
        <v>26</v>
      </c>
      <c r="N16" s="51">
        <v>26</v>
      </c>
      <c r="O16" s="51">
        <v>26</v>
      </c>
      <c r="P16" s="51">
        <v>26</v>
      </c>
      <c r="Q16" s="51">
        <v>26</v>
      </c>
      <c r="R16" s="51">
        <v>26</v>
      </c>
      <c r="S16" s="51" t="s">
        <v>225</v>
      </c>
      <c r="T16" s="51">
        <v>26</v>
      </c>
      <c r="U16" s="51">
        <v>26</v>
      </c>
      <c r="V16" s="51">
        <v>26</v>
      </c>
      <c r="W16" s="51">
        <v>26</v>
      </c>
      <c r="X16" s="51">
        <v>26</v>
      </c>
      <c r="Y16" s="51">
        <v>26</v>
      </c>
      <c r="Z16" s="51">
        <v>26</v>
      </c>
      <c r="AA16" s="51">
        <v>26</v>
      </c>
      <c r="AB16" s="51">
        <v>26</v>
      </c>
      <c r="AC16" s="51">
        <v>26</v>
      </c>
      <c r="AD16" s="51">
        <v>26</v>
      </c>
      <c r="AE16" s="51">
        <v>26</v>
      </c>
      <c r="AF16" s="51">
        <v>26</v>
      </c>
      <c r="AG16" s="58">
        <v>45</v>
      </c>
      <c r="AH16" s="54">
        <f t="shared" si="2"/>
        <v>28</v>
      </c>
      <c r="AI16" s="55">
        <f t="shared" si="3"/>
        <v>26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12.5</v>
      </c>
      <c r="C17" s="51">
        <v>12.5</v>
      </c>
      <c r="D17" s="51">
        <v>12.5</v>
      </c>
      <c r="E17" s="51">
        <v>12.5</v>
      </c>
      <c r="F17" s="51">
        <v>12.5</v>
      </c>
      <c r="G17" s="51">
        <v>12.5</v>
      </c>
      <c r="H17" s="51">
        <v>12.5</v>
      </c>
      <c r="I17" s="51">
        <v>12.5</v>
      </c>
      <c r="J17" s="51">
        <v>12.5</v>
      </c>
      <c r="K17" s="51">
        <v>12.5</v>
      </c>
      <c r="L17" s="51">
        <v>12.5</v>
      </c>
      <c r="M17" s="51">
        <v>12.5</v>
      </c>
      <c r="N17" s="51">
        <v>12.5</v>
      </c>
      <c r="O17" s="51">
        <v>12.5</v>
      </c>
      <c r="P17" s="51">
        <v>12.5</v>
      </c>
      <c r="Q17" s="51">
        <v>12.5</v>
      </c>
      <c r="R17" s="51">
        <v>12.5</v>
      </c>
      <c r="S17" s="51"/>
      <c r="T17" s="51">
        <v>12.5</v>
      </c>
      <c r="U17" s="51">
        <v>12.5</v>
      </c>
      <c r="V17" s="51">
        <v>12.5</v>
      </c>
      <c r="W17" s="51">
        <v>12.5</v>
      </c>
      <c r="X17" s="51">
        <v>12.5</v>
      </c>
      <c r="Y17" s="51">
        <v>12.5</v>
      </c>
      <c r="Z17" s="51">
        <v>12.5</v>
      </c>
      <c r="AA17" s="51">
        <v>12.5</v>
      </c>
      <c r="AB17" s="51">
        <v>12.5</v>
      </c>
      <c r="AC17" s="51">
        <v>12.5</v>
      </c>
      <c r="AD17" s="51">
        <v>12.5</v>
      </c>
      <c r="AE17" s="51">
        <v>12.5</v>
      </c>
      <c r="AF17" s="51">
        <v>12.5</v>
      </c>
      <c r="AG17" s="58">
        <v>42</v>
      </c>
      <c r="AH17" s="54">
        <f t="shared" si="2"/>
        <v>12.5</v>
      </c>
      <c r="AI17" s="55">
        <f t="shared" si="3"/>
        <v>12.5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 t="s">
        <v>226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58">
        <v>36</v>
      </c>
      <c r="AH18" s="54">
        <f t="shared" si="2"/>
        <v>13.2</v>
      </c>
      <c r="AI18" s="55">
        <f t="shared" si="3"/>
        <v>13.2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13.3</v>
      </c>
      <c r="C19" s="51">
        <v>13.3</v>
      </c>
      <c r="D19" s="51">
        <v>13.3</v>
      </c>
      <c r="E19" s="51">
        <v>13.3</v>
      </c>
      <c r="F19" s="51">
        <v>13.3</v>
      </c>
      <c r="G19" s="51">
        <v>13.3</v>
      </c>
      <c r="H19" s="51">
        <v>13.3</v>
      </c>
      <c r="I19" s="51">
        <v>17.5</v>
      </c>
      <c r="J19" s="51">
        <v>17.5</v>
      </c>
      <c r="K19" s="51">
        <v>17.5</v>
      </c>
      <c r="L19" s="51">
        <v>17.5</v>
      </c>
      <c r="M19" s="51">
        <v>17.5</v>
      </c>
      <c r="N19" s="51">
        <v>17.5</v>
      </c>
      <c r="O19" s="51">
        <v>17.5</v>
      </c>
      <c r="P19" s="51">
        <v>17.5</v>
      </c>
      <c r="Q19" s="51">
        <v>17.5</v>
      </c>
      <c r="R19" s="51">
        <v>17.5</v>
      </c>
      <c r="S19" s="51" t="s">
        <v>227</v>
      </c>
      <c r="T19" s="51">
        <v>17.5</v>
      </c>
      <c r="U19" s="51">
        <v>17.5</v>
      </c>
      <c r="V19" s="51">
        <v>22.8</v>
      </c>
      <c r="W19" s="51">
        <v>22.8</v>
      </c>
      <c r="X19" s="51">
        <v>22.8</v>
      </c>
      <c r="Y19" s="51">
        <v>22.8</v>
      </c>
      <c r="Z19" s="51">
        <v>22.8</v>
      </c>
      <c r="AA19" s="51">
        <v>22.8</v>
      </c>
      <c r="AB19" s="51">
        <v>22.8</v>
      </c>
      <c r="AC19" s="51">
        <v>22.8</v>
      </c>
      <c r="AD19" s="51">
        <v>22.8</v>
      </c>
      <c r="AE19" s="51">
        <v>25.2</v>
      </c>
      <c r="AF19" s="51">
        <v>25.5</v>
      </c>
      <c r="AG19" s="58">
        <v>30</v>
      </c>
      <c r="AH19" s="54">
        <f t="shared" si="2"/>
        <v>25.5</v>
      </c>
      <c r="AI19" s="55">
        <f t="shared" si="3"/>
        <v>13.3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12</v>
      </c>
      <c r="C20" s="51">
        <v>12</v>
      </c>
      <c r="D20" s="51">
        <v>12</v>
      </c>
      <c r="E20" s="51">
        <v>12</v>
      </c>
      <c r="F20" s="51">
        <v>12</v>
      </c>
      <c r="G20" s="51">
        <v>12</v>
      </c>
      <c r="H20" s="51">
        <v>12</v>
      </c>
      <c r="I20" s="51">
        <v>12</v>
      </c>
      <c r="J20" s="51">
        <v>12</v>
      </c>
      <c r="K20" s="51">
        <v>12</v>
      </c>
      <c r="L20" s="51">
        <v>12</v>
      </c>
      <c r="M20" s="51">
        <v>12</v>
      </c>
      <c r="N20" s="51">
        <v>12</v>
      </c>
      <c r="O20" s="51">
        <v>12</v>
      </c>
      <c r="P20" s="51">
        <v>12</v>
      </c>
      <c r="Q20" s="51">
        <v>12</v>
      </c>
      <c r="R20" s="51">
        <v>12</v>
      </c>
      <c r="S20" s="51" t="s">
        <v>221</v>
      </c>
      <c r="T20" s="51">
        <v>12</v>
      </c>
      <c r="U20" s="51">
        <v>12</v>
      </c>
      <c r="V20" s="51">
        <v>12</v>
      </c>
      <c r="W20" s="51">
        <v>12</v>
      </c>
      <c r="X20" s="51">
        <v>12</v>
      </c>
      <c r="Y20" s="51">
        <v>12</v>
      </c>
      <c r="Z20" s="51">
        <v>12</v>
      </c>
      <c r="AA20" s="51">
        <v>12</v>
      </c>
      <c r="AB20" s="51">
        <v>12</v>
      </c>
      <c r="AC20" s="51">
        <v>12</v>
      </c>
      <c r="AD20" s="51">
        <v>12</v>
      </c>
      <c r="AE20" s="51">
        <v>12</v>
      </c>
      <c r="AF20" s="51">
        <v>12</v>
      </c>
      <c r="AG20" s="58">
        <v>27</v>
      </c>
      <c r="AH20" s="54">
        <f t="shared" si="2"/>
        <v>12</v>
      </c>
      <c r="AI20" s="55">
        <f t="shared" si="3"/>
        <v>12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3.5</v>
      </c>
      <c r="C21" s="51">
        <v>3.5</v>
      </c>
      <c r="D21" s="51">
        <v>3.5</v>
      </c>
      <c r="E21" s="51">
        <v>3.5</v>
      </c>
      <c r="F21" s="51">
        <v>3.5</v>
      </c>
      <c r="G21" s="51">
        <v>3.5</v>
      </c>
      <c r="H21" s="51">
        <v>3.5</v>
      </c>
      <c r="I21" s="51">
        <v>3.5</v>
      </c>
      <c r="J21" s="51">
        <v>3.5</v>
      </c>
      <c r="K21" s="51">
        <v>3.5</v>
      </c>
      <c r="L21" s="51">
        <v>3.5</v>
      </c>
      <c r="M21" s="51">
        <v>3.5</v>
      </c>
      <c r="N21" s="51">
        <v>3.5</v>
      </c>
      <c r="O21" s="51">
        <v>3.5</v>
      </c>
      <c r="P21" s="51">
        <v>3.5</v>
      </c>
      <c r="Q21" s="51">
        <v>3.5</v>
      </c>
      <c r="R21" s="51">
        <v>3.5</v>
      </c>
      <c r="S21" s="51" t="s">
        <v>223</v>
      </c>
      <c r="T21" s="51">
        <v>3.5</v>
      </c>
      <c r="U21" s="51">
        <v>3.5</v>
      </c>
      <c r="V21" s="51">
        <v>3.5</v>
      </c>
      <c r="W21" s="51">
        <v>3.5</v>
      </c>
      <c r="X21" s="51">
        <v>3.5</v>
      </c>
      <c r="Y21" s="51">
        <v>3.5</v>
      </c>
      <c r="Z21" s="51">
        <v>3.5</v>
      </c>
      <c r="AA21" s="51">
        <v>3.5</v>
      </c>
      <c r="AB21" s="51">
        <v>3.5</v>
      </c>
      <c r="AC21" s="51">
        <v>3.5</v>
      </c>
      <c r="AD21" s="51">
        <v>3.5</v>
      </c>
      <c r="AE21" s="51">
        <v>3.5</v>
      </c>
      <c r="AF21" s="51">
        <v>3.5</v>
      </c>
      <c r="AG21" s="58">
        <v>25</v>
      </c>
      <c r="AH21" s="54">
        <f t="shared" si="2"/>
        <v>3.5</v>
      </c>
      <c r="AI21" s="55">
        <f t="shared" si="3"/>
        <v>3.5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22.8</v>
      </c>
      <c r="C22" s="51">
        <v>22.8</v>
      </c>
      <c r="D22" s="51">
        <v>22.8</v>
      </c>
      <c r="E22" s="51">
        <v>22.8</v>
      </c>
      <c r="F22" s="51">
        <v>22.8</v>
      </c>
      <c r="G22" s="51">
        <v>22.8</v>
      </c>
      <c r="H22" s="51">
        <v>22.8</v>
      </c>
      <c r="I22" s="51">
        <v>22.8</v>
      </c>
      <c r="J22" s="51">
        <v>22.8</v>
      </c>
      <c r="K22" s="51">
        <v>22.8</v>
      </c>
      <c r="L22" s="51">
        <v>22.8</v>
      </c>
      <c r="M22" s="51">
        <v>22.8</v>
      </c>
      <c r="N22" s="51">
        <v>23</v>
      </c>
      <c r="O22" s="51">
        <v>23</v>
      </c>
      <c r="P22" s="51">
        <v>23</v>
      </c>
      <c r="Q22" s="51">
        <v>23</v>
      </c>
      <c r="R22" s="51">
        <v>23</v>
      </c>
      <c r="S22" s="51" t="s">
        <v>228</v>
      </c>
      <c r="T22" s="51">
        <v>23</v>
      </c>
      <c r="U22" s="51">
        <v>23</v>
      </c>
      <c r="V22" s="51">
        <v>23</v>
      </c>
      <c r="W22" s="51">
        <v>23</v>
      </c>
      <c r="X22" s="51">
        <v>23</v>
      </c>
      <c r="Y22" s="51">
        <v>23</v>
      </c>
      <c r="Z22" s="51">
        <v>23</v>
      </c>
      <c r="AA22" s="51">
        <v>23</v>
      </c>
      <c r="AB22" s="51">
        <v>23</v>
      </c>
      <c r="AC22" s="51">
        <v>23</v>
      </c>
      <c r="AD22" s="51">
        <v>23</v>
      </c>
      <c r="AE22" s="51">
        <v>23.1</v>
      </c>
      <c r="AF22" s="51">
        <v>23.1</v>
      </c>
      <c r="AG22" s="58">
        <v>25</v>
      </c>
      <c r="AH22" s="54">
        <f t="shared" si="2"/>
        <v>23.1</v>
      </c>
      <c r="AI22" s="55">
        <f t="shared" si="3"/>
        <v>22.8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5.2</v>
      </c>
      <c r="C23" s="51">
        <v>5.2</v>
      </c>
      <c r="D23" s="51">
        <v>5.2</v>
      </c>
      <c r="E23" s="51">
        <v>5.2</v>
      </c>
      <c r="F23" s="51">
        <v>5.2</v>
      </c>
      <c r="G23" s="51">
        <v>5.2</v>
      </c>
      <c r="H23" s="51">
        <v>5.2</v>
      </c>
      <c r="I23" s="51">
        <v>5.2</v>
      </c>
      <c r="J23" s="51">
        <v>5.2</v>
      </c>
      <c r="K23" s="51">
        <v>5.2</v>
      </c>
      <c r="L23" s="51">
        <v>5.2</v>
      </c>
      <c r="M23" s="51">
        <v>5.2</v>
      </c>
      <c r="N23" s="51">
        <v>5.2</v>
      </c>
      <c r="O23" s="51">
        <v>5.2</v>
      </c>
      <c r="P23" s="51">
        <v>5.2</v>
      </c>
      <c r="Q23" s="51">
        <v>5.2</v>
      </c>
      <c r="R23" s="51">
        <v>5.2</v>
      </c>
      <c r="S23" s="51" t="s">
        <v>229</v>
      </c>
      <c r="T23" s="51">
        <v>5.2</v>
      </c>
      <c r="U23" s="51">
        <v>5.2</v>
      </c>
      <c r="V23" s="51">
        <v>5.2</v>
      </c>
      <c r="W23" s="51">
        <v>5.2</v>
      </c>
      <c r="X23" s="51">
        <v>5.2</v>
      </c>
      <c r="Y23" s="51">
        <v>5.2</v>
      </c>
      <c r="Z23" s="51">
        <v>5.2</v>
      </c>
      <c r="AA23" s="51">
        <v>5.2</v>
      </c>
      <c r="AB23" s="51">
        <v>5.2</v>
      </c>
      <c r="AC23" s="51">
        <v>5.2</v>
      </c>
      <c r="AD23" s="51">
        <v>5.2</v>
      </c>
      <c r="AE23" s="51">
        <v>5.2</v>
      </c>
      <c r="AF23" s="51">
        <v>5.2</v>
      </c>
      <c r="AG23" s="58">
        <v>25</v>
      </c>
      <c r="AH23" s="54">
        <f t="shared" si="2"/>
        <v>5.2</v>
      </c>
      <c r="AI23" s="55">
        <f t="shared" si="3"/>
        <v>5.2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12</v>
      </c>
      <c r="C24" s="51">
        <v>12</v>
      </c>
      <c r="D24" s="51">
        <v>12</v>
      </c>
      <c r="E24" s="51">
        <v>12</v>
      </c>
      <c r="F24" s="51">
        <v>12</v>
      </c>
      <c r="G24" s="51">
        <v>12</v>
      </c>
      <c r="H24" s="51">
        <v>12</v>
      </c>
      <c r="I24" s="51">
        <v>12</v>
      </c>
      <c r="J24" s="51">
        <v>12</v>
      </c>
      <c r="K24" s="51">
        <v>12</v>
      </c>
      <c r="L24" s="51">
        <v>12</v>
      </c>
      <c r="M24" s="51">
        <v>12</v>
      </c>
      <c r="N24" s="51">
        <v>12</v>
      </c>
      <c r="O24" s="51">
        <v>12</v>
      </c>
      <c r="P24" s="51">
        <v>12</v>
      </c>
      <c r="Q24" s="51">
        <v>12</v>
      </c>
      <c r="R24" s="51">
        <v>12</v>
      </c>
      <c r="S24" s="51" t="s">
        <v>230</v>
      </c>
      <c r="T24" s="51">
        <v>12</v>
      </c>
      <c r="U24" s="51">
        <v>12</v>
      </c>
      <c r="V24" s="51">
        <v>12</v>
      </c>
      <c r="W24" s="51">
        <v>12</v>
      </c>
      <c r="X24" s="51">
        <v>12</v>
      </c>
      <c r="Y24" s="51">
        <v>12</v>
      </c>
      <c r="Z24" s="51">
        <v>12</v>
      </c>
      <c r="AA24" s="51">
        <v>12</v>
      </c>
      <c r="AB24" s="51">
        <v>12</v>
      </c>
      <c r="AC24" s="51">
        <v>12</v>
      </c>
      <c r="AD24" s="51">
        <v>12</v>
      </c>
      <c r="AE24" s="51">
        <v>17</v>
      </c>
      <c r="AF24" s="51">
        <v>16.600000000000001</v>
      </c>
      <c r="AG24" s="58">
        <v>25</v>
      </c>
      <c r="AH24" s="54">
        <f t="shared" si="2"/>
        <v>17</v>
      </c>
      <c r="AI24" s="55">
        <f t="shared" si="3"/>
        <v>12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/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5</v>
      </c>
      <c r="C26" s="51">
        <v>5</v>
      </c>
      <c r="D26" s="51">
        <v>5</v>
      </c>
      <c r="E26" s="51">
        <v>5</v>
      </c>
      <c r="F26" s="51">
        <v>5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/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/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/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/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58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/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/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5</v>
      </c>
      <c r="C32" s="51">
        <v>5</v>
      </c>
      <c r="D32" s="51">
        <v>5</v>
      </c>
      <c r="E32" s="51">
        <v>5</v>
      </c>
      <c r="F32" s="51">
        <v>5</v>
      </c>
      <c r="G32" s="51">
        <v>5</v>
      </c>
      <c r="H32" s="51">
        <v>5</v>
      </c>
      <c r="I32" s="51">
        <v>5</v>
      </c>
      <c r="J32" s="51">
        <v>5</v>
      </c>
      <c r="K32" s="51">
        <v>5</v>
      </c>
      <c r="L32" s="51">
        <v>5</v>
      </c>
      <c r="M32" s="51">
        <v>5</v>
      </c>
      <c r="N32" s="51">
        <v>5</v>
      </c>
      <c r="O32" s="51">
        <v>5</v>
      </c>
      <c r="P32" s="51">
        <v>5</v>
      </c>
      <c r="Q32" s="51">
        <v>5</v>
      </c>
      <c r="R32" s="51">
        <v>5</v>
      </c>
      <c r="S32" s="51"/>
      <c r="T32" s="51">
        <v>5</v>
      </c>
      <c r="U32" s="51">
        <v>5</v>
      </c>
      <c r="V32" s="51">
        <v>5</v>
      </c>
      <c r="W32" s="51">
        <v>5</v>
      </c>
      <c r="X32" s="51">
        <v>5</v>
      </c>
      <c r="Y32" s="51">
        <v>5</v>
      </c>
      <c r="Z32" s="51">
        <v>5</v>
      </c>
      <c r="AA32" s="51">
        <v>5</v>
      </c>
      <c r="AB32" s="51">
        <v>5</v>
      </c>
      <c r="AC32" s="51">
        <v>5</v>
      </c>
      <c r="AD32" s="51">
        <v>5</v>
      </c>
      <c r="AE32" s="51">
        <v>5</v>
      </c>
      <c r="AF32" s="51">
        <v>5</v>
      </c>
      <c r="AG32" s="63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/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5</v>
      </c>
      <c r="C34" s="51">
        <v>5</v>
      </c>
      <c r="D34" s="51">
        <v>5</v>
      </c>
      <c r="E34" s="51">
        <v>5</v>
      </c>
      <c r="F34" s="51">
        <v>5</v>
      </c>
      <c r="G34" s="51">
        <v>5</v>
      </c>
      <c r="H34" s="51">
        <v>5</v>
      </c>
      <c r="I34" s="51">
        <v>5</v>
      </c>
      <c r="J34" s="51">
        <v>5</v>
      </c>
      <c r="K34" s="51">
        <v>5</v>
      </c>
      <c r="L34" s="51">
        <v>5</v>
      </c>
      <c r="M34" s="51">
        <v>5</v>
      </c>
      <c r="N34" s="51">
        <v>5</v>
      </c>
      <c r="O34" s="51">
        <v>5</v>
      </c>
      <c r="P34" s="51">
        <v>5</v>
      </c>
      <c r="Q34" s="51">
        <v>5</v>
      </c>
      <c r="R34" s="51">
        <v>5</v>
      </c>
      <c r="S34" s="51"/>
      <c r="T34" s="51">
        <v>5</v>
      </c>
      <c r="U34" s="51">
        <v>5</v>
      </c>
      <c r="V34" s="51">
        <v>5</v>
      </c>
      <c r="W34" s="51">
        <v>5</v>
      </c>
      <c r="X34" s="51">
        <v>5</v>
      </c>
      <c r="Y34" s="51">
        <v>5</v>
      </c>
      <c r="Z34" s="51">
        <v>5</v>
      </c>
      <c r="AA34" s="51">
        <v>5</v>
      </c>
      <c r="AB34" s="51">
        <v>5</v>
      </c>
      <c r="AC34" s="51">
        <v>5</v>
      </c>
      <c r="AD34" s="51">
        <v>5</v>
      </c>
      <c r="AE34" s="51">
        <v>5</v>
      </c>
      <c r="AF34" s="51">
        <v>5</v>
      </c>
      <c r="AG34" s="63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5</v>
      </c>
      <c r="C35" s="51">
        <v>5</v>
      </c>
      <c r="D35" s="51">
        <v>5</v>
      </c>
      <c r="E35" s="51">
        <v>5</v>
      </c>
      <c r="F35" s="51">
        <v>5</v>
      </c>
      <c r="G35" s="51">
        <v>5</v>
      </c>
      <c r="H35" s="51">
        <v>5</v>
      </c>
      <c r="I35" s="51">
        <v>5</v>
      </c>
      <c r="J35" s="51">
        <v>5</v>
      </c>
      <c r="K35" s="51">
        <v>5</v>
      </c>
      <c r="L35" s="51">
        <v>5</v>
      </c>
      <c r="M35" s="51">
        <v>5</v>
      </c>
      <c r="N35" s="51">
        <v>5</v>
      </c>
      <c r="O35" s="51">
        <v>5</v>
      </c>
      <c r="P35" s="51">
        <v>5</v>
      </c>
      <c r="Q35" s="51">
        <v>5</v>
      </c>
      <c r="R35" s="51">
        <v>5</v>
      </c>
      <c r="S35" s="51"/>
      <c r="T35" s="51">
        <v>5</v>
      </c>
      <c r="U35" s="51">
        <v>5</v>
      </c>
      <c r="V35" s="51">
        <v>5</v>
      </c>
      <c r="W35" s="51">
        <v>5</v>
      </c>
      <c r="X35" s="51">
        <v>5</v>
      </c>
      <c r="Y35" s="51">
        <v>5</v>
      </c>
      <c r="Z35" s="51">
        <v>5</v>
      </c>
      <c r="AA35" s="51">
        <v>5</v>
      </c>
      <c r="AB35" s="51">
        <v>5</v>
      </c>
      <c r="AC35" s="51">
        <v>5</v>
      </c>
      <c r="AD35" s="51">
        <v>5</v>
      </c>
      <c r="AE35" s="51">
        <v>5</v>
      </c>
      <c r="AF35" s="51">
        <v>5</v>
      </c>
      <c r="AG35" s="63">
        <v>15.33</v>
      </c>
      <c r="AH35" s="54">
        <f t="shared" si="2"/>
        <v>5</v>
      </c>
      <c r="AI35" s="55">
        <f t="shared" si="3"/>
        <v>5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/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74</v>
      </c>
      <c r="C37" s="67">
        <v>74</v>
      </c>
      <c r="D37" s="67">
        <v>74</v>
      </c>
      <c r="E37" s="65">
        <v>71.8</v>
      </c>
      <c r="F37" s="65">
        <v>74</v>
      </c>
      <c r="G37" s="65">
        <v>74.900000000000006</v>
      </c>
      <c r="H37" s="65">
        <v>74</v>
      </c>
      <c r="I37" s="65">
        <v>71.7</v>
      </c>
      <c r="J37" s="65">
        <v>70.400000000000006</v>
      </c>
      <c r="K37" s="65">
        <v>68</v>
      </c>
      <c r="L37" s="65">
        <v>65</v>
      </c>
      <c r="M37" s="65">
        <f>30.4+36.3</f>
        <v>66.699999999999989</v>
      </c>
      <c r="N37" s="65">
        <f>31+36.8</f>
        <v>67.8</v>
      </c>
      <c r="O37" s="65">
        <f>31.1+34</f>
        <v>65.099999999999994</v>
      </c>
      <c r="P37" s="65">
        <f>43.4+32.7</f>
        <v>76.099999999999994</v>
      </c>
      <c r="Q37" s="65">
        <f>43.4+32.7</f>
        <v>76.099999999999994</v>
      </c>
      <c r="R37" s="65">
        <f>33.1+30.9</f>
        <v>64</v>
      </c>
      <c r="S37" s="67"/>
      <c r="T37" s="67">
        <v>65</v>
      </c>
      <c r="U37" s="67">
        <v>68.900000000000006</v>
      </c>
      <c r="V37" s="67">
        <v>75</v>
      </c>
      <c r="W37" s="67">
        <f>34.8+39.9</f>
        <v>74.699999999999989</v>
      </c>
      <c r="X37" s="67">
        <v>72.900000000000006</v>
      </c>
      <c r="Y37" s="67">
        <v>70.3</v>
      </c>
      <c r="Z37" s="67">
        <v>70.3</v>
      </c>
      <c r="AA37" s="67">
        <v>70.3</v>
      </c>
      <c r="AB37" s="67">
        <f>42.5+44.3</f>
        <v>86.8</v>
      </c>
      <c r="AC37" s="67">
        <f>43+45.5</f>
        <v>88.5</v>
      </c>
      <c r="AD37" s="67">
        <f>45.4+43.7</f>
        <v>89.1</v>
      </c>
      <c r="AE37" s="67">
        <f>48.5+43.6</f>
        <v>92.1</v>
      </c>
      <c r="AF37" s="67">
        <f>34.9+42.8</f>
        <v>77.699999999999989</v>
      </c>
      <c r="AG37" s="63">
        <v>240</v>
      </c>
      <c r="AH37" s="54">
        <f t="shared" si="2"/>
        <v>92.1</v>
      </c>
      <c r="AI37" s="55">
        <f t="shared" si="3"/>
        <v>64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742.4</v>
      </c>
      <c r="C38" s="69">
        <f t="shared" si="4"/>
        <v>742.4</v>
      </c>
      <c r="D38" s="69">
        <f t="shared" si="4"/>
        <v>732.40000000000009</v>
      </c>
      <c r="E38" s="69">
        <f t="shared" si="4"/>
        <v>752.5</v>
      </c>
      <c r="F38" s="69">
        <f t="shared" si="4"/>
        <v>783.4</v>
      </c>
      <c r="G38" s="69">
        <f t="shared" si="4"/>
        <v>808.4</v>
      </c>
      <c r="H38" s="69">
        <f t="shared" si="4"/>
        <v>807.8</v>
      </c>
      <c r="I38" s="69">
        <f t="shared" si="4"/>
        <v>791.59999999999991</v>
      </c>
      <c r="J38" s="69">
        <f t="shared" si="4"/>
        <v>821.6</v>
      </c>
      <c r="K38" s="69">
        <f t="shared" si="4"/>
        <v>831.6</v>
      </c>
      <c r="L38" s="69">
        <f t="shared" si="4"/>
        <v>881.6</v>
      </c>
      <c r="M38" s="69">
        <f t="shared" si="4"/>
        <v>875.2</v>
      </c>
      <c r="N38" s="69">
        <f t="shared" si="4"/>
        <v>871.30000000000007</v>
      </c>
      <c r="O38" s="69">
        <f t="shared" si="4"/>
        <v>875</v>
      </c>
      <c r="P38" s="69">
        <f t="shared" si="4"/>
        <v>856.2</v>
      </c>
      <c r="Q38" s="69">
        <f t="shared" si="4"/>
        <v>847.7</v>
      </c>
      <c r="R38" s="69">
        <f t="shared" si="4"/>
        <v>860.7</v>
      </c>
      <c r="S38" s="69">
        <f>SUM(S11:S36)</f>
        <v>0</v>
      </c>
      <c r="T38" s="69">
        <f t="shared" si="4"/>
        <v>801.3</v>
      </c>
      <c r="U38" s="69">
        <f t="shared" si="4"/>
        <v>671.3</v>
      </c>
      <c r="V38" s="69">
        <f t="shared" si="4"/>
        <v>636.59999999999991</v>
      </c>
      <c r="W38" s="69">
        <f t="shared" si="4"/>
        <v>657.3</v>
      </c>
      <c r="X38" s="69">
        <f t="shared" si="4"/>
        <v>717.3</v>
      </c>
      <c r="Y38" s="69">
        <f t="shared" si="4"/>
        <v>789.3</v>
      </c>
      <c r="Z38" s="69">
        <f t="shared" si="4"/>
        <v>867</v>
      </c>
      <c r="AA38" s="69">
        <f t="shared" si="4"/>
        <v>924.1</v>
      </c>
      <c r="AB38" s="69">
        <f t="shared" si="4"/>
        <v>943.2</v>
      </c>
      <c r="AC38" s="69">
        <f t="shared" si="4"/>
        <v>933.2</v>
      </c>
      <c r="AD38" s="69">
        <f t="shared" si="4"/>
        <v>876.9</v>
      </c>
      <c r="AE38" s="69">
        <f t="shared" si="4"/>
        <v>842.6</v>
      </c>
      <c r="AF38" s="69">
        <f t="shared" si="4"/>
        <v>817.1</v>
      </c>
      <c r="AG38" s="63">
        <f>SUM(AG11:AG37)</f>
        <v>1492.8299999999997</v>
      </c>
      <c r="AH38" s="54">
        <f t="shared" si="2"/>
        <v>943.2</v>
      </c>
      <c r="AI38" s="55">
        <f t="shared" si="3"/>
        <v>0</v>
      </c>
      <c r="AK38" s="56"/>
    </row>
    <row r="39" spans="1:88" x14ac:dyDescent="0.25">
      <c r="A39" s="57" t="s">
        <v>47</v>
      </c>
      <c r="B39" s="51">
        <v>145.19999999999999</v>
      </c>
      <c r="C39" s="51">
        <v>145</v>
      </c>
      <c r="D39" s="51">
        <v>125</v>
      </c>
      <c r="E39" s="51">
        <v>125.1</v>
      </c>
      <c r="F39" s="51">
        <v>121.1</v>
      </c>
      <c r="G39" s="51">
        <v>115</v>
      </c>
      <c r="H39" s="51">
        <v>115</v>
      </c>
      <c r="I39" s="51">
        <v>116.1</v>
      </c>
      <c r="J39" s="51">
        <v>116</v>
      </c>
      <c r="K39" s="51">
        <v>120</v>
      </c>
      <c r="L39" s="51">
        <v>115.4</v>
      </c>
      <c r="M39" s="51">
        <v>137.4</v>
      </c>
      <c r="N39" s="51">
        <v>145.19999999999999</v>
      </c>
      <c r="O39" s="51">
        <v>145.1</v>
      </c>
      <c r="P39" s="51">
        <v>145.30000000000001</v>
      </c>
      <c r="Q39" s="51">
        <v>140</v>
      </c>
      <c r="R39" s="51">
        <v>145</v>
      </c>
      <c r="S39" s="51"/>
      <c r="T39" s="51">
        <v>145.1</v>
      </c>
      <c r="U39" s="51">
        <v>145.1</v>
      </c>
      <c r="V39" s="51">
        <v>145.1</v>
      </c>
      <c r="W39" s="51">
        <v>145.30000000000001</v>
      </c>
      <c r="X39" s="51">
        <v>145.30000000000001</v>
      </c>
      <c r="Y39" s="51">
        <v>145.30000000000001</v>
      </c>
      <c r="Z39" s="51">
        <v>145.5</v>
      </c>
      <c r="AA39" s="51">
        <v>145.5</v>
      </c>
      <c r="AB39" s="51">
        <v>145.30000000000001</v>
      </c>
      <c r="AC39" s="51">
        <v>145.19999999999999</v>
      </c>
      <c r="AD39" s="51">
        <v>131.6</v>
      </c>
      <c r="AE39" s="51">
        <v>145.1</v>
      </c>
      <c r="AF39" s="51">
        <v>145.5</v>
      </c>
      <c r="AG39" s="59">
        <v>144</v>
      </c>
      <c r="AH39" s="54">
        <f t="shared" si="2"/>
        <v>145.5</v>
      </c>
      <c r="AI39" s="55">
        <f t="shared" si="3"/>
        <v>115</v>
      </c>
      <c r="AK39" s="56"/>
    </row>
    <row r="40" spans="1:88" x14ac:dyDescent="0.25">
      <c r="A40" s="62" t="s">
        <v>48</v>
      </c>
      <c r="B40" s="70">
        <v>64.5</v>
      </c>
      <c r="C40" s="70">
        <v>69.5</v>
      </c>
      <c r="D40" s="70">
        <v>69.7</v>
      </c>
      <c r="E40" s="70">
        <v>69.599999999999994</v>
      </c>
      <c r="F40" s="70">
        <v>69.599999999999994</v>
      </c>
      <c r="G40" s="70">
        <v>69.599999999999994</v>
      </c>
      <c r="H40" s="70">
        <v>69.5</v>
      </c>
      <c r="I40" s="70">
        <v>69.5</v>
      </c>
      <c r="J40" s="70">
        <v>69.7</v>
      </c>
      <c r="K40" s="70">
        <v>69.7</v>
      </c>
      <c r="L40" s="70">
        <v>71.2</v>
      </c>
      <c r="M40" s="51">
        <v>70.5</v>
      </c>
      <c r="N40" s="51">
        <v>71.599999999999994</v>
      </c>
      <c r="O40" s="51">
        <v>70</v>
      </c>
      <c r="P40" s="51">
        <v>70.900000000000006</v>
      </c>
      <c r="Q40" s="51">
        <v>71</v>
      </c>
      <c r="R40" s="51">
        <v>71</v>
      </c>
      <c r="S40" s="70"/>
      <c r="T40" s="70">
        <v>0</v>
      </c>
      <c r="U40" s="70">
        <v>0</v>
      </c>
      <c r="V40" s="70">
        <v>0</v>
      </c>
      <c r="W40" s="70">
        <v>0</v>
      </c>
      <c r="X40" s="70">
        <v>0</v>
      </c>
      <c r="Y40" s="70">
        <v>0</v>
      </c>
      <c r="Z40" s="70">
        <v>69.3</v>
      </c>
      <c r="AA40" s="70">
        <v>69.099999999999994</v>
      </c>
      <c r="AB40" s="70">
        <v>69.5</v>
      </c>
      <c r="AC40" s="70">
        <v>70.2</v>
      </c>
      <c r="AD40" s="70">
        <v>71.599999999999994</v>
      </c>
      <c r="AE40" s="70">
        <v>70.5</v>
      </c>
      <c r="AF40" s="70">
        <v>70.2</v>
      </c>
      <c r="AG40" s="63">
        <v>70</v>
      </c>
      <c r="AH40" s="54">
        <f t="shared" si="2"/>
        <v>71.599999999999994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69</v>
      </c>
      <c r="C41" s="70">
        <v>70</v>
      </c>
      <c r="D41" s="70">
        <v>69.8</v>
      </c>
      <c r="E41" s="70">
        <v>68.8</v>
      </c>
      <c r="F41" s="70">
        <v>69.400000000000006</v>
      </c>
      <c r="G41" s="70">
        <v>69.3</v>
      </c>
      <c r="H41" s="70">
        <v>69.7</v>
      </c>
      <c r="I41" s="70">
        <v>69.8</v>
      </c>
      <c r="J41" s="70">
        <v>68.400000000000006</v>
      </c>
      <c r="K41" s="70">
        <v>68.400000000000006</v>
      </c>
      <c r="L41" s="70">
        <v>68.900000000000006</v>
      </c>
      <c r="M41" s="51">
        <v>60.9</v>
      </c>
      <c r="N41" s="51">
        <v>69.5</v>
      </c>
      <c r="O41" s="51">
        <v>61</v>
      </c>
      <c r="P41" s="51">
        <v>67.8</v>
      </c>
      <c r="Q41" s="51">
        <v>69</v>
      </c>
      <c r="R41" s="51">
        <v>69.2</v>
      </c>
      <c r="S41" s="70"/>
      <c r="T41" s="70">
        <v>69.599999999999994</v>
      </c>
      <c r="U41" s="70">
        <v>69.599999999999994</v>
      </c>
      <c r="V41" s="70">
        <v>69.599999999999994</v>
      </c>
      <c r="W41" s="70">
        <v>69.3</v>
      </c>
      <c r="X41" s="70">
        <v>69.3</v>
      </c>
      <c r="Y41" s="70">
        <v>69.3</v>
      </c>
      <c r="Z41" s="70">
        <v>24.3</v>
      </c>
      <c r="AA41" s="70">
        <v>70.3</v>
      </c>
      <c r="AB41" s="70">
        <v>69</v>
      </c>
      <c r="AC41" s="70">
        <v>69</v>
      </c>
      <c r="AD41" s="70">
        <v>68.7</v>
      </c>
      <c r="AE41" s="70">
        <v>69.099999999999994</v>
      </c>
      <c r="AF41" s="70">
        <v>68.400000000000006</v>
      </c>
      <c r="AG41" s="63">
        <v>69</v>
      </c>
      <c r="AH41" s="54">
        <f t="shared" si="2"/>
        <v>70.3</v>
      </c>
      <c r="AI41" s="55">
        <f t="shared" si="3"/>
        <v>24.3</v>
      </c>
      <c r="AK41" s="56"/>
    </row>
    <row r="42" spans="1:88" x14ac:dyDescent="0.25">
      <c r="A42" s="62" t="s">
        <v>50</v>
      </c>
      <c r="B42" s="65">
        <v>60.4</v>
      </c>
      <c r="C42" s="65">
        <v>60.4</v>
      </c>
      <c r="D42" s="65">
        <v>60.4</v>
      </c>
      <c r="E42" s="65">
        <v>60.4</v>
      </c>
      <c r="F42" s="65">
        <v>0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51">
        <v>60.9</v>
      </c>
      <c r="N42" s="51">
        <v>60.9</v>
      </c>
      <c r="O42" s="51">
        <v>61.9</v>
      </c>
      <c r="P42" s="51">
        <v>60.9</v>
      </c>
      <c r="Q42" s="51">
        <v>60.9</v>
      </c>
      <c r="R42" s="51">
        <v>60.9</v>
      </c>
      <c r="S42" s="51"/>
      <c r="T42" s="51">
        <v>60.4</v>
      </c>
      <c r="U42" s="51">
        <v>60.4</v>
      </c>
      <c r="V42" s="51">
        <v>60.4</v>
      </c>
      <c r="W42" s="70">
        <v>60.9</v>
      </c>
      <c r="X42" s="70">
        <v>60.9</v>
      </c>
      <c r="Y42" s="70">
        <v>60.9</v>
      </c>
      <c r="Z42" s="70">
        <v>60.9</v>
      </c>
      <c r="AA42" s="70">
        <v>60.9</v>
      </c>
      <c r="AB42" s="65">
        <v>60.9</v>
      </c>
      <c r="AC42" s="65">
        <v>60.9</v>
      </c>
      <c r="AD42" s="65">
        <v>60.7</v>
      </c>
      <c r="AE42" s="65">
        <v>60.9</v>
      </c>
      <c r="AF42" s="65">
        <v>60.7</v>
      </c>
      <c r="AG42" s="63">
        <v>60</v>
      </c>
      <c r="AH42" s="54">
        <f t="shared" si="2"/>
        <v>61.9</v>
      </c>
      <c r="AI42" s="55">
        <f t="shared" si="3"/>
        <v>0</v>
      </c>
      <c r="AK42" s="56"/>
    </row>
    <row r="43" spans="1:88" x14ac:dyDescent="0.25">
      <c r="A43" s="62" t="s">
        <v>51</v>
      </c>
      <c r="B43" s="65">
        <v>0</v>
      </c>
      <c r="C43" s="65">
        <v>15</v>
      </c>
      <c r="D43" s="65">
        <v>20</v>
      </c>
      <c r="E43" s="65">
        <v>20</v>
      </c>
      <c r="F43" s="65">
        <v>20</v>
      </c>
      <c r="G43" s="65">
        <v>20</v>
      </c>
      <c r="H43" s="65">
        <v>16</v>
      </c>
      <c r="I43" s="65">
        <v>17</v>
      </c>
      <c r="J43" s="65">
        <v>16</v>
      </c>
      <c r="K43" s="65">
        <v>16</v>
      </c>
      <c r="L43" s="65">
        <v>17</v>
      </c>
      <c r="M43" s="51">
        <v>16.899999999999999</v>
      </c>
      <c r="N43" s="51">
        <v>21.9</v>
      </c>
      <c r="O43" s="51">
        <v>29.1</v>
      </c>
      <c r="P43" s="51">
        <v>28.9</v>
      </c>
      <c r="Q43" s="51">
        <v>28</v>
      </c>
      <c r="R43" s="51">
        <v>14.8</v>
      </c>
      <c r="S43" s="51"/>
      <c r="T43" s="51">
        <v>20</v>
      </c>
      <c r="U43" s="51">
        <v>20</v>
      </c>
      <c r="V43" s="51">
        <v>16</v>
      </c>
      <c r="W43" s="51">
        <v>16</v>
      </c>
      <c r="X43" s="51">
        <v>16</v>
      </c>
      <c r="Y43" s="51">
        <v>16</v>
      </c>
      <c r="Z43" s="70">
        <v>16</v>
      </c>
      <c r="AA43" s="70">
        <v>20</v>
      </c>
      <c r="AB43" s="65">
        <v>20</v>
      </c>
      <c r="AC43" s="65">
        <v>20</v>
      </c>
      <c r="AD43" s="65">
        <v>10</v>
      </c>
      <c r="AE43" s="65">
        <v>10</v>
      </c>
      <c r="AF43" s="65">
        <v>10</v>
      </c>
      <c r="AG43" s="63">
        <v>30</v>
      </c>
      <c r="AH43" s="54">
        <f t="shared" si="2"/>
        <v>29.1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65">
        <v>0</v>
      </c>
      <c r="K44" s="65">
        <v>0</v>
      </c>
      <c r="L44" s="65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/>
      <c r="T44" s="51">
        <v>10</v>
      </c>
      <c r="U44" s="51">
        <v>10</v>
      </c>
      <c r="V44" s="51">
        <v>10</v>
      </c>
      <c r="W44" s="51">
        <v>10</v>
      </c>
      <c r="X44" s="51">
        <v>10</v>
      </c>
      <c r="Y44" s="51">
        <v>10</v>
      </c>
      <c r="Z44" s="51">
        <v>0</v>
      </c>
      <c r="AA44" s="51">
        <v>0</v>
      </c>
      <c r="AB44" s="51">
        <v>0</v>
      </c>
      <c r="AC44" s="51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10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16.3</v>
      </c>
      <c r="C45" s="70">
        <v>16.3</v>
      </c>
      <c r="D45" s="70">
        <v>16.3</v>
      </c>
      <c r="E45" s="70">
        <v>16.3</v>
      </c>
      <c r="F45" s="70">
        <v>16.3</v>
      </c>
      <c r="G45" s="70">
        <v>16.3</v>
      </c>
      <c r="H45" s="70">
        <v>16.3</v>
      </c>
      <c r="I45" s="70">
        <v>16.3</v>
      </c>
      <c r="J45" s="70">
        <v>16.2</v>
      </c>
      <c r="K45" s="70">
        <v>16.2</v>
      </c>
      <c r="L45" s="70">
        <v>16.2</v>
      </c>
      <c r="M45" s="51">
        <v>14.4</v>
      </c>
      <c r="N45" s="51">
        <v>15.1</v>
      </c>
      <c r="O45" s="51">
        <v>11.8</v>
      </c>
      <c r="P45" s="51">
        <v>16.3</v>
      </c>
      <c r="Q45" s="51">
        <v>16.3</v>
      </c>
      <c r="R45" s="51">
        <v>16.3</v>
      </c>
      <c r="S45" s="51"/>
      <c r="T45" s="51">
        <v>16.3</v>
      </c>
      <c r="U45" s="51">
        <v>16.3</v>
      </c>
      <c r="V45" s="51">
        <v>16.3</v>
      </c>
      <c r="W45" s="51">
        <v>16.3</v>
      </c>
      <c r="X45" s="51">
        <v>16.3</v>
      </c>
      <c r="Y45" s="51">
        <v>16.3</v>
      </c>
      <c r="Z45" s="51">
        <v>16.3</v>
      </c>
      <c r="AA45" s="51">
        <v>16.3</v>
      </c>
      <c r="AB45" s="51">
        <v>16.3</v>
      </c>
      <c r="AC45" s="51">
        <v>16.3</v>
      </c>
      <c r="AD45" s="70">
        <v>16.5</v>
      </c>
      <c r="AE45" s="70">
        <v>16.7</v>
      </c>
      <c r="AF45" s="70">
        <v>16.7</v>
      </c>
      <c r="AG45" s="63">
        <v>24</v>
      </c>
      <c r="AH45" s="54">
        <f t="shared" si="2"/>
        <v>16.7</v>
      </c>
      <c r="AI45" s="55">
        <f t="shared" si="3"/>
        <v>11.8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/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70">
        <v>0</v>
      </c>
      <c r="AE46" s="70">
        <v>0</v>
      </c>
      <c r="AF46" s="70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</v>
      </c>
      <c r="C47" s="70">
        <v>13</v>
      </c>
      <c r="D47" s="70">
        <v>13</v>
      </c>
      <c r="E47" s="70">
        <v>13</v>
      </c>
      <c r="F47" s="70">
        <v>13</v>
      </c>
      <c r="G47" s="70">
        <v>13</v>
      </c>
      <c r="H47" s="70">
        <v>13</v>
      </c>
      <c r="I47" s="70">
        <v>13</v>
      </c>
      <c r="J47" s="70">
        <v>13</v>
      </c>
      <c r="K47" s="70">
        <v>13</v>
      </c>
      <c r="L47" s="70">
        <v>13</v>
      </c>
      <c r="M47" s="51">
        <v>13</v>
      </c>
      <c r="N47" s="51">
        <v>14</v>
      </c>
      <c r="O47" s="51">
        <v>4</v>
      </c>
      <c r="P47" s="51">
        <v>14</v>
      </c>
      <c r="Q47" s="51">
        <v>14</v>
      </c>
      <c r="R47" s="51">
        <v>14</v>
      </c>
      <c r="S47" s="51"/>
      <c r="T47" s="51">
        <v>14</v>
      </c>
      <c r="U47" s="51">
        <v>14</v>
      </c>
      <c r="V47" s="51">
        <v>14</v>
      </c>
      <c r="W47" s="51">
        <v>14</v>
      </c>
      <c r="X47" s="51">
        <v>14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70">
        <v>13</v>
      </c>
      <c r="AE47" s="70">
        <v>13</v>
      </c>
      <c r="AF47" s="70">
        <v>13</v>
      </c>
      <c r="AG47" s="63">
        <v>14.1</v>
      </c>
      <c r="AH47" s="54">
        <f t="shared" si="2"/>
        <v>14</v>
      </c>
      <c r="AI47" s="55">
        <f t="shared" si="3"/>
        <v>4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10</v>
      </c>
      <c r="C48" s="70">
        <v>10</v>
      </c>
      <c r="D48" s="70">
        <v>10</v>
      </c>
      <c r="E48" s="70">
        <v>10</v>
      </c>
      <c r="F48" s="70">
        <v>10</v>
      </c>
      <c r="G48" s="70">
        <v>10</v>
      </c>
      <c r="H48" s="70">
        <v>10</v>
      </c>
      <c r="I48" s="70">
        <v>12</v>
      </c>
      <c r="J48" s="70">
        <v>10</v>
      </c>
      <c r="K48" s="70">
        <v>11</v>
      </c>
      <c r="L48" s="70">
        <v>11</v>
      </c>
      <c r="M48" s="51">
        <v>11</v>
      </c>
      <c r="N48" s="51">
        <v>11</v>
      </c>
      <c r="O48" s="51">
        <v>11</v>
      </c>
      <c r="P48" s="51">
        <v>7</v>
      </c>
      <c r="Q48" s="51">
        <v>7</v>
      </c>
      <c r="R48" s="51">
        <v>7</v>
      </c>
      <c r="S48" s="51"/>
      <c r="T48" s="51">
        <v>7</v>
      </c>
      <c r="U48" s="51">
        <v>7</v>
      </c>
      <c r="V48" s="51">
        <v>7</v>
      </c>
      <c r="W48" s="51">
        <v>7</v>
      </c>
      <c r="X48" s="51">
        <v>7</v>
      </c>
      <c r="Y48" s="51">
        <v>7</v>
      </c>
      <c r="Z48" s="51">
        <v>7</v>
      </c>
      <c r="AA48" s="51">
        <v>7</v>
      </c>
      <c r="AB48" s="51">
        <v>7</v>
      </c>
      <c r="AC48" s="51">
        <v>7</v>
      </c>
      <c r="AD48" s="70">
        <v>7</v>
      </c>
      <c r="AE48" s="70">
        <v>7</v>
      </c>
      <c r="AF48" s="70">
        <v>5.5</v>
      </c>
      <c r="AG48" s="63">
        <v>14</v>
      </c>
      <c r="AH48" s="54">
        <f t="shared" si="2"/>
        <v>12</v>
      </c>
      <c r="AI48" s="55">
        <f t="shared" si="3"/>
        <v>5.5</v>
      </c>
      <c r="AK48" s="56"/>
    </row>
    <row r="49" spans="1:37" x14ac:dyDescent="0.25">
      <c r="A49" s="62" t="s">
        <v>57</v>
      </c>
      <c r="B49" s="70">
        <v>6</v>
      </c>
      <c r="C49" s="70">
        <v>6</v>
      </c>
      <c r="D49" s="70">
        <v>6</v>
      </c>
      <c r="E49" s="70">
        <v>6</v>
      </c>
      <c r="F49" s="70">
        <v>6</v>
      </c>
      <c r="G49" s="70">
        <v>6</v>
      </c>
      <c r="H49" s="70">
        <v>6</v>
      </c>
      <c r="I49" s="70">
        <v>6</v>
      </c>
      <c r="J49" s="70">
        <v>6</v>
      </c>
      <c r="K49" s="70">
        <v>6</v>
      </c>
      <c r="L49" s="70">
        <v>6</v>
      </c>
      <c r="M49" s="51">
        <v>6</v>
      </c>
      <c r="N49" s="51">
        <v>6</v>
      </c>
      <c r="O49" s="51">
        <v>6</v>
      </c>
      <c r="P49" s="51">
        <v>6</v>
      </c>
      <c r="Q49" s="51">
        <v>6</v>
      </c>
      <c r="R49" s="51">
        <v>6</v>
      </c>
      <c r="S49" s="51"/>
      <c r="T49" s="51">
        <v>6</v>
      </c>
      <c r="U49" s="51">
        <v>6</v>
      </c>
      <c r="V49" s="51">
        <v>6</v>
      </c>
      <c r="W49" s="51">
        <v>6</v>
      </c>
      <c r="X49" s="51">
        <v>6</v>
      </c>
      <c r="Y49" s="51">
        <v>6</v>
      </c>
      <c r="Z49" s="51">
        <v>6</v>
      </c>
      <c r="AA49" s="51">
        <v>6</v>
      </c>
      <c r="AB49" s="51">
        <v>6</v>
      </c>
      <c r="AC49" s="51">
        <v>6</v>
      </c>
      <c r="AD49" s="70">
        <v>6</v>
      </c>
      <c r="AE49" s="70">
        <v>6</v>
      </c>
      <c r="AF49" s="70">
        <v>6</v>
      </c>
      <c r="AG49" s="63">
        <v>10.050000000000001</v>
      </c>
      <c r="AH49" s="54">
        <f t="shared" si="2"/>
        <v>6</v>
      </c>
      <c r="AI49" s="55">
        <f t="shared" si="3"/>
        <v>6</v>
      </c>
      <c r="AK49" s="56"/>
    </row>
    <row r="50" spans="1:37" x14ac:dyDescent="0.25">
      <c r="A50" s="62" t="s">
        <v>58</v>
      </c>
      <c r="B50" s="70">
        <v>4.0999999999999996</v>
      </c>
      <c r="C50" s="70">
        <v>4.0999999999999996</v>
      </c>
      <c r="D50" s="70">
        <v>4.0999999999999996</v>
      </c>
      <c r="E50" s="70">
        <v>4.0999999999999996</v>
      </c>
      <c r="F50" s="70">
        <v>4.0999999999999996</v>
      </c>
      <c r="G50" s="70">
        <v>4.0999999999999996</v>
      </c>
      <c r="H50" s="70">
        <v>4.0999999999999996</v>
      </c>
      <c r="I50" s="70">
        <v>4.0999999999999996</v>
      </c>
      <c r="J50" s="70">
        <v>4.0999999999999996</v>
      </c>
      <c r="K50" s="70">
        <v>4.0999999999999996</v>
      </c>
      <c r="L50" s="70">
        <v>4.0999999999999996</v>
      </c>
      <c r="M50" s="51">
        <v>4.0999999999999996</v>
      </c>
      <c r="N50" s="51">
        <v>4.0999999999999996</v>
      </c>
      <c r="O50" s="51">
        <v>4.0999999999999996</v>
      </c>
      <c r="P50" s="51">
        <v>4.0999999999999996</v>
      </c>
      <c r="Q50" s="51">
        <v>4.0999999999999996</v>
      </c>
      <c r="R50" s="51">
        <v>4.0999999999999996</v>
      </c>
      <c r="S50" s="51"/>
      <c r="T50" s="51">
        <v>4.0999999999999996</v>
      </c>
      <c r="U50" s="51">
        <v>4.0999999999999996</v>
      </c>
      <c r="V50" s="51">
        <v>4.0999999999999996</v>
      </c>
      <c r="W50" s="51">
        <v>4.0999999999999996</v>
      </c>
      <c r="X50" s="51">
        <v>4.0999999999999996</v>
      </c>
      <c r="Y50" s="51">
        <v>4.0999999999999996</v>
      </c>
      <c r="Z50" s="51">
        <v>4.0999999999999996</v>
      </c>
      <c r="AA50" s="51">
        <v>4.0999999999999996</v>
      </c>
      <c r="AB50" s="51">
        <v>4.0999999999999996</v>
      </c>
      <c r="AC50" s="51">
        <v>4.0999999999999996</v>
      </c>
      <c r="AD50" s="70">
        <v>4.0999999999999996</v>
      </c>
      <c r="AE50" s="70">
        <v>4.0999999999999996</v>
      </c>
      <c r="AF50" s="70">
        <v>4.0999999999999996</v>
      </c>
      <c r="AG50" s="63">
        <v>6.2</v>
      </c>
      <c r="AH50" s="54">
        <f t="shared" si="2"/>
        <v>4.0999999999999996</v>
      </c>
      <c r="AI50" s="55">
        <f t="shared" si="3"/>
        <v>4.0999999999999996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392.04</v>
      </c>
      <c r="C52" s="69">
        <f t="shared" si="6"/>
        <v>412.84000000000003</v>
      </c>
      <c r="D52" s="69">
        <f t="shared" si="6"/>
        <v>397.84000000000003</v>
      </c>
      <c r="E52" s="69">
        <f t="shared" si="6"/>
        <v>396.84000000000003</v>
      </c>
      <c r="F52" s="69">
        <f t="shared" si="6"/>
        <v>333.04000000000008</v>
      </c>
      <c r="G52" s="69">
        <f t="shared" si="6"/>
        <v>387.74</v>
      </c>
      <c r="H52" s="69">
        <f t="shared" si="6"/>
        <v>384.04</v>
      </c>
      <c r="I52" s="69">
        <f t="shared" si="6"/>
        <v>388.24</v>
      </c>
      <c r="J52" s="69">
        <f t="shared" si="6"/>
        <v>383.84000000000003</v>
      </c>
      <c r="K52" s="69">
        <f t="shared" si="6"/>
        <v>388.84000000000003</v>
      </c>
      <c r="L52" s="69">
        <f t="shared" si="6"/>
        <v>387.24000000000007</v>
      </c>
      <c r="M52" s="69">
        <f t="shared" si="6"/>
        <v>398.64</v>
      </c>
      <c r="N52" s="69">
        <f t="shared" si="6"/>
        <v>422.84</v>
      </c>
      <c r="O52" s="69">
        <f t="shared" si="6"/>
        <v>407.54000000000008</v>
      </c>
      <c r="P52" s="69">
        <f t="shared" si="6"/>
        <v>424.74</v>
      </c>
      <c r="Q52" s="69">
        <f t="shared" si="6"/>
        <v>419.84000000000003</v>
      </c>
      <c r="R52" s="69">
        <f t="shared" si="6"/>
        <v>411.84000000000003</v>
      </c>
      <c r="S52" s="69">
        <f t="shared" si="6"/>
        <v>3.54</v>
      </c>
      <c r="T52" s="69">
        <f t="shared" si="6"/>
        <v>356.04</v>
      </c>
      <c r="U52" s="69">
        <f t="shared" si="6"/>
        <v>356.04</v>
      </c>
      <c r="V52" s="69">
        <f t="shared" si="6"/>
        <v>352.04</v>
      </c>
      <c r="W52" s="69">
        <f t="shared" si="6"/>
        <v>352.44000000000005</v>
      </c>
      <c r="X52" s="69">
        <f>SUM(X39:X51)</f>
        <v>352.44000000000005</v>
      </c>
      <c r="Y52" s="69">
        <f t="shared" si="6"/>
        <v>352.44000000000005</v>
      </c>
      <c r="Z52" s="69">
        <f t="shared" si="6"/>
        <v>366.94000000000005</v>
      </c>
      <c r="AA52" s="69">
        <f t="shared" si="6"/>
        <v>416.74</v>
      </c>
      <c r="AB52" s="69">
        <f t="shared" si="6"/>
        <v>415.64000000000004</v>
      </c>
      <c r="AC52" s="69">
        <f t="shared" si="6"/>
        <v>416.24</v>
      </c>
      <c r="AD52" s="69">
        <f t="shared" si="6"/>
        <v>392.74</v>
      </c>
      <c r="AE52" s="69">
        <f t="shared" si="6"/>
        <v>405.94</v>
      </c>
      <c r="AF52" s="69">
        <f t="shared" si="6"/>
        <v>403.64000000000004</v>
      </c>
      <c r="AG52" s="74">
        <f>SUM(AG39:AG51)</f>
        <v>489.91</v>
      </c>
      <c r="AH52" s="54">
        <f t="shared" si="2"/>
        <v>424.74</v>
      </c>
      <c r="AI52" s="55">
        <f t="shared" si="3"/>
        <v>3.54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30</v>
      </c>
      <c r="P53" s="51">
        <v>40</v>
      </c>
      <c r="Q53" s="51">
        <v>30</v>
      </c>
      <c r="R53" s="51">
        <v>30</v>
      </c>
      <c r="S53" s="51"/>
      <c r="T53" s="51">
        <v>40</v>
      </c>
      <c r="U53" s="51">
        <v>60</v>
      </c>
      <c r="V53" s="51">
        <v>60</v>
      </c>
      <c r="W53" s="51">
        <v>60</v>
      </c>
      <c r="X53" s="51">
        <v>40</v>
      </c>
      <c r="Y53" s="51">
        <v>40</v>
      </c>
      <c r="Z53" s="51">
        <v>30.2</v>
      </c>
      <c r="AA53" s="51">
        <v>40</v>
      </c>
      <c r="AB53" s="51">
        <v>13.6</v>
      </c>
      <c r="AC53" s="51">
        <v>13.6</v>
      </c>
      <c r="AD53" s="51">
        <v>13.9</v>
      </c>
      <c r="AE53" s="51">
        <v>13.9</v>
      </c>
      <c r="AF53" s="51">
        <v>30</v>
      </c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13.8</v>
      </c>
      <c r="P54" s="70">
        <v>20.7</v>
      </c>
      <c r="Q54" s="70">
        <v>15.4</v>
      </c>
      <c r="R54" s="70">
        <v>15.4</v>
      </c>
      <c r="S54" s="70"/>
      <c r="T54" s="70">
        <v>19.899999999999999</v>
      </c>
      <c r="U54" s="70">
        <v>30.3</v>
      </c>
      <c r="V54" s="70">
        <v>30.3</v>
      </c>
      <c r="W54" s="70">
        <v>30.3</v>
      </c>
      <c r="X54" s="70">
        <v>18.7</v>
      </c>
      <c r="Y54" s="70">
        <v>17.8</v>
      </c>
      <c r="Z54" s="70">
        <v>14.8</v>
      </c>
      <c r="AA54" s="70">
        <v>18.7</v>
      </c>
      <c r="AB54" s="70">
        <v>7.1</v>
      </c>
      <c r="AC54" s="70">
        <v>7.1</v>
      </c>
      <c r="AD54" s="70">
        <v>6.1</v>
      </c>
      <c r="AE54" s="70">
        <v>6.1</v>
      </c>
      <c r="AF54" s="70">
        <v>15.3</v>
      </c>
      <c r="AG54" s="63">
        <v>32</v>
      </c>
      <c r="AH54" s="54">
        <f t="shared" si="2"/>
        <v>30.3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5</v>
      </c>
      <c r="P55" s="75">
        <v>7.6</v>
      </c>
      <c r="Q55" s="75">
        <v>5.6</v>
      </c>
      <c r="R55" s="75">
        <v>5.6</v>
      </c>
      <c r="S55" s="75"/>
      <c r="T55" s="75">
        <v>7.3</v>
      </c>
      <c r="U55" s="75">
        <v>11.1</v>
      </c>
      <c r="V55" s="75">
        <v>11.1</v>
      </c>
      <c r="W55" s="75">
        <v>11.1</v>
      </c>
      <c r="X55" s="75">
        <v>6.8</v>
      </c>
      <c r="Y55" s="75">
        <v>6.5</v>
      </c>
      <c r="Z55" s="75">
        <v>5.4</v>
      </c>
      <c r="AA55" s="75">
        <v>6.8</v>
      </c>
      <c r="AB55" s="75">
        <v>2.6</v>
      </c>
      <c r="AC55" s="75">
        <v>2.6</v>
      </c>
      <c r="AD55" s="75">
        <v>2.2000000000000002</v>
      </c>
      <c r="AE55" s="75">
        <v>2.2000000000000002</v>
      </c>
      <c r="AF55" s="75">
        <v>5.6</v>
      </c>
      <c r="AG55" s="76">
        <v>14</v>
      </c>
      <c r="AH55" s="54">
        <f t="shared" si="2"/>
        <v>11.1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0</v>
      </c>
      <c r="C56" s="69">
        <f t="shared" si="7"/>
        <v>0</v>
      </c>
      <c r="D56" s="69">
        <f t="shared" si="7"/>
        <v>0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0</v>
      </c>
      <c r="N56" s="69">
        <f t="shared" si="7"/>
        <v>0</v>
      </c>
      <c r="O56" s="69">
        <f t="shared" si="7"/>
        <v>48.8</v>
      </c>
      <c r="P56" s="69">
        <f t="shared" si="7"/>
        <v>68.3</v>
      </c>
      <c r="Q56" s="69">
        <f t="shared" si="7"/>
        <v>51</v>
      </c>
      <c r="R56" s="69">
        <f t="shared" si="7"/>
        <v>51</v>
      </c>
      <c r="S56" s="69">
        <f t="shared" si="7"/>
        <v>0</v>
      </c>
      <c r="T56" s="69">
        <f t="shared" si="7"/>
        <v>67.2</v>
      </c>
      <c r="U56" s="69">
        <f t="shared" si="7"/>
        <v>101.39999999999999</v>
      </c>
      <c r="V56" s="69">
        <f t="shared" si="7"/>
        <v>101.39999999999999</v>
      </c>
      <c r="W56" s="69">
        <f t="shared" si="7"/>
        <v>101.39999999999999</v>
      </c>
      <c r="X56" s="69">
        <f t="shared" si="7"/>
        <v>65.5</v>
      </c>
      <c r="Y56" s="69">
        <f t="shared" si="7"/>
        <v>64.3</v>
      </c>
      <c r="Z56" s="69">
        <f t="shared" si="7"/>
        <v>50.4</v>
      </c>
      <c r="AA56" s="69">
        <f t="shared" si="7"/>
        <v>65.5</v>
      </c>
      <c r="AB56" s="69">
        <f t="shared" si="7"/>
        <v>23.3</v>
      </c>
      <c r="AC56" s="69">
        <f t="shared" si="7"/>
        <v>23.3</v>
      </c>
      <c r="AD56" s="69">
        <f t="shared" si="7"/>
        <v>22.2</v>
      </c>
      <c r="AE56" s="69">
        <f t="shared" si="7"/>
        <v>22.2</v>
      </c>
      <c r="AF56" s="69">
        <f t="shared" si="7"/>
        <v>50.9</v>
      </c>
      <c r="AG56" s="74">
        <f>SUM(AG53:AG55)</f>
        <v>106</v>
      </c>
      <c r="AH56" s="54">
        <f t="shared" si="2"/>
        <v>101.39999999999999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55</v>
      </c>
      <c r="C57" s="51">
        <v>9</v>
      </c>
      <c r="D57" s="51">
        <v>17</v>
      </c>
      <c r="E57" s="51">
        <v>15</v>
      </c>
      <c r="F57" s="51">
        <v>18</v>
      </c>
      <c r="G57" s="51">
        <v>14</v>
      </c>
      <c r="H57" s="51">
        <v>15.2</v>
      </c>
      <c r="I57" s="51">
        <v>13</v>
      </c>
      <c r="J57" s="51"/>
      <c r="K57" s="51">
        <v>13.5</v>
      </c>
      <c r="L57" s="51">
        <v>14</v>
      </c>
      <c r="M57" s="51">
        <v>15</v>
      </c>
      <c r="N57" s="51">
        <v>45</v>
      </c>
      <c r="O57" s="51">
        <v>24</v>
      </c>
      <c r="P57" s="51">
        <v>27</v>
      </c>
      <c r="Q57" s="51">
        <v>27</v>
      </c>
      <c r="R57" s="51">
        <v>27</v>
      </c>
      <c r="S57" s="51"/>
      <c r="T57" s="51">
        <v>71</v>
      </c>
      <c r="U57" s="51">
        <v>71</v>
      </c>
      <c r="V57" s="51">
        <v>70</v>
      </c>
      <c r="W57" s="51">
        <v>65.14</v>
      </c>
      <c r="X57" s="51">
        <v>67</v>
      </c>
      <c r="Y57" s="51">
        <v>69.819999999999993</v>
      </c>
      <c r="Z57" s="51">
        <v>37.68</v>
      </c>
      <c r="AA57" s="51">
        <v>46</v>
      </c>
      <c r="AB57" s="51">
        <v>50.76</v>
      </c>
      <c r="AC57" s="51">
        <v>48</v>
      </c>
      <c r="AD57" s="51">
        <v>62</v>
      </c>
      <c r="AE57" s="51">
        <v>61</v>
      </c>
      <c r="AF57" s="51">
        <v>58.6</v>
      </c>
      <c r="AG57" s="59"/>
      <c r="AH57" s="54">
        <f t="shared" si="2"/>
        <v>71</v>
      </c>
      <c r="AI57" s="55">
        <f t="shared" si="3"/>
        <v>9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/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/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55</v>
      </c>
      <c r="C59" s="70">
        <v>0</v>
      </c>
      <c r="D59" s="70">
        <v>0</v>
      </c>
      <c r="E59" s="70">
        <v>0</v>
      </c>
      <c r="F59" s="70">
        <v>0</v>
      </c>
      <c r="G59" s="70">
        <v>-39</v>
      </c>
      <c r="H59" s="70">
        <v>-38.299999999999997</v>
      </c>
      <c r="I59" s="70">
        <v>-35.6</v>
      </c>
      <c r="J59" s="70"/>
      <c r="K59" s="70">
        <v>0</v>
      </c>
      <c r="L59" s="70">
        <v>0</v>
      </c>
      <c r="M59" s="70">
        <v>0</v>
      </c>
      <c r="N59" s="70">
        <v>0</v>
      </c>
      <c r="O59" s="70">
        <v>0</v>
      </c>
      <c r="P59" s="70">
        <v>0</v>
      </c>
      <c r="Q59" s="70">
        <v>0</v>
      </c>
      <c r="R59" s="70">
        <v>0</v>
      </c>
      <c r="S59" s="70"/>
      <c r="T59" s="70">
        <v>47</v>
      </c>
      <c r="U59" s="70">
        <v>80</v>
      </c>
      <c r="V59" s="70">
        <v>74.3</v>
      </c>
      <c r="W59" s="70">
        <v>42</v>
      </c>
      <c r="X59" s="70">
        <v>9.5</v>
      </c>
      <c r="Y59" s="70">
        <v>12.1</v>
      </c>
      <c r="Z59" s="70">
        <v>2.1</v>
      </c>
      <c r="AA59" s="70">
        <v>11.6</v>
      </c>
      <c r="AB59" s="70">
        <v>0</v>
      </c>
      <c r="AC59" s="70">
        <v>0</v>
      </c>
      <c r="AD59" s="70">
        <v>0</v>
      </c>
      <c r="AE59" s="70">
        <v>3.4</v>
      </c>
      <c r="AF59" s="70">
        <v>10.199999999999999</v>
      </c>
      <c r="AG59" s="77"/>
      <c r="AH59" s="54">
        <f t="shared" si="2"/>
        <v>80</v>
      </c>
      <c r="AI59" s="55">
        <f t="shared" si="3"/>
        <v>-39</v>
      </c>
      <c r="AK59" s="56"/>
    </row>
    <row r="60" spans="1:37" x14ac:dyDescent="0.25">
      <c r="A60" s="62" t="s">
        <v>68</v>
      </c>
      <c r="B60" s="78">
        <v>0</v>
      </c>
      <c r="C60" s="78">
        <v>25</v>
      </c>
      <c r="D60" s="78">
        <v>25</v>
      </c>
      <c r="E60" s="78">
        <v>25</v>
      </c>
      <c r="F60" s="78">
        <v>25</v>
      </c>
      <c r="G60" s="78">
        <v>21</v>
      </c>
      <c r="H60" s="78">
        <v>21</v>
      </c>
      <c r="I60" s="78">
        <v>25</v>
      </c>
      <c r="J60" s="78"/>
      <c r="K60" s="78">
        <v>28</v>
      </c>
      <c r="L60" s="78">
        <v>24</v>
      </c>
      <c r="M60" s="78">
        <v>26.5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/>
      <c r="T60" s="78">
        <v>26</v>
      </c>
      <c r="U60" s="78">
        <v>25.7</v>
      </c>
      <c r="V60" s="78">
        <v>21.8</v>
      </c>
      <c r="W60" s="78">
        <v>21.1</v>
      </c>
      <c r="X60" s="78">
        <v>21.1</v>
      </c>
      <c r="Y60" s="78">
        <v>21.1</v>
      </c>
      <c r="Z60" s="78">
        <v>20.399999999999999</v>
      </c>
      <c r="AA60" s="78">
        <v>23</v>
      </c>
      <c r="AB60" s="78">
        <v>25</v>
      </c>
      <c r="AC60" s="78">
        <v>24</v>
      </c>
      <c r="AD60" s="78">
        <v>23</v>
      </c>
      <c r="AE60" s="78">
        <v>23.1</v>
      </c>
      <c r="AF60" s="78">
        <v>28.8</v>
      </c>
      <c r="AG60" s="77"/>
      <c r="AH60" s="54">
        <f t="shared" si="2"/>
        <v>28.8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/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/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51">
        <v>0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0</v>
      </c>
      <c r="I62" s="79">
        <v>0</v>
      </c>
      <c r="J62" s="79"/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51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/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/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51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/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/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51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/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/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5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/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/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5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/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/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110</v>
      </c>
      <c r="C68" s="69">
        <f t="shared" si="8"/>
        <v>42</v>
      </c>
      <c r="D68" s="69">
        <f t="shared" si="8"/>
        <v>50</v>
      </c>
      <c r="E68" s="69">
        <f t="shared" si="8"/>
        <v>48</v>
      </c>
      <c r="F68" s="69">
        <f t="shared" si="8"/>
        <v>51</v>
      </c>
      <c r="G68" s="69">
        <f t="shared" si="8"/>
        <v>4</v>
      </c>
      <c r="H68" s="69">
        <f t="shared" si="8"/>
        <v>-2.0999999999999979</v>
      </c>
      <c r="I68" s="69">
        <f t="shared" si="8"/>
        <v>2.3999999999999986</v>
      </c>
      <c r="J68" s="69">
        <f t="shared" si="8"/>
        <v>0</v>
      </c>
      <c r="K68" s="69">
        <f t="shared" si="8"/>
        <v>41.5</v>
      </c>
      <c r="L68" s="69">
        <f t="shared" si="8"/>
        <v>38</v>
      </c>
      <c r="M68" s="69">
        <f t="shared" si="8"/>
        <v>41.5</v>
      </c>
      <c r="N68" s="69">
        <f t="shared" si="8"/>
        <v>45</v>
      </c>
      <c r="O68" s="69">
        <f t="shared" si="8"/>
        <v>24</v>
      </c>
      <c r="P68" s="69">
        <f t="shared" si="8"/>
        <v>27</v>
      </c>
      <c r="Q68" s="69">
        <f t="shared" si="8"/>
        <v>27</v>
      </c>
      <c r="R68" s="69">
        <f t="shared" si="8"/>
        <v>27</v>
      </c>
      <c r="S68" s="69">
        <f t="shared" si="8"/>
        <v>8</v>
      </c>
      <c r="T68" s="69">
        <f t="shared" si="8"/>
        <v>152</v>
      </c>
      <c r="U68" s="69">
        <f t="shared" si="8"/>
        <v>184.7</v>
      </c>
      <c r="V68" s="69">
        <f>SUM(V57:V67)</f>
        <v>174.10000000000002</v>
      </c>
      <c r="W68" s="69">
        <f t="shared" si="8"/>
        <v>136.24</v>
      </c>
      <c r="X68" s="69">
        <f t="shared" si="8"/>
        <v>105.6</v>
      </c>
      <c r="Y68" s="69">
        <f t="shared" si="8"/>
        <v>111.01999999999998</v>
      </c>
      <c r="Z68" s="69">
        <f t="shared" si="8"/>
        <v>68.180000000000007</v>
      </c>
      <c r="AA68" s="69">
        <f t="shared" si="8"/>
        <v>88.6</v>
      </c>
      <c r="AB68" s="69">
        <f t="shared" si="8"/>
        <v>83.759999999999991</v>
      </c>
      <c r="AC68" s="69">
        <f t="shared" si="8"/>
        <v>80</v>
      </c>
      <c r="AD68" s="69">
        <f t="shared" si="8"/>
        <v>93</v>
      </c>
      <c r="AE68" s="69">
        <f t="shared" si="8"/>
        <v>95.5</v>
      </c>
      <c r="AF68" s="69">
        <f t="shared" si="8"/>
        <v>105.6</v>
      </c>
      <c r="AG68" s="74">
        <f>SUM(AG57:AG67)</f>
        <v>0</v>
      </c>
      <c r="AH68" s="54">
        <f t="shared" si="2"/>
        <v>184.7</v>
      </c>
      <c r="AI68" s="55">
        <f t="shared" si="3"/>
        <v>-2.0999999999999979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>
        <v>50</v>
      </c>
      <c r="W74" s="86">
        <v>50</v>
      </c>
      <c r="X74" s="86">
        <v>50</v>
      </c>
      <c r="Y74" s="86">
        <v>20</v>
      </c>
      <c r="Z74" s="86">
        <v>20</v>
      </c>
      <c r="AA74" s="86"/>
      <c r="AB74" s="86"/>
      <c r="AC74" s="86"/>
      <c r="AD74" s="86"/>
      <c r="AE74" s="86"/>
      <c r="AF74" s="86"/>
      <c r="AG74" s="74"/>
      <c r="AH74" s="54">
        <f t="shared" si="2"/>
        <v>50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1244.44</v>
      </c>
      <c r="C75" s="84">
        <f t="shared" si="10"/>
        <v>1197.24</v>
      </c>
      <c r="D75" s="84">
        <f t="shared" si="10"/>
        <v>1180.2400000000002</v>
      </c>
      <c r="E75" s="84">
        <f t="shared" si="10"/>
        <v>1197.3400000000001</v>
      </c>
      <c r="F75" s="84">
        <f t="shared" si="10"/>
        <v>1167.44</v>
      </c>
      <c r="G75" s="84">
        <f t="shared" si="10"/>
        <v>1200.1399999999999</v>
      </c>
      <c r="H75" s="84">
        <f t="shared" si="10"/>
        <v>1189.74</v>
      </c>
      <c r="I75" s="84">
        <f t="shared" si="10"/>
        <v>1182.2399999999998</v>
      </c>
      <c r="J75" s="84">
        <f t="shared" si="10"/>
        <v>1205.44</v>
      </c>
      <c r="K75" s="84">
        <f t="shared" si="10"/>
        <v>1261.94</v>
      </c>
      <c r="L75" s="84">
        <f t="shared" si="10"/>
        <v>1306.8400000000001</v>
      </c>
      <c r="M75" s="84">
        <f t="shared" si="10"/>
        <v>1315.3400000000001</v>
      </c>
      <c r="N75" s="84">
        <f t="shared" si="10"/>
        <v>1339.14</v>
      </c>
      <c r="O75" s="84">
        <f t="shared" si="10"/>
        <v>1355.3400000000001</v>
      </c>
      <c r="P75" s="84">
        <f t="shared" si="10"/>
        <v>1376.24</v>
      </c>
      <c r="Q75" s="84">
        <f t="shared" si="10"/>
        <v>1345.54</v>
      </c>
      <c r="R75" s="84">
        <f t="shared" si="10"/>
        <v>1350.54</v>
      </c>
      <c r="S75" s="84">
        <f t="shared" si="10"/>
        <v>11.54</v>
      </c>
      <c r="T75" s="84">
        <f t="shared" si="10"/>
        <v>1376.54</v>
      </c>
      <c r="U75" s="84">
        <f t="shared" si="10"/>
        <v>1313.44</v>
      </c>
      <c r="V75" s="84">
        <f t="shared" si="10"/>
        <v>1314.1399999999999</v>
      </c>
      <c r="W75" s="84">
        <f t="shared" si="10"/>
        <v>1297.3800000000001</v>
      </c>
      <c r="X75" s="84">
        <f t="shared" si="10"/>
        <v>1290.8400000000001</v>
      </c>
      <c r="Y75" s="84">
        <f t="shared" si="10"/>
        <v>1337.06</v>
      </c>
      <c r="Z75" s="84">
        <f t="shared" si="10"/>
        <v>1372.52</v>
      </c>
      <c r="AA75" s="84">
        <f t="shared" si="10"/>
        <v>1494.94</v>
      </c>
      <c r="AB75" s="84">
        <f t="shared" si="10"/>
        <v>1465.9</v>
      </c>
      <c r="AC75" s="84">
        <f t="shared" si="10"/>
        <v>1452.74</v>
      </c>
      <c r="AD75" s="84">
        <f t="shared" si="10"/>
        <v>1384.84</v>
      </c>
      <c r="AE75" s="84">
        <f t="shared" si="10"/>
        <v>1366.24</v>
      </c>
      <c r="AF75" s="84">
        <f t="shared" si="10"/>
        <v>1377.2400000000002</v>
      </c>
      <c r="AG75" s="74">
        <f>AG72+AG68+AG56+AG52+AG38+AG74</f>
        <v>2144.14</v>
      </c>
      <c r="AH75" s="54">
        <f t="shared" si="2"/>
        <v>1494.94</v>
      </c>
      <c r="AI75" s="55">
        <f t="shared" si="3"/>
        <v>11.54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2446.33</v>
      </c>
      <c r="C83" s="69">
        <f t="shared" si="14"/>
        <v>2399.13</v>
      </c>
      <c r="D83" s="69">
        <f t="shared" si="14"/>
        <v>2382.13</v>
      </c>
      <c r="E83" s="69">
        <f t="shared" si="14"/>
        <v>2399.23</v>
      </c>
      <c r="F83" s="69">
        <f t="shared" si="14"/>
        <v>2369.33</v>
      </c>
      <c r="G83" s="69">
        <f t="shared" si="14"/>
        <v>2402.0299999999997</v>
      </c>
      <c r="H83" s="69">
        <f t="shared" si="14"/>
        <v>2391.63</v>
      </c>
      <c r="I83" s="69">
        <f t="shared" si="14"/>
        <v>2384.1299999999997</v>
      </c>
      <c r="J83" s="69">
        <f t="shared" si="14"/>
        <v>2407.33</v>
      </c>
      <c r="K83" s="69">
        <f t="shared" si="14"/>
        <v>2463.83</v>
      </c>
      <c r="L83" s="69">
        <f t="shared" si="14"/>
        <v>2508.73</v>
      </c>
      <c r="M83" s="69">
        <f t="shared" si="14"/>
        <v>2517.23</v>
      </c>
      <c r="N83" s="69">
        <f t="shared" si="14"/>
        <v>2541.0299999999997</v>
      </c>
      <c r="O83" s="69">
        <f t="shared" si="14"/>
        <v>2557.23</v>
      </c>
      <c r="P83" s="69">
        <f t="shared" si="14"/>
        <v>2578.13</v>
      </c>
      <c r="Q83" s="69">
        <f t="shared" si="14"/>
        <v>2547.4299999999998</v>
      </c>
      <c r="R83" s="69">
        <f t="shared" si="14"/>
        <v>2552.4299999999998</v>
      </c>
      <c r="S83" s="69">
        <f t="shared" si="14"/>
        <v>1213.4299999999998</v>
      </c>
      <c r="T83" s="69">
        <f t="shared" si="14"/>
        <v>2578.4299999999998</v>
      </c>
      <c r="U83" s="69">
        <f t="shared" si="14"/>
        <v>2515.33</v>
      </c>
      <c r="V83" s="69">
        <f t="shared" si="14"/>
        <v>2566.0299999999997</v>
      </c>
      <c r="W83" s="69">
        <f t="shared" si="14"/>
        <v>2549.27</v>
      </c>
      <c r="X83" s="69">
        <f t="shared" si="14"/>
        <v>2542.73</v>
      </c>
      <c r="Y83" s="69">
        <f t="shared" si="14"/>
        <v>2558.9499999999998</v>
      </c>
      <c r="Z83" s="69">
        <f t="shared" si="14"/>
        <v>2594.41</v>
      </c>
      <c r="AA83" s="69">
        <f t="shared" si="14"/>
        <v>2696.83</v>
      </c>
      <c r="AB83" s="69">
        <f t="shared" si="14"/>
        <v>2667.79</v>
      </c>
      <c r="AC83" s="69">
        <f t="shared" si="14"/>
        <v>2654.63</v>
      </c>
      <c r="AD83" s="69">
        <f t="shared" si="14"/>
        <v>2586.7299999999996</v>
      </c>
      <c r="AE83" s="69">
        <f t="shared" si="14"/>
        <v>2568.13</v>
      </c>
      <c r="AF83" s="69">
        <f t="shared" si="14"/>
        <v>2579.13</v>
      </c>
      <c r="AG83" s="74">
        <f t="shared" si="14"/>
        <v>4360.08</v>
      </c>
      <c r="AH83" s="54">
        <f t="shared" si="11"/>
        <v>2696.83</v>
      </c>
      <c r="AI83" s="55">
        <f t="shared" si="12"/>
        <v>1213.4299999999998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49.97</v>
      </c>
      <c r="C84" s="90">
        <v>49.95</v>
      </c>
      <c r="D84" s="90">
        <v>50.04</v>
      </c>
      <c r="E84" s="90">
        <v>50.055999999999997</v>
      </c>
      <c r="F84" s="90">
        <v>50.029000000000003</v>
      </c>
      <c r="G84" s="90">
        <v>49.9</v>
      </c>
      <c r="H84" s="90">
        <v>49.95</v>
      </c>
      <c r="I84" s="90">
        <v>49.9</v>
      </c>
      <c r="J84" s="90"/>
      <c r="K84" s="90">
        <v>49.994</v>
      </c>
      <c r="L84" s="90">
        <v>50.045999999999999</v>
      </c>
      <c r="M84" s="90">
        <v>50.17</v>
      </c>
      <c r="N84" s="90">
        <v>50.06</v>
      </c>
      <c r="O84" s="90">
        <v>50.18</v>
      </c>
      <c r="P84" s="90">
        <v>50.02</v>
      </c>
      <c r="Q84" s="90">
        <v>50.02</v>
      </c>
      <c r="R84" s="90">
        <v>50.05</v>
      </c>
      <c r="S84" s="90"/>
      <c r="T84" s="90">
        <v>50.012999999999998</v>
      </c>
      <c r="U84" s="90">
        <v>50.021000000000001</v>
      </c>
      <c r="V84" s="90">
        <v>50</v>
      </c>
      <c r="W84" s="90">
        <v>50.075000000000003</v>
      </c>
      <c r="X84" s="90">
        <v>50.08</v>
      </c>
      <c r="Y84" s="90">
        <v>50.097999999999999</v>
      </c>
      <c r="Z84" s="90">
        <v>50.018000000000001</v>
      </c>
      <c r="AA84" s="90">
        <v>50.018000000000001</v>
      </c>
      <c r="AB84" s="90">
        <v>50.000999999999998</v>
      </c>
      <c r="AC84" s="90">
        <v>49.774999999999999</v>
      </c>
      <c r="AD84" s="90">
        <v>49.804000000000002</v>
      </c>
      <c r="AE84" s="90">
        <v>50.02</v>
      </c>
      <c r="AF84" s="90">
        <v>50.06</v>
      </c>
      <c r="AG84" s="91"/>
      <c r="AH84" s="54">
        <f t="shared" si="11"/>
        <v>50.18</v>
      </c>
      <c r="AI84" s="55">
        <f t="shared" si="12"/>
        <v>49.774999999999999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126</v>
      </c>
      <c r="C85" s="70">
        <v>126</v>
      </c>
      <c r="D85" s="70">
        <v>124</v>
      </c>
      <c r="E85" s="70">
        <v>125.6</v>
      </c>
      <c r="F85" s="70">
        <v>122.5</v>
      </c>
      <c r="G85" s="70">
        <v>125.6</v>
      </c>
      <c r="H85" s="70">
        <v>127.3</v>
      </c>
      <c r="I85" s="70">
        <v>126.5</v>
      </c>
      <c r="J85" s="70"/>
      <c r="K85" s="70">
        <v>124.4</v>
      </c>
      <c r="L85" s="70">
        <v>123.3</v>
      </c>
      <c r="M85" s="70">
        <v>124.2</v>
      </c>
      <c r="N85" s="70">
        <v>120.9</v>
      </c>
      <c r="O85" s="70">
        <v>123</v>
      </c>
      <c r="P85" s="70">
        <v>123</v>
      </c>
      <c r="Q85" s="70">
        <v>123</v>
      </c>
      <c r="R85" s="70">
        <v>123.5</v>
      </c>
      <c r="S85" s="70"/>
      <c r="T85" s="70">
        <v>125</v>
      </c>
      <c r="U85" s="70">
        <v>124.7</v>
      </c>
      <c r="V85" s="70">
        <v>126.1</v>
      </c>
      <c r="W85" s="70">
        <v>127.5</v>
      </c>
      <c r="X85" s="70">
        <v>128.30000000000001</v>
      </c>
      <c r="Y85" s="70">
        <v>127.5</v>
      </c>
      <c r="Z85" s="70">
        <v>124.8</v>
      </c>
      <c r="AA85" s="70">
        <v>123.3</v>
      </c>
      <c r="AB85" s="70">
        <v>123</v>
      </c>
      <c r="AC85" s="70">
        <v>123</v>
      </c>
      <c r="AD85" s="70">
        <v>123.9</v>
      </c>
      <c r="AE85" s="70">
        <v>124.8</v>
      </c>
      <c r="AF85" s="70">
        <v>123.7</v>
      </c>
      <c r="AG85" s="93"/>
      <c r="AH85" s="54">
        <f t="shared" si="11"/>
        <v>128.30000000000001</v>
      </c>
      <c r="AI85" s="55">
        <f t="shared" si="12"/>
        <v>120.9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130</v>
      </c>
      <c r="C86" s="70">
        <v>130</v>
      </c>
      <c r="D86" s="70">
        <v>129</v>
      </c>
      <c r="E86" s="70">
        <v>129.5</v>
      </c>
      <c r="F86" s="70">
        <v>125.4</v>
      </c>
      <c r="G86" s="70">
        <v>129.1</v>
      </c>
      <c r="H86" s="70">
        <v>130.5</v>
      </c>
      <c r="I86" s="70">
        <v>129.80000000000001</v>
      </c>
      <c r="J86" s="70"/>
      <c r="K86" s="70">
        <v>127.8</v>
      </c>
      <c r="L86" s="70">
        <v>127.1</v>
      </c>
      <c r="M86" s="70">
        <v>128</v>
      </c>
      <c r="N86" s="70">
        <v>125</v>
      </c>
      <c r="O86" s="70">
        <v>127.3</v>
      </c>
      <c r="P86" s="70">
        <v>127.6</v>
      </c>
      <c r="Q86" s="70">
        <v>127.6</v>
      </c>
      <c r="R86" s="70">
        <v>127.6</v>
      </c>
      <c r="S86" s="70"/>
      <c r="T86" s="70">
        <v>127.3</v>
      </c>
      <c r="U86" s="70">
        <v>127.4</v>
      </c>
      <c r="V86" s="70">
        <v>128.19999999999999</v>
      </c>
      <c r="W86" s="70">
        <v>129.1</v>
      </c>
      <c r="X86" s="70">
        <v>130</v>
      </c>
      <c r="Y86" s="70">
        <v>129.69999999999999</v>
      </c>
      <c r="Z86" s="70">
        <v>127.8</v>
      </c>
      <c r="AA86" s="70">
        <v>127</v>
      </c>
      <c r="AB86" s="70">
        <v>127.2</v>
      </c>
      <c r="AC86" s="70">
        <v>127.2</v>
      </c>
      <c r="AD86" s="70">
        <v>128</v>
      </c>
      <c r="AE86" s="70">
        <v>129.30000000000001</v>
      </c>
      <c r="AF86" s="70">
        <v>128.4</v>
      </c>
      <c r="AG86" s="93"/>
      <c r="AH86" s="54">
        <f t="shared" si="11"/>
        <v>130.5</v>
      </c>
      <c r="AI86" s="55">
        <f t="shared" si="12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130</v>
      </c>
      <c r="C87" s="70">
        <v>129</v>
      </c>
      <c r="D87" s="70">
        <v>129</v>
      </c>
      <c r="E87" s="70">
        <v>130.9</v>
      </c>
      <c r="F87" s="70">
        <v>128.30000000000001</v>
      </c>
      <c r="G87" s="70">
        <v>129.1</v>
      </c>
      <c r="H87" s="70">
        <v>129.4</v>
      </c>
      <c r="I87" s="70">
        <v>129.4</v>
      </c>
      <c r="J87" s="70"/>
      <c r="K87" s="70">
        <v>128.80000000000001</v>
      </c>
      <c r="L87" s="70">
        <v>126.9</v>
      </c>
      <c r="M87" s="70">
        <v>127.8</v>
      </c>
      <c r="N87" s="70">
        <v>126.5</v>
      </c>
      <c r="O87" s="70">
        <v>124.8</v>
      </c>
      <c r="P87" s="70">
        <v>127.6</v>
      </c>
      <c r="Q87" s="70">
        <v>127.6</v>
      </c>
      <c r="R87" s="70">
        <v>127.7</v>
      </c>
      <c r="S87" s="70"/>
      <c r="T87" s="70">
        <v>128.69999999999999</v>
      </c>
      <c r="U87" s="70">
        <v>128.80000000000001</v>
      </c>
      <c r="V87" s="70">
        <v>131.19999999999999</v>
      </c>
      <c r="W87" s="70">
        <v>131.19999999999999</v>
      </c>
      <c r="X87" s="70">
        <v>132.1</v>
      </c>
      <c r="Y87" s="70">
        <v>129.1</v>
      </c>
      <c r="Z87" s="70">
        <v>127.5</v>
      </c>
      <c r="AA87" s="70">
        <v>125.4</v>
      </c>
      <c r="AB87" s="70">
        <v>128.1</v>
      </c>
      <c r="AC87" s="70">
        <v>128.1</v>
      </c>
      <c r="AD87" s="70">
        <v>126.6</v>
      </c>
      <c r="AE87" s="70">
        <v>128.5</v>
      </c>
      <c r="AF87" s="70">
        <v>127.8</v>
      </c>
      <c r="AG87" s="93"/>
      <c r="AH87" s="54">
        <f t="shared" si="11"/>
        <v>132.1</v>
      </c>
      <c r="AI87" s="55">
        <f t="shared" si="12"/>
        <v>124.8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133</v>
      </c>
      <c r="C88" s="70">
        <v>132</v>
      </c>
      <c r="D88" s="70">
        <v>133</v>
      </c>
      <c r="E88" s="70">
        <v>135</v>
      </c>
      <c r="F88" s="70">
        <v>131</v>
      </c>
      <c r="G88" s="70">
        <v>131.69999999999999</v>
      </c>
      <c r="H88" s="70">
        <v>132.4</v>
      </c>
      <c r="I88" s="70">
        <v>131.9</v>
      </c>
      <c r="J88" s="70"/>
      <c r="K88" s="70">
        <v>130.9</v>
      </c>
      <c r="L88" s="70">
        <v>128.9</v>
      </c>
      <c r="M88" s="70">
        <v>130.5</v>
      </c>
      <c r="N88" s="70">
        <v>130.69999999999999</v>
      </c>
      <c r="O88" s="70">
        <v>128.6</v>
      </c>
      <c r="P88" s="70">
        <v>131.1</v>
      </c>
      <c r="Q88" s="70">
        <v>131.1</v>
      </c>
      <c r="R88" s="70">
        <v>131.30000000000001</v>
      </c>
      <c r="S88" s="70"/>
      <c r="T88" s="70">
        <v>132</v>
      </c>
      <c r="U88" s="70">
        <v>132</v>
      </c>
      <c r="V88" s="70">
        <v>134.5</v>
      </c>
      <c r="W88" s="70">
        <v>134.9</v>
      </c>
      <c r="X88" s="70">
        <v>135.4</v>
      </c>
      <c r="Y88" s="70">
        <v>130.9</v>
      </c>
      <c r="Z88" s="70">
        <v>130.80000000000001</v>
      </c>
      <c r="AA88" s="70">
        <v>129.1</v>
      </c>
      <c r="AB88" s="70">
        <v>132.1</v>
      </c>
      <c r="AC88" s="70">
        <v>132.1</v>
      </c>
      <c r="AD88" s="70">
        <v>131.4</v>
      </c>
      <c r="AE88" s="70">
        <v>134.6</v>
      </c>
      <c r="AF88" s="70">
        <v>133.30000000000001</v>
      </c>
      <c r="AG88" s="93"/>
      <c r="AH88" s="54">
        <f t="shared" si="11"/>
        <v>135.4</v>
      </c>
      <c r="AI88" s="55">
        <f t="shared" si="12"/>
        <v>128.6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136</v>
      </c>
      <c r="C89" s="95">
        <v>134</v>
      </c>
      <c r="D89" s="95">
        <v>135</v>
      </c>
      <c r="E89" s="95">
        <v>133.9</v>
      </c>
      <c r="F89" s="95">
        <v>131.1</v>
      </c>
      <c r="G89" s="95">
        <v>131.80000000000001</v>
      </c>
      <c r="H89" s="95">
        <v>132.69999999999999</v>
      </c>
      <c r="I89" s="95">
        <v>130.19999999999999</v>
      </c>
      <c r="J89" s="95"/>
      <c r="K89" s="95">
        <v>134.4</v>
      </c>
      <c r="L89" s="95">
        <v>129.19999999999999</v>
      </c>
      <c r="M89" s="95">
        <v>131.4</v>
      </c>
      <c r="N89" s="95">
        <v>134.19999999999999</v>
      </c>
      <c r="O89" s="95">
        <v>135.1</v>
      </c>
      <c r="P89" s="95">
        <v>133.1</v>
      </c>
      <c r="Q89" s="95">
        <v>133.1</v>
      </c>
      <c r="R89" s="95">
        <v>132.4</v>
      </c>
      <c r="S89" s="95"/>
      <c r="T89" s="95">
        <v>132.30000000000001</v>
      </c>
      <c r="U89" s="95">
        <v>131.6</v>
      </c>
      <c r="V89" s="95">
        <v>131</v>
      </c>
      <c r="W89" s="95">
        <v>134.19999999999999</v>
      </c>
      <c r="X89" s="95">
        <v>133.5</v>
      </c>
      <c r="Y89" s="95">
        <v>134.1</v>
      </c>
      <c r="Z89" s="95">
        <v>133.1</v>
      </c>
      <c r="AA89" s="95">
        <v>129.69999999999999</v>
      </c>
      <c r="AB89" s="95">
        <v>132.6</v>
      </c>
      <c r="AC89" s="95">
        <v>132.6</v>
      </c>
      <c r="AD89" s="95">
        <v>134</v>
      </c>
      <c r="AE89" s="95">
        <v>135.80000000000001</v>
      </c>
      <c r="AF89" s="95">
        <v>133.6</v>
      </c>
      <c r="AG89" s="96"/>
      <c r="AH89" s="54">
        <f t="shared" si="11"/>
        <v>136</v>
      </c>
      <c r="AI89" s="55">
        <f t="shared" si="12"/>
        <v>129.19999999999999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133</v>
      </c>
      <c r="C90" s="70">
        <v>134</v>
      </c>
      <c r="D90" s="70">
        <v>134</v>
      </c>
      <c r="E90" s="70">
        <v>136.6</v>
      </c>
      <c r="F90" s="70">
        <v>129.80000000000001</v>
      </c>
      <c r="G90" s="70">
        <v>133.4</v>
      </c>
      <c r="H90" s="70">
        <v>133.30000000000001</v>
      </c>
      <c r="I90" s="70">
        <v>130.19999999999999</v>
      </c>
      <c r="J90" s="70"/>
      <c r="K90" s="70">
        <v>132.30000000000001</v>
      </c>
      <c r="L90" s="70">
        <v>127</v>
      </c>
      <c r="M90" s="70">
        <v>129.9</v>
      </c>
      <c r="N90" s="70">
        <v>132.4</v>
      </c>
      <c r="O90" s="70">
        <v>136.80000000000001</v>
      </c>
      <c r="P90" s="70">
        <v>124.6</v>
      </c>
      <c r="Q90" s="70">
        <v>124.6</v>
      </c>
      <c r="R90" s="70">
        <v>118</v>
      </c>
      <c r="S90" s="70"/>
      <c r="T90" s="70">
        <v>127.6</v>
      </c>
      <c r="U90" s="70">
        <v>127.2</v>
      </c>
      <c r="V90" s="70">
        <v>126.8</v>
      </c>
      <c r="W90" s="70">
        <v>132.6</v>
      </c>
      <c r="X90" s="70">
        <v>130.69999999999999</v>
      </c>
      <c r="Y90" s="70">
        <v>128.1</v>
      </c>
      <c r="Z90" s="70">
        <v>128.1</v>
      </c>
      <c r="AA90" s="70">
        <v>123.1</v>
      </c>
      <c r="AB90" s="70">
        <v>124.4</v>
      </c>
      <c r="AC90" s="70">
        <v>124.4</v>
      </c>
      <c r="AD90" s="70">
        <v>126</v>
      </c>
      <c r="AE90" s="70">
        <v>132.5</v>
      </c>
      <c r="AF90" s="70">
        <v>128.19999999999999</v>
      </c>
      <c r="AG90" s="93"/>
      <c r="AH90" s="54">
        <f t="shared" si="11"/>
        <v>136.80000000000001</v>
      </c>
      <c r="AI90" s="55">
        <f t="shared" si="12"/>
        <v>118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65.599999999999994</v>
      </c>
      <c r="C91" s="97">
        <v>65.599999999999994</v>
      </c>
      <c r="D91" s="97">
        <v>64.8</v>
      </c>
      <c r="E91" s="97">
        <v>65.3</v>
      </c>
      <c r="F91" s="97">
        <v>63.4</v>
      </c>
      <c r="G91" s="97">
        <v>65.099999999999994</v>
      </c>
      <c r="H91" s="97">
        <v>66.2</v>
      </c>
      <c r="I91" s="97">
        <v>65.8</v>
      </c>
      <c r="J91" s="97"/>
      <c r="K91" s="97">
        <v>64.400000000000006</v>
      </c>
      <c r="L91" s="97">
        <v>64.099999999999994</v>
      </c>
      <c r="M91" s="97">
        <v>64.5</v>
      </c>
      <c r="N91" s="97">
        <v>62.9</v>
      </c>
      <c r="O91" s="97">
        <v>64</v>
      </c>
      <c r="P91" s="97">
        <v>64.3</v>
      </c>
      <c r="Q91" s="97">
        <v>64.3</v>
      </c>
      <c r="R91" s="97">
        <v>64.400000000000006</v>
      </c>
      <c r="S91" s="97"/>
      <c r="T91" s="97">
        <v>64.3</v>
      </c>
      <c r="U91" s="97">
        <v>64.400000000000006</v>
      </c>
      <c r="V91" s="97">
        <v>64.7</v>
      </c>
      <c r="W91" s="97">
        <v>65.2</v>
      </c>
      <c r="X91" s="97">
        <v>65.5</v>
      </c>
      <c r="Y91" s="97">
        <v>65.5</v>
      </c>
      <c r="Z91" s="97">
        <v>64.5</v>
      </c>
      <c r="AA91" s="97">
        <v>64.2</v>
      </c>
      <c r="AB91" s="97">
        <v>64.2</v>
      </c>
      <c r="AC91" s="97">
        <v>64.2</v>
      </c>
      <c r="AD91" s="97">
        <v>65</v>
      </c>
      <c r="AE91" s="97">
        <v>65.400000000000006</v>
      </c>
      <c r="AF91" s="97">
        <v>65.3</v>
      </c>
      <c r="AG91" s="98"/>
      <c r="AH91" s="54">
        <f t="shared" si="11"/>
        <v>66.2</v>
      </c>
      <c r="AI91" s="55">
        <f t="shared" si="12"/>
        <v>62.9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169.33999999999997</v>
      </c>
      <c r="C93" s="103">
        <f t="shared" si="15"/>
        <v>167.33999999999997</v>
      </c>
      <c r="D93" s="103">
        <f t="shared" si="15"/>
        <v>175.33999999999997</v>
      </c>
      <c r="E93" s="103">
        <f t="shared" si="15"/>
        <v>156.34</v>
      </c>
      <c r="F93" s="103">
        <f t="shared" si="15"/>
        <v>151.63999999999999</v>
      </c>
      <c r="G93" s="103">
        <f t="shared" si="15"/>
        <v>183.74</v>
      </c>
      <c r="H93" s="103">
        <f t="shared" si="15"/>
        <v>205.43999999999997</v>
      </c>
      <c r="I93" s="103">
        <f t="shared" si="15"/>
        <v>215.54</v>
      </c>
      <c r="J93" s="103">
        <f t="shared" si="15"/>
        <v>203.83999999999995</v>
      </c>
      <c r="K93" s="103">
        <f t="shared" si="15"/>
        <v>255.13999999999993</v>
      </c>
      <c r="L93" s="103">
        <f t="shared" si="15"/>
        <v>285.44</v>
      </c>
      <c r="M93" s="103">
        <f t="shared" si="15"/>
        <v>299.24000000000007</v>
      </c>
      <c r="N93" s="103">
        <f t="shared" si="15"/>
        <v>297.34000000000003</v>
      </c>
      <c r="O93" s="103">
        <f t="shared" si="15"/>
        <v>281.03999999999996</v>
      </c>
      <c r="P93" s="103">
        <f t="shared" si="15"/>
        <v>297.54000000000002</v>
      </c>
      <c r="Q93" s="103">
        <f t="shared" si="15"/>
        <v>290.04000000000002</v>
      </c>
      <c r="R93" s="103">
        <f t="shared" si="15"/>
        <v>276.04000000000002</v>
      </c>
      <c r="S93" s="103">
        <f t="shared" si="15"/>
        <v>34.840000000000003</v>
      </c>
      <c r="T93" s="103">
        <f t="shared" si="15"/>
        <v>303.24</v>
      </c>
      <c r="U93" s="103">
        <f t="shared" si="15"/>
        <v>284.84000000000003</v>
      </c>
      <c r="V93" s="103">
        <f t="shared" si="15"/>
        <v>273.64000000000004</v>
      </c>
      <c r="W93" s="103">
        <f>SUM(W15,W18,W21:W22,W42,W44:W45,W47,W49,W94:W97,W103,W109,W115,W124,W126,W138,W145,W148:W149,W156,W158,W160,W164:W166,W168:W170,W175,W181:W182,W184:W186,W194,W199)</f>
        <v>281.84000000000003</v>
      </c>
      <c r="X93" s="103">
        <f>SUM(X15,X18,X21:X22,X42,X44:X45,X47,X49,X94:X97,X103,X109,X115,X124,X126,X138,X145,X148:X149,X156,X158,X160,X164:X166,X168:X170,X175,X181:X182,X184:X186,X194,X199)</f>
        <v>301.24</v>
      </c>
      <c r="Y93" s="103">
        <f t="shared" si="15"/>
        <v>314.94000000000005</v>
      </c>
      <c r="Z93" s="103">
        <f t="shared" si="15"/>
        <v>317.44000000000005</v>
      </c>
      <c r="AA93" s="103">
        <f t="shared" si="15"/>
        <v>367.84000000000003</v>
      </c>
      <c r="AB93" s="103">
        <f t="shared" si="15"/>
        <v>299.74000000000007</v>
      </c>
      <c r="AC93" s="103">
        <f t="shared" si="15"/>
        <v>287.84000000000003</v>
      </c>
      <c r="AD93" s="103">
        <f t="shared" si="15"/>
        <v>253.54</v>
      </c>
      <c r="AE93" s="103">
        <f t="shared" si="15"/>
        <v>215.14</v>
      </c>
      <c r="AF93" s="103">
        <f t="shared" si="15"/>
        <v>186.83999999999997</v>
      </c>
      <c r="AG93" s="104"/>
      <c r="AH93" s="54">
        <f>MAX(C93:AF93)</f>
        <v>367.84000000000003</v>
      </c>
      <c r="AI93" s="55">
        <f>MIN(C93:AF93)</f>
        <v>34.840000000000003</v>
      </c>
    </row>
    <row r="94" spans="1:88" x14ac:dyDescent="0.25">
      <c r="A94" s="105" t="s">
        <v>99</v>
      </c>
      <c r="B94" s="106">
        <v>49</v>
      </c>
      <c r="C94" s="106">
        <v>53</v>
      </c>
      <c r="D94" s="106">
        <v>43</v>
      </c>
      <c r="E94" s="106">
        <v>46.4</v>
      </c>
      <c r="F94" s="106">
        <v>50.2</v>
      </c>
      <c r="G94" s="106">
        <v>47.5</v>
      </c>
      <c r="H94" s="106">
        <v>50.1</v>
      </c>
      <c r="I94" s="106">
        <v>45.5</v>
      </c>
      <c r="J94" s="106"/>
      <c r="K94" s="106">
        <v>39.299999999999997</v>
      </c>
      <c r="L94" s="106">
        <v>38.1</v>
      </c>
      <c r="M94" s="106">
        <v>40.4</v>
      </c>
      <c r="N94" s="106">
        <v>58.6</v>
      </c>
      <c r="O94" s="106">
        <v>44.5</v>
      </c>
      <c r="P94" s="106">
        <v>41.3</v>
      </c>
      <c r="Q94" s="106">
        <v>42.3</v>
      </c>
      <c r="R94" s="106">
        <v>42.1</v>
      </c>
      <c r="S94" s="106"/>
      <c r="T94" s="106">
        <v>1.9</v>
      </c>
      <c r="U94" s="106">
        <v>8.4</v>
      </c>
      <c r="V94" s="106">
        <v>9.6999999999999993</v>
      </c>
      <c r="W94" s="106">
        <v>12.5</v>
      </c>
      <c r="X94" s="106">
        <v>11.2</v>
      </c>
      <c r="Y94" s="106">
        <v>33.5</v>
      </c>
      <c r="Z94" s="106">
        <v>70.5</v>
      </c>
      <c r="AA94" s="106">
        <v>64.5</v>
      </c>
      <c r="AB94" s="106">
        <v>60.9</v>
      </c>
      <c r="AC94" s="106">
        <v>55.7</v>
      </c>
      <c r="AD94" s="106">
        <v>79</v>
      </c>
      <c r="AE94" s="106">
        <v>72.900000000000006</v>
      </c>
      <c r="AF94" s="106">
        <v>66.3</v>
      </c>
      <c r="AG94" s="107">
        <v>75</v>
      </c>
      <c r="AH94" s="54">
        <f t="shared" ref="AH94:AH100" si="16">IF(ABS(MAX(C94:AF94))&gt;ABS(MIN(C94:AF94)),MAX(C94:AF94),MIN(C94:AF94))</f>
        <v>79</v>
      </c>
      <c r="AI94" s="108">
        <f t="shared" ref="AI94:AI100" si="17">INDEX($C$9:$AF$9,1,MATCH(AH94,C94:AF94,0))</f>
        <v>0.875</v>
      </c>
    </row>
    <row r="95" spans="1:88" x14ac:dyDescent="0.25">
      <c r="A95" s="109" t="s">
        <v>100</v>
      </c>
      <c r="B95" s="110">
        <v>-95</v>
      </c>
      <c r="C95" s="110">
        <v>-97</v>
      </c>
      <c r="D95" s="110">
        <v>0</v>
      </c>
      <c r="E95" s="110">
        <v>-75.400000000000006</v>
      </c>
      <c r="F95" s="110">
        <v>-30.7</v>
      </c>
      <c r="G95" s="110">
        <v>-68.599999999999994</v>
      </c>
      <c r="H95" s="110">
        <v>-63.1</v>
      </c>
      <c r="I95" s="110">
        <v>-54.8</v>
      </c>
      <c r="J95" s="110"/>
      <c r="K95" s="110">
        <v>-34.4</v>
      </c>
      <c r="L95" s="110">
        <v>-46.6</v>
      </c>
      <c r="M95" s="110">
        <f>-17.1-20.8</f>
        <v>-37.900000000000006</v>
      </c>
      <c r="N95" s="110">
        <f>-14.8-17</f>
        <v>-31.8</v>
      </c>
      <c r="O95" s="110">
        <f>-12.1-17.8</f>
        <v>-29.9</v>
      </c>
      <c r="P95" s="110">
        <f>-13.8-21.8</f>
        <v>-35.6</v>
      </c>
      <c r="Q95" s="110">
        <f>-13.8-21.8</f>
        <v>-35.6</v>
      </c>
      <c r="R95" s="110">
        <f>-15.2-21.4</f>
        <v>-36.599999999999994</v>
      </c>
      <c r="S95" s="110"/>
      <c r="T95" s="110">
        <v>-19</v>
      </c>
      <c r="U95" s="110">
        <v>-25</v>
      </c>
      <c r="V95" s="110">
        <v>-24.5</v>
      </c>
      <c r="W95" s="110">
        <v>-21.3</v>
      </c>
      <c r="X95" s="110">
        <v>-13</v>
      </c>
      <c r="Y95" s="110">
        <v>-21</v>
      </c>
      <c r="Z95" s="110">
        <v>-48</v>
      </c>
      <c r="AA95" s="110">
        <v>-17.600000000000001</v>
      </c>
      <c r="AB95" s="110">
        <v>-46</v>
      </c>
      <c r="AC95" s="110">
        <v>-41</v>
      </c>
      <c r="AD95" s="110">
        <v>-70</v>
      </c>
      <c r="AE95" s="110">
        <f>-38.1-42.5</f>
        <v>-80.599999999999994</v>
      </c>
      <c r="AF95" s="110">
        <f>-56.4-65.3</f>
        <v>-121.69999999999999</v>
      </c>
      <c r="AG95" s="107">
        <v>240</v>
      </c>
      <c r="AH95" s="54">
        <f t="shared" si="16"/>
        <v>-121.69999999999999</v>
      </c>
      <c r="AI95" s="108">
        <f t="shared" si="17"/>
        <v>0.95833333333333304</v>
      </c>
    </row>
    <row r="96" spans="1:88" x14ac:dyDescent="0.25">
      <c r="A96" s="109" t="s">
        <v>101</v>
      </c>
      <c r="B96" s="110">
        <v>-3</v>
      </c>
      <c r="C96" s="110">
        <v>-3</v>
      </c>
      <c r="D96" s="110">
        <v>-70</v>
      </c>
      <c r="E96" s="110">
        <v>-1.2</v>
      </c>
      <c r="F96" s="110">
        <v>3.6</v>
      </c>
      <c r="G96" s="110">
        <v>0.8</v>
      </c>
      <c r="H96" s="110">
        <v>2.2000000000000002</v>
      </c>
      <c r="I96" s="110">
        <v>3.5</v>
      </c>
      <c r="J96" s="110"/>
      <c r="K96" s="110">
        <v>6.9</v>
      </c>
      <c r="L96" s="110">
        <v>5.0999999999999996</v>
      </c>
      <c r="M96" s="110">
        <v>12.4</v>
      </c>
      <c r="N96" s="110">
        <v>2.8</v>
      </c>
      <c r="O96" s="110">
        <v>20.6</v>
      </c>
      <c r="P96" s="110">
        <v>28.5</v>
      </c>
      <c r="Q96" s="110">
        <v>28.5</v>
      </c>
      <c r="R96" s="110">
        <v>22</v>
      </c>
      <c r="S96" s="110"/>
      <c r="T96" s="110">
        <v>32.1</v>
      </c>
      <c r="U96" s="110">
        <v>41.6</v>
      </c>
      <c r="V96" s="110">
        <v>42.4</v>
      </c>
      <c r="W96" s="110">
        <v>43</v>
      </c>
      <c r="X96" s="110">
        <v>34</v>
      </c>
      <c r="Y96" s="110">
        <v>34</v>
      </c>
      <c r="Z96" s="110">
        <v>28.2</v>
      </c>
      <c r="AA96" s="110">
        <v>35</v>
      </c>
      <c r="AB96" s="110">
        <v>18</v>
      </c>
      <c r="AC96" s="110">
        <v>18.899999999999999</v>
      </c>
      <c r="AD96" s="110">
        <v>11.4</v>
      </c>
      <c r="AE96" s="110">
        <v>9.1</v>
      </c>
      <c r="AF96" s="110">
        <v>10.4</v>
      </c>
      <c r="AG96" s="107">
        <v>60</v>
      </c>
      <c r="AH96" s="54">
        <f t="shared" si="16"/>
        <v>-70</v>
      </c>
      <c r="AI96" s="108">
        <f t="shared" si="17"/>
        <v>8.3333333333333301E-2</v>
      </c>
    </row>
    <row r="97" spans="1:37" x14ac:dyDescent="0.25">
      <c r="A97" s="111" t="s">
        <v>102</v>
      </c>
      <c r="B97" s="112">
        <v>16</v>
      </c>
      <c r="C97" s="112">
        <v>12</v>
      </c>
      <c r="D97" s="112">
        <v>0</v>
      </c>
      <c r="E97" s="112">
        <v>-16.7</v>
      </c>
      <c r="F97" s="112">
        <v>-14.6</v>
      </c>
      <c r="G97" s="112">
        <v>0</v>
      </c>
      <c r="H97" s="112">
        <v>12.2</v>
      </c>
      <c r="I97" s="112">
        <v>17.399999999999999</v>
      </c>
      <c r="J97" s="112"/>
      <c r="K97" s="112">
        <v>39.5</v>
      </c>
      <c r="L97" s="112">
        <v>85</v>
      </c>
      <c r="M97" s="112">
        <v>83.2</v>
      </c>
      <c r="N97" s="112">
        <v>64.7</v>
      </c>
      <c r="O97" s="112">
        <v>55.1</v>
      </c>
      <c r="P97" s="112">
        <v>59.1</v>
      </c>
      <c r="Q97" s="112">
        <v>59.1</v>
      </c>
      <c r="R97" s="112">
        <v>52.8</v>
      </c>
      <c r="S97" s="112"/>
      <c r="T97" s="112">
        <v>83</v>
      </c>
      <c r="U97" s="112">
        <v>54.6</v>
      </c>
      <c r="V97" s="112">
        <v>40.799999999999997</v>
      </c>
      <c r="W97" s="112">
        <v>41.9</v>
      </c>
      <c r="X97" s="112">
        <v>63.3</v>
      </c>
      <c r="Y97" s="112">
        <v>62.7</v>
      </c>
      <c r="Z97" s="112">
        <v>71</v>
      </c>
      <c r="AA97" s="112">
        <v>75.099999999999994</v>
      </c>
      <c r="AB97" s="112">
        <v>54.7</v>
      </c>
      <c r="AC97" s="112">
        <v>42.1</v>
      </c>
      <c r="AD97" s="112">
        <v>22</v>
      </c>
      <c r="AE97" s="112">
        <v>0</v>
      </c>
      <c r="AF97" s="112">
        <v>19.399999999999999</v>
      </c>
      <c r="AG97" s="113">
        <v>120</v>
      </c>
      <c r="AH97" s="54">
        <f t="shared" si="16"/>
        <v>85</v>
      </c>
      <c r="AI97" s="108">
        <f t="shared" si="17"/>
        <v>0.3125</v>
      </c>
    </row>
    <row r="98" spans="1:37" x14ac:dyDescent="0.25">
      <c r="A98" s="111" t="s">
        <v>103</v>
      </c>
      <c r="B98" s="112">
        <v>39</v>
      </c>
      <c r="C98" s="112">
        <v>34</v>
      </c>
      <c r="D98" s="112">
        <v>15</v>
      </c>
      <c r="E98" s="112">
        <v>54.7</v>
      </c>
      <c r="F98" s="112">
        <v>73.900000000000006</v>
      </c>
      <c r="G98" s="112">
        <v>52</v>
      </c>
      <c r="H98" s="112">
        <v>40.6</v>
      </c>
      <c r="I98" s="112">
        <v>50.8</v>
      </c>
      <c r="J98" s="112"/>
      <c r="K98" s="112">
        <v>80.5</v>
      </c>
      <c r="L98" s="112">
        <v>81</v>
      </c>
      <c r="M98" s="112">
        <v>75.900000000000006</v>
      </c>
      <c r="N98" s="112">
        <v>87.1</v>
      </c>
      <c r="O98" s="112">
        <v>84.7</v>
      </c>
      <c r="P98" s="112">
        <v>86.2</v>
      </c>
      <c r="Q98" s="112">
        <v>86.2</v>
      </c>
      <c r="R98" s="112">
        <v>86.3</v>
      </c>
      <c r="S98" s="112"/>
      <c r="T98" s="112">
        <v>67.3</v>
      </c>
      <c r="U98" s="112">
        <v>60</v>
      </c>
      <c r="V98" s="112">
        <v>45</v>
      </c>
      <c r="W98" s="112">
        <v>43.3</v>
      </c>
      <c r="X98" s="112">
        <v>56</v>
      </c>
      <c r="Y98" s="112">
        <v>51</v>
      </c>
      <c r="Z98" s="112">
        <v>71</v>
      </c>
      <c r="AA98" s="112">
        <v>70</v>
      </c>
      <c r="AB98" s="112">
        <v>84</v>
      </c>
      <c r="AC98" s="112">
        <v>92.1</v>
      </c>
      <c r="AD98" s="112">
        <v>68.599999999999994</v>
      </c>
      <c r="AE98" s="112">
        <v>69.8</v>
      </c>
      <c r="AF98" s="112">
        <v>44.8</v>
      </c>
      <c r="AG98" s="113"/>
      <c r="AH98" s="54">
        <f t="shared" si="16"/>
        <v>92.1</v>
      </c>
      <c r="AI98" s="108">
        <f t="shared" si="17"/>
        <v>0.85416666666666663</v>
      </c>
    </row>
    <row r="99" spans="1:37" x14ac:dyDescent="0.25">
      <c r="A99" s="111" t="s">
        <v>104</v>
      </c>
      <c r="B99" s="112">
        <v>50</v>
      </c>
      <c r="C99" s="112">
        <v>36</v>
      </c>
      <c r="D99" s="112">
        <v>72</v>
      </c>
      <c r="E99" s="112">
        <v>75.900000000000006</v>
      </c>
      <c r="F99" s="112">
        <v>74.900000000000006</v>
      </c>
      <c r="G99" s="112">
        <v>70.8</v>
      </c>
      <c r="H99" s="112">
        <v>72.900000000000006</v>
      </c>
      <c r="I99" s="112">
        <v>72.400000000000006</v>
      </c>
      <c r="J99" s="112"/>
      <c r="K99" s="112">
        <v>79.7</v>
      </c>
      <c r="L99" s="112">
        <v>78.2</v>
      </c>
      <c r="M99" s="112">
        <v>68</v>
      </c>
      <c r="N99" s="112">
        <v>31.5</v>
      </c>
      <c r="O99" s="112">
        <v>59.4</v>
      </c>
      <c r="P99" s="112">
        <v>79.7</v>
      </c>
      <c r="Q99" s="112">
        <v>79.7</v>
      </c>
      <c r="R99" s="112">
        <v>69.400000000000006</v>
      </c>
      <c r="S99" s="112"/>
      <c r="T99" s="112">
        <v>38.4</v>
      </c>
      <c r="U99" s="112">
        <v>33</v>
      </c>
      <c r="V99" s="112">
        <v>32.6</v>
      </c>
      <c r="W99" s="112">
        <v>25.4</v>
      </c>
      <c r="X99" s="112">
        <v>38</v>
      </c>
      <c r="Y99" s="112">
        <v>40.299999999999997</v>
      </c>
      <c r="Z99" s="112">
        <v>58</v>
      </c>
      <c r="AA99" s="112">
        <v>78</v>
      </c>
      <c r="AB99" s="112">
        <v>84</v>
      </c>
      <c r="AC99" s="112">
        <v>84.6</v>
      </c>
      <c r="AD99" s="112">
        <v>75.900000000000006</v>
      </c>
      <c r="AE99" s="112">
        <v>87.6</v>
      </c>
      <c r="AF99" s="112">
        <v>84.4</v>
      </c>
      <c r="AG99" s="114"/>
      <c r="AH99" s="54">
        <f t="shared" si="16"/>
        <v>87.6</v>
      </c>
      <c r="AI99" s="108">
        <f t="shared" si="17"/>
        <v>0.91666666666666696</v>
      </c>
    </row>
    <row r="100" spans="1:37" ht="15.75" thickBot="1" x14ac:dyDescent="0.3">
      <c r="A100" s="115" t="s">
        <v>105</v>
      </c>
      <c r="B100" s="95">
        <v>56</v>
      </c>
      <c r="C100" s="95">
        <v>54</v>
      </c>
      <c r="D100" s="95">
        <v>66</v>
      </c>
      <c r="E100" s="95">
        <v>48</v>
      </c>
      <c r="F100" s="95">
        <v>49.2</v>
      </c>
      <c r="G100" s="95">
        <v>43.8</v>
      </c>
      <c r="H100" s="95">
        <v>33.9</v>
      </c>
      <c r="I100" s="95">
        <v>42.6</v>
      </c>
      <c r="J100" s="95"/>
      <c r="K100" s="95">
        <v>51.1</v>
      </c>
      <c r="L100" s="95">
        <v>60.1</v>
      </c>
      <c r="M100" s="95">
        <v>65.2</v>
      </c>
      <c r="N100" s="95">
        <v>70.8</v>
      </c>
      <c r="O100" s="95">
        <v>73.2</v>
      </c>
      <c r="P100" s="95">
        <v>72.099999999999994</v>
      </c>
      <c r="Q100" s="95">
        <v>72.099999999999994</v>
      </c>
      <c r="R100" s="95">
        <v>78.900000000000006</v>
      </c>
      <c r="S100" s="95"/>
      <c r="T100" s="95">
        <v>79</v>
      </c>
      <c r="U100" s="95">
        <v>62</v>
      </c>
      <c r="V100" s="95">
        <v>57</v>
      </c>
      <c r="W100" s="95">
        <v>54.1</v>
      </c>
      <c r="X100" s="95">
        <v>54</v>
      </c>
      <c r="Y100" s="95">
        <v>62.5</v>
      </c>
      <c r="Z100" s="95">
        <v>82</v>
      </c>
      <c r="AA100" s="95">
        <v>86</v>
      </c>
      <c r="AB100" s="95">
        <v>75.900000000000006</v>
      </c>
      <c r="AC100" s="95">
        <v>79.2</v>
      </c>
      <c r="AD100" s="95">
        <v>78.3</v>
      </c>
      <c r="AE100" s="95">
        <v>74.5</v>
      </c>
      <c r="AF100" s="95">
        <v>83.2</v>
      </c>
      <c r="AG100" s="114"/>
      <c r="AH100" s="54">
        <f t="shared" si="16"/>
        <v>86</v>
      </c>
      <c r="AI100" s="108">
        <f t="shared" si="17"/>
        <v>0.8125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1339.14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1244.44</v>
      </c>
      <c r="U214" s="161">
        <f t="shared" si="54"/>
        <v>1197.24</v>
      </c>
      <c r="V214" s="161">
        <f t="shared" si="54"/>
        <v>1180.2400000000002</v>
      </c>
      <c r="W214" s="161">
        <f t="shared" si="54"/>
        <v>1197.3400000000001</v>
      </c>
      <c r="X214" s="161">
        <f t="shared" si="54"/>
        <v>1167.44</v>
      </c>
      <c r="Y214" s="161">
        <f t="shared" si="54"/>
        <v>1200.1399999999999</v>
      </c>
      <c r="Z214" s="161">
        <f t="shared" si="54"/>
        <v>1189.74</v>
      </c>
      <c r="AA214" s="161">
        <f t="shared" si="54"/>
        <v>1182.2399999999998</v>
      </c>
      <c r="AB214" s="161">
        <f t="shared" si="54"/>
        <v>1205.44</v>
      </c>
      <c r="AC214" s="161">
        <f t="shared" si="54"/>
        <v>1261.94</v>
      </c>
      <c r="AD214" s="161">
        <f t="shared" si="54"/>
        <v>1306.8400000000001</v>
      </c>
      <c r="AE214" s="161">
        <f t="shared" si="54"/>
        <v>1315.3400000000001</v>
      </c>
      <c r="AF214" s="161">
        <f t="shared" si="54"/>
        <v>1339.14</v>
      </c>
      <c r="AG214" s="161">
        <f t="shared" si="54"/>
        <v>1355.3400000000001</v>
      </c>
      <c r="AH214" s="161">
        <f t="shared" si="54"/>
        <v>1376.24</v>
      </c>
      <c r="AI214" s="161">
        <f t="shared" si="54"/>
        <v>1345.54</v>
      </c>
      <c r="AJ214" s="161">
        <f t="shared" si="54"/>
        <v>1350.54</v>
      </c>
      <c r="AK214" s="161">
        <f t="shared" si="54"/>
        <v>11.54</v>
      </c>
      <c r="AL214" s="161">
        <f t="shared" si="54"/>
        <v>1376.54</v>
      </c>
      <c r="AM214" s="161">
        <f t="shared" si="54"/>
        <v>1313.44</v>
      </c>
      <c r="AN214" s="161">
        <f t="shared" si="54"/>
        <v>1314.1399999999999</v>
      </c>
      <c r="AO214" s="161">
        <f t="shared" si="54"/>
        <v>1297.3800000000001</v>
      </c>
      <c r="AP214" s="161">
        <f t="shared" si="54"/>
        <v>1290.8400000000001</v>
      </c>
      <c r="AQ214" s="161">
        <f t="shared" si="54"/>
        <v>1337.06</v>
      </c>
      <c r="AR214" s="161">
        <f t="shared" si="54"/>
        <v>1372.52</v>
      </c>
      <c r="AS214" s="161">
        <f t="shared" si="54"/>
        <v>1494.94</v>
      </c>
      <c r="AT214" s="161">
        <f t="shared" si="54"/>
        <v>1465.9</v>
      </c>
      <c r="AU214" s="161">
        <f t="shared" si="54"/>
        <v>1452.74</v>
      </c>
      <c r="AV214" s="161">
        <f t="shared" si="54"/>
        <v>1384.84</v>
      </c>
      <c r="AW214" s="161">
        <f t="shared" si="54"/>
        <v>1366.24</v>
      </c>
      <c r="AX214" s="161">
        <f t="shared" si="54"/>
        <v>1377.2400000000002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7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J74:AF74 T11:AF11">
    <cfRule type="expression" dxfId="5949" priority="233">
      <formula>B$9&gt;=20/24</formula>
    </cfRule>
    <cfRule type="expression" dxfId="5948" priority="234">
      <formula>AND(B$9&gt;=14/24,B$9&lt;20/24)</formula>
    </cfRule>
    <cfRule type="expression" dxfId="5947" priority="235">
      <formula>AND(B$9&gt;=8/24,B$9&lt;14/24)</formula>
    </cfRule>
    <cfRule type="expression" dxfId="5946" priority="236">
      <formula>B$9&lt;8/24</formula>
    </cfRule>
  </conditionalFormatting>
  <conditionalFormatting sqref="AL4:AL6">
    <cfRule type="iconSet" priority="23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945" priority="228">
      <formula>S$9&gt;=20/24</formula>
    </cfRule>
    <cfRule type="expression" dxfId="5944" priority="229">
      <formula>AND(S$9&gt;=14/24,S$9&lt;20/24)</formula>
    </cfRule>
    <cfRule type="expression" dxfId="5943" priority="230">
      <formula>AND(S$9&gt;=8/24,S$9&lt;14/24)</formula>
    </cfRule>
    <cfRule type="expression" dxfId="5942" priority="231">
      <formula>S$9&lt;8/24</formula>
    </cfRule>
  </conditionalFormatting>
  <conditionalFormatting sqref="AG51 S37:AF37 J11:AF11">
    <cfRule type="expression" dxfId="5941" priority="227">
      <formula>J11&gt;$AG11</formula>
    </cfRule>
  </conditionalFormatting>
  <conditionalFormatting sqref="A101:A157 A84:A97 A11:A14 A16:A32 A45:A72 A80:A82 A74:A78 A35:A43 A170:A200">
    <cfRule type="expression" dxfId="5940" priority="226">
      <formula>$AH11=0</formula>
    </cfRule>
  </conditionalFormatting>
  <conditionalFormatting sqref="A98">
    <cfRule type="expression" dxfId="5939" priority="225">
      <formula>$AH98=0</formula>
    </cfRule>
  </conditionalFormatting>
  <conditionalFormatting sqref="AL32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938" priority="223">
      <formula>$AH34=0</formula>
    </cfRule>
  </conditionalFormatting>
  <conditionalFormatting sqref="A83">
    <cfRule type="expression" dxfId="5937" priority="222">
      <formula>$AH83=0</formula>
    </cfRule>
  </conditionalFormatting>
  <conditionalFormatting sqref="A15">
    <cfRule type="expression" dxfId="5936" priority="221">
      <formula>$AH15=0</formula>
    </cfRule>
  </conditionalFormatting>
  <conditionalFormatting sqref="A164:A169">
    <cfRule type="expression" dxfId="5935" priority="220">
      <formula>$AH164=0</formula>
    </cfRule>
  </conditionalFormatting>
  <conditionalFormatting sqref="A158:A163">
    <cfRule type="expression" dxfId="5934" priority="219">
      <formula>$AH158=0</formula>
    </cfRule>
  </conditionalFormatting>
  <conditionalFormatting sqref="A44">
    <cfRule type="expression" dxfId="5933" priority="218">
      <formula>$AH44=0</formula>
    </cfRule>
  </conditionalFormatting>
  <conditionalFormatting sqref="A79">
    <cfRule type="expression" dxfId="5932" priority="217">
      <formula>$AH79=0</formula>
    </cfRule>
  </conditionalFormatting>
  <conditionalFormatting sqref="A73">
    <cfRule type="expression" dxfId="5931" priority="216">
      <formula>$AH73=0</formula>
    </cfRule>
  </conditionalFormatting>
  <conditionalFormatting sqref="AL34:AL35 AL7:AL31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930" priority="212">
      <formula>C$9&gt;=20/24</formula>
    </cfRule>
    <cfRule type="expression" dxfId="5929" priority="213">
      <formula>AND(C$9&gt;=14/24,C$9&lt;20/24)</formula>
    </cfRule>
    <cfRule type="expression" dxfId="5928" priority="214">
      <formula>AND(C$9&gt;=8/24,C$9&lt;14/24)</formula>
    </cfRule>
    <cfRule type="expression" dxfId="5927" priority="215">
      <formula>C$9&lt;8/24</formula>
    </cfRule>
  </conditionalFormatting>
  <conditionalFormatting sqref="AL33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926" priority="240">
      <formula>C$9&gt;=20/24</formula>
    </cfRule>
    <cfRule type="expression" dxfId="5925" priority="241">
      <formula>AND(C$9&gt;=14/24,C$9&lt;20/24)</formula>
    </cfRule>
    <cfRule type="expression" dxfId="5924" priority="242">
      <formula>AND(C$9&gt;=8/24,C$9&lt;14/24)</formula>
    </cfRule>
    <cfRule type="expression" dxfId="5923" priority="243">
      <formula>C$9&lt;8/24</formula>
    </cfRule>
  </conditionalFormatting>
  <conditionalFormatting sqref="A201">
    <cfRule type="expression" dxfId="5922" priority="244">
      <formula>$AH201=0</formula>
    </cfRule>
  </conditionalFormatting>
  <conditionalFormatting sqref="AG213">
    <cfRule type="expression" dxfId="5921" priority="245">
      <formula>B$9&gt;=20/24</formula>
    </cfRule>
    <cfRule type="expression" dxfId="5920" priority="246">
      <formula>AND(B$9&gt;=14/24,B$9&lt;20/24)</formula>
    </cfRule>
    <cfRule type="expression" dxfId="5919" priority="247">
      <formula>AND(B$9&gt;=8/24,B$9&lt;14/24)</formula>
    </cfRule>
    <cfRule type="expression" dxfId="5918" priority="248">
      <formula>B$9&lt;8/24</formula>
    </cfRule>
  </conditionalFormatting>
  <conditionalFormatting sqref="S8">
    <cfRule type="expression" dxfId="5917" priority="206">
      <formula>U$9&gt;=20/24</formula>
    </cfRule>
    <cfRule type="expression" dxfId="5916" priority="207">
      <formula>AND(U$9&gt;=14/24,U$9&lt;20/24)</formula>
    </cfRule>
    <cfRule type="expression" dxfId="5915" priority="208">
      <formula>AND(U$9&gt;=8/24,U$9&lt;14/24)</formula>
    </cfRule>
    <cfRule type="expression" dxfId="5914" priority="209">
      <formula>U$9&lt;8/24</formula>
    </cfRule>
  </conditionalFormatting>
  <conditionalFormatting sqref="AB8">
    <cfRule type="expression" dxfId="5913" priority="202">
      <formula>AD$9&gt;=20/24</formula>
    </cfRule>
    <cfRule type="expression" dxfId="5912" priority="203">
      <formula>AND(AD$9&gt;=14/24,AD$9&lt;20/24)</formula>
    </cfRule>
    <cfRule type="expression" dxfId="5911" priority="204">
      <formula>AND(AD$9&gt;=8/24,AD$9&lt;14/24)</formula>
    </cfRule>
    <cfRule type="expression" dxfId="5910" priority="205">
      <formula>AD$9&lt;8/24</formula>
    </cfRule>
  </conditionalFormatting>
  <conditionalFormatting sqref="AH213:AX213">
    <cfRule type="expression" dxfId="5909" priority="249">
      <formula>AG$9&gt;=20/24</formula>
    </cfRule>
    <cfRule type="expression" dxfId="5908" priority="250">
      <formula>AND(AG$9&gt;=14/24,AG$9&lt;20/24)</formula>
    </cfRule>
    <cfRule type="expression" dxfId="5907" priority="251">
      <formula>AND(AG$9&gt;=8/24,AG$9&lt;14/24)</formula>
    </cfRule>
    <cfRule type="expression" dxfId="5906" priority="252">
      <formula>AG$9&lt;8/24</formula>
    </cfRule>
  </conditionalFormatting>
  <conditionalFormatting sqref="T213">
    <cfRule type="expression" dxfId="5905" priority="253">
      <formula>AX$9&gt;=20/24</formula>
    </cfRule>
    <cfRule type="expression" dxfId="5904" priority="254">
      <formula>AND(AX$9&gt;=14/24,AX$9&lt;20/24)</formula>
    </cfRule>
    <cfRule type="expression" dxfId="5903" priority="255">
      <formula>AND(AX$9&gt;=8/24,AX$9&lt;14/24)</formula>
    </cfRule>
    <cfRule type="expression" dxfId="5902" priority="256">
      <formula>AX$9&lt;8/24</formula>
    </cfRule>
  </conditionalFormatting>
  <conditionalFormatting sqref="A99:A100">
    <cfRule type="expression" dxfId="5901" priority="201">
      <formula>$AH99=0</formula>
    </cfRule>
  </conditionalFormatting>
  <conditionalFormatting sqref="E11:I11 E40:L41 C57:AF57 S40:AF41 AA36:AF36">
    <cfRule type="expression" dxfId="5900" priority="197">
      <formula>C$9&gt;=20/24</formula>
    </cfRule>
    <cfRule type="expression" dxfId="5899" priority="198">
      <formula>AND(C$9&gt;=14/24,C$9&lt;20/24)</formula>
    </cfRule>
    <cfRule type="expression" dxfId="5898" priority="199">
      <formula>AND(C$9&gt;=8/24,C$9&lt;14/24)</formula>
    </cfRule>
    <cfRule type="expression" dxfId="5897" priority="200">
      <formula>C$9&lt;8/24</formula>
    </cfRule>
  </conditionalFormatting>
  <conditionalFormatting sqref="E39:L39 S39:AF39">
    <cfRule type="expression" dxfId="5896" priority="193">
      <formula>E$9&gt;=20/24</formula>
    </cfRule>
    <cfRule type="expression" dxfId="5895" priority="194">
      <formula>AND(E$9&gt;=14/24,E$9&lt;20/24)</formula>
    </cfRule>
    <cfRule type="expression" dxfId="5894" priority="195">
      <formula>AND(E$9&gt;=8/24,E$9&lt;14/24)</formula>
    </cfRule>
    <cfRule type="expression" dxfId="5893" priority="196">
      <formula>E$9&lt;8/24</formula>
    </cfRule>
  </conditionalFormatting>
  <conditionalFormatting sqref="E11:I11 E39:L41 S39:AF41 AA36:AF36">
    <cfRule type="expression" dxfId="5892" priority="192">
      <formula>E11&gt;$AG11</formula>
    </cfRule>
  </conditionalFormatting>
  <conditionalFormatting sqref="M11:N11 C83:AF83 C75:AF81 C68:AF73 C58:F63 E12:N14 C67:L67 G61:L63 S12:S14 N36:S36 M16:S16 N28:S31 N18:S22 N24:S26 O11:R14 G58:R60 M61:R67 C53:AF56 C85:AF91 AA12:AF14 AA24:AF26 AA18:AF22 AA28:AF31 AA16:AF16 S58:AF67">
    <cfRule type="expression" dxfId="5891" priority="188">
      <formula>C$9&gt;=20/24</formula>
    </cfRule>
    <cfRule type="expression" dxfId="5890" priority="189">
      <formula>AND(C$9&gt;=14/24,C$9&lt;20/24)</formula>
    </cfRule>
    <cfRule type="expression" dxfId="5889" priority="190">
      <formula>AND(C$9&gt;=8/24,C$9&lt;14/24)</formula>
    </cfRule>
    <cfRule type="expression" dxfId="5888" priority="191">
      <formula>C$9&lt;8/24</formula>
    </cfRule>
  </conditionalFormatting>
  <conditionalFormatting sqref="N32:S32 AA32:AF32">
    <cfRule type="expression" dxfId="5887" priority="184">
      <formula>N$9&gt;=20/24</formula>
    </cfRule>
    <cfRule type="expression" dxfId="5886" priority="185">
      <formula>AND(N$9&gt;=14/24,N$9&lt;20/24)</formula>
    </cfRule>
    <cfRule type="expression" dxfId="5885" priority="186">
      <formula>AND(N$9&gt;=8/24,N$9&lt;14/24)</formula>
    </cfRule>
    <cfRule type="expression" dxfId="5884" priority="187">
      <formula>N$9&lt;8/24</formula>
    </cfRule>
  </conditionalFormatting>
  <conditionalFormatting sqref="N35:S35 AA35:AF35">
    <cfRule type="expression" dxfId="5883" priority="180">
      <formula>N$9&gt;=20/24</formula>
    </cfRule>
    <cfRule type="expression" dxfId="5882" priority="181">
      <formula>AND(N$9&gt;=14/24,N$9&lt;20/24)</formula>
    </cfRule>
    <cfRule type="expression" dxfId="5881" priority="182">
      <formula>AND(N$9&gt;=8/24,N$9&lt;14/24)</formula>
    </cfRule>
    <cfRule type="expression" dxfId="5880" priority="183">
      <formula>N$9&lt;8/24</formula>
    </cfRule>
  </conditionalFormatting>
  <conditionalFormatting sqref="C38:AF38 N34:N36 E42:L43 E12:L15 J44:L44 E37:N37 S12:S16 S34:S36 N18:S22 N24:S32 M11:R16 O34:R37 C51:AF56 AA24:AF32 AA18:AF22 AA34:AF35 AA12:AF16 AB42:AF43">
    <cfRule type="expression" dxfId="5879" priority="179">
      <formula>C11&gt;$AG11</formula>
    </cfRule>
  </conditionalFormatting>
  <conditionalFormatting sqref="N34:S34 AA34:AF34">
    <cfRule type="expression" dxfId="5878" priority="175">
      <formula>N$9&gt;=20/24</formula>
    </cfRule>
    <cfRule type="expression" dxfId="5877" priority="176">
      <formula>AND(N$9&gt;=14/24,N$9&lt;20/24)</formula>
    </cfRule>
    <cfRule type="expression" dxfId="5876" priority="177">
      <formula>AND(N$9&gt;=8/24,N$9&lt;14/24)</formula>
    </cfRule>
    <cfRule type="expression" dxfId="5875" priority="178">
      <formula>N$9&lt;8/24</formula>
    </cfRule>
  </conditionalFormatting>
  <conditionalFormatting sqref="E15:S15 AA15:AF15">
    <cfRule type="expression" dxfId="5874" priority="171">
      <formula>E$9&gt;=20/24</formula>
    </cfRule>
    <cfRule type="expression" dxfId="5873" priority="172">
      <formula>AND(E$9&gt;=14/24,E$9&lt;20/24)</formula>
    </cfRule>
    <cfRule type="expression" dxfId="5872" priority="173">
      <formula>AND(E$9&gt;=8/24,E$9&lt;14/24)</formula>
    </cfRule>
    <cfRule type="expression" dxfId="5871" priority="174">
      <formula>E$9&lt;8/24</formula>
    </cfRule>
  </conditionalFormatting>
  <conditionalFormatting sqref="N33:S33 AA33:AF33">
    <cfRule type="expression" dxfId="5870" priority="167">
      <formula>N$9&gt;=20/24</formula>
    </cfRule>
    <cfRule type="expression" dxfId="5869" priority="168">
      <formula>AND(N$9&gt;=14/24,N$9&lt;20/24)</formula>
    </cfRule>
    <cfRule type="expression" dxfId="5868" priority="169">
      <formula>AND(N$9&gt;=8/24,N$9&lt;14/24)</formula>
    </cfRule>
    <cfRule type="expression" dxfId="5867" priority="170">
      <formula>N$9&lt;8/24</formula>
    </cfRule>
  </conditionalFormatting>
  <conditionalFormatting sqref="N33:S33 AA33:AF33">
    <cfRule type="expression" dxfId="5866" priority="166">
      <formula>N33&gt;$AG33</formula>
    </cfRule>
  </conditionalFormatting>
  <conditionalFormatting sqref="S11">
    <cfRule type="expression" dxfId="5865" priority="162">
      <formula>S$9&gt;=20/24</formula>
    </cfRule>
    <cfRule type="expression" dxfId="5864" priority="163">
      <formula>AND(S$9&gt;=14/24,S$9&lt;20/24)</formula>
    </cfRule>
    <cfRule type="expression" dxfId="5863" priority="164">
      <formula>AND(S$9&gt;=8/24,S$9&lt;14/24)</formula>
    </cfRule>
    <cfRule type="expression" dxfId="5862" priority="165">
      <formula>S$9&lt;8/24</formula>
    </cfRule>
  </conditionalFormatting>
  <conditionalFormatting sqref="Z42:AA43 W42:Y42 AD44:AF50">
    <cfRule type="expression" dxfId="5861" priority="158">
      <formula>W$9&gt;=20/24</formula>
    </cfRule>
    <cfRule type="expression" dxfId="5860" priority="159">
      <formula>AND(W$9&gt;=14/24,W$9&lt;20/24)</formula>
    </cfRule>
    <cfRule type="expression" dxfId="5859" priority="160">
      <formula>AND(W$9&gt;=8/24,W$9&lt;14/24)</formula>
    </cfRule>
    <cfRule type="expression" dxfId="5858" priority="161">
      <formula>W$9&lt;8/24</formula>
    </cfRule>
  </conditionalFormatting>
  <conditionalFormatting sqref="Z42:AA43 W42:Y42 AD44:AF50">
    <cfRule type="expression" dxfId="5857" priority="157">
      <formula>W42&gt;$AG42</formula>
    </cfRule>
  </conditionalFormatting>
  <conditionalFormatting sqref="M39:R50 S42:V50 W43:Y50 Z44:AC50">
    <cfRule type="expression" dxfId="5856" priority="153">
      <formula>M$9&gt;=20/24</formula>
    </cfRule>
    <cfRule type="expression" dxfId="5855" priority="154">
      <formula>AND(M$9&gt;=14/24,M$9&lt;20/24)</formula>
    </cfRule>
    <cfRule type="expression" dxfId="5854" priority="155">
      <formula>AND(M$9&gt;=8/24,M$9&lt;14/24)</formula>
    </cfRule>
    <cfRule type="expression" dxfId="5853" priority="156">
      <formula>M$9&lt;8/24</formula>
    </cfRule>
  </conditionalFormatting>
  <conditionalFormatting sqref="M39:R50 S42:V50 W43:Y50 Z44:AC50">
    <cfRule type="expression" dxfId="5852" priority="152">
      <formula>M39&gt;$AG39</formula>
    </cfRule>
  </conditionalFormatting>
  <conditionalFormatting sqref="N27:S27 AA27:AF27">
    <cfRule type="expression" dxfId="5851" priority="148">
      <formula>N$9&gt;=20/24</formula>
    </cfRule>
    <cfRule type="expression" dxfId="5850" priority="149">
      <formula>AND(N$9&gt;=14/24,N$9&lt;20/24)</formula>
    </cfRule>
    <cfRule type="expression" dxfId="5849" priority="150">
      <formula>AND(N$9&gt;=8/24,N$9&lt;14/24)</formula>
    </cfRule>
    <cfRule type="expression" dxfId="5848" priority="151">
      <formula>N$9&lt;8/24</formula>
    </cfRule>
  </conditionalFormatting>
  <conditionalFormatting sqref="C11:D11 C74:I74 F16:L16 N23:S23 N17:S17 AA17:AF17 AA23:AF23">
    <cfRule type="expression" dxfId="5847" priority="144">
      <formula>C$9&gt;=20/24</formula>
    </cfRule>
    <cfRule type="expression" dxfId="5846" priority="145">
      <formula>AND(C$9&gt;=14/24,C$9&lt;20/24)</formula>
    </cfRule>
    <cfRule type="expression" dxfId="5845" priority="146">
      <formula>AND(C$9&gt;=8/24,C$9&lt;14/24)</formula>
    </cfRule>
    <cfRule type="expression" dxfId="5844" priority="147">
      <formula>C$9&lt;8/24</formula>
    </cfRule>
  </conditionalFormatting>
  <conditionalFormatting sqref="C11:D11 F16:L16 N23:S23 N17:S17 AA17:AF17 AA23:AF23">
    <cfRule type="expression" dxfId="5843" priority="135">
      <formula>C11&gt;$AG11</formula>
    </cfRule>
  </conditionalFormatting>
  <conditionalFormatting sqref="C40:D41">
    <cfRule type="expression" dxfId="5842" priority="122">
      <formula>C$9&gt;=20/24</formula>
    </cfRule>
    <cfRule type="expression" dxfId="5841" priority="123">
      <formula>AND(C$9&gt;=14/24,C$9&lt;20/24)</formula>
    </cfRule>
    <cfRule type="expression" dxfId="5840" priority="124">
      <formula>AND(C$9&gt;=8/24,C$9&lt;14/24)</formula>
    </cfRule>
    <cfRule type="expression" dxfId="5839" priority="125">
      <formula>C$9&lt;8/24</formula>
    </cfRule>
  </conditionalFormatting>
  <conditionalFormatting sqref="C39:D39">
    <cfRule type="expression" dxfId="5838" priority="118">
      <formula>C$9&gt;=20/24</formula>
    </cfRule>
    <cfRule type="expression" dxfId="5837" priority="119">
      <formula>AND(C$9&gt;=14/24,C$9&lt;20/24)</formula>
    </cfRule>
    <cfRule type="expression" dxfId="5836" priority="120">
      <formula>AND(C$9&gt;=8/24,C$9&lt;14/24)</formula>
    </cfRule>
    <cfRule type="expression" dxfId="5835" priority="121">
      <formula>C$9&lt;8/24</formula>
    </cfRule>
  </conditionalFormatting>
  <conditionalFormatting sqref="C39:D41">
    <cfRule type="expression" dxfId="5834" priority="117">
      <formula>C39&gt;$AG39</formula>
    </cfRule>
  </conditionalFormatting>
  <conditionalFormatting sqref="C64:L66">
    <cfRule type="expression" dxfId="5833" priority="113">
      <formula>C$9&gt;=20/24</formula>
    </cfRule>
    <cfRule type="expression" dxfId="5832" priority="114">
      <formula>AND(C$9&gt;=14/24,C$9&lt;20/24)</formula>
    </cfRule>
    <cfRule type="expression" dxfId="5831" priority="115">
      <formula>AND(C$9&gt;=8/24,C$9&lt;14/24)</formula>
    </cfRule>
    <cfRule type="expression" dxfId="5830" priority="116">
      <formula>C$9&lt;8/24</formula>
    </cfRule>
  </conditionalFormatting>
  <conditionalFormatting sqref="D42:D43">
    <cfRule type="expression" dxfId="5829" priority="112">
      <formula>D42&gt;$AG42</formula>
    </cfRule>
  </conditionalFormatting>
  <conditionalFormatting sqref="K48:L48 J45:L45">
    <cfRule type="expression" dxfId="5828" priority="108">
      <formula>J$9&gt;=20/24</formula>
    </cfRule>
    <cfRule type="expression" dxfId="5827" priority="109">
      <formula>AND(J$9&gt;=14/24,J$9&lt;20/24)</formula>
    </cfRule>
    <cfRule type="expression" dxfId="5826" priority="110">
      <formula>AND(J$9&gt;=8/24,J$9&lt;14/24)</formula>
    </cfRule>
    <cfRule type="expression" dxfId="5825" priority="111">
      <formula>J$9&lt;8/24</formula>
    </cfRule>
  </conditionalFormatting>
  <conditionalFormatting sqref="K48:L48 J45:L45">
    <cfRule type="expression" dxfId="5824" priority="107">
      <formula>J45&gt;$AG45</formula>
    </cfRule>
  </conditionalFormatting>
  <conditionalFormatting sqref="B82 B74 B94:B100 B11">
    <cfRule type="expression" dxfId="5823" priority="94">
      <formula>B$9&gt;=20/24</formula>
    </cfRule>
    <cfRule type="expression" dxfId="5822" priority="95">
      <formula>AND(B$9&gt;=14/24,B$9&lt;20/24)</formula>
    </cfRule>
    <cfRule type="expression" dxfId="5821" priority="96">
      <formula>AND(B$9&gt;=8/24,B$9&lt;14/24)</formula>
    </cfRule>
    <cfRule type="expression" dxfId="5820" priority="97">
      <formula>B$9&lt;8/24</formula>
    </cfRule>
  </conditionalFormatting>
  <conditionalFormatting sqref="B37:D37">
    <cfRule type="expression" dxfId="5819" priority="90">
      <formula>B$9&gt;=20/24</formula>
    </cfRule>
    <cfRule type="expression" dxfId="5818" priority="91">
      <formula>AND(B$9&gt;=14/24,B$9&lt;20/24)</formula>
    </cfRule>
    <cfRule type="expression" dxfId="5817" priority="92">
      <formula>AND(B$9&gt;=8/24,B$9&lt;14/24)</formula>
    </cfRule>
    <cfRule type="expression" dxfId="5816" priority="93">
      <formula>B$9&lt;8/24</formula>
    </cfRule>
  </conditionalFormatting>
  <conditionalFormatting sqref="B11 B37:D37">
    <cfRule type="expression" dxfId="5815" priority="89">
      <formula>B11&gt;$AG11</formula>
    </cfRule>
  </conditionalFormatting>
  <conditionalFormatting sqref="B84">
    <cfRule type="expression" dxfId="5814" priority="85">
      <formula>B$9&gt;=20/24</formula>
    </cfRule>
    <cfRule type="expression" dxfId="5813" priority="86">
      <formula>AND(B$9&gt;=14/24,B$9&lt;20/24)</formula>
    </cfRule>
    <cfRule type="expression" dxfId="5812" priority="87">
      <formula>AND(B$9&gt;=8/24,B$9&lt;14/24)</formula>
    </cfRule>
    <cfRule type="expression" dxfId="5811" priority="88">
      <formula>B$9&lt;8/24</formula>
    </cfRule>
  </conditionalFormatting>
  <conditionalFormatting sqref="B40:B41 B57 B36:M36">
    <cfRule type="expression" dxfId="5810" priority="81">
      <formula>B$9&gt;=20/24</formula>
    </cfRule>
    <cfRule type="expression" dxfId="5809" priority="82">
      <formula>AND(B$9&gt;=14/24,B$9&lt;20/24)</formula>
    </cfRule>
    <cfRule type="expression" dxfId="5808" priority="83">
      <formula>AND(B$9&gt;=8/24,B$9&lt;14/24)</formula>
    </cfRule>
    <cfRule type="expression" dxfId="5807" priority="84">
      <formula>B$9&lt;8/24</formula>
    </cfRule>
  </conditionalFormatting>
  <conditionalFormatting sqref="B39">
    <cfRule type="expression" dxfId="5806" priority="77">
      <formula>B$9&gt;=20/24</formula>
    </cfRule>
    <cfRule type="expression" dxfId="5805" priority="78">
      <formula>AND(B$9&gt;=14/24,B$9&lt;20/24)</formula>
    </cfRule>
    <cfRule type="expression" dxfId="5804" priority="79">
      <formula>AND(B$9&gt;=8/24,B$9&lt;14/24)</formula>
    </cfRule>
    <cfRule type="expression" dxfId="5803" priority="80">
      <formula>B$9&lt;8/24</formula>
    </cfRule>
  </conditionalFormatting>
  <conditionalFormatting sqref="B39:B41 B36:M36">
    <cfRule type="expression" dxfId="5802" priority="76">
      <formula>B36&gt;$AG36</formula>
    </cfRule>
  </conditionalFormatting>
  <conditionalFormatting sqref="B83 B75:B81 B85:B91 B53:B56 B58:B73 B12:D14 B16:E16 B28:M31 B18:M22 B24:M26">
    <cfRule type="expression" dxfId="5801" priority="72">
      <formula>B$9&gt;=20/24</formula>
    </cfRule>
    <cfRule type="expression" dxfId="5800" priority="73">
      <formula>AND(B$9&gt;=14/24,B$9&lt;20/24)</formula>
    </cfRule>
    <cfRule type="expression" dxfId="5799" priority="74">
      <formula>AND(B$9&gt;=8/24,B$9&lt;14/24)</formula>
    </cfRule>
    <cfRule type="expression" dxfId="5798" priority="75">
      <formula>B$9&lt;8/24</formula>
    </cfRule>
  </conditionalFormatting>
  <conditionalFormatting sqref="B32:M32">
    <cfRule type="expression" dxfId="5797" priority="68">
      <formula>B$9&gt;=20/24</formula>
    </cfRule>
    <cfRule type="expression" dxfId="5796" priority="69">
      <formula>AND(B$9&gt;=14/24,B$9&lt;20/24)</formula>
    </cfRule>
    <cfRule type="expression" dxfId="5795" priority="70">
      <formula>AND(B$9&gt;=8/24,B$9&lt;14/24)</formula>
    </cfRule>
    <cfRule type="expression" dxfId="5794" priority="71">
      <formula>B$9&lt;8/24</formula>
    </cfRule>
  </conditionalFormatting>
  <conditionalFormatting sqref="B35:M35">
    <cfRule type="expression" dxfId="5793" priority="64">
      <formula>B$9&gt;=20/24</formula>
    </cfRule>
    <cfRule type="expression" dxfId="5792" priority="65">
      <formula>AND(B$9&gt;=14/24,B$9&lt;20/24)</formula>
    </cfRule>
    <cfRule type="expression" dxfId="5791" priority="66">
      <formula>AND(B$9&gt;=8/24,B$9&lt;14/24)</formula>
    </cfRule>
    <cfRule type="expression" dxfId="5790" priority="67">
      <formula>B$9&lt;8/24</formula>
    </cfRule>
  </conditionalFormatting>
  <conditionalFormatting sqref="B38 B51:B56 B42:C43 B12:D16 E16 B34:M35 B18:M22 B24:M32">
    <cfRule type="expression" dxfId="5789" priority="63">
      <formula>B12&gt;$AG12</formula>
    </cfRule>
  </conditionalFormatting>
  <conditionalFormatting sqref="B34:M34">
    <cfRule type="expression" dxfId="5788" priority="59">
      <formula>B$9&gt;=20/24</formula>
    </cfRule>
    <cfRule type="expression" dxfId="5787" priority="60">
      <formula>AND(B$9&gt;=14/24,B$9&lt;20/24)</formula>
    </cfRule>
    <cfRule type="expression" dxfId="5786" priority="61">
      <formula>AND(B$9&gt;=8/24,B$9&lt;14/24)</formula>
    </cfRule>
    <cfRule type="expression" dxfId="5785" priority="62">
      <formula>B$9&lt;8/24</formula>
    </cfRule>
  </conditionalFormatting>
  <conditionalFormatting sqref="B15:D15">
    <cfRule type="expression" dxfId="5784" priority="55">
      <formula>B$9&gt;=20/24</formula>
    </cfRule>
    <cfRule type="expression" dxfId="5783" priority="56">
      <formula>AND(B$9&gt;=14/24,B$9&lt;20/24)</formula>
    </cfRule>
    <cfRule type="expression" dxfId="5782" priority="57">
      <formula>AND(B$9&gt;=8/24,B$9&lt;14/24)</formula>
    </cfRule>
    <cfRule type="expression" dxfId="5781" priority="58">
      <formula>B$9&lt;8/24</formula>
    </cfRule>
  </conditionalFormatting>
  <conditionalFormatting sqref="B33:M33">
    <cfRule type="expression" dxfId="5780" priority="51">
      <formula>B$9&gt;=20/24</formula>
    </cfRule>
    <cfRule type="expression" dxfId="5779" priority="52">
      <formula>AND(B$9&gt;=14/24,B$9&lt;20/24)</formula>
    </cfRule>
    <cfRule type="expression" dxfId="5778" priority="53">
      <formula>AND(B$9&gt;=8/24,B$9&lt;14/24)</formula>
    </cfRule>
    <cfRule type="expression" dxfId="5777" priority="54">
      <formula>B$9&lt;8/24</formula>
    </cfRule>
  </conditionalFormatting>
  <conditionalFormatting sqref="B33:M33">
    <cfRule type="expression" dxfId="5776" priority="50">
      <formula>B33&gt;$AG33</formula>
    </cfRule>
  </conditionalFormatting>
  <conditionalFormatting sqref="B44:I50 J46:J50 K46:L47 K49:L50">
    <cfRule type="expression" dxfId="5775" priority="46">
      <formula>B$9&gt;=20/24</formula>
    </cfRule>
    <cfRule type="expression" dxfId="5774" priority="47">
      <formula>AND(B$9&gt;=14/24,B$9&lt;20/24)</formula>
    </cfRule>
    <cfRule type="expression" dxfId="5773" priority="48">
      <formula>AND(B$9&gt;=8/24,B$9&lt;14/24)</formula>
    </cfRule>
    <cfRule type="expression" dxfId="5772" priority="49">
      <formula>B$9&lt;8/24</formula>
    </cfRule>
  </conditionalFormatting>
  <conditionalFormatting sqref="B44:I50 J46:J50 K46:L47 K49:L50">
    <cfRule type="expression" dxfId="5771" priority="45">
      <formula>B44&gt;$AG44</formula>
    </cfRule>
  </conditionalFormatting>
  <conditionalFormatting sqref="B27:M27">
    <cfRule type="expression" dxfId="5770" priority="41">
      <formula>B$9&gt;=20/24</formula>
    </cfRule>
    <cfRule type="expression" dxfId="5769" priority="42">
      <formula>AND(B$9&gt;=14/24,B$9&lt;20/24)</formula>
    </cfRule>
    <cfRule type="expression" dxfId="5768" priority="43">
      <formula>AND(B$9&gt;=8/24,B$9&lt;14/24)</formula>
    </cfRule>
    <cfRule type="expression" dxfId="5767" priority="44">
      <formula>B$9&lt;8/24</formula>
    </cfRule>
  </conditionalFormatting>
  <conditionalFormatting sqref="B23:M23 B17:M17">
    <cfRule type="expression" dxfId="5766" priority="37">
      <formula>B$9&gt;=20/24</formula>
    </cfRule>
    <cfRule type="expression" dxfId="5765" priority="38">
      <formula>AND(B$9&gt;=14/24,B$9&lt;20/24)</formula>
    </cfRule>
    <cfRule type="expression" dxfId="5764" priority="39">
      <formula>AND(B$9&gt;=8/24,B$9&lt;14/24)</formula>
    </cfRule>
    <cfRule type="expression" dxfId="5763" priority="40">
      <formula>B$9&lt;8/24</formula>
    </cfRule>
  </conditionalFormatting>
  <conditionalFormatting sqref="B23:M23 B17:M17">
    <cfRule type="expression" dxfId="5762" priority="36">
      <formula>B17&gt;$AG17</formula>
    </cfRule>
  </conditionalFormatting>
  <conditionalFormatting sqref="T36:Z36 T16:Z16 T28:Z31 T18:Z22 T24:Z26 T12:Z14">
    <cfRule type="expression" dxfId="5761" priority="32">
      <formula>T$9&gt;=20/24</formula>
    </cfRule>
    <cfRule type="expression" dxfId="5760" priority="33">
      <formula>AND(T$9&gt;=14/24,T$9&lt;20/24)</formula>
    </cfRule>
    <cfRule type="expression" dxfId="5759" priority="34">
      <formula>AND(T$9&gt;=8/24,T$9&lt;14/24)</formula>
    </cfRule>
    <cfRule type="expression" dxfId="5758" priority="35">
      <formula>T$9&lt;8/24</formula>
    </cfRule>
  </conditionalFormatting>
  <conditionalFormatting sqref="T32:Z32">
    <cfRule type="expression" dxfId="5757" priority="28">
      <formula>T$9&gt;=20/24</formula>
    </cfRule>
    <cfRule type="expression" dxfId="5756" priority="29">
      <formula>AND(T$9&gt;=14/24,T$9&lt;20/24)</formula>
    </cfRule>
    <cfRule type="expression" dxfId="5755" priority="30">
      <formula>AND(T$9&gt;=8/24,T$9&lt;14/24)</formula>
    </cfRule>
    <cfRule type="expression" dxfId="5754" priority="31">
      <formula>T$9&lt;8/24</formula>
    </cfRule>
  </conditionalFormatting>
  <conditionalFormatting sqref="T35:Z35">
    <cfRule type="expression" dxfId="5753" priority="24">
      <formula>T$9&gt;=20/24</formula>
    </cfRule>
    <cfRule type="expression" dxfId="5752" priority="25">
      <formula>AND(T$9&gt;=14/24,T$9&lt;20/24)</formula>
    </cfRule>
    <cfRule type="expression" dxfId="5751" priority="26">
      <formula>AND(T$9&gt;=8/24,T$9&lt;14/24)</formula>
    </cfRule>
    <cfRule type="expression" dxfId="5750" priority="27">
      <formula>T$9&lt;8/24</formula>
    </cfRule>
  </conditionalFormatting>
  <conditionalFormatting sqref="T18:Z22 T24:Z32 T12:Z16 T34:Z36">
    <cfRule type="expression" dxfId="5749" priority="23">
      <formula>T12&gt;$AG12</formula>
    </cfRule>
  </conditionalFormatting>
  <conditionalFormatting sqref="T34:Z34">
    <cfRule type="expression" dxfId="5748" priority="19">
      <formula>T$9&gt;=20/24</formula>
    </cfRule>
    <cfRule type="expression" dxfId="5747" priority="20">
      <formula>AND(T$9&gt;=14/24,T$9&lt;20/24)</formula>
    </cfRule>
    <cfRule type="expression" dxfId="5746" priority="21">
      <formula>AND(T$9&gt;=8/24,T$9&lt;14/24)</formula>
    </cfRule>
    <cfRule type="expression" dxfId="5745" priority="22">
      <formula>T$9&lt;8/24</formula>
    </cfRule>
  </conditionalFormatting>
  <conditionalFormatting sqref="T15:Z15">
    <cfRule type="expression" dxfId="5744" priority="15">
      <formula>T$9&gt;=20/24</formula>
    </cfRule>
    <cfRule type="expression" dxfId="5743" priority="16">
      <formula>AND(T$9&gt;=14/24,T$9&lt;20/24)</formula>
    </cfRule>
    <cfRule type="expression" dxfId="5742" priority="17">
      <formula>AND(T$9&gt;=8/24,T$9&lt;14/24)</formula>
    </cfRule>
    <cfRule type="expression" dxfId="5741" priority="18">
      <formula>T$9&lt;8/24</formula>
    </cfRule>
  </conditionalFormatting>
  <conditionalFormatting sqref="T33:Z33">
    <cfRule type="expression" dxfId="5740" priority="11">
      <formula>T$9&gt;=20/24</formula>
    </cfRule>
    <cfRule type="expression" dxfId="5739" priority="12">
      <formula>AND(T$9&gt;=14/24,T$9&lt;20/24)</formula>
    </cfRule>
    <cfRule type="expression" dxfId="5738" priority="13">
      <formula>AND(T$9&gt;=8/24,T$9&lt;14/24)</formula>
    </cfRule>
    <cfRule type="expression" dxfId="5737" priority="14">
      <formula>T$9&lt;8/24</formula>
    </cfRule>
  </conditionalFormatting>
  <conditionalFormatting sqref="T33:Z33">
    <cfRule type="expression" dxfId="5736" priority="10">
      <formula>T33&gt;$AG33</formula>
    </cfRule>
  </conditionalFormatting>
  <conditionalFormatting sqref="T27:Z27">
    <cfRule type="expression" dxfId="5735" priority="6">
      <formula>T$9&gt;=20/24</formula>
    </cfRule>
    <cfRule type="expression" dxfId="5734" priority="7">
      <formula>AND(T$9&gt;=14/24,T$9&lt;20/24)</formula>
    </cfRule>
    <cfRule type="expression" dxfId="5733" priority="8">
      <formula>AND(T$9&gt;=8/24,T$9&lt;14/24)</formula>
    </cfRule>
    <cfRule type="expression" dxfId="5732" priority="9">
      <formula>T$9&lt;8/24</formula>
    </cfRule>
  </conditionalFormatting>
  <conditionalFormatting sqref="T23:Z23 T17:Z17">
    <cfRule type="expression" dxfId="5731" priority="2">
      <formula>T$9&gt;=20/24</formula>
    </cfRule>
    <cfRule type="expression" dxfId="5730" priority="3">
      <formula>AND(T$9&gt;=14/24,T$9&lt;20/24)</formula>
    </cfRule>
    <cfRule type="expression" dxfId="5729" priority="4">
      <formula>AND(T$9&gt;=8/24,T$9&lt;14/24)</formula>
    </cfRule>
    <cfRule type="expression" dxfId="5728" priority="5">
      <formula>T$9&lt;8/24</formula>
    </cfRule>
  </conditionalFormatting>
  <conditionalFormatting sqref="T23:Z23 T17:Z17">
    <cfRule type="expression" dxfId="5727" priority="1">
      <formula>T17&gt;$AG17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1" id="{0AC44D3B-CC38-43F2-B9FE-2C0BF3324AA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F39" sqref="AF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97.800000000000011</v>
      </c>
      <c r="C5" s="32">
        <f t="shared" si="0"/>
        <v>91.7</v>
      </c>
      <c r="D5" s="32">
        <f t="shared" si="0"/>
        <v>78</v>
      </c>
      <c r="E5" s="32">
        <f t="shared" si="0"/>
        <v>77</v>
      </c>
      <c r="F5" s="32">
        <f t="shared" si="0"/>
        <v>84.25</v>
      </c>
      <c r="G5" s="32">
        <f t="shared" si="0"/>
        <v>84.1</v>
      </c>
      <c r="H5" s="32">
        <f t="shared" si="0"/>
        <v>67</v>
      </c>
      <c r="I5" s="32">
        <f t="shared" si="0"/>
        <v>55</v>
      </c>
      <c r="J5" s="32">
        <f t="shared" si="0"/>
        <v>66.099999999999994</v>
      </c>
      <c r="K5" s="32">
        <f t="shared" si="0"/>
        <v>72.56</v>
      </c>
      <c r="L5" s="32">
        <f t="shared" si="0"/>
        <v>66.099999999999994</v>
      </c>
      <c r="M5" s="32">
        <f t="shared" si="0"/>
        <v>88.5</v>
      </c>
      <c r="N5" s="32">
        <f t="shared" si="0"/>
        <v>98</v>
      </c>
      <c r="O5" s="32">
        <f t="shared" si="0"/>
        <v>119</v>
      </c>
      <c r="P5" s="32">
        <f t="shared" si="0"/>
        <v>105.5</v>
      </c>
      <c r="Q5" s="32">
        <f t="shared" si="0"/>
        <v>115.8</v>
      </c>
      <c r="R5" s="32">
        <f t="shared" si="0"/>
        <v>65</v>
      </c>
      <c r="S5" s="32">
        <f t="shared" si="0"/>
        <v>120.9</v>
      </c>
      <c r="T5" s="32">
        <f t="shared" si="0"/>
        <v>109.8</v>
      </c>
      <c r="U5" s="32">
        <f t="shared" si="0"/>
        <v>151.1</v>
      </c>
      <c r="V5" s="32">
        <f t="shared" si="0"/>
        <v>151.1</v>
      </c>
      <c r="W5" s="32">
        <f t="shared" si="0"/>
        <v>142</v>
      </c>
      <c r="X5" s="32">
        <f t="shared" si="0"/>
        <v>123</v>
      </c>
      <c r="Y5" s="32">
        <f t="shared" si="0"/>
        <v>105</v>
      </c>
      <c r="Z5" s="32">
        <f t="shared" si="0"/>
        <v>88.19</v>
      </c>
      <c r="AA5" s="32">
        <f t="shared" si="0"/>
        <v>46</v>
      </c>
      <c r="AB5" s="32">
        <f t="shared" si="0"/>
        <v>22.86999999999999</v>
      </c>
      <c r="AC5" s="32">
        <f t="shared" si="0"/>
        <v>25.200000000000003</v>
      </c>
      <c r="AD5" s="32">
        <f t="shared" si="0"/>
        <v>-96.52000000000001</v>
      </c>
      <c r="AE5" s="32">
        <f t="shared" si="0"/>
        <v>-58.379999999999995</v>
      </c>
      <c r="AF5" s="32">
        <f>B68</f>
        <v>95.3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1404MW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Load=916</v>
      </c>
      <c r="B7" s="37">
        <f>B75</f>
        <v>1340.84</v>
      </c>
      <c r="C7" s="37">
        <f t="shared" ref="C7:AF7" si="1">C75</f>
        <v>1319.6399999999999</v>
      </c>
      <c r="D7" s="37">
        <f t="shared" si="1"/>
        <v>1306.54</v>
      </c>
      <c r="E7" s="37">
        <f t="shared" si="1"/>
        <v>1242.94</v>
      </c>
      <c r="F7" s="37">
        <f t="shared" si="1"/>
        <v>1224.3400000000001</v>
      </c>
      <c r="G7" s="37">
        <f t="shared" si="1"/>
        <v>1248.69</v>
      </c>
      <c r="H7" s="37">
        <f t="shared" si="1"/>
        <v>1232.54</v>
      </c>
      <c r="I7" s="37">
        <f t="shared" si="1"/>
        <v>1229.74</v>
      </c>
      <c r="J7" s="37">
        <f t="shared" si="1"/>
        <v>1236.44</v>
      </c>
      <c r="K7" s="37">
        <f t="shared" si="1"/>
        <v>1299.6400000000001</v>
      </c>
      <c r="L7" s="37">
        <f t="shared" si="1"/>
        <v>1321.9</v>
      </c>
      <c r="M7" s="37">
        <f t="shared" si="1"/>
        <v>1347.54</v>
      </c>
      <c r="N7" s="37">
        <f t="shared" si="1"/>
        <v>1404.1400000000003</v>
      </c>
      <c r="O7" s="37">
        <f t="shared" si="1"/>
        <v>1402.6400000000003</v>
      </c>
      <c r="P7" s="37">
        <f t="shared" si="1"/>
        <v>1419.54</v>
      </c>
      <c r="Q7" s="37">
        <f t="shared" si="1"/>
        <v>1426.3400000000001</v>
      </c>
      <c r="R7" s="37">
        <f t="shared" si="1"/>
        <v>1428.3400000000001</v>
      </c>
      <c r="S7" s="37">
        <f t="shared" si="1"/>
        <v>1345.14</v>
      </c>
      <c r="T7" s="37">
        <f t="shared" si="1"/>
        <v>1369.8400000000001</v>
      </c>
      <c r="U7" s="37">
        <f t="shared" si="1"/>
        <v>1395.6400000000003</v>
      </c>
      <c r="V7" s="37">
        <f t="shared" si="1"/>
        <v>1392.24</v>
      </c>
      <c r="W7" s="37">
        <f t="shared" si="1"/>
        <v>1392.24</v>
      </c>
      <c r="X7" s="37">
        <f t="shared" si="1"/>
        <v>1266.6400000000001</v>
      </c>
      <c r="Y7" s="37">
        <f t="shared" si="1"/>
        <v>1314.04</v>
      </c>
      <c r="Z7" s="37">
        <f t="shared" si="1"/>
        <v>1338.64</v>
      </c>
      <c r="AA7" s="37">
        <f t="shared" si="1"/>
        <v>1368.4300000000003</v>
      </c>
      <c r="AB7" s="37">
        <f t="shared" si="1"/>
        <v>1309.1400000000001</v>
      </c>
      <c r="AC7" s="37">
        <f t="shared" si="1"/>
        <v>1165.21</v>
      </c>
      <c r="AD7" s="37">
        <f t="shared" si="1"/>
        <v>1273.3400000000001</v>
      </c>
      <c r="AE7" s="37">
        <f t="shared" si="1"/>
        <v>1067.92</v>
      </c>
      <c r="AF7" s="37">
        <f t="shared" si="1"/>
        <v>916.26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50">
        <v>220</v>
      </c>
      <c r="C11" s="50">
        <v>190</v>
      </c>
      <c r="D11" s="50">
        <v>180</v>
      </c>
      <c r="E11" s="51">
        <v>140</v>
      </c>
      <c r="F11" s="51">
        <v>125</v>
      </c>
      <c r="G11" s="51">
        <v>150</v>
      </c>
      <c r="H11" s="51">
        <v>130</v>
      </c>
      <c r="I11" s="51">
        <v>150</v>
      </c>
      <c r="J11" s="52">
        <v>160</v>
      </c>
      <c r="K11" s="52">
        <v>200</v>
      </c>
      <c r="L11" s="52">
        <v>230</v>
      </c>
      <c r="M11" s="51">
        <v>260</v>
      </c>
      <c r="N11" s="51">
        <v>310</v>
      </c>
      <c r="O11" s="51">
        <v>300</v>
      </c>
      <c r="P11" s="51">
        <v>295</v>
      </c>
      <c r="Q11" s="51">
        <v>310</v>
      </c>
      <c r="R11" s="51">
        <v>300</v>
      </c>
      <c r="S11" s="51">
        <v>265</v>
      </c>
      <c r="T11" s="51">
        <v>235</v>
      </c>
      <c r="U11" s="51">
        <v>256.8</v>
      </c>
      <c r="V11" s="51">
        <v>250</v>
      </c>
      <c r="W11" s="51">
        <v>250</v>
      </c>
      <c r="X11" s="51">
        <v>150</v>
      </c>
      <c r="Y11" s="49">
        <v>200</v>
      </c>
      <c r="Z11" s="49">
        <v>320</v>
      </c>
      <c r="AA11" s="49">
        <v>274</v>
      </c>
      <c r="AB11" s="49">
        <v>250</v>
      </c>
      <c r="AC11" s="49">
        <v>260</v>
      </c>
      <c r="AD11" s="49">
        <v>260</v>
      </c>
      <c r="AE11" s="49">
        <v>150</v>
      </c>
      <c r="AF11" s="49">
        <v>150</v>
      </c>
      <c r="AG11" s="53">
        <v>456</v>
      </c>
      <c r="AH11" s="54">
        <f>MAX(B11:AF11)</f>
        <v>320</v>
      </c>
      <c r="AI11" s="55">
        <f>MIN(B11:AF11)</f>
        <v>125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48</v>
      </c>
      <c r="C12" s="51">
        <v>48</v>
      </c>
      <c r="D12" s="51">
        <v>48</v>
      </c>
      <c r="E12" s="51">
        <v>48</v>
      </c>
      <c r="F12" s="51">
        <v>48</v>
      </c>
      <c r="G12" s="51">
        <v>48</v>
      </c>
      <c r="H12" s="51">
        <v>48</v>
      </c>
      <c r="I12" s="51">
        <v>48</v>
      </c>
      <c r="J12" s="51">
        <v>48</v>
      </c>
      <c r="K12" s="51">
        <v>48</v>
      </c>
      <c r="L12" s="51">
        <v>48</v>
      </c>
      <c r="M12" s="51">
        <v>48</v>
      </c>
      <c r="N12" s="51">
        <v>40</v>
      </c>
      <c r="O12" s="51">
        <v>40</v>
      </c>
      <c r="P12" s="51">
        <v>40</v>
      </c>
      <c r="Q12" s="51">
        <v>40</v>
      </c>
      <c r="R12" s="51">
        <v>40</v>
      </c>
      <c r="S12" s="51">
        <v>40</v>
      </c>
      <c r="T12" s="51">
        <v>40</v>
      </c>
      <c r="U12" s="51">
        <v>40</v>
      </c>
      <c r="V12" s="51">
        <v>40</v>
      </c>
      <c r="W12" s="51">
        <v>40</v>
      </c>
      <c r="X12" s="51">
        <v>40</v>
      </c>
      <c r="Y12" s="51">
        <v>40</v>
      </c>
      <c r="Z12" s="51">
        <v>40</v>
      </c>
      <c r="AA12" s="51">
        <v>40</v>
      </c>
      <c r="AB12" s="51">
        <v>40</v>
      </c>
      <c r="AC12" s="51">
        <v>40</v>
      </c>
      <c r="AD12" s="51">
        <v>40</v>
      </c>
      <c r="AE12" s="51">
        <v>40</v>
      </c>
      <c r="AF12" s="51">
        <v>40</v>
      </c>
      <c r="AG12" s="58">
        <v>60</v>
      </c>
      <c r="AH12" s="54">
        <f t="shared" ref="AH12:AH75" si="2">MAX(B12:AF12)</f>
        <v>48</v>
      </c>
      <c r="AI12" s="55">
        <f t="shared" ref="AI12:AI75" si="3">MIN(B12:AF12)</f>
        <v>40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27.4</v>
      </c>
      <c r="C13" s="51">
        <v>26.3</v>
      </c>
      <c r="D13" s="51">
        <v>22.3</v>
      </c>
      <c r="E13" s="51">
        <v>22.3</v>
      </c>
      <c r="F13" s="51">
        <v>24.3</v>
      </c>
      <c r="G13" s="51">
        <v>24.3</v>
      </c>
      <c r="H13" s="51">
        <v>24.3</v>
      </c>
      <c r="I13" s="51">
        <v>24.3</v>
      </c>
      <c r="J13" s="51">
        <v>24.3</v>
      </c>
      <c r="K13" s="51">
        <v>24.3</v>
      </c>
      <c r="L13" s="51">
        <v>24.7</v>
      </c>
      <c r="M13" s="51">
        <v>24.7</v>
      </c>
      <c r="N13" s="51">
        <v>23.3</v>
      </c>
      <c r="O13" s="51">
        <v>23.6</v>
      </c>
      <c r="P13" s="51">
        <v>23.2</v>
      </c>
      <c r="Q13" s="51">
        <v>22</v>
      </c>
      <c r="R13" s="51">
        <v>22</v>
      </c>
      <c r="S13" s="51">
        <v>22.4</v>
      </c>
      <c r="T13" s="51">
        <v>22.3</v>
      </c>
      <c r="U13" s="51">
        <v>22.3</v>
      </c>
      <c r="V13" s="51">
        <v>22.3</v>
      </c>
      <c r="W13" s="51">
        <v>22.3</v>
      </c>
      <c r="X13" s="51">
        <v>22.3</v>
      </c>
      <c r="Y13" s="51">
        <v>22.3</v>
      </c>
      <c r="Z13" s="51">
        <v>22.3</v>
      </c>
      <c r="AA13" s="51">
        <v>36.9</v>
      </c>
      <c r="AB13" s="51">
        <v>36.9</v>
      </c>
      <c r="AC13" s="51">
        <v>36.9</v>
      </c>
      <c r="AD13" s="51">
        <v>36.9</v>
      </c>
      <c r="AE13" s="51">
        <v>36.9</v>
      </c>
      <c r="AF13" s="51">
        <v>36.9</v>
      </c>
      <c r="AG13" s="58">
        <v>52.4</v>
      </c>
      <c r="AH13" s="54">
        <f t="shared" si="2"/>
        <v>36.9</v>
      </c>
      <c r="AI13" s="55">
        <f t="shared" si="3"/>
        <v>22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50.3</v>
      </c>
      <c r="C14" s="51">
        <v>50.4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49.9</v>
      </c>
      <c r="N14" s="51">
        <v>50.1</v>
      </c>
      <c r="O14" s="51">
        <v>50.1</v>
      </c>
      <c r="P14" s="51">
        <v>50.2</v>
      </c>
      <c r="Q14" s="51">
        <v>50.2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50.2</v>
      </c>
      <c r="X14" s="51">
        <v>50.2</v>
      </c>
      <c r="Y14" s="51">
        <v>50.2</v>
      </c>
      <c r="Z14" s="51">
        <v>50.2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8">
        <v>50</v>
      </c>
      <c r="AH14" s="54">
        <f t="shared" si="2"/>
        <v>50.4</v>
      </c>
      <c r="AI14" s="55">
        <f t="shared" si="3"/>
        <v>49.9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41.5</v>
      </c>
      <c r="C15" s="51">
        <v>40.200000000000003</v>
      </c>
      <c r="D15" s="51">
        <v>40.200000000000003</v>
      </c>
      <c r="E15" s="51">
        <v>40.200000000000003</v>
      </c>
      <c r="F15" s="51">
        <v>39.799999999999997</v>
      </c>
      <c r="G15" s="51">
        <v>39.799999999999997</v>
      </c>
      <c r="H15" s="51">
        <v>39.799999999999997</v>
      </c>
      <c r="I15" s="51">
        <v>39.799999999999997</v>
      </c>
      <c r="J15" s="51">
        <v>39.799999999999997</v>
      </c>
      <c r="K15" s="51">
        <v>39.799999999999997</v>
      </c>
      <c r="L15" s="51">
        <v>39.799999999999997</v>
      </c>
      <c r="M15" s="51">
        <v>39.799999999999997</v>
      </c>
      <c r="N15" s="51">
        <v>39</v>
      </c>
      <c r="O15" s="51">
        <v>39</v>
      </c>
      <c r="P15" s="51">
        <v>37</v>
      </c>
      <c r="Q15" s="51">
        <v>37.1</v>
      </c>
      <c r="R15" s="51">
        <v>37.1</v>
      </c>
      <c r="S15" s="51">
        <v>37.1</v>
      </c>
      <c r="T15" s="51">
        <v>37.1</v>
      </c>
      <c r="U15" s="51">
        <v>37.1</v>
      </c>
      <c r="V15" s="51">
        <v>37.1</v>
      </c>
      <c r="W15" s="51">
        <v>37.1</v>
      </c>
      <c r="X15" s="51">
        <v>37.1</v>
      </c>
      <c r="Y15" s="51">
        <v>37.1</v>
      </c>
      <c r="Z15" s="51">
        <v>37.1</v>
      </c>
      <c r="AA15" s="51">
        <v>43</v>
      </c>
      <c r="AB15" s="51">
        <v>43</v>
      </c>
      <c r="AC15" s="51">
        <v>43</v>
      </c>
      <c r="AD15" s="51">
        <v>43</v>
      </c>
      <c r="AE15" s="51">
        <v>43</v>
      </c>
      <c r="AF15" s="51">
        <v>43</v>
      </c>
      <c r="AG15" s="59">
        <v>45</v>
      </c>
      <c r="AH15" s="54">
        <f t="shared" si="2"/>
        <v>43</v>
      </c>
      <c r="AI15" s="55">
        <f t="shared" si="3"/>
        <v>37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26</v>
      </c>
      <c r="C16" s="51">
        <v>26</v>
      </c>
      <c r="D16" s="51">
        <v>26</v>
      </c>
      <c r="E16" s="51">
        <v>26</v>
      </c>
      <c r="F16" s="51">
        <v>26</v>
      </c>
      <c r="G16" s="51">
        <v>26</v>
      </c>
      <c r="H16" s="51">
        <v>26</v>
      </c>
      <c r="I16" s="51">
        <v>26</v>
      </c>
      <c r="J16" s="51">
        <v>26</v>
      </c>
      <c r="K16" s="51">
        <v>26</v>
      </c>
      <c r="L16" s="51">
        <v>26</v>
      </c>
      <c r="M16" s="51">
        <v>26</v>
      </c>
      <c r="N16" s="51">
        <v>26</v>
      </c>
      <c r="O16" s="51">
        <v>26</v>
      </c>
      <c r="P16" s="51">
        <v>26</v>
      </c>
      <c r="Q16" s="51">
        <v>26</v>
      </c>
      <c r="R16" s="51">
        <v>26</v>
      </c>
      <c r="S16" s="51">
        <v>26</v>
      </c>
      <c r="T16" s="51">
        <v>26</v>
      </c>
      <c r="U16" s="51">
        <v>26</v>
      </c>
      <c r="V16" s="51">
        <v>26</v>
      </c>
      <c r="W16" s="51">
        <v>26</v>
      </c>
      <c r="X16" s="51">
        <v>26</v>
      </c>
      <c r="Y16" s="51">
        <v>26</v>
      </c>
      <c r="Z16" s="51">
        <v>26</v>
      </c>
      <c r="AA16" s="51">
        <v>26</v>
      </c>
      <c r="AB16" s="51">
        <v>26</v>
      </c>
      <c r="AC16" s="51">
        <v>26</v>
      </c>
      <c r="AD16" s="51">
        <v>26</v>
      </c>
      <c r="AE16" s="51">
        <v>26</v>
      </c>
      <c r="AF16" s="51">
        <v>26</v>
      </c>
      <c r="AG16" s="58">
        <v>45</v>
      </c>
      <c r="AH16" s="54">
        <f t="shared" si="2"/>
        <v>26</v>
      </c>
      <c r="AI16" s="55">
        <f t="shared" si="3"/>
        <v>26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12.5</v>
      </c>
      <c r="C17" s="51">
        <v>12.5</v>
      </c>
      <c r="D17" s="51">
        <v>12.5</v>
      </c>
      <c r="E17" s="51">
        <v>12.5</v>
      </c>
      <c r="F17" s="51">
        <v>12.5</v>
      </c>
      <c r="G17" s="51">
        <v>12.5</v>
      </c>
      <c r="H17" s="51">
        <v>12.5</v>
      </c>
      <c r="I17" s="51">
        <v>12.5</v>
      </c>
      <c r="J17" s="51">
        <v>12.5</v>
      </c>
      <c r="K17" s="51">
        <v>12.5</v>
      </c>
      <c r="L17" s="51">
        <v>12.5</v>
      </c>
      <c r="M17" s="51">
        <v>12.5</v>
      </c>
      <c r="N17" s="51">
        <v>12.5</v>
      </c>
      <c r="O17" s="51">
        <v>12.5</v>
      </c>
      <c r="P17" s="51">
        <v>12.5</v>
      </c>
      <c r="Q17" s="51">
        <v>12.5</v>
      </c>
      <c r="R17" s="51">
        <v>12.5</v>
      </c>
      <c r="S17" s="51">
        <v>12.5</v>
      </c>
      <c r="T17" s="51">
        <v>12.5</v>
      </c>
      <c r="U17" s="51">
        <v>12.5</v>
      </c>
      <c r="V17" s="51">
        <v>12.5</v>
      </c>
      <c r="W17" s="51">
        <v>12.5</v>
      </c>
      <c r="X17" s="51">
        <v>12.5</v>
      </c>
      <c r="Y17" s="51">
        <v>12.5</v>
      </c>
      <c r="Z17" s="51">
        <v>12.5</v>
      </c>
      <c r="AA17" s="51">
        <v>12.5</v>
      </c>
      <c r="AB17" s="51">
        <v>12.5</v>
      </c>
      <c r="AC17" s="51">
        <v>12.5</v>
      </c>
      <c r="AD17" s="51">
        <v>12.5</v>
      </c>
      <c r="AE17" s="51">
        <v>12.5</v>
      </c>
      <c r="AF17" s="51">
        <v>12.5</v>
      </c>
      <c r="AG17" s="58">
        <v>42</v>
      </c>
      <c r="AH17" s="54">
        <f t="shared" si="2"/>
        <v>12.5</v>
      </c>
      <c r="AI17" s="55">
        <f t="shared" si="3"/>
        <v>12.5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58">
        <v>36</v>
      </c>
      <c r="AH18" s="54">
        <f t="shared" si="2"/>
        <v>13.2</v>
      </c>
      <c r="AI18" s="55">
        <f t="shared" si="3"/>
        <v>13.2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26</v>
      </c>
      <c r="C19" s="51">
        <v>26.1</v>
      </c>
      <c r="D19" s="51">
        <v>24.6</v>
      </c>
      <c r="E19" s="51">
        <v>24.6</v>
      </c>
      <c r="F19" s="51">
        <v>24.6</v>
      </c>
      <c r="G19" s="51">
        <v>24.6</v>
      </c>
      <c r="H19" s="51">
        <v>24.6</v>
      </c>
      <c r="I19" s="51">
        <v>24.6</v>
      </c>
      <c r="J19" s="51">
        <v>24.6</v>
      </c>
      <c r="K19" s="51">
        <v>24.6</v>
      </c>
      <c r="L19" s="51">
        <v>24.6</v>
      </c>
      <c r="M19" s="51">
        <v>21</v>
      </c>
      <c r="N19" s="51">
        <v>21</v>
      </c>
      <c r="O19" s="51">
        <v>21</v>
      </c>
      <c r="P19" s="51">
        <v>21</v>
      </c>
      <c r="Q19" s="51">
        <v>21</v>
      </c>
      <c r="R19" s="51">
        <v>21</v>
      </c>
      <c r="S19" s="51">
        <v>21</v>
      </c>
      <c r="T19" s="51">
        <v>21</v>
      </c>
      <c r="U19" s="51">
        <v>21</v>
      </c>
      <c r="V19" s="51">
        <v>21</v>
      </c>
      <c r="W19" s="51">
        <v>21</v>
      </c>
      <c r="X19" s="51">
        <v>21</v>
      </c>
      <c r="Y19" s="51">
        <v>21</v>
      </c>
      <c r="Z19" s="51">
        <v>21</v>
      </c>
      <c r="AA19" s="51">
        <v>21</v>
      </c>
      <c r="AB19" s="51">
        <v>21</v>
      </c>
      <c r="AC19" s="51">
        <v>21</v>
      </c>
      <c r="AD19" s="51">
        <v>21</v>
      </c>
      <c r="AE19" s="51">
        <v>21</v>
      </c>
      <c r="AF19" s="51">
        <v>21</v>
      </c>
      <c r="AG19" s="58">
        <v>30</v>
      </c>
      <c r="AH19" s="54">
        <f t="shared" si="2"/>
        <v>26.1</v>
      </c>
      <c r="AI19" s="55">
        <f t="shared" si="3"/>
        <v>21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12</v>
      </c>
      <c r="C20" s="51">
        <v>12</v>
      </c>
      <c r="D20" s="51">
        <v>12</v>
      </c>
      <c r="E20" s="51">
        <v>12</v>
      </c>
      <c r="F20" s="51">
        <v>12</v>
      </c>
      <c r="G20" s="51">
        <v>12</v>
      </c>
      <c r="H20" s="51">
        <v>12</v>
      </c>
      <c r="I20" s="51">
        <v>12</v>
      </c>
      <c r="J20" s="51">
        <v>12</v>
      </c>
      <c r="K20" s="51">
        <v>12</v>
      </c>
      <c r="L20" s="51">
        <v>12</v>
      </c>
      <c r="M20" s="51">
        <v>12</v>
      </c>
      <c r="N20" s="51">
        <v>12</v>
      </c>
      <c r="O20" s="51">
        <v>12</v>
      </c>
      <c r="P20" s="51">
        <v>12</v>
      </c>
      <c r="Q20" s="51">
        <v>12</v>
      </c>
      <c r="R20" s="51">
        <v>12</v>
      </c>
      <c r="S20" s="51">
        <v>12</v>
      </c>
      <c r="T20" s="51">
        <v>12</v>
      </c>
      <c r="U20" s="51">
        <v>12</v>
      </c>
      <c r="V20" s="51">
        <v>12</v>
      </c>
      <c r="W20" s="51">
        <v>12</v>
      </c>
      <c r="X20" s="51">
        <v>12</v>
      </c>
      <c r="Y20" s="51">
        <v>12</v>
      </c>
      <c r="Z20" s="51">
        <v>12</v>
      </c>
      <c r="AA20" s="51">
        <v>12</v>
      </c>
      <c r="AB20" s="51">
        <v>12</v>
      </c>
      <c r="AC20" s="51">
        <v>12</v>
      </c>
      <c r="AD20" s="51">
        <v>12</v>
      </c>
      <c r="AE20" s="51">
        <v>12</v>
      </c>
      <c r="AF20" s="51">
        <v>12</v>
      </c>
      <c r="AG20" s="58">
        <v>27</v>
      </c>
      <c r="AH20" s="54">
        <f t="shared" si="2"/>
        <v>12</v>
      </c>
      <c r="AI20" s="55">
        <f t="shared" si="3"/>
        <v>12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3.5</v>
      </c>
      <c r="C21" s="51">
        <v>3.5</v>
      </c>
      <c r="D21" s="51">
        <v>3.5</v>
      </c>
      <c r="E21" s="51">
        <v>3.5</v>
      </c>
      <c r="F21" s="51">
        <v>3.5</v>
      </c>
      <c r="G21" s="51">
        <v>3.5</v>
      </c>
      <c r="H21" s="51">
        <v>3.5</v>
      </c>
      <c r="I21" s="51">
        <v>3.5</v>
      </c>
      <c r="J21" s="51">
        <v>3.5</v>
      </c>
      <c r="K21" s="51">
        <v>3.5</v>
      </c>
      <c r="L21" s="51">
        <v>3.5</v>
      </c>
      <c r="M21" s="51">
        <v>3.5</v>
      </c>
      <c r="N21" s="51">
        <v>3.5</v>
      </c>
      <c r="O21" s="51">
        <v>3.5</v>
      </c>
      <c r="P21" s="51">
        <v>3.5</v>
      </c>
      <c r="Q21" s="51">
        <v>3.5</v>
      </c>
      <c r="R21" s="51">
        <v>3.5</v>
      </c>
      <c r="S21" s="51">
        <v>3.5</v>
      </c>
      <c r="T21" s="51">
        <v>3.5</v>
      </c>
      <c r="U21" s="51">
        <v>3.5</v>
      </c>
      <c r="V21" s="51">
        <v>3.5</v>
      </c>
      <c r="W21" s="51">
        <v>3.5</v>
      </c>
      <c r="X21" s="51">
        <v>3.5</v>
      </c>
      <c r="Y21" s="51">
        <v>3.5</v>
      </c>
      <c r="Z21" s="51">
        <v>3.5</v>
      </c>
      <c r="AA21" s="51">
        <v>3.5</v>
      </c>
      <c r="AB21" s="51">
        <v>3.5</v>
      </c>
      <c r="AC21" s="51">
        <v>3.5</v>
      </c>
      <c r="AD21" s="51">
        <v>3.5</v>
      </c>
      <c r="AE21" s="51">
        <v>3.5</v>
      </c>
      <c r="AF21" s="51">
        <v>3.5</v>
      </c>
      <c r="AG21" s="58">
        <v>25</v>
      </c>
      <c r="AH21" s="54">
        <f t="shared" si="2"/>
        <v>3.5</v>
      </c>
      <c r="AI21" s="55">
        <f t="shared" si="3"/>
        <v>3.5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23.3</v>
      </c>
      <c r="C22" s="51">
        <v>23.4</v>
      </c>
      <c r="D22" s="51">
        <v>23.4</v>
      </c>
      <c r="E22" s="51">
        <v>23.4</v>
      </c>
      <c r="F22" s="51">
        <v>23.6</v>
      </c>
      <c r="G22" s="51">
        <v>23.6</v>
      </c>
      <c r="H22" s="51">
        <v>23.6</v>
      </c>
      <c r="I22" s="51">
        <v>23.6</v>
      </c>
      <c r="J22" s="51">
        <v>23.6</v>
      </c>
      <c r="K22" s="51">
        <v>23.6</v>
      </c>
      <c r="L22" s="51">
        <v>23.6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8">
        <v>25</v>
      </c>
      <c r="AH22" s="54">
        <f t="shared" si="2"/>
        <v>23.6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5.2</v>
      </c>
      <c r="C23" s="51">
        <v>5.2</v>
      </c>
      <c r="D23" s="51">
        <v>5.2</v>
      </c>
      <c r="E23" s="51">
        <v>5.2</v>
      </c>
      <c r="F23" s="51">
        <v>5.2</v>
      </c>
      <c r="G23" s="51">
        <v>5.2</v>
      </c>
      <c r="H23" s="51">
        <v>5.2</v>
      </c>
      <c r="I23" s="51">
        <v>5.2</v>
      </c>
      <c r="J23" s="51">
        <v>5.2</v>
      </c>
      <c r="K23" s="51">
        <v>5.2</v>
      </c>
      <c r="L23" s="51">
        <v>5.2</v>
      </c>
      <c r="M23" s="51">
        <v>5.2</v>
      </c>
      <c r="N23" s="51">
        <v>5.2</v>
      </c>
      <c r="O23" s="51">
        <v>5.2</v>
      </c>
      <c r="P23" s="51">
        <v>5.2</v>
      </c>
      <c r="Q23" s="51">
        <v>5.2</v>
      </c>
      <c r="R23" s="51">
        <v>5.2</v>
      </c>
      <c r="S23" s="51">
        <v>5.2</v>
      </c>
      <c r="T23" s="51">
        <v>5.2</v>
      </c>
      <c r="U23" s="51">
        <v>5.2</v>
      </c>
      <c r="V23" s="51">
        <v>5.2</v>
      </c>
      <c r="W23" s="51">
        <v>5.2</v>
      </c>
      <c r="X23" s="51">
        <v>5.2</v>
      </c>
      <c r="Y23" s="51">
        <v>5.2</v>
      </c>
      <c r="Z23" s="51">
        <v>5.2</v>
      </c>
      <c r="AA23" s="51">
        <v>5.2</v>
      </c>
      <c r="AB23" s="51">
        <v>5.2</v>
      </c>
      <c r="AC23" s="51">
        <v>5.2</v>
      </c>
      <c r="AD23" s="51">
        <v>5.2</v>
      </c>
      <c r="AE23" s="51">
        <v>5.2</v>
      </c>
      <c r="AF23" s="51">
        <v>5.2</v>
      </c>
      <c r="AG23" s="58">
        <v>25</v>
      </c>
      <c r="AH23" s="54">
        <f t="shared" si="2"/>
        <v>5.2</v>
      </c>
      <c r="AI23" s="55">
        <f t="shared" si="3"/>
        <v>5.2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16.3</v>
      </c>
      <c r="C24" s="51">
        <v>18.8</v>
      </c>
      <c r="D24" s="51">
        <v>16.5</v>
      </c>
      <c r="E24" s="51">
        <v>16.5</v>
      </c>
      <c r="F24" s="51">
        <v>15.5</v>
      </c>
      <c r="G24" s="51">
        <v>15.5</v>
      </c>
      <c r="H24" s="51">
        <v>15.5</v>
      </c>
      <c r="I24" s="51">
        <v>15.5</v>
      </c>
      <c r="J24" s="51">
        <v>15.5</v>
      </c>
      <c r="K24" s="51">
        <v>15.5</v>
      </c>
      <c r="L24" s="51">
        <v>15.5</v>
      </c>
      <c r="M24" s="51">
        <v>22.7</v>
      </c>
      <c r="N24" s="51">
        <v>22.7</v>
      </c>
      <c r="O24" s="51">
        <v>22.7</v>
      </c>
      <c r="P24" s="51">
        <v>22.7</v>
      </c>
      <c r="Q24" s="51">
        <v>22.7</v>
      </c>
      <c r="R24" s="51">
        <v>22.7</v>
      </c>
      <c r="S24" s="51">
        <v>22.7</v>
      </c>
      <c r="T24" s="51">
        <v>22.7</v>
      </c>
      <c r="U24" s="51">
        <v>22.7</v>
      </c>
      <c r="V24" s="51">
        <v>22.7</v>
      </c>
      <c r="W24" s="51">
        <v>22.7</v>
      </c>
      <c r="X24" s="51">
        <v>22.7</v>
      </c>
      <c r="Y24" s="51">
        <v>22.7</v>
      </c>
      <c r="Z24" s="51">
        <v>22.7</v>
      </c>
      <c r="AA24" s="51">
        <v>22.7</v>
      </c>
      <c r="AB24" s="51">
        <v>22.7</v>
      </c>
      <c r="AC24" s="51">
        <v>22.7</v>
      </c>
      <c r="AD24" s="51">
        <v>22.7</v>
      </c>
      <c r="AE24" s="51">
        <v>22.7</v>
      </c>
      <c r="AF24" s="51">
        <v>22.7</v>
      </c>
      <c r="AG24" s="58">
        <v>25</v>
      </c>
      <c r="AH24" s="54">
        <f t="shared" si="2"/>
        <v>22.7</v>
      </c>
      <c r="AI24" s="55">
        <f t="shared" si="3"/>
        <v>15.5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0</v>
      </c>
      <c r="M26" s="51">
        <v>0</v>
      </c>
      <c r="N26" s="51">
        <v>5</v>
      </c>
      <c r="O26" s="51">
        <v>5</v>
      </c>
      <c r="P26" s="51">
        <v>5</v>
      </c>
      <c r="Q26" s="51">
        <v>5</v>
      </c>
      <c r="R26" s="51">
        <v>5</v>
      </c>
      <c r="S26" s="51">
        <v>5</v>
      </c>
      <c r="T26" s="51">
        <v>5</v>
      </c>
      <c r="U26" s="51">
        <v>5</v>
      </c>
      <c r="V26" s="51">
        <v>5</v>
      </c>
      <c r="W26" s="51">
        <v>5</v>
      </c>
      <c r="X26" s="51">
        <v>5</v>
      </c>
      <c r="Y26" s="51">
        <v>5</v>
      </c>
      <c r="Z26" s="51">
        <v>5</v>
      </c>
      <c r="AA26" s="51">
        <v>5</v>
      </c>
      <c r="AB26" s="51">
        <v>5</v>
      </c>
      <c r="AC26" s="51">
        <v>5</v>
      </c>
      <c r="AD26" s="51">
        <v>5</v>
      </c>
      <c r="AE26" s="51">
        <v>5</v>
      </c>
      <c r="AF26" s="51">
        <v>5</v>
      </c>
      <c r="AG26" s="58">
        <v>20</v>
      </c>
      <c r="AH26" s="54">
        <f t="shared" si="2"/>
        <v>10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58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5</v>
      </c>
      <c r="C32" s="51">
        <v>5</v>
      </c>
      <c r="D32" s="51">
        <v>5</v>
      </c>
      <c r="E32" s="51">
        <v>5</v>
      </c>
      <c r="F32" s="51">
        <v>5</v>
      </c>
      <c r="G32" s="51">
        <v>5</v>
      </c>
      <c r="H32" s="51">
        <v>5</v>
      </c>
      <c r="I32" s="51">
        <v>5</v>
      </c>
      <c r="J32" s="51">
        <v>5</v>
      </c>
      <c r="K32" s="51">
        <v>5</v>
      </c>
      <c r="L32" s="51">
        <v>5</v>
      </c>
      <c r="M32" s="51">
        <v>5</v>
      </c>
      <c r="N32" s="51">
        <v>5</v>
      </c>
      <c r="O32" s="51">
        <v>5</v>
      </c>
      <c r="P32" s="51">
        <v>5</v>
      </c>
      <c r="Q32" s="51">
        <v>5</v>
      </c>
      <c r="R32" s="51">
        <v>5</v>
      </c>
      <c r="S32" s="51">
        <v>5</v>
      </c>
      <c r="T32" s="51">
        <v>5</v>
      </c>
      <c r="U32" s="51">
        <v>5</v>
      </c>
      <c r="V32" s="51">
        <v>5</v>
      </c>
      <c r="W32" s="51">
        <v>5</v>
      </c>
      <c r="X32" s="51">
        <v>5</v>
      </c>
      <c r="Y32" s="51">
        <v>5</v>
      </c>
      <c r="Z32" s="51">
        <v>5</v>
      </c>
      <c r="AA32" s="51">
        <v>5</v>
      </c>
      <c r="AB32" s="51">
        <v>5</v>
      </c>
      <c r="AC32" s="51">
        <v>5</v>
      </c>
      <c r="AD32" s="51">
        <v>5</v>
      </c>
      <c r="AE32" s="51">
        <v>5</v>
      </c>
      <c r="AF32" s="51">
        <v>5</v>
      </c>
      <c r="AG32" s="63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5</v>
      </c>
      <c r="C34" s="51">
        <v>5</v>
      </c>
      <c r="D34" s="51">
        <v>5</v>
      </c>
      <c r="E34" s="51">
        <v>5</v>
      </c>
      <c r="F34" s="51">
        <v>5</v>
      </c>
      <c r="G34" s="51">
        <v>5</v>
      </c>
      <c r="H34" s="51">
        <v>5</v>
      </c>
      <c r="I34" s="51">
        <v>5</v>
      </c>
      <c r="J34" s="51">
        <v>5</v>
      </c>
      <c r="K34" s="51">
        <v>5</v>
      </c>
      <c r="L34" s="51">
        <v>5</v>
      </c>
      <c r="M34" s="51">
        <v>5</v>
      </c>
      <c r="N34" s="51">
        <v>5</v>
      </c>
      <c r="O34" s="51">
        <v>5</v>
      </c>
      <c r="P34" s="51">
        <v>5</v>
      </c>
      <c r="Q34" s="51">
        <v>5</v>
      </c>
      <c r="R34" s="51">
        <v>5</v>
      </c>
      <c r="S34" s="51">
        <v>5</v>
      </c>
      <c r="T34" s="51">
        <v>5</v>
      </c>
      <c r="U34" s="51">
        <v>5</v>
      </c>
      <c r="V34" s="51">
        <v>5</v>
      </c>
      <c r="W34" s="51">
        <v>5</v>
      </c>
      <c r="X34" s="51">
        <v>5</v>
      </c>
      <c r="Y34" s="51">
        <v>5</v>
      </c>
      <c r="Z34" s="51">
        <v>5</v>
      </c>
      <c r="AA34" s="51">
        <v>5</v>
      </c>
      <c r="AB34" s="51">
        <v>5</v>
      </c>
      <c r="AC34" s="51">
        <v>5</v>
      </c>
      <c r="AD34" s="51">
        <v>5</v>
      </c>
      <c r="AE34" s="51">
        <v>5</v>
      </c>
      <c r="AF34" s="51">
        <v>5</v>
      </c>
      <c r="AG34" s="63">
        <v>20</v>
      </c>
      <c r="AH34" s="54">
        <f t="shared" si="2"/>
        <v>5</v>
      </c>
      <c r="AI34" s="55">
        <f t="shared" si="3"/>
        <v>5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5</v>
      </c>
      <c r="C35" s="51">
        <v>5</v>
      </c>
      <c r="D35" s="51">
        <v>5</v>
      </c>
      <c r="E35" s="51">
        <v>5</v>
      </c>
      <c r="F35" s="51">
        <v>5</v>
      </c>
      <c r="G35" s="51">
        <v>5</v>
      </c>
      <c r="H35" s="51">
        <v>5</v>
      </c>
      <c r="I35" s="51">
        <v>5</v>
      </c>
      <c r="J35" s="51">
        <v>5</v>
      </c>
      <c r="K35" s="51">
        <v>5</v>
      </c>
      <c r="L35" s="51">
        <v>5</v>
      </c>
      <c r="M35" s="51">
        <v>5</v>
      </c>
      <c r="N35" s="51">
        <v>5</v>
      </c>
      <c r="O35" s="51">
        <v>5</v>
      </c>
      <c r="P35" s="51">
        <v>5</v>
      </c>
      <c r="Q35" s="51">
        <v>5</v>
      </c>
      <c r="R35" s="51">
        <v>5</v>
      </c>
      <c r="S35" s="51">
        <v>5</v>
      </c>
      <c r="T35" s="51">
        <v>5</v>
      </c>
      <c r="U35" s="51">
        <v>5</v>
      </c>
      <c r="V35" s="51">
        <v>5</v>
      </c>
      <c r="W35" s="51">
        <v>5</v>
      </c>
      <c r="X35" s="51">
        <v>5</v>
      </c>
      <c r="Y35" s="51">
        <v>5</v>
      </c>
      <c r="Z35" s="51">
        <v>5</v>
      </c>
      <c r="AA35" s="51">
        <v>5</v>
      </c>
      <c r="AB35" s="51">
        <v>5</v>
      </c>
      <c r="AC35" s="51">
        <v>5</v>
      </c>
      <c r="AD35" s="51">
        <v>5</v>
      </c>
      <c r="AE35" s="51">
        <v>5</v>
      </c>
      <c r="AF35" s="51">
        <v>5</v>
      </c>
      <c r="AG35" s="63">
        <v>15.33</v>
      </c>
      <c r="AH35" s="54">
        <f t="shared" si="2"/>
        <v>5</v>
      </c>
      <c r="AI35" s="55">
        <f t="shared" si="3"/>
        <v>5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f>49+38.9</f>
        <v>87.9</v>
      </c>
      <c r="C37" s="67">
        <f>54.3+39.7</f>
        <v>94</v>
      </c>
      <c r="D37" s="67">
        <f>54+39.7</f>
        <v>93.7</v>
      </c>
      <c r="E37" s="65">
        <f>53+38.6</f>
        <v>91.6</v>
      </c>
      <c r="F37" s="65">
        <f>53.5+31.1</f>
        <v>84.6</v>
      </c>
      <c r="G37" s="65">
        <f>50.5+36.5</f>
        <v>87</v>
      </c>
      <c r="H37" s="65">
        <f>50.9+37.1</f>
        <v>88</v>
      </c>
      <c r="I37" s="65">
        <f>50.9+35.6</f>
        <v>86.5</v>
      </c>
      <c r="J37" s="65">
        <f>49.4+33.4</f>
        <v>82.8</v>
      </c>
      <c r="K37" s="65">
        <f>51.7+32.1</f>
        <v>83.800000000000011</v>
      </c>
      <c r="L37" s="65">
        <f>49.7+32</f>
        <v>81.7</v>
      </c>
      <c r="M37" s="65">
        <f>32.3+51.5</f>
        <v>83.8</v>
      </c>
      <c r="N37" s="65">
        <v>83.8</v>
      </c>
      <c r="O37" s="65">
        <v>90</v>
      </c>
      <c r="P37" s="65">
        <v>89.4</v>
      </c>
      <c r="Q37" s="65">
        <v>93.4</v>
      </c>
      <c r="R37" s="65">
        <v>84.6</v>
      </c>
      <c r="S37" s="65">
        <f>52.8+33.3</f>
        <v>86.1</v>
      </c>
      <c r="T37" s="65">
        <f>52.7+42.8</f>
        <v>95.5</v>
      </c>
      <c r="U37" s="65">
        <f>52.3+43.1</f>
        <v>95.4</v>
      </c>
      <c r="V37" s="65">
        <f>50.7+45.5</f>
        <v>96.2</v>
      </c>
      <c r="W37" s="65">
        <f t="shared" ref="W37:Z37" si="4">50.7+45.5</f>
        <v>96.2</v>
      </c>
      <c r="X37" s="65">
        <f t="shared" si="4"/>
        <v>96.2</v>
      </c>
      <c r="Y37" s="65">
        <f t="shared" si="4"/>
        <v>96.2</v>
      </c>
      <c r="Z37" s="65">
        <f t="shared" si="4"/>
        <v>96.2</v>
      </c>
      <c r="AA37" s="67">
        <v>48.8</v>
      </c>
      <c r="AB37" s="67">
        <v>98.1</v>
      </c>
      <c r="AC37" s="67">
        <v>100.9</v>
      </c>
      <c r="AD37" s="67">
        <v>100.9</v>
      </c>
      <c r="AE37" s="67">
        <v>113.2</v>
      </c>
      <c r="AF37" s="67">
        <v>110</v>
      </c>
      <c r="AG37" s="63">
        <v>240</v>
      </c>
      <c r="AH37" s="54">
        <f t="shared" si="2"/>
        <v>113.2</v>
      </c>
      <c r="AI37" s="55">
        <f t="shared" si="3"/>
        <v>48.8</v>
      </c>
      <c r="AK37" s="56"/>
    </row>
    <row r="38" spans="1:88" ht="15.75" thickBot="1" x14ac:dyDescent="0.3">
      <c r="A38" s="68" t="s">
        <v>46</v>
      </c>
      <c r="B38" s="69">
        <f t="shared" ref="B38" si="5">SUM(B11:B36)</f>
        <v>806.69999999999993</v>
      </c>
      <c r="C38" s="69">
        <f t="shared" ref="C38:AF38" si="6">SUM(C11:C36)</f>
        <v>777.09999999999991</v>
      </c>
      <c r="D38" s="69">
        <f t="shared" si="6"/>
        <v>759.2</v>
      </c>
      <c r="E38" s="69">
        <f t="shared" si="6"/>
        <v>719.2</v>
      </c>
      <c r="F38" s="69">
        <f t="shared" si="6"/>
        <v>705</v>
      </c>
      <c r="G38" s="69">
        <f t="shared" si="6"/>
        <v>730</v>
      </c>
      <c r="H38" s="69">
        <f t="shared" si="6"/>
        <v>710</v>
      </c>
      <c r="I38" s="69">
        <f t="shared" si="6"/>
        <v>730</v>
      </c>
      <c r="J38" s="69">
        <f t="shared" si="6"/>
        <v>740</v>
      </c>
      <c r="K38" s="69">
        <f t="shared" si="6"/>
        <v>780</v>
      </c>
      <c r="L38" s="69">
        <f t="shared" si="6"/>
        <v>800.40000000000009</v>
      </c>
      <c r="M38" s="69">
        <f t="shared" si="6"/>
        <v>832</v>
      </c>
      <c r="N38" s="69">
        <f t="shared" si="6"/>
        <v>877.00000000000011</v>
      </c>
      <c r="O38" s="69">
        <f t="shared" si="6"/>
        <v>867.30000000000018</v>
      </c>
      <c r="P38" s="69">
        <f t="shared" si="6"/>
        <v>860</v>
      </c>
      <c r="Q38" s="69">
        <f t="shared" si="6"/>
        <v>873.90000000000009</v>
      </c>
      <c r="R38" s="69">
        <f t="shared" si="6"/>
        <v>863.90000000000009</v>
      </c>
      <c r="S38" s="69">
        <f t="shared" si="6"/>
        <v>829.30000000000007</v>
      </c>
      <c r="T38" s="69">
        <f t="shared" si="6"/>
        <v>799.2</v>
      </c>
      <c r="U38" s="69">
        <f t="shared" si="6"/>
        <v>821.00000000000011</v>
      </c>
      <c r="V38" s="69">
        <f t="shared" si="6"/>
        <v>814.2</v>
      </c>
      <c r="W38" s="69">
        <f t="shared" si="6"/>
        <v>814.2</v>
      </c>
      <c r="X38" s="69">
        <f t="shared" si="6"/>
        <v>714.2</v>
      </c>
      <c r="Y38" s="69">
        <f t="shared" si="6"/>
        <v>764.2</v>
      </c>
      <c r="Z38" s="69">
        <f t="shared" si="6"/>
        <v>884.20000000000016</v>
      </c>
      <c r="AA38" s="69">
        <v>858.90000000000009</v>
      </c>
      <c r="AB38" s="69">
        <f t="shared" si="6"/>
        <v>834.90000000000009</v>
      </c>
      <c r="AC38" s="69">
        <f t="shared" si="6"/>
        <v>844.90000000000009</v>
      </c>
      <c r="AD38" s="69">
        <f t="shared" si="6"/>
        <v>844.90000000000009</v>
      </c>
      <c r="AE38" s="69">
        <f t="shared" si="6"/>
        <v>734.9</v>
      </c>
      <c r="AF38" s="69">
        <f t="shared" si="6"/>
        <v>734.9</v>
      </c>
      <c r="AG38" s="63">
        <f>SUM(AG11:AG37)</f>
        <v>1492.8299999999997</v>
      </c>
      <c r="AH38" s="54">
        <f t="shared" si="2"/>
        <v>884.20000000000016</v>
      </c>
      <c r="AI38" s="55">
        <f t="shared" si="3"/>
        <v>705</v>
      </c>
      <c r="AK38" s="56"/>
    </row>
    <row r="39" spans="1:88" x14ac:dyDescent="0.25">
      <c r="A39" s="57" t="s">
        <v>47</v>
      </c>
      <c r="B39" s="51">
        <v>145.5</v>
      </c>
      <c r="C39" s="51">
        <v>145.19999999999999</v>
      </c>
      <c r="D39" s="51">
        <v>145.19999999999999</v>
      </c>
      <c r="E39" s="51">
        <v>129.1</v>
      </c>
      <c r="F39" s="51">
        <v>126.2</v>
      </c>
      <c r="G39" s="51">
        <v>125.9</v>
      </c>
      <c r="H39" s="51">
        <v>130.5</v>
      </c>
      <c r="I39" s="51">
        <v>142</v>
      </c>
      <c r="J39" s="51">
        <v>145.5</v>
      </c>
      <c r="K39" s="51">
        <v>145.19999999999999</v>
      </c>
      <c r="L39" s="51">
        <v>145.4</v>
      </c>
      <c r="M39" s="51">
        <v>145.5</v>
      </c>
      <c r="N39" s="51">
        <v>145.5</v>
      </c>
      <c r="O39" s="51">
        <v>145.5</v>
      </c>
      <c r="P39" s="51">
        <v>144.6</v>
      </c>
      <c r="Q39" s="51">
        <v>145.6</v>
      </c>
      <c r="R39" s="51">
        <v>145.4</v>
      </c>
      <c r="S39" s="51">
        <v>145.5</v>
      </c>
      <c r="T39" s="51">
        <v>145.19999999999999</v>
      </c>
      <c r="U39" s="51">
        <v>145.30000000000001</v>
      </c>
      <c r="V39" s="51">
        <v>145.4</v>
      </c>
      <c r="W39" s="51">
        <v>145.4</v>
      </c>
      <c r="X39" s="51">
        <v>142</v>
      </c>
      <c r="Y39" s="51">
        <v>142</v>
      </c>
      <c r="Z39" s="51">
        <v>0</v>
      </c>
      <c r="AA39" s="51">
        <v>137</v>
      </c>
      <c r="AB39" s="51">
        <v>145.30000000000001</v>
      </c>
      <c r="AC39" s="51">
        <v>44</v>
      </c>
      <c r="AD39" s="51">
        <v>120.3</v>
      </c>
      <c r="AE39" s="51">
        <v>145.1</v>
      </c>
      <c r="AF39" s="51">
        <v>0</v>
      </c>
      <c r="AG39" s="59">
        <v>144</v>
      </c>
      <c r="AH39" s="54">
        <f t="shared" si="2"/>
        <v>145.6</v>
      </c>
      <c r="AI39" s="55">
        <f t="shared" si="3"/>
        <v>0</v>
      </c>
      <c r="AK39" s="56"/>
    </row>
    <row r="40" spans="1:88" x14ac:dyDescent="0.25">
      <c r="A40" s="62" t="s">
        <v>48</v>
      </c>
      <c r="B40" s="70">
        <v>69.900000000000006</v>
      </c>
      <c r="C40" s="70">
        <v>71.099999999999994</v>
      </c>
      <c r="D40" s="70">
        <v>72.3</v>
      </c>
      <c r="E40" s="70">
        <v>71.900000000000006</v>
      </c>
      <c r="F40" s="70">
        <v>70.099999999999994</v>
      </c>
      <c r="G40" s="70">
        <v>70.5</v>
      </c>
      <c r="H40" s="70">
        <v>70</v>
      </c>
      <c r="I40" s="70">
        <v>60</v>
      </c>
      <c r="J40" s="70">
        <v>65</v>
      </c>
      <c r="K40" s="70">
        <v>70.900000000000006</v>
      </c>
      <c r="L40" s="70">
        <v>71.5</v>
      </c>
      <c r="M40" s="51">
        <v>71.2</v>
      </c>
      <c r="N40" s="51">
        <v>71.599999999999994</v>
      </c>
      <c r="O40" s="51">
        <v>71.599999999999994</v>
      </c>
      <c r="P40" s="51">
        <v>71.599999999999994</v>
      </c>
      <c r="Q40" s="51">
        <v>70.3</v>
      </c>
      <c r="R40" s="51">
        <v>71.3</v>
      </c>
      <c r="S40" s="51">
        <v>70.099999999999994</v>
      </c>
      <c r="T40" s="70">
        <v>69.7</v>
      </c>
      <c r="U40" s="70">
        <v>70.5</v>
      </c>
      <c r="V40" s="70">
        <v>69.7</v>
      </c>
      <c r="W40" s="70">
        <v>69.7</v>
      </c>
      <c r="X40" s="70">
        <v>46.7</v>
      </c>
      <c r="Y40" s="70">
        <v>46.7</v>
      </c>
      <c r="Z40" s="70">
        <v>46.7</v>
      </c>
      <c r="AA40" s="70">
        <v>59.6</v>
      </c>
      <c r="AB40" s="70">
        <v>70.7</v>
      </c>
      <c r="AC40" s="70">
        <v>71.2</v>
      </c>
      <c r="AD40" s="70">
        <v>71.2</v>
      </c>
      <c r="AE40" s="70">
        <v>71.2</v>
      </c>
      <c r="AF40" s="70">
        <v>42.4</v>
      </c>
      <c r="AG40" s="63">
        <v>70</v>
      </c>
      <c r="AH40" s="54">
        <f t="shared" si="2"/>
        <v>72.3</v>
      </c>
      <c r="AI40" s="55">
        <f t="shared" si="3"/>
        <v>42.4</v>
      </c>
      <c r="AK40" s="56"/>
    </row>
    <row r="41" spans="1:88" x14ac:dyDescent="0.25">
      <c r="A41" s="62" t="s">
        <v>49</v>
      </c>
      <c r="B41" s="70">
        <v>69.2</v>
      </c>
      <c r="C41" s="70">
        <v>69.099999999999994</v>
      </c>
      <c r="D41" s="70">
        <v>69.2</v>
      </c>
      <c r="E41" s="70">
        <v>68.900000000000006</v>
      </c>
      <c r="F41" s="70">
        <v>69.400000000000006</v>
      </c>
      <c r="G41" s="70">
        <v>69.900000000000006</v>
      </c>
      <c r="H41" s="70">
        <v>69.400000000000006</v>
      </c>
      <c r="I41" s="70">
        <v>62</v>
      </c>
      <c r="J41" s="70">
        <v>62</v>
      </c>
      <c r="K41" s="70">
        <v>69.2</v>
      </c>
      <c r="L41" s="70">
        <v>69</v>
      </c>
      <c r="M41" s="51">
        <v>70</v>
      </c>
      <c r="N41" s="51">
        <v>69.2</v>
      </c>
      <c r="O41" s="51">
        <v>68.599999999999994</v>
      </c>
      <c r="P41" s="51">
        <v>68.099999999999994</v>
      </c>
      <c r="Q41" s="51">
        <v>68.8</v>
      </c>
      <c r="R41" s="51">
        <v>69.7</v>
      </c>
      <c r="S41" s="51">
        <v>68.900000000000006</v>
      </c>
      <c r="T41" s="70">
        <v>69.3</v>
      </c>
      <c r="U41" s="70">
        <v>69.3</v>
      </c>
      <c r="V41" s="70">
        <v>64.7</v>
      </c>
      <c r="W41" s="70">
        <v>64.7</v>
      </c>
      <c r="X41" s="70">
        <v>68.900000000000006</v>
      </c>
      <c r="Y41" s="70">
        <v>68.900000000000006</v>
      </c>
      <c r="Z41" s="70">
        <v>68.900000000000006</v>
      </c>
      <c r="AA41" s="70">
        <v>64.8</v>
      </c>
      <c r="AB41" s="70">
        <v>65.599999999999994</v>
      </c>
      <c r="AC41" s="70">
        <v>65.599999999999994</v>
      </c>
      <c r="AD41" s="70">
        <v>66.3</v>
      </c>
      <c r="AE41" s="70">
        <v>66.3</v>
      </c>
      <c r="AF41" s="70">
        <v>50.4</v>
      </c>
      <c r="AG41" s="63">
        <v>69</v>
      </c>
      <c r="AH41" s="54">
        <f t="shared" si="2"/>
        <v>70</v>
      </c>
      <c r="AI41" s="55">
        <f t="shared" si="3"/>
        <v>50.4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60.7</v>
      </c>
      <c r="M42" s="51">
        <v>60.4</v>
      </c>
      <c r="N42" s="51">
        <v>60.9</v>
      </c>
      <c r="O42" s="51">
        <v>60.9</v>
      </c>
      <c r="P42" s="51">
        <v>60.4</v>
      </c>
      <c r="Q42" s="51">
        <v>60.9</v>
      </c>
      <c r="R42" s="51">
        <v>60.9</v>
      </c>
      <c r="S42" s="51">
        <v>60.9</v>
      </c>
      <c r="T42" s="51">
        <v>60.4</v>
      </c>
      <c r="U42" s="51">
        <v>60.4</v>
      </c>
      <c r="V42" s="51">
        <v>60.4</v>
      </c>
      <c r="W42" s="51">
        <v>60.4</v>
      </c>
      <c r="X42" s="51">
        <v>60.4</v>
      </c>
      <c r="Y42" s="51">
        <v>60.4</v>
      </c>
      <c r="Z42" s="51">
        <v>60.4</v>
      </c>
      <c r="AA42" s="70">
        <v>60.7</v>
      </c>
      <c r="AB42" s="70">
        <v>60.7</v>
      </c>
      <c r="AC42" s="70">
        <v>60.7</v>
      </c>
      <c r="AD42" s="70">
        <v>61</v>
      </c>
      <c r="AE42" s="70">
        <v>61</v>
      </c>
      <c r="AF42" s="70">
        <v>61</v>
      </c>
      <c r="AG42" s="63">
        <v>60</v>
      </c>
      <c r="AH42" s="54">
        <f t="shared" si="2"/>
        <v>61</v>
      </c>
      <c r="AI42" s="55">
        <f t="shared" si="3"/>
        <v>60.4</v>
      </c>
      <c r="AK42" s="56"/>
    </row>
    <row r="43" spans="1:88" x14ac:dyDescent="0.25">
      <c r="A43" s="62" t="s">
        <v>51</v>
      </c>
      <c r="B43" s="65">
        <v>14.8</v>
      </c>
      <c r="C43" s="65">
        <v>20.5</v>
      </c>
      <c r="D43" s="65">
        <v>30</v>
      </c>
      <c r="E43" s="65">
        <v>29.7</v>
      </c>
      <c r="F43" s="65">
        <v>29.8</v>
      </c>
      <c r="G43" s="65">
        <v>29.7</v>
      </c>
      <c r="H43" s="65">
        <v>29.6</v>
      </c>
      <c r="I43" s="65">
        <v>29.7</v>
      </c>
      <c r="J43" s="65">
        <v>29.8</v>
      </c>
      <c r="K43" s="65">
        <v>30</v>
      </c>
      <c r="L43" s="65">
        <v>25</v>
      </c>
      <c r="M43" s="51">
        <v>25</v>
      </c>
      <c r="N43" s="51">
        <v>20</v>
      </c>
      <c r="O43" s="51">
        <v>20</v>
      </c>
      <c r="P43" s="51">
        <v>25</v>
      </c>
      <c r="Q43" s="51">
        <v>30</v>
      </c>
      <c r="R43" s="51">
        <v>30</v>
      </c>
      <c r="S43" s="51">
        <v>30</v>
      </c>
      <c r="T43" s="51">
        <v>15.2</v>
      </c>
      <c r="U43" s="51">
        <v>15.2</v>
      </c>
      <c r="V43" s="51">
        <v>15.2</v>
      </c>
      <c r="W43" s="51">
        <v>15.2</v>
      </c>
      <c r="X43" s="51">
        <v>20.9</v>
      </c>
      <c r="Y43" s="51">
        <v>20.9</v>
      </c>
      <c r="Z43" s="51">
        <v>20.9</v>
      </c>
      <c r="AA43" s="70">
        <v>22.1</v>
      </c>
      <c r="AB43" s="70">
        <v>30</v>
      </c>
      <c r="AC43" s="70">
        <v>0</v>
      </c>
      <c r="AD43" s="70">
        <v>28.5</v>
      </c>
      <c r="AE43" s="70">
        <v>30</v>
      </c>
      <c r="AF43" s="70">
        <v>30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16.7</v>
      </c>
      <c r="C45" s="70">
        <v>16.7</v>
      </c>
      <c r="D45" s="70">
        <v>16.7</v>
      </c>
      <c r="E45" s="70">
        <v>16.600000000000001</v>
      </c>
      <c r="F45" s="70">
        <v>16.600000000000001</v>
      </c>
      <c r="G45" s="70">
        <v>16.600000000000001</v>
      </c>
      <c r="H45" s="70">
        <v>16.600000000000001</v>
      </c>
      <c r="I45" s="70">
        <v>16.600000000000001</v>
      </c>
      <c r="J45" s="70">
        <v>16.600000000000001</v>
      </c>
      <c r="K45" s="70">
        <v>16.600000000000001</v>
      </c>
      <c r="L45" s="70">
        <v>16.600000000000001</v>
      </c>
      <c r="M45" s="51">
        <v>16.600000000000001</v>
      </c>
      <c r="N45" s="51">
        <v>16.600000000000001</v>
      </c>
      <c r="O45" s="51">
        <v>16.600000000000001</v>
      </c>
      <c r="P45" s="51">
        <v>16.600000000000001</v>
      </c>
      <c r="Q45" s="51">
        <v>17.100000000000001</v>
      </c>
      <c r="R45" s="51">
        <v>17.100000000000001</v>
      </c>
      <c r="S45" s="51">
        <v>17.100000000000001</v>
      </c>
      <c r="T45" s="51">
        <v>17.100000000000001</v>
      </c>
      <c r="U45" s="51">
        <v>17.100000000000001</v>
      </c>
      <c r="V45" s="51">
        <v>17.100000000000001</v>
      </c>
      <c r="W45" s="51">
        <v>17.100000000000001</v>
      </c>
      <c r="X45" s="51">
        <v>17.100000000000001</v>
      </c>
      <c r="Y45" s="51">
        <v>17.100000000000001</v>
      </c>
      <c r="Z45" s="51">
        <v>17.100000000000001</v>
      </c>
      <c r="AA45" s="51">
        <v>17.100000000000001</v>
      </c>
      <c r="AB45" s="51">
        <v>17.100000000000001</v>
      </c>
      <c r="AC45" s="51">
        <v>17.100000000000001</v>
      </c>
      <c r="AD45" s="51">
        <v>17.100000000000001</v>
      </c>
      <c r="AE45" s="51">
        <v>17.100000000000001</v>
      </c>
      <c r="AF45" s="51">
        <v>17.100000000000001</v>
      </c>
      <c r="AG45" s="63">
        <v>24</v>
      </c>
      <c r="AH45" s="54">
        <f t="shared" si="2"/>
        <v>17.100000000000001</v>
      </c>
      <c r="AI45" s="55">
        <f t="shared" si="3"/>
        <v>16.600000000000001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</v>
      </c>
      <c r="C47" s="70">
        <v>13</v>
      </c>
      <c r="D47" s="70">
        <v>13</v>
      </c>
      <c r="E47" s="70">
        <v>13</v>
      </c>
      <c r="F47" s="70">
        <v>13</v>
      </c>
      <c r="G47" s="70">
        <v>13</v>
      </c>
      <c r="H47" s="70">
        <v>13</v>
      </c>
      <c r="I47" s="70">
        <v>13</v>
      </c>
      <c r="J47" s="70">
        <v>13</v>
      </c>
      <c r="K47" s="70">
        <v>13</v>
      </c>
      <c r="L47" s="70">
        <v>13</v>
      </c>
      <c r="M47" s="51">
        <v>13</v>
      </c>
      <c r="N47" s="51">
        <v>13</v>
      </c>
      <c r="O47" s="51">
        <v>13</v>
      </c>
      <c r="P47" s="51">
        <v>13</v>
      </c>
      <c r="Q47" s="51">
        <v>13</v>
      </c>
      <c r="R47" s="51">
        <v>13</v>
      </c>
      <c r="S47" s="51">
        <v>13</v>
      </c>
      <c r="T47" s="51">
        <v>13</v>
      </c>
      <c r="U47" s="51">
        <v>13</v>
      </c>
      <c r="V47" s="51">
        <v>13</v>
      </c>
      <c r="W47" s="51">
        <v>13</v>
      </c>
      <c r="X47" s="51">
        <v>13</v>
      </c>
      <c r="Y47" s="51">
        <v>13</v>
      </c>
      <c r="Z47" s="51">
        <v>13</v>
      </c>
      <c r="AA47" s="51">
        <v>13</v>
      </c>
      <c r="AB47" s="51">
        <v>13</v>
      </c>
      <c r="AC47" s="51">
        <v>13</v>
      </c>
      <c r="AD47" s="51">
        <v>13</v>
      </c>
      <c r="AE47" s="51">
        <v>13</v>
      </c>
      <c r="AF47" s="51">
        <v>13</v>
      </c>
      <c r="AG47" s="63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12.2</v>
      </c>
      <c r="C48" s="70">
        <v>12.2</v>
      </c>
      <c r="D48" s="70">
        <v>12.2</v>
      </c>
      <c r="E48" s="70">
        <v>12.2</v>
      </c>
      <c r="F48" s="70">
        <v>12.2</v>
      </c>
      <c r="G48" s="70">
        <v>12.2</v>
      </c>
      <c r="H48" s="70">
        <v>12.2</v>
      </c>
      <c r="I48" s="70">
        <v>12.2</v>
      </c>
      <c r="J48" s="70">
        <v>12.2</v>
      </c>
      <c r="K48" s="70">
        <v>12.2</v>
      </c>
      <c r="L48" s="70">
        <v>12.2</v>
      </c>
      <c r="M48" s="51">
        <v>12.2</v>
      </c>
      <c r="N48" s="51">
        <v>12.2</v>
      </c>
      <c r="O48" s="51">
        <v>12.2</v>
      </c>
      <c r="P48" s="51">
        <v>12.2</v>
      </c>
      <c r="Q48" s="51">
        <v>12.2</v>
      </c>
      <c r="R48" s="51">
        <v>12.2</v>
      </c>
      <c r="S48" s="51">
        <v>12.2</v>
      </c>
      <c r="T48" s="51">
        <v>12.2</v>
      </c>
      <c r="U48" s="51">
        <v>12.2</v>
      </c>
      <c r="V48" s="51">
        <v>12.2</v>
      </c>
      <c r="W48" s="51">
        <v>12.2</v>
      </c>
      <c r="X48" s="51">
        <v>12.2</v>
      </c>
      <c r="Y48" s="51">
        <v>12.2</v>
      </c>
      <c r="Z48" s="51">
        <v>12.2</v>
      </c>
      <c r="AA48" s="51">
        <v>12.2</v>
      </c>
      <c r="AB48" s="51">
        <v>12.2</v>
      </c>
      <c r="AC48" s="51">
        <v>12.2</v>
      </c>
      <c r="AD48" s="51">
        <v>12.2</v>
      </c>
      <c r="AE48" s="51">
        <v>12.2</v>
      </c>
      <c r="AF48" s="51">
        <v>12.2</v>
      </c>
      <c r="AG48" s="63">
        <v>14</v>
      </c>
      <c r="AH48" s="54">
        <f t="shared" si="2"/>
        <v>12.2</v>
      </c>
      <c r="AI48" s="55">
        <f t="shared" si="3"/>
        <v>12.2</v>
      </c>
      <c r="AK48" s="56"/>
    </row>
    <row r="49" spans="1:37" x14ac:dyDescent="0.25">
      <c r="A49" s="62" t="s">
        <v>57</v>
      </c>
      <c r="B49" s="70">
        <v>6</v>
      </c>
      <c r="C49" s="70">
        <v>6</v>
      </c>
      <c r="D49" s="70">
        <v>6</v>
      </c>
      <c r="E49" s="70">
        <v>6</v>
      </c>
      <c r="F49" s="70">
        <v>6</v>
      </c>
      <c r="G49" s="70">
        <v>6</v>
      </c>
      <c r="H49" s="70">
        <v>6</v>
      </c>
      <c r="I49" s="70">
        <v>6</v>
      </c>
      <c r="J49" s="70">
        <v>6</v>
      </c>
      <c r="K49" s="70">
        <v>6</v>
      </c>
      <c r="L49" s="70">
        <v>6</v>
      </c>
      <c r="M49" s="51">
        <v>6</v>
      </c>
      <c r="N49" s="51">
        <v>6</v>
      </c>
      <c r="O49" s="51">
        <v>6</v>
      </c>
      <c r="P49" s="51">
        <v>6</v>
      </c>
      <c r="Q49" s="51">
        <v>6</v>
      </c>
      <c r="R49" s="51">
        <v>6</v>
      </c>
      <c r="S49" s="51">
        <v>6</v>
      </c>
      <c r="T49" s="51">
        <v>6</v>
      </c>
      <c r="U49" s="51">
        <v>6</v>
      </c>
      <c r="V49" s="51">
        <v>6</v>
      </c>
      <c r="W49" s="51">
        <v>6</v>
      </c>
      <c r="X49" s="51">
        <v>6</v>
      </c>
      <c r="Y49" s="51">
        <v>6</v>
      </c>
      <c r="Z49" s="51">
        <v>6</v>
      </c>
      <c r="AA49" s="51">
        <v>6</v>
      </c>
      <c r="AB49" s="51">
        <v>6</v>
      </c>
      <c r="AC49" s="51">
        <v>6</v>
      </c>
      <c r="AD49" s="51">
        <v>6</v>
      </c>
      <c r="AE49" s="51">
        <v>6</v>
      </c>
      <c r="AF49" s="51">
        <v>6</v>
      </c>
      <c r="AG49" s="63">
        <v>10.050000000000001</v>
      </c>
      <c r="AH49" s="54">
        <f t="shared" si="2"/>
        <v>6</v>
      </c>
      <c r="AI49" s="55">
        <f t="shared" si="3"/>
        <v>6</v>
      </c>
      <c r="AK49" s="56"/>
    </row>
    <row r="50" spans="1:37" x14ac:dyDescent="0.25">
      <c r="A50" s="62" t="s">
        <v>58</v>
      </c>
      <c r="B50" s="70">
        <v>4.0999999999999996</v>
      </c>
      <c r="C50" s="70">
        <v>4.0999999999999996</v>
      </c>
      <c r="D50" s="70">
        <v>4.0999999999999996</v>
      </c>
      <c r="E50" s="70">
        <v>4.0999999999999996</v>
      </c>
      <c r="F50" s="70">
        <v>4.0999999999999996</v>
      </c>
      <c r="G50" s="70">
        <v>4.0999999999999996</v>
      </c>
      <c r="H50" s="70">
        <v>4.0999999999999996</v>
      </c>
      <c r="I50" s="70">
        <v>4.0999999999999996</v>
      </c>
      <c r="J50" s="70">
        <v>4.0999999999999996</v>
      </c>
      <c r="K50" s="70">
        <v>4.0999999999999996</v>
      </c>
      <c r="L50" s="70">
        <v>4.0999999999999996</v>
      </c>
      <c r="M50" s="51">
        <v>4.0999999999999996</v>
      </c>
      <c r="N50" s="51">
        <v>4.0999999999999996</v>
      </c>
      <c r="O50" s="51">
        <v>4.0999999999999996</v>
      </c>
      <c r="P50" s="51">
        <v>4.0999999999999996</v>
      </c>
      <c r="Q50" s="51">
        <v>4.0999999999999996</v>
      </c>
      <c r="R50" s="51">
        <v>4.0999999999999996</v>
      </c>
      <c r="S50" s="51">
        <v>4.0999999999999996</v>
      </c>
      <c r="T50" s="51">
        <v>4.0999999999999996</v>
      </c>
      <c r="U50" s="51">
        <v>4.0999999999999996</v>
      </c>
      <c r="V50" s="51">
        <v>4.0999999999999996</v>
      </c>
      <c r="W50" s="51">
        <v>4.0999999999999996</v>
      </c>
      <c r="X50" s="51">
        <v>4.0999999999999996</v>
      </c>
      <c r="Y50" s="51">
        <v>4.0999999999999996</v>
      </c>
      <c r="Z50" s="51">
        <v>4.0999999999999996</v>
      </c>
      <c r="AA50" s="51">
        <v>4.0999999999999996</v>
      </c>
      <c r="AB50" s="51">
        <v>4.0999999999999996</v>
      </c>
      <c r="AC50" s="51">
        <v>4.0999999999999996</v>
      </c>
      <c r="AD50" s="51">
        <v>4.0999999999999996</v>
      </c>
      <c r="AE50" s="51">
        <v>4.0999999999999996</v>
      </c>
      <c r="AF50" s="51">
        <v>4.0999999999999996</v>
      </c>
      <c r="AG50" s="63">
        <v>6.2</v>
      </c>
      <c r="AH50" s="54">
        <f t="shared" si="2"/>
        <v>4.0999999999999996</v>
      </c>
      <c r="AI50" s="55">
        <f t="shared" si="3"/>
        <v>4.0999999999999996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8">SUM(B39:B51)</f>
        <v>415.84000000000003</v>
      </c>
      <c r="C52" s="69">
        <f t="shared" ref="C52:AF52" si="9">SUM(C39:C51)</f>
        <v>422.34</v>
      </c>
      <c r="D52" s="69">
        <f t="shared" si="9"/>
        <v>433.14</v>
      </c>
      <c r="E52" s="69">
        <f t="shared" si="9"/>
        <v>415.94</v>
      </c>
      <c r="F52" s="69">
        <f t="shared" si="9"/>
        <v>411.84000000000009</v>
      </c>
      <c r="G52" s="69">
        <f t="shared" si="9"/>
        <v>412.34000000000003</v>
      </c>
      <c r="H52" s="69">
        <f t="shared" si="9"/>
        <v>415.84000000000003</v>
      </c>
      <c r="I52" s="69">
        <f t="shared" si="9"/>
        <v>410.04</v>
      </c>
      <c r="J52" s="69">
        <f t="shared" si="9"/>
        <v>418.64000000000004</v>
      </c>
      <c r="K52" s="69">
        <f t="shared" si="9"/>
        <v>431.64000000000004</v>
      </c>
      <c r="L52" s="69">
        <f t="shared" si="9"/>
        <v>427.04</v>
      </c>
      <c r="M52" s="69">
        <f t="shared" si="9"/>
        <v>427.54</v>
      </c>
      <c r="N52" s="69">
        <f t="shared" si="9"/>
        <v>422.64000000000004</v>
      </c>
      <c r="O52" s="69">
        <f t="shared" si="9"/>
        <v>422.04</v>
      </c>
      <c r="P52" s="69">
        <f t="shared" si="9"/>
        <v>425.14</v>
      </c>
      <c r="Q52" s="69">
        <f t="shared" si="9"/>
        <v>431.54</v>
      </c>
      <c r="R52" s="69">
        <f t="shared" si="9"/>
        <v>433.24</v>
      </c>
      <c r="S52" s="69">
        <f t="shared" si="9"/>
        <v>431.34000000000003</v>
      </c>
      <c r="T52" s="69">
        <f t="shared" si="9"/>
        <v>415.74</v>
      </c>
      <c r="U52" s="69">
        <f t="shared" si="9"/>
        <v>416.64000000000004</v>
      </c>
      <c r="V52" s="69">
        <f t="shared" si="9"/>
        <v>411.34000000000003</v>
      </c>
      <c r="W52" s="69">
        <f t="shared" si="9"/>
        <v>411.34000000000003</v>
      </c>
      <c r="X52" s="69">
        <f>SUM(X39:X51)</f>
        <v>394.84000000000003</v>
      </c>
      <c r="Y52" s="69">
        <f t="shared" si="9"/>
        <v>394.84000000000003</v>
      </c>
      <c r="Z52" s="69">
        <f t="shared" si="9"/>
        <v>252.83999999999997</v>
      </c>
      <c r="AA52" s="69">
        <v>400.14000000000004</v>
      </c>
      <c r="AB52" s="69">
        <f t="shared" si="9"/>
        <v>428.24000000000007</v>
      </c>
      <c r="AC52" s="69">
        <f t="shared" si="9"/>
        <v>297.44000000000005</v>
      </c>
      <c r="AD52" s="69">
        <f t="shared" si="9"/>
        <v>403.24000000000007</v>
      </c>
      <c r="AE52" s="69">
        <f t="shared" si="9"/>
        <v>429.54000000000008</v>
      </c>
      <c r="AF52" s="69">
        <f t="shared" si="9"/>
        <v>239.73999999999998</v>
      </c>
      <c r="AG52" s="74">
        <f>SUM(AG39:AG51)</f>
        <v>489.91</v>
      </c>
      <c r="AH52" s="54">
        <f t="shared" si="2"/>
        <v>433.24</v>
      </c>
      <c r="AI52" s="55">
        <f t="shared" si="3"/>
        <v>239.73999999999998</v>
      </c>
      <c r="AK52" s="56"/>
    </row>
    <row r="53" spans="1:37" x14ac:dyDescent="0.25">
      <c r="A53" s="57" t="s">
        <v>61</v>
      </c>
      <c r="B53" s="51">
        <v>14</v>
      </c>
      <c r="C53" s="51">
        <v>14</v>
      </c>
      <c r="D53" s="51">
        <v>14</v>
      </c>
      <c r="E53" s="51">
        <v>20</v>
      </c>
      <c r="F53" s="51">
        <v>20</v>
      </c>
      <c r="G53" s="51">
        <v>14</v>
      </c>
      <c r="H53" s="51">
        <v>14</v>
      </c>
      <c r="I53" s="51">
        <v>14</v>
      </c>
      <c r="J53" s="51">
        <v>14</v>
      </c>
      <c r="K53" s="51">
        <v>14</v>
      </c>
      <c r="L53" s="51">
        <v>14</v>
      </c>
      <c r="M53" s="51">
        <v>14</v>
      </c>
      <c r="N53" s="51">
        <v>10</v>
      </c>
      <c r="O53" s="51">
        <v>10</v>
      </c>
      <c r="P53" s="51">
        <v>10</v>
      </c>
      <c r="Q53" s="51">
        <v>10</v>
      </c>
      <c r="R53" s="51">
        <v>10</v>
      </c>
      <c r="S53" s="51">
        <v>12</v>
      </c>
      <c r="T53" s="51">
        <v>20</v>
      </c>
      <c r="U53" s="51">
        <v>30</v>
      </c>
      <c r="V53" s="51">
        <v>10</v>
      </c>
      <c r="W53" s="51">
        <v>10</v>
      </c>
      <c r="X53" s="51">
        <v>10</v>
      </c>
      <c r="Y53" s="51">
        <v>14</v>
      </c>
      <c r="Z53" s="51">
        <v>20</v>
      </c>
      <c r="AA53" s="51">
        <v>14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9">
        <v>60</v>
      </c>
      <c r="AH53" s="54">
        <f t="shared" si="2"/>
        <v>30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6.6</v>
      </c>
      <c r="C54" s="70">
        <v>6.2</v>
      </c>
      <c r="D54" s="70">
        <v>6.2</v>
      </c>
      <c r="E54" s="70">
        <v>7</v>
      </c>
      <c r="F54" s="70">
        <v>8</v>
      </c>
      <c r="G54" s="70">
        <v>5.9</v>
      </c>
      <c r="H54" s="70">
        <v>6.3</v>
      </c>
      <c r="I54" s="70">
        <v>6.4</v>
      </c>
      <c r="J54" s="70">
        <v>6.4</v>
      </c>
      <c r="K54" s="70">
        <v>5.8</v>
      </c>
      <c r="L54" s="70">
        <v>5.8</v>
      </c>
      <c r="M54" s="70">
        <v>5.8</v>
      </c>
      <c r="N54" s="70">
        <v>4.4000000000000004</v>
      </c>
      <c r="O54" s="70">
        <v>3.9</v>
      </c>
      <c r="P54" s="70">
        <v>4</v>
      </c>
      <c r="Q54" s="70">
        <v>4</v>
      </c>
      <c r="R54" s="70">
        <v>4</v>
      </c>
      <c r="S54" s="70">
        <v>5.5</v>
      </c>
      <c r="T54" s="70">
        <v>10.3</v>
      </c>
      <c r="U54" s="70">
        <v>13.3</v>
      </c>
      <c r="V54" s="70">
        <v>4.0999999999999996</v>
      </c>
      <c r="W54" s="70">
        <v>4.0999999999999996</v>
      </c>
      <c r="X54" s="70">
        <v>4.0999999999999996</v>
      </c>
      <c r="Y54" s="70">
        <v>10</v>
      </c>
      <c r="Z54" s="70">
        <v>10.199999999999999</v>
      </c>
      <c r="AA54" s="70">
        <v>5.3</v>
      </c>
      <c r="AB54" s="70">
        <v>0</v>
      </c>
      <c r="AC54" s="70">
        <v>0</v>
      </c>
      <c r="AD54" s="70">
        <v>0</v>
      </c>
      <c r="AE54" s="70">
        <v>0</v>
      </c>
      <c r="AF54" s="70">
        <v>0</v>
      </c>
      <c r="AG54" s="63">
        <v>32</v>
      </c>
      <c r="AH54" s="54">
        <f t="shared" si="2"/>
        <v>13.3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2.4</v>
      </c>
      <c r="C55" s="75">
        <v>2.2000000000000002</v>
      </c>
      <c r="D55" s="75">
        <v>2.2999999999999998</v>
      </c>
      <c r="E55" s="75">
        <v>2.8</v>
      </c>
      <c r="F55" s="75">
        <v>2.5</v>
      </c>
      <c r="G55" s="75">
        <v>2.2000000000000002</v>
      </c>
      <c r="H55" s="75">
        <v>2.2999999999999998</v>
      </c>
      <c r="I55" s="75">
        <v>2.2999999999999998</v>
      </c>
      <c r="J55" s="75">
        <v>2.4</v>
      </c>
      <c r="K55" s="75">
        <v>2.1</v>
      </c>
      <c r="L55" s="75">
        <v>2.1</v>
      </c>
      <c r="M55" s="75">
        <v>2.1</v>
      </c>
      <c r="N55" s="75">
        <v>1.6</v>
      </c>
      <c r="O55" s="75">
        <v>1.4</v>
      </c>
      <c r="P55" s="75">
        <v>1.4</v>
      </c>
      <c r="Q55" s="75">
        <v>1.4</v>
      </c>
      <c r="R55" s="75">
        <v>1.4</v>
      </c>
      <c r="S55" s="75">
        <v>2</v>
      </c>
      <c r="T55" s="75">
        <v>3.7</v>
      </c>
      <c r="U55" s="75">
        <v>4.9000000000000004</v>
      </c>
      <c r="V55" s="75">
        <v>1.5</v>
      </c>
      <c r="W55" s="75">
        <v>1.5</v>
      </c>
      <c r="X55" s="75">
        <v>1.5</v>
      </c>
      <c r="Y55" s="75">
        <v>8</v>
      </c>
      <c r="Z55" s="75">
        <v>6.4</v>
      </c>
      <c r="AA55" s="75">
        <v>1.9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6">
        <v>14</v>
      </c>
      <c r="AH55" s="54">
        <f t="shared" si="2"/>
        <v>8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10">SUM(B53:B55)</f>
        <v>23</v>
      </c>
      <c r="C56" s="69">
        <f t="shared" ref="C56:AF56" si="11">SUM(C53:C55)</f>
        <v>22.4</v>
      </c>
      <c r="D56" s="69">
        <f t="shared" si="11"/>
        <v>22.5</v>
      </c>
      <c r="E56" s="69">
        <f t="shared" si="11"/>
        <v>29.8</v>
      </c>
      <c r="F56" s="69">
        <f t="shared" si="11"/>
        <v>30.5</v>
      </c>
      <c r="G56" s="69">
        <f t="shared" si="11"/>
        <v>22.099999999999998</v>
      </c>
      <c r="H56" s="69">
        <f t="shared" si="11"/>
        <v>22.6</v>
      </c>
      <c r="I56" s="69">
        <f t="shared" si="11"/>
        <v>22.7</v>
      </c>
      <c r="J56" s="69">
        <f t="shared" si="11"/>
        <v>22.799999999999997</v>
      </c>
      <c r="K56" s="69">
        <f t="shared" si="11"/>
        <v>21.900000000000002</v>
      </c>
      <c r="L56" s="69">
        <f t="shared" si="11"/>
        <v>21.900000000000002</v>
      </c>
      <c r="M56" s="69">
        <f t="shared" si="11"/>
        <v>21.900000000000002</v>
      </c>
      <c r="N56" s="69">
        <f t="shared" si="11"/>
        <v>16</v>
      </c>
      <c r="O56" s="69">
        <f t="shared" si="11"/>
        <v>15.3</v>
      </c>
      <c r="P56" s="69">
        <f t="shared" si="11"/>
        <v>15.4</v>
      </c>
      <c r="Q56" s="69">
        <f t="shared" si="11"/>
        <v>15.4</v>
      </c>
      <c r="R56" s="69">
        <f t="shared" si="11"/>
        <v>15.4</v>
      </c>
      <c r="S56" s="69">
        <f t="shared" si="11"/>
        <v>19.5</v>
      </c>
      <c r="T56" s="69">
        <f t="shared" si="11"/>
        <v>34</v>
      </c>
      <c r="U56" s="69">
        <f t="shared" si="11"/>
        <v>48.199999999999996</v>
      </c>
      <c r="V56" s="69">
        <f t="shared" si="11"/>
        <v>15.6</v>
      </c>
      <c r="W56" s="69">
        <f t="shared" si="11"/>
        <v>15.6</v>
      </c>
      <c r="X56" s="69">
        <f t="shared" si="11"/>
        <v>15.6</v>
      </c>
      <c r="Y56" s="69">
        <f t="shared" si="11"/>
        <v>32</v>
      </c>
      <c r="Z56" s="69">
        <f t="shared" si="11"/>
        <v>36.6</v>
      </c>
      <c r="AA56" s="69">
        <v>21.2</v>
      </c>
      <c r="AB56" s="69">
        <f t="shared" si="11"/>
        <v>0</v>
      </c>
      <c r="AC56" s="69">
        <f t="shared" si="11"/>
        <v>0</v>
      </c>
      <c r="AD56" s="69">
        <f t="shared" si="11"/>
        <v>0</v>
      </c>
      <c r="AE56" s="69">
        <f t="shared" si="11"/>
        <v>0</v>
      </c>
      <c r="AF56" s="69">
        <f t="shared" si="11"/>
        <v>0</v>
      </c>
      <c r="AG56" s="74">
        <f>SUM(AG53:AG55)</f>
        <v>106</v>
      </c>
      <c r="AH56" s="54">
        <f t="shared" si="2"/>
        <v>48.199999999999996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53</v>
      </c>
      <c r="C57" s="51">
        <v>45.5</v>
      </c>
      <c r="D57" s="51">
        <v>35.9</v>
      </c>
      <c r="E57" s="51">
        <v>35</v>
      </c>
      <c r="F57" s="51">
        <v>34</v>
      </c>
      <c r="G57" s="51">
        <v>30.25</v>
      </c>
      <c r="H57" s="51">
        <v>25.3</v>
      </c>
      <c r="I57" s="51">
        <v>21</v>
      </c>
      <c r="J57" s="51">
        <v>18</v>
      </c>
      <c r="K57" s="51">
        <v>19</v>
      </c>
      <c r="L57" s="51">
        <v>23.76</v>
      </c>
      <c r="M57" s="51">
        <v>13.1</v>
      </c>
      <c r="N57" s="51">
        <v>33</v>
      </c>
      <c r="O57" s="51">
        <v>35</v>
      </c>
      <c r="P57" s="51">
        <v>60</v>
      </c>
      <c r="Q57" s="51">
        <v>57.5</v>
      </c>
      <c r="R57" s="51">
        <v>61.8</v>
      </c>
      <c r="S57" s="51">
        <v>27</v>
      </c>
      <c r="T57" s="51">
        <v>65</v>
      </c>
      <c r="U57" s="51">
        <v>65</v>
      </c>
      <c r="V57" s="51">
        <v>64</v>
      </c>
      <c r="W57" s="51">
        <v>64</v>
      </c>
      <c r="X57" s="51">
        <v>64</v>
      </c>
      <c r="Y57" s="51">
        <v>73</v>
      </c>
      <c r="Z57" s="51">
        <v>73</v>
      </c>
      <c r="AA57" s="51">
        <v>40.89</v>
      </c>
      <c r="AB57" s="51">
        <v>38</v>
      </c>
      <c r="AC57" s="51">
        <v>71.069999999999993</v>
      </c>
      <c r="AD57" s="51">
        <v>67.2</v>
      </c>
      <c r="AE57" s="51">
        <v>37.479999999999997</v>
      </c>
      <c r="AF57" s="51">
        <v>47.62</v>
      </c>
      <c r="AG57" s="59"/>
      <c r="AH57" s="54">
        <f t="shared" si="2"/>
        <v>73</v>
      </c>
      <c r="AI57" s="55">
        <f t="shared" si="3"/>
        <v>13.1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4.5</v>
      </c>
      <c r="C59" s="70">
        <v>15.2</v>
      </c>
      <c r="D59" s="70">
        <v>18.100000000000001</v>
      </c>
      <c r="E59" s="70">
        <v>5</v>
      </c>
      <c r="F59" s="70">
        <v>4</v>
      </c>
      <c r="G59" s="70">
        <v>18</v>
      </c>
      <c r="H59" s="70">
        <v>21.8</v>
      </c>
      <c r="I59" s="70">
        <v>24</v>
      </c>
      <c r="J59" s="70">
        <v>16</v>
      </c>
      <c r="K59" s="70">
        <v>25.1</v>
      </c>
      <c r="L59" s="70">
        <v>25.8</v>
      </c>
      <c r="M59" s="70">
        <v>30</v>
      </c>
      <c r="N59" s="70">
        <v>32.5</v>
      </c>
      <c r="O59" s="70">
        <v>40</v>
      </c>
      <c r="P59" s="70">
        <v>36</v>
      </c>
      <c r="Q59" s="70">
        <v>25</v>
      </c>
      <c r="R59" s="70">
        <v>31</v>
      </c>
      <c r="S59" s="70">
        <v>30</v>
      </c>
      <c r="T59" s="70">
        <v>47.9</v>
      </c>
      <c r="U59" s="70">
        <v>36.799999999999997</v>
      </c>
      <c r="V59" s="70">
        <v>79.099999999999994</v>
      </c>
      <c r="W59" s="70">
        <v>79.099999999999994</v>
      </c>
      <c r="X59" s="70">
        <v>70</v>
      </c>
      <c r="Y59" s="70">
        <v>42</v>
      </c>
      <c r="Z59" s="70">
        <v>24</v>
      </c>
      <c r="AA59" s="70">
        <v>39.299999999999997</v>
      </c>
      <c r="AB59" s="70">
        <v>0</v>
      </c>
      <c r="AC59" s="70">
        <v>-56.2</v>
      </c>
      <c r="AD59" s="70">
        <v>-50</v>
      </c>
      <c r="AE59" s="70">
        <v>-142</v>
      </c>
      <c r="AF59" s="70">
        <v>-114</v>
      </c>
      <c r="AG59" s="77"/>
      <c r="AH59" s="54">
        <f t="shared" si="2"/>
        <v>79.099999999999994</v>
      </c>
      <c r="AI59" s="55">
        <f t="shared" si="3"/>
        <v>-142</v>
      </c>
      <c r="AK59" s="56"/>
    </row>
    <row r="60" spans="1:37" x14ac:dyDescent="0.25">
      <c r="A60" s="62" t="s">
        <v>68</v>
      </c>
      <c r="B60" s="78">
        <v>29.8</v>
      </c>
      <c r="C60" s="78">
        <v>29.1</v>
      </c>
      <c r="D60" s="78">
        <v>29.7</v>
      </c>
      <c r="E60" s="78">
        <v>30</v>
      </c>
      <c r="F60" s="78">
        <v>31</v>
      </c>
      <c r="G60" s="78">
        <v>28</v>
      </c>
      <c r="H60" s="78">
        <v>29</v>
      </c>
      <c r="I60" s="78">
        <v>14</v>
      </c>
      <c r="J60" s="78">
        <v>13</v>
      </c>
      <c r="K60" s="78">
        <v>14</v>
      </c>
      <c r="L60" s="78">
        <v>15</v>
      </c>
      <c r="M60" s="78">
        <v>15</v>
      </c>
      <c r="N60" s="78">
        <v>15</v>
      </c>
      <c r="O60" s="78">
        <v>15</v>
      </c>
      <c r="P60" s="78">
        <v>15</v>
      </c>
      <c r="Q60" s="78">
        <v>15</v>
      </c>
      <c r="R60" s="78">
        <v>15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31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8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2">SUM(B57:B67)</f>
        <v>95.3</v>
      </c>
      <c r="C68" s="69">
        <f t="shared" ref="C68:AF68" si="13">SUM(C57:C67)</f>
        <v>97.800000000000011</v>
      </c>
      <c r="D68" s="69">
        <f t="shared" si="13"/>
        <v>91.7</v>
      </c>
      <c r="E68" s="69">
        <f t="shared" si="13"/>
        <v>78</v>
      </c>
      <c r="F68" s="69">
        <f t="shared" si="13"/>
        <v>77</v>
      </c>
      <c r="G68" s="69">
        <f t="shared" si="13"/>
        <v>84.25</v>
      </c>
      <c r="H68" s="69">
        <f t="shared" si="13"/>
        <v>84.1</v>
      </c>
      <c r="I68" s="69">
        <f t="shared" si="13"/>
        <v>67</v>
      </c>
      <c r="J68" s="69">
        <f t="shared" si="13"/>
        <v>55</v>
      </c>
      <c r="K68" s="69">
        <f t="shared" si="13"/>
        <v>66.099999999999994</v>
      </c>
      <c r="L68" s="69">
        <f t="shared" si="13"/>
        <v>72.56</v>
      </c>
      <c r="M68" s="69">
        <f t="shared" si="13"/>
        <v>66.099999999999994</v>
      </c>
      <c r="N68" s="69">
        <f t="shared" si="13"/>
        <v>88.5</v>
      </c>
      <c r="O68" s="69">
        <f t="shared" si="13"/>
        <v>98</v>
      </c>
      <c r="P68" s="69">
        <f t="shared" si="13"/>
        <v>119</v>
      </c>
      <c r="Q68" s="69">
        <f t="shared" si="13"/>
        <v>105.5</v>
      </c>
      <c r="R68" s="69">
        <f t="shared" si="13"/>
        <v>115.8</v>
      </c>
      <c r="S68" s="69">
        <f t="shared" si="13"/>
        <v>65</v>
      </c>
      <c r="T68" s="69">
        <f t="shared" si="13"/>
        <v>120.9</v>
      </c>
      <c r="U68" s="69">
        <f t="shared" si="13"/>
        <v>109.8</v>
      </c>
      <c r="V68" s="69">
        <f>SUM(V57:V67)</f>
        <v>151.1</v>
      </c>
      <c r="W68" s="69">
        <f t="shared" si="13"/>
        <v>151.1</v>
      </c>
      <c r="X68" s="69">
        <f t="shared" si="13"/>
        <v>142</v>
      </c>
      <c r="Y68" s="69">
        <f t="shared" si="13"/>
        <v>123</v>
      </c>
      <c r="Z68" s="69">
        <f t="shared" si="13"/>
        <v>105</v>
      </c>
      <c r="AA68" s="69">
        <v>88.19</v>
      </c>
      <c r="AB68" s="69">
        <f t="shared" si="13"/>
        <v>46</v>
      </c>
      <c r="AC68" s="69">
        <f t="shared" si="13"/>
        <v>22.86999999999999</v>
      </c>
      <c r="AD68" s="69">
        <f t="shared" si="13"/>
        <v>25.200000000000003</v>
      </c>
      <c r="AE68" s="69">
        <f t="shared" si="13"/>
        <v>-96.52000000000001</v>
      </c>
      <c r="AF68" s="69">
        <f t="shared" si="13"/>
        <v>-58.379999999999995</v>
      </c>
      <c r="AG68" s="74">
        <f>SUM(AG57:AG67)</f>
        <v>0</v>
      </c>
      <c r="AH68" s="54">
        <f t="shared" si="2"/>
        <v>151.1</v>
      </c>
      <c r="AI68" s="55">
        <f t="shared" si="3"/>
        <v>-96.52000000000001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1368.4300000000003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4">AG68+AG56+AG52+AG38+AG72</f>
        <v>2144.14</v>
      </c>
      <c r="AH73" s="54">
        <f t="shared" si="2"/>
        <v>1368.4300000000003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>
        <v>60</v>
      </c>
      <c r="AA74" s="86"/>
      <c r="AB74" s="86"/>
      <c r="AC74" s="86"/>
      <c r="AD74" s="86"/>
      <c r="AE74" s="86"/>
      <c r="AF74" s="86"/>
      <c r="AG74" s="74"/>
      <c r="AH74" s="54">
        <f t="shared" si="2"/>
        <v>60</v>
      </c>
      <c r="AI74" s="55">
        <f t="shared" si="3"/>
        <v>60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5">B72+B68+B56+B52+B38+B74</f>
        <v>1340.84</v>
      </c>
      <c r="C75" s="84">
        <f t="shared" ref="C75:AF75" si="16">C72+C68+C56+C52+C38+C74</f>
        <v>1319.6399999999999</v>
      </c>
      <c r="D75" s="84">
        <f t="shared" si="16"/>
        <v>1306.54</v>
      </c>
      <c r="E75" s="84">
        <f t="shared" si="16"/>
        <v>1242.94</v>
      </c>
      <c r="F75" s="84">
        <f t="shared" si="16"/>
        <v>1224.3400000000001</v>
      </c>
      <c r="G75" s="84">
        <f t="shared" si="16"/>
        <v>1248.69</v>
      </c>
      <c r="H75" s="84">
        <f t="shared" si="16"/>
        <v>1232.54</v>
      </c>
      <c r="I75" s="84">
        <f t="shared" si="16"/>
        <v>1229.74</v>
      </c>
      <c r="J75" s="84">
        <f t="shared" si="16"/>
        <v>1236.44</v>
      </c>
      <c r="K75" s="84">
        <f t="shared" si="16"/>
        <v>1299.6400000000001</v>
      </c>
      <c r="L75" s="84">
        <f t="shared" si="16"/>
        <v>1321.9</v>
      </c>
      <c r="M75" s="84">
        <f t="shared" si="16"/>
        <v>1347.54</v>
      </c>
      <c r="N75" s="84">
        <f t="shared" si="16"/>
        <v>1404.1400000000003</v>
      </c>
      <c r="O75" s="84">
        <f t="shared" si="16"/>
        <v>1402.6400000000003</v>
      </c>
      <c r="P75" s="84">
        <f t="shared" si="16"/>
        <v>1419.54</v>
      </c>
      <c r="Q75" s="84">
        <f t="shared" si="16"/>
        <v>1426.3400000000001</v>
      </c>
      <c r="R75" s="84">
        <f t="shared" si="16"/>
        <v>1428.3400000000001</v>
      </c>
      <c r="S75" s="84">
        <f t="shared" si="16"/>
        <v>1345.14</v>
      </c>
      <c r="T75" s="84">
        <f t="shared" si="16"/>
        <v>1369.8400000000001</v>
      </c>
      <c r="U75" s="84">
        <f t="shared" si="16"/>
        <v>1395.6400000000003</v>
      </c>
      <c r="V75" s="84">
        <f t="shared" si="16"/>
        <v>1392.24</v>
      </c>
      <c r="W75" s="84">
        <f t="shared" si="16"/>
        <v>1392.24</v>
      </c>
      <c r="X75" s="84">
        <f t="shared" si="16"/>
        <v>1266.6400000000001</v>
      </c>
      <c r="Y75" s="84">
        <f t="shared" si="16"/>
        <v>1314.04</v>
      </c>
      <c r="Z75" s="84">
        <f t="shared" si="16"/>
        <v>1338.64</v>
      </c>
      <c r="AA75" s="84">
        <v>1368.4300000000003</v>
      </c>
      <c r="AB75" s="84">
        <f t="shared" si="16"/>
        <v>1309.1400000000001</v>
      </c>
      <c r="AC75" s="84">
        <f t="shared" si="16"/>
        <v>1165.21</v>
      </c>
      <c r="AD75" s="84">
        <f t="shared" si="16"/>
        <v>1273.3400000000001</v>
      </c>
      <c r="AE75" s="84">
        <f t="shared" si="16"/>
        <v>1067.92</v>
      </c>
      <c r="AF75" s="84">
        <f t="shared" si="16"/>
        <v>916.26</v>
      </c>
      <c r="AG75" s="74">
        <f>AG72+AG68+AG56+AG52+AG38+AG74</f>
        <v>2144.14</v>
      </c>
      <c r="AH75" s="54">
        <f t="shared" si="2"/>
        <v>1428.3400000000001</v>
      </c>
      <c r="AI75" s="55">
        <f t="shared" si="3"/>
        <v>916.26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/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7">MAX(B76:AF76)</f>
        <v>0</v>
      </c>
      <c r="AI76" s="55">
        <f t="shared" ref="AI76:AI91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7"/>
        <v>0</v>
      </c>
      <c r="AI77" s="55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7"/>
        <v>0</v>
      </c>
      <c r="AI78" s="55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7"/>
        <v>0</v>
      </c>
      <c r="AI79" s="55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7"/>
        <v>0</v>
      </c>
      <c r="AI80" s="55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7"/>
        <v>0</v>
      </c>
      <c r="AI81" s="55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9">SUM(AG76:AG81)</f>
        <v>0</v>
      </c>
      <c r="AH82" s="54">
        <f t="shared" si="17"/>
        <v>0</v>
      </c>
      <c r="AI82" s="55">
        <f t="shared" si="18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20">SUM(B70:B82)</f>
        <v>2542.7299999999996</v>
      </c>
      <c r="C83" s="69">
        <f t="shared" ref="C83:AG83" si="21">SUM(C70:C82)</f>
        <v>2521.5299999999997</v>
      </c>
      <c r="D83" s="69">
        <f t="shared" si="21"/>
        <v>2508.4299999999998</v>
      </c>
      <c r="E83" s="69">
        <f t="shared" si="21"/>
        <v>2444.83</v>
      </c>
      <c r="F83" s="69">
        <f t="shared" si="21"/>
        <v>2426.23</v>
      </c>
      <c r="G83" s="69">
        <f t="shared" si="21"/>
        <v>2450.58</v>
      </c>
      <c r="H83" s="69">
        <f t="shared" si="21"/>
        <v>2434.4299999999998</v>
      </c>
      <c r="I83" s="69">
        <f t="shared" si="21"/>
        <v>2431.63</v>
      </c>
      <c r="J83" s="69">
        <f t="shared" si="21"/>
        <v>2438.33</v>
      </c>
      <c r="K83" s="69">
        <f t="shared" si="21"/>
        <v>2501.5299999999997</v>
      </c>
      <c r="L83" s="69">
        <f t="shared" si="21"/>
        <v>2523.79</v>
      </c>
      <c r="M83" s="69">
        <f t="shared" si="21"/>
        <v>2549.4299999999998</v>
      </c>
      <c r="N83" s="69">
        <f t="shared" si="21"/>
        <v>2606.0300000000002</v>
      </c>
      <c r="O83" s="69">
        <f t="shared" si="21"/>
        <v>2604.5300000000002</v>
      </c>
      <c r="P83" s="69">
        <f t="shared" si="21"/>
        <v>2621.4299999999998</v>
      </c>
      <c r="Q83" s="69">
        <f t="shared" si="21"/>
        <v>2628.23</v>
      </c>
      <c r="R83" s="69">
        <f t="shared" si="21"/>
        <v>2630.23</v>
      </c>
      <c r="S83" s="69">
        <f t="shared" si="21"/>
        <v>2547.0299999999997</v>
      </c>
      <c r="T83" s="69">
        <f t="shared" si="21"/>
        <v>2571.73</v>
      </c>
      <c r="U83" s="69">
        <f t="shared" si="21"/>
        <v>2597.5300000000002</v>
      </c>
      <c r="V83" s="69">
        <f t="shared" si="21"/>
        <v>2594.13</v>
      </c>
      <c r="W83" s="69">
        <f t="shared" si="21"/>
        <v>2594.13</v>
      </c>
      <c r="X83" s="69">
        <f t="shared" si="21"/>
        <v>2468.5299999999997</v>
      </c>
      <c r="Y83" s="69">
        <f t="shared" si="21"/>
        <v>2515.9299999999998</v>
      </c>
      <c r="Z83" s="69">
        <f t="shared" si="21"/>
        <v>2600.5299999999997</v>
      </c>
      <c r="AA83" s="69">
        <v>88.19</v>
      </c>
      <c r="AB83" s="69">
        <f t="shared" si="21"/>
        <v>2511.0299999999997</v>
      </c>
      <c r="AC83" s="69">
        <f t="shared" si="21"/>
        <v>2367.1</v>
      </c>
      <c r="AD83" s="69">
        <f t="shared" si="21"/>
        <v>2475.23</v>
      </c>
      <c r="AE83" s="69">
        <f t="shared" si="21"/>
        <v>2269.81</v>
      </c>
      <c r="AF83" s="69">
        <f t="shared" si="21"/>
        <v>2118.1499999999996</v>
      </c>
      <c r="AG83" s="74">
        <f t="shared" si="21"/>
        <v>4360.08</v>
      </c>
      <c r="AH83" s="54">
        <f t="shared" si="17"/>
        <v>2630.23</v>
      </c>
      <c r="AI83" s="55">
        <f t="shared" si="18"/>
        <v>88.19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50.1</v>
      </c>
      <c r="C84" s="90">
        <v>50.03</v>
      </c>
      <c r="D84" s="90">
        <v>50</v>
      </c>
      <c r="E84" s="90">
        <v>50.000999999999998</v>
      </c>
      <c r="F84" s="90">
        <v>50.029000000000003</v>
      </c>
      <c r="G84" s="90">
        <v>50.031999999999996</v>
      </c>
      <c r="H84" s="90">
        <v>50.015999999999998</v>
      </c>
      <c r="I84" s="90">
        <v>50.034999999999997</v>
      </c>
      <c r="J84" s="90">
        <v>50.012</v>
      </c>
      <c r="K84" s="90">
        <v>50.048000000000002</v>
      </c>
      <c r="L84" s="90">
        <v>50.109000000000002</v>
      </c>
      <c r="M84" s="90">
        <v>50.11</v>
      </c>
      <c r="N84" s="90">
        <v>50.052</v>
      </c>
      <c r="O84" s="90">
        <v>50.055999999999997</v>
      </c>
      <c r="P84" s="90">
        <v>50.017000000000003</v>
      </c>
      <c r="Q84" s="90">
        <v>50.048999999999999</v>
      </c>
      <c r="R84" s="90">
        <v>50.003999999999998</v>
      </c>
      <c r="S84" s="90">
        <v>50.02</v>
      </c>
      <c r="T84" s="90">
        <v>49.82</v>
      </c>
      <c r="U84" s="90">
        <v>49.82</v>
      </c>
      <c r="V84" s="90">
        <v>50.03</v>
      </c>
      <c r="W84" s="90">
        <v>50.03</v>
      </c>
      <c r="X84" s="90">
        <v>49.86</v>
      </c>
      <c r="Y84" s="90">
        <v>49.96</v>
      </c>
      <c r="Z84" s="90">
        <v>50.02</v>
      </c>
      <c r="AA84" s="90">
        <v>50.01</v>
      </c>
      <c r="AB84" s="90">
        <v>50.064</v>
      </c>
      <c r="AC84" s="90">
        <v>49.923999999999999</v>
      </c>
      <c r="AD84" s="90">
        <v>49.947000000000003</v>
      </c>
      <c r="AE84" s="90">
        <v>50.033999999999999</v>
      </c>
      <c r="AF84" s="90"/>
      <c r="AG84" s="91"/>
      <c r="AH84" s="54">
        <f t="shared" si="17"/>
        <v>50.11</v>
      </c>
      <c r="AI84" s="55">
        <f t="shared" si="18"/>
        <v>49.82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124.3</v>
      </c>
      <c r="C85" s="70">
        <v>123.9</v>
      </c>
      <c r="D85" s="70">
        <v>124</v>
      </c>
      <c r="E85" s="70">
        <v>124.1</v>
      </c>
      <c r="F85" s="70">
        <v>125</v>
      </c>
      <c r="G85" s="70">
        <v>124.9</v>
      </c>
      <c r="H85" s="70">
        <v>124.3</v>
      </c>
      <c r="I85" s="70">
        <v>125.8</v>
      </c>
      <c r="J85" s="70">
        <v>125.4</v>
      </c>
      <c r="K85" s="70">
        <v>123.8</v>
      </c>
      <c r="L85" s="70">
        <v>125.1</v>
      </c>
      <c r="M85" s="70">
        <v>123.5</v>
      </c>
      <c r="N85" s="70">
        <v>124.3</v>
      </c>
      <c r="O85" s="70">
        <v>120.8</v>
      </c>
      <c r="P85" s="70">
        <v>120.9</v>
      </c>
      <c r="Q85" s="70">
        <v>122.1</v>
      </c>
      <c r="R85" s="70">
        <v>120.4</v>
      </c>
      <c r="S85" s="70">
        <v>120.5</v>
      </c>
      <c r="T85" s="70">
        <v>122.1</v>
      </c>
      <c r="U85" s="70">
        <v>122.1</v>
      </c>
      <c r="V85" s="70">
        <v>121.2</v>
      </c>
      <c r="W85" s="70">
        <v>121.2</v>
      </c>
      <c r="X85" s="70">
        <v>121.2</v>
      </c>
      <c r="Y85" s="70">
        <v>121.2</v>
      </c>
      <c r="Z85" s="70">
        <v>127</v>
      </c>
      <c r="AA85" s="70">
        <v>126.6</v>
      </c>
      <c r="AB85" s="70">
        <v>127.2</v>
      </c>
      <c r="AC85" s="70">
        <v>126.7</v>
      </c>
      <c r="AD85" s="70">
        <v>126.4</v>
      </c>
      <c r="AE85" s="70">
        <v>128.5</v>
      </c>
      <c r="AF85" s="70"/>
      <c r="AG85" s="93"/>
      <c r="AH85" s="54">
        <f t="shared" si="17"/>
        <v>128.5</v>
      </c>
      <c r="AI85" s="55">
        <f t="shared" si="18"/>
        <v>120.4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129.19999999999999</v>
      </c>
      <c r="C86" s="70">
        <v>129</v>
      </c>
      <c r="D86" s="70">
        <v>129</v>
      </c>
      <c r="E86" s="70">
        <v>128.19999999999999</v>
      </c>
      <c r="F86" s="70">
        <v>128.9</v>
      </c>
      <c r="G86" s="70">
        <v>128.69999999999999</v>
      </c>
      <c r="H86" s="70">
        <v>127.9</v>
      </c>
      <c r="I86" s="70">
        <v>128.80000000000001</v>
      </c>
      <c r="J86" s="70">
        <v>128.5</v>
      </c>
      <c r="K86" s="70">
        <v>127.4</v>
      </c>
      <c r="L86" s="70">
        <v>128</v>
      </c>
      <c r="M86" s="70">
        <v>127</v>
      </c>
      <c r="N86" s="70">
        <v>127.5</v>
      </c>
      <c r="O86" s="70">
        <v>125.5</v>
      </c>
      <c r="P86" s="70">
        <v>125.4</v>
      </c>
      <c r="Q86" s="70">
        <v>126.4</v>
      </c>
      <c r="R86" s="70">
        <v>124.8</v>
      </c>
      <c r="S86" s="70">
        <v>125.3</v>
      </c>
      <c r="T86" s="70">
        <v>126.5</v>
      </c>
      <c r="U86" s="70">
        <v>126.5</v>
      </c>
      <c r="V86" s="70">
        <v>125.8</v>
      </c>
      <c r="W86" s="70">
        <v>125.8</v>
      </c>
      <c r="X86" s="70">
        <v>125.8</v>
      </c>
      <c r="Y86" s="70">
        <v>125.8</v>
      </c>
      <c r="Z86" s="70">
        <v>125.8</v>
      </c>
      <c r="AA86" s="70">
        <v>129.30000000000001</v>
      </c>
      <c r="AB86" s="70">
        <v>130.4</v>
      </c>
      <c r="AC86" s="70">
        <v>130.19999999999999</v>
      </c>
      <c r="AD86" s="70">
        <v>130.19999999999999</v>
      </c>
      <c r="AE86" s="70">
        <v>132.4</v>
      </c>
      <c r="AF86" s="70"/>
      <c r="AG86" s="93"/>
      <c r="AH86" s="54">
        <f t="shared" si="17"/>
        <v>132.4</v>
      </c>
      <c r="AI86" s="55">
        <f t="shared" si="18"/>
        <v>124.8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126.8</v>
      </c>
      <c r="C87" s="70">
        <v>127.3</v>
      </c>
      <c r="D87" s="70">
        <v>127.5</v>
      </c>
      <c r="E87" s="70">
        <v>129.1</v>
      </c>
      <c r="F87" s="70">
        <v>129.5</v>
      </c>
      <c r="G87" s="70">
        <v>129.19999999999999</v>
      </c>
      <c r="H87" s="70">
        <v>129</v>
      </c>
      <c r="I87" s="70">
        <v>127.9</v>
      </c>
      <c r="J87" s="70">
        <v>128.5</v>
      </c>
      <c r="K87" s="70">
        <v>127.2</v>
      </c>
      <c r="L87" s="70">
        <v>127.5</v>
      </c>
      <c r="M87" s="70">
        <v>125.8</v>
      </c>
      <c r="N87" s="70">
        <v>128.4</v>
      </c>
      <c r="O87" s="70">
        <v>125.7</v>
      </c>
      <c r="P87" s="70">
        <v>126</v>
      </c>
      <c r="Q87" s="70">
        <v>126.1</v>
      </c>
      <c r="R87" s="70">
        <v>126</v>
      </c>
      <c r="S87" s="70">
        <v>128.4</v>
      </c>
      <c r="T87" s="70">
        <v>128.5</v>
      </c>
      <c r="U87" s="70">
        <v>128.5</v>
      </c>
      <c r="V87" s="70">
        <v>127.1</v>
      </c>
      <c r="W87" s="70">
        <v>127.1</v>
      </c>
      <c r="X87" s="70">
        <v>127.1</v>
      </c>
      <c r="Y87" s="70">
        <v>127.1</v>
      </c>
      <c r="Z87" s="70">
        <v>127.1</v>
      </c>
      <c r="AA87" s="70">
        <v>125.9</v>
      </c>
      <c r="AB87" s="70">
        <v>129.5</v>
      </c>
      <c r="AC87" s="70">
        <v>129.30000000000001</v>
      </c>
      <c r="AD87" s="70">
        <v>130</v>
      </c>
      <c r="AE87" s="70">
        <v>130.6</v>
      </c>
      <c r="AF87" s="70"/>
      <c r="AG87" s="93"/>
      <c r="AH87" s="54">
        <f t="shared" si="17"/>
        <v>130.6</v>
      </c>
      <c r="AI87" s="55">
        <f t="shared" si="18"/>
        <v>125.7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132.69999999999999</v>
      </c>
      <c r="C88" s="70">
        <v>133.30000000000001</v>
      </c>
      <c r="D88" s="70">
        <v>133.30000000000001</v>
      </c>
      <c r="E88" s="70">
        <v>133.5</v>
      </c>
      <c r="F88" s="70">
        <v>133.5</v>
      </c>
      <c r="G88" s="70">
        <v>134.1</v>
      </c>
      <c r="H88" s="70">
        <v>133.19999999999999</v>
      </c>
      <c r="I88" s="70">
        <v>132.19999999999999</v>
      </c>
      <c r="J88" s="70">
        <v>130.69999999999999</v>
      </c>
      <c r="K88" s="70">
        <v>129.30000000000001</v>
      </c>
      <c r="L88" s="70">
        <v>130.4</v>
      </c>
      <c r="M88" s="70">
        <v>129.80000000000001</v>
      </c>
      <c r="N88" s="70">
        <v>133.30000000000001</v>
      </c>
      <c r="O88" s="70">
        <v>130.69999999999999</v>
      </c>
      <c r="P88" s="70">
        <v>131.19999999999999</v>
      </c>
      <c r="Q88" s="70">
        <v>131.4</v>
      </c>
      <c r="R88" s="70">
        <v>131</v>
      </c>
      <c r="S88" s="70">
        <v>131.19999999999999</v>
      </c>
      <c r="T88" s="70">
        <v>131.1</v>
      </c>
      <c r="U88" s="70">
        <v>131.1</v>
      </c>
      <c r="V88" s="70">
        <v>132.1</v>
      </c>
      <c r="W88" s="70">
        <v>132.1</v>
      </c>
      <c r="X88" s="70">
        <v>132.1</v>
      </c>
      <c r="Y88" s="70">
        <v>132.1</v>
      </c>
      <c r="Z88" s="70">
        <v>132.1</v>
      </c>
      <c r="AA88" s="70">
        <v>131.6</v>
      </c>
      <c r="AB88" s="70">
        <v>133.30000000000001</v>
      </c>
      <c r="AC88" s="70">
        <v>133.30000000000001</v>
      </c>
      <c r="AD88" s="70">
        <v>134.1</v>
      </c>
      <c r="AE88" s="70">
        <v>133.80000000000001</v>
      </c>
      <c r="AF88" s="70"/>
      <c r="AG88" s="93"/>
      <c r="AH88" s="54">
        <f t="shared" si="17"/>
        <v>134.1</v>
      </c>
      <c r="AI88" s="55">
        <f t="shared" si="18"/>
        <v>129.30000000000001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134.1</v>
      </c>
      <c r="C89" s="95">
        <v>134.19999999999999</v>
      </c>
      <c r="D89" s="95">
        <v>135.4</v>
      </c>
      <c r="E89" s="95">
        <v>133.6</v>
      </c>
      <c r="F89" s="95">
        <v>133.30000000000001</v>
      </c>
      <c r="G89" s="95">
        <v>133.19999999999999</v>
      </c>
      <c r="H89" s="95">
        <v>134.30000000000001</v>
      </c>
      <c r="I89" s="95">
        <v>132.5</v>
      </c>
      <c r="J89" s="95">
        <v>134.5</v>
      </c>
      <c r="K89" s="95">
        <v>130.80000000000001</v>
      </c>
      <c r="L89" s="95">
        <v>133.30000000000001</v>
      </c>
      <c r="M89" s="95">
        <v>133.69999999999999</v>
      </c>
      <c r="N89" s="95">
        <v>130.6</v>
      </c>
      <c r="O89" s="95">
        <v>131.5</v>
      </c>
      <c r="P89" s="95">
        <v>135.6</v>
      </c>
      <c r="Q89" s="95">
        <v>136.19999999999999</v>
      </c>
      <c r="R89" s="95">
        <v>130.69999999999999</v>
      </c>
      <c r="S89" s="95">
        <v>131.4</v>
      </c>
      <c r="T89" s="95">
        <v>133</v>
      </c>
      <c r="U89" s="95">
        <v>133</v>
      </c>
      <c r="V89" s="95">
        <v>131.9</v>
      </c>
      <c r="W89" s="95">
        <v>131.9</v>
      </c>
      <c r="X89" s="95">
        <v>131.9</v>
      </c>
      <c r="Y89" s="95">
        <v>131.9</v>
      </c>
      <c r="Z89" s="95">
        <v>131.9</v>
      </c>
      <c r="AA89" s="95">
        <v>123</v>
      </c>
      <c r="AB89" s="95">
        <v>129.9</v>
      </c>
      <c r="AC89" s="95">
        <v>134.80000000000001</v>
      </c>
      <c r="AD89" s="95">
        <v>131.30000000000001</v>
      </c>
      <c r="AE89" s="95">
        <v>133.5</v>
      </c>
      <c r="AF89" s="95"/>
      <c r="AG89" s="96"/>
      <c r="AH89" s="54">
        <f t="shared" si="17"/>
        <v>136.19999999999999</v>
      </c>
      <c r="AI89" s="55">
        <f t="shared" si="18"/>
        <v>123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129.9</v>
      </c>
      <c r="C90" s="70">
        <v>132.4</v>
      </c>
      <c r="D90" s="70">
        <v>132.5</v>
      </c>
      <c r="E90" s="70">
        <v>127.6</v>
      </c>
      <c r="F90" s="70">
        <v>127.7</v>
      </c>
      <c r="G90" s="70">
        <v>127.8</v>
      </c>
      <c r="H90" s="70">
        <v>129.9</v>
      </c>
      <c r="I90" s="70">
        <v>126.8</v>
      </c>
      <c r="J90" s="70">
        <v>131.4</v>
      </c>
      <c r="K90" s="70">
        <v>127.9</v>
      </c>
      <c r="L90" s="70">
        <v>131</v>
      </c>
      <c r="M90" s="70">
        <v>131</v>
      </c>
      <c r="N90" s="70">
        <v>124.4</v>
      </c>
      <c r="O90" s="70">
        <v>126.3</v>
      </c>
      <c r="P90" s="70">
        <v>127.3</v>
      </c>
      <c r="Q90" s="70">
        <v>130.19999999999999</v>
      </c>
      <c r="R90" s="70">
        <v>129.4</v>
      </c>
      <c r="S90" s="70">
        <v>134</v>
      </c>
      <c r="T90" s="70">
        <v>131.4</v>
      </c>
      <c r="U90" s="70">
        <v>131.4</v>
      </c>
      <c r="V90" s="70">
        <v>125.7</v>
      </c>
      <c r="W90" s="70">
        <v>125.7</v>
      </c>
      <c r="X90" s="70">
        <v>125.7</v>
      </c>
      <c r="Y90" s="70">
        <v>125.7</v>
      </c>
      <c r="Z90" s="70">
        <v>125.7</v>
      </c>
      <c r="AA90" s="70">
        <v>127.6</v>
      </c>
      <c r="AB90" s="70">
        <v>127</v>
      </c>
      <c r="AC90" s="70">
        <v>0</v>
      </c>
      <c r="AD90" s="70">
        <v>130.19999999999999</v>
      </c>
      <c r="AE90" s="70">
        <v>128.9</v>
      </c>
      <c r="AF90" s="70"/>
      <c r="AG90" s="93"/>
      <c r="AH90" s="54">
        <f t="shared" si="17"/>
        <v>134</v>
      </c>
      <c r="AI90" s="55">
        <f t="shared" si="18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65.599999999999994</v>
      </c>
      <c r="C91" s="97">
        <v>65.599999999999994</v>
      </c>
      <c r="D91" s="97">
        <v>65.900000000000006</v>
      </c>
      <c r="E91" s="97">
        <v>65.400000000000006</v>
      </c>
      <c r="F91" s="97">
        <v>65.7</v>
      </c>
      <c r="G91" s="97">
        <v>65.599999999999994</v>
      </c>
      <c r="H91" s="97">
        <v>65.3</v>
      </c>
      <c r="I91" s="97">
        <v>65.400000000000006</v>
      </c>
      <c r="J91" s="97">
        <v>65.099999999999994</v>
      </c>
      <c r="K91" s="97">
        <v>65</v>
      </c>
      <c r="L91" s="97">
        <v>64.900000000000006</v>
      </c>
      <c r="M91" s="97">
        <v>64.099999999999994</v>
      </c>
      <c r="N91" s="97">
        <v>64</v>
      </c>
      <c r="O91" s="97">
        <v>63.1</v>
      </c>
      <c r="P91" s="97">
        <v>63</v>
      </c>
      <c r="Q91" s="97">
        <v>63.4</v>
      </c>
      <c r="R91" s="97">
        <v>62.8</v>
      </c>
      <c r="S91" s="97">
        <v>62.2</v>
      </c>
      <c r="T91" s="97">
        <v>63.9</v>
      </c>
      <c r="U91" s="97">
        <v>63.9</v>
      </c>
      <c r="V91" s="97">
        <v>63.7</v>
      </c>
      <c r="W91" s="97">
        <v>63.7</v>
      </c>
      <c r="X91" s="97">
        <v>63.7</v>
      </c>
      <c r="Y91" s="97">
        <v>63.7</v>
      </c>
      <c r="Z91" s="97">
        <v>63.7</v>
      </c>
      <c r="AA91" s="97">
        <v>65.099999999999994</v>
      </c>
      <c r="AB91" s="97">
        <v>130.4</v>
      </c>
      <c r="AC91" s="97">
        <v>65.5</v>
      </c>
      <c r="AD91" s="97">
        <v>65.599999999999994</v>
      </c>
      <c r="AE91" s="97">
        <v>66.8</v>
      </c>
      <c r="AF91" s="97"/>
      <c r="AG91" s="98"/>
      <c r="AH91" s="54">
        <f t="shared" si="17"/>
        <v>130.4</v>
      </c>
      <c r="AI91" s="55">
        <f t="shared" si="18"/>
        <v>62.2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22">SUM(B15,B18,B21:B22,B42,B44:B45,B47,B49,B94:B97,B103,B109,B115,B124,B126,B138,B145,B148:B149,B156,B158,B160,B164:B166,B168:B170,B175,B181:B182,B184:B186,B194,B199)</f>
        <v>168.64</v>
      </c>
      <c r="C93" s="103">
        <f t="shared" ref="C93:AF93" si="23">SUM(C15,C18,C21:C22,C42,C44:C45,C47,C49,C94:C97,C103,C109,C115,C124,C126,C138,C145,C148:C149,C156,C158,C160,C164:C166,C168:C170,C175,C181:C182,C184:C186,C194,C199)</f>
        <v>157.33999999999997</v>
      </c>
      <c r="D93" s="103">
        <f t="shared" si="23"/>
        <v>151.14000000000001</v>
      </c>
      <c r="E93" s="103">
        <f t="shared" si="23"/>
        <v>139.43999999999997</v>
      </c>
      <c r="F93" s="103">
        <f t="shared" si="23"/>
        <v>152.33999999999997</v>
      </c>
      <c r="G93" s="103">
        <f t="shared" si="23"/>
        <v>180.03999999999996</v>
      </c>
      <c r="H93" s="103">
        <f t="shared" si="23"/>
        <v>195.94</v>
      </c>
      <c r="I93" s="103">
        <f t="shared" si="23"/>
        <v>220.53999999999996</v>
      </c>
      <c r="J93" s="103">
        <f t="shared" si="23"/>
        <v>242.64</v>
      </c>
      <c r="K93" s="103">
        <f t="shared" si="23"/>
        <v>259.44000000000005</v>
      </c>
      <c r="L93" s="103">
        <f t="shared" si="23"/>
        <v>280.34000000000003</v>
      </c>
      <c r="M93" s="103">
        <f t="shared" si="23"/>
        <v>284.64000000000004</v>
      </c>
      <c r="N93" s="103">
        <f t="shared" si="23"/>
        <v>297.74</v>
      </c>
      <c r="O93" s="103">
        <f t="shared" si="23"/>
        <v>292.64000000000004</v>
      </c>
      <c r="P93" s="103">
        <f t="shared" si="23"/>
        <v>286.44</v>
      </c>
      <c r="Q93" s="103">
        <f t="shared" si="23"/>
        <v>283.54000000000002</v>
      </c>
      <c r="R93" s="103">
        <f t="shared" si="23"/>
        <v>310.34000000000003</v>
      </c>
      <c r="S93" s="103">
        <f t="shared" si="23"/>
        <v>372.44</v>
      </c>
      <c r="T93" s="103">
        <f t="shared" si="23"/>
        <v>302.24</v>
      </c>
      <c r="U93" s="103">
        <f t="shared" si="23"/>
        <v>303.24</v>
      </c>
      <c r="V93" s="103">
        <f t="shared" si="23"/>
        <v>277.73999999999995</v>
      </c>
      <c r="W93" s="103">
        <f>SUM(W15,W18,W21:W22,W42,W44:W45,W47,W49,W94:W97,W103,W109,W115,W124,W126,W138,W145,W148:W149,W156,W158,W160,W164:W166,W168:W170,W175,W181:W182,W184:W186,W194,W199)</f>
        <v>278.73999999999995</v>
      </c>
      <c r="X93" s="103">
        <f>SUM(X15,X18,X21:X22,X42,X44:X45,X47,X49,X94:X97,X103,X109,X115,X124,X126,X138,X145,X148:X149,X156,X158,X160,X164:X166,X168:X170,X175,X181:X182,X184:X186,X194,X199)</f>
        <v>269.03999999999996</v>
      </c>
      <c r="Y93" s="103">
        <f t="shared" si="23"/>
        <v>270.03999999999996</v>
      </c>
      <c r="Z93" s="103">
        <f t="shared" si="23"/>
        <v>299.94</v>
      </c>
      <c r="AA93" s="103">
        <f t="shared" si="23"/>
        <v>325.24</v>
      </c>
      <c r="AB93" s="103">
        <f t="shared" si="23"/>
        <v>274.64</v>
      </c>
      <c r="AC93" s="103">
        <f t="shared" si="23"/>
        <v>270.64000000000004</v>
      </c>
      <c r="AD93" s="103">
        <f t="shared" si="23"/>
        <v>254.13999999999993</v>
      </c>
      <c r="AE93" s="103">
        <f t="shared" si="23"/>
        <v>178.53999999999996</v>
      </c>
      <c r="AF93" s="103">
        <f t="shared" si="23"/>
        <v>213.63999999999996</v>
      </c>
      <c r="AG93" s="104"/>
      <c r="AH93" s="54">
        <f>MAX(C93:AF93)</f>
        <v>372.44</v>
      </c>
      <c r="AI93" s="55">
        <f>MIN(C93:AF93)</f>
        <v>139.43999999999997</v>
      </c>
    </row>
    <row r="94" spans="1:88" x14ac:dyDescent="0.25">
      <c r="A94" s="105" t="s">
        <v>99</v>
      </c>
      <c r="B94" s="106">
        <v>71.5</v>
      </c>
      <c r="C94" s="106">
        <v>87</v>
      </c>
      <c r="D94" s="106">
        <v>74.599999999999994</v>
      </c>
      <c r="E94" s="106">
        <v>85</v>
      </c>
      <c r="F94" s="106">
        <v>89.1</v>
      </c>
      <c r="G94" s="106">
        <v>75</v>
      </c>
      <c r="H94" s="106">
        <v>92.9</v>
      </c>
      <c r="I94" s="106">
        <v>72</v>
      </c>
      <c r="J94" s="106">
        <v>91.7</v>
      </c>
      <c r="K94" s="106">
        <v>82.3</v>
      </c>
      <c r="L94" s="106">
        <v>79.900000000000006</v>
      </c>
      <c r="M94" s="106">
        <v>70.3</v>
      </c>
      <c r="N94" s="106">
        <v>58.4</v>
      </c>
      <c r="O94" s="106">
        <v>74.5</v>
      </c>
      <c r="P94" s="106">
        <v>72.8</v>
      </c>
      <c r="Q94" s="106">
        <v>78.900000000000006</v>
      </c>
      <c r="R94" s="106">
        <v>62.1</v>
      </c>
      <c r="S94" s="106">
        <v>43.5</v>
      </c>
      <c r="T94" s="106">
        <v>56.2</v>
      </c>
      <c r="U94" s="106">
        <v>57.2</v>
      </c>
      <c r="V94" s="106">
        <v>42.3</v>
      </c>
      <c r="W94" s="106">
        <v>43.3</v>
      </c>
      <c r="X94" s="106">
        <v>66.400000000000006</v>
      </c>
      <c r="Y94" s="106">
        <v>67.400000000000006</v>
      </c>
      <c r="Z94" s="106">
        <v>47.4</v>
      </c>
      <c r="AA94" s="106">
        <v>39.1</v>
      </c>
      <c r="AB94" s="106">
        <v>45.5</v>
      </c>
      <c r="AC94" s="106">
        <v>63.1</v>
      </c>
      <c r="AD94" s="106">
        <v>62</v>
      </c>
      <c r="AE94" s="106">
        <v>44.7</v>
      </c>
      <c r="AF94" s="106"/>
      <c r="AG94" s="107">
        <v>75</v>
      </c>
      <c r="AH94" s="54">
        <f t="shared" ref="AH94:AH100" si="24">IF(ABS(MAX(C94:AF94))&gt;ABS(MIN(C94:AF94)),MAX(C94:AF94),MIN(C94:AF94))</f>
        <v>92.9</v>
      </c>
      <c r="AI94" s="108">
        <f t="shared" ref="AI94:AI100" si="25">INDEX($C$9:$AF$9,1,MATCH(AH94,C94:AF94,0))</f>
        <v>0.22916666666666666</v>
      </c>
    </row>
    <row r="95" spans="1:88" x14ac:dyDescent="0.25">
      <c r="A95" s="109" t="s">
        <v>100</v>
      </c>
      <c r="B95" s="110">
        <f>-63.8-70.8</f>
        <v>-134.6</v>
      </c>
      <c r="C95" s="110">
        <f>-70.7-77.5</f>
        <v>-148.19999999999999</v>
      </c>
      <c r="D95" s="110">
        <f>-68.6-74.8</f>
        <v>-143.39999999999998</v>
      </c>
      <c r="E95" s="110">
        <v>-133</v>
      </c>
      <c r="F95" s="110">
        <v>-121</v>
      </c>
      <c r="G95" s="110">
        <v>-98</v>
      </c>
      <c r="H95" s="110">
        <v>-109</v>
      </c>
      <c r="I95" s="110">
        <v>-81</v>
      </c>
      <c r="J95" s="110">
        <v>-95</v>
      </c>
      <c r="K95" s="110">
        <v>-80</v>
      </c>
      <c r="L95" s="110">
        <v>-67</v>
      </c>
      <c r="M95" s="110">
        <v>-54</v>
      </c>
      <c r="N95" s="110">
        <v>-51.4</v>
      </c>
      <c r="O95" s="110">
        <v>-75.599999999999994</v>
      </c>
      <c r="P95" s="110">
        <v>-74.599999999999994</v>
      </c>
      <c r="Q95" s="110">
        <v>-79.900000000000006</v>
      </c>
      <c r="R95" s="110">
        <v>-44.9</v>
      </c>
      <c r="S95" s="110">
        <f>-4.5-6.4</f>
        <v>-10.9</v>
      </c>
      <c r="T95" s="110">
        <f>-23.3-29.5</f>
        <v>-52.8</v>
      </c>
      <c r="U95" s="110">
        <f t="shared" ref="U95:W95" si="26">-23.3-29.5</f>
        <v>-52.8</v>
      </c>
      <c r="V95" s="110">
        <f t="shared" si="26"/>
        <v>-52.8</v>
      </c>
      <c r="W95" s="110">
        <f t="shared" si="26"/>
        <v>-52.8</v>
      </c>
      <c r="X95" s="110">
        <f>-24.5-26.1</f>
        <v>-50.6</v>
      </c>
      <c r="Y95" s="110">
        <f>-24.5-26.1</f>
        <v>-50.6</v>
      </c>
      <c r="Z95" s="110">
        <f>-14.5-16.6</f>
        <v>-31.1</v>
      </c>
      <c r="AA95" s="110">
        <v>-20.9</v>
      </c>
      <c r="AB95" s="110">
        <v>-39</v>
      </c>
      <c r="AC95" s="110">
        <v>-55</v>
      </c>
      <c r="AD95" s="110">
        <v>-66</v>
      </c>
      <c r="AE95" s="110">
        <v>-88</v>
      </c>
      <c r="AF95" s="110"/>
      <c r="AG95" s="107">
        <v>240</v>
      </c>
      <c r="AH95" s="54">
        <f t="shared" si="24"/>
        <v>-148.19999999999999</v>
      </c>
      <c r="AI95" s="108">
        <f t="shared" si="25"/>
        <v>4.1666666666666664E-2</v>
      </c>
    </row>
    <row r="96" spans="1:88" x14ac:dyDescent="0.25">
      <c r="A96" s="109" t="s">
        <v>101</v>
      </c>
      <c r="B96" s="110">
        <v>0</v>
      </c>
      <c r="C96" s="110">
        <v>0.6</v>
      </c>
      <c r="D96" s="110">
        <v>-1</v>
      </c>
      <c r="E96" s="110">
        <v>10.7</v>
      </c>
      <c r="F96" s="110">
        <v>3.3</v>
      </c>
      <c r="G96" s="110">
        <v>5</v>
      </c>
      <c r="H96" s="110">
        <v>5.3</v>
      </c>
      <c r="I96" s="110">
        <v>8.9</v>
      </c>
      <c r="J96" s="110">
        <v>13.6</v>
      </c>
      <c r="K96" s="110">
        <v>15.2</v>
      </c>
      <c r="L96" s="110">
        <v>15.4</v>
      </c>
      <c r="M96" s="110">
        <v>14.2</v>
      </c>
      <c r="N96" s="110">
        <v>12.4</v>
      </c>
      <c r="O96" s="110">
        <v>11.4</v>
      </c>
      <c r="P96" s="110">
        <v>11.1</v>
      </c>
      <c r="Q96" s="110">
        <v>11.9</v>
      </c>
      <c r="R96" s="110">
        <v>12</v>
      </c>
      <c r="S96" s="110">
        <v>28.2</v>
      </c>
      <c r="T96" s="110">
        <v>26.8</v>
      </c>
      <c r="U96" s="110">
        <v>26.8</v>
      </c>
      <c r="V96" s="110">
        <v>16.2</v>
      </c>
      <c r="W96" s="110">
        <v>16.2</v>
      </c>
      <c r="X96" s="110">
        <v>12.3</v>
      </c>
      <c r="Y96" s="110">
        <v>12.3</v>
      </c>
      <c r="Z96" s="110">
        <v>17.7</v>
      </c>
      <c r="AA96" s="110">
        <v>19.3</v>
      </c>
      <c r="AB96" s="110">
        <v>14.7</v>
      </c>
      <c r="AC96" s="110">
        <v>12.4</v>
      </c>
      <c r="AD96" s="110">
        <v>10.199999999999999</v>
      </c>
      <c r="AE96" s="110">
        <v>8.1999999999999993</v>
      </c>
      <c r="AF96" s="110"/>
      <c r="AG96" s="107">
        <v>60</v>
      </c>
      <c r="AH96" s="54">
        <f t="shared" si="24"/>
        <v>28.2</v>
      </c>
      <c r="AI96" s="108">
        <f t="shared" si="25"/>
        <v>0.58333333333333304</v>
      </c>
    </row>
    <row r="97" spans="1:37" x14ac:dyDescent="0.25">
      <c r="A97" s="111" t="s">
        <v>102</v>
      </c>
      <c r="B97" s="112">
        <v>18.8</v>
      </c>
      <c r="C97" s="112">
        <v>6.2</v>
      </c>
      <c r="D97" s="112">
        <v>9.1999999999999993</v>
      </c>
      <c r="E97" s="112">
        <v>-34.9</v>
      </c>
      <c r="F97" s="112">
        <v>-30.5</v>
      </c>
      <c r="G97" s="112">
        <v>-13.4</v>
      </c>
      <c r="H97" s="112">
        <v>-4.7</v>
      </c>
      <c r="I97" s="112">
        <v>9.1999999999999993</v>
      </c>
      <c r="J97" s="112">
        <v>20.9</v>
      </c>
      <c r="K97" s="112">
        <v>30.5</v>
      </c>
      <c r="L97" s="112">
        <v>40.799999999999997</v>
      </c>
      <c r="M97" s="112">
        <v>44.8</v>
      </c>
      <c r="N97" s="112">
        <v>69.3</v>
      </c>
      <c r="O97" s="112">
        <v>73.3</v>
      </c>
      <c r="P97" s="112">
        <v>70.599999999999994</v>
      </c>
      <c r="Q97" s="112">
        <v>65</v>
      </c>
      <c r="R97" s="112">
        <v>73.5</v>
      </c>
      <c r="S97" s="112">
        <v>104</v>
      </c>
      <c r="T97" s="112">
        <v>64.900000000000006</v>
      </c>
      <c r="U97" s="112">
        <v>64.900000000000006</v>
      </c>
      <c r="V97" s="112">
        <v>64.900000000000006</v>
      </c>
      <c r="W97" s="112">
        <v>64.900000000000006</v>
      </c>
      <c r="X97" s="112">
        <v>33.799999999999997</v>
      </c>
      <c r="Y97" s="112">
        <v>33.799999999999997</v>
      </c>
      <c r="Z97" s="112">
        <v>58.8</v>
      </c>
      <c r="AA97" s="112">
        <v>74.400000000000006</v>
      </c>
      <c r="AB97" s="112">
        <v>40.1</v>
      </c>
      <c r="AC97" s="112">
        <v>36.799999999999997</v>
      </c>
      <c r="AD97" s="112">
        <v>34.299999999999997</v>
      </c>
      <c r="AE97" s="112">
        <v>0</v>
      </c>
      <c r="AF97" s="112"/>
      <c r="AG97" s="113">
        <v>120</v>
      </c>
      <c r="AH97" s="54">
        <f t="shared" si="24"/>
        <v>104</v>
      </c>
      <c r="AI97" s="108">
        <f t="shared" si="25"/>
        <v>0.58333333333333304</v>
      </c>
    </row>
    <row r="98" spans="1:37" x14ac:dyDescent="0.25">
      <c r="A98" s="111" t="s">
        <v>103</v>
      </c>
      <c r="B98" s="112">
        <v>44.7</v>
      </c>
      <c r="C98" s="112">
        <v>37.1</v>
      </c>
      <c r="D98" s="112">
        <v>42.7</v>
      </c>
      <c r="E98" s="112">
        <v>40.700000000000003</v>
      </c>
      <c r="F98" s="112">
        <v>41.1</v>
      </c>
      <c r="G98" s="112">
        <v>53.4</v>
      </c>
      <c r="H98" s="112">
        <v>49.1</v>
      </c>
      <c r="I98" s="112">
        <v>52.2</v>
      </c>
      <c r="J98" s="112">
        <v>47.1</v>
      </c>
      <c r="K98" s="112">
        <v>57</v>
      </c>
      <c r="L98" s="112">
        <v>53</v>
      </c>
      <c r="M98" s="112">
        <v>72</v>
      </c>
      <c r="N98" s="112">
        <v>61.4</v>
      </c>
      <c r="O98" s="112">
        <v>78.2</v>
      </c>
      <c r="P98" s="112">
        <v>76.8</v>
      </c>
      <c r="Q98" s="112">
        <v>69.400000000000006</v>
      </c>
      <c r="R98" s="112">
        <v>79.599999999999994</v>
      </c>
      <c r="S98" s="112">
        <v>93.7</v>
      </c>
      <c r="T98" s="112">
        <v>62.8</v>
      </c>
      <c r="U98" s="112">
        <v>62.8</v>
      </c>
      <c r="V98" s="112">
        <v>86.4</v>
      </c>
      <c r="W98" s="112">
        <v>86.4</v>
      </c>
      <c r="X98" s="112">
        <v>35.799999999999997</v>
      </c>
      <c r="Y98" s="112">
        <v>35.799999999999997</v>
      </c>
      <c r="Z98" s="112">
        <v>43.6</v>
      </c>
      <c r="AA98" s="112">
        <v>55.9</v>
      </c>
      <c r="AB98" s="112">
        <v>242</v>
      </c>
      <c r="AC98" s="112">
        <v>16.100000000000001</v>
      </c>
      <c r="AD98" s="112">
        <v>24</v>
      </c>
      <c r="AE98" s="112">
        <v>5.6</v>
      </c>
      <c r="AF98" s="112"/>
      <c r="AG98" s="113"/>
      <c r="AH98" s="54">
        <f t="shared" si="24"/>
        <v>242</v>
      </c>
      <c r="AI98" s="108">
        <f t="shared" si="25"/>
        <v>0.83333333333333337</v>
      </c>
    </row>
    <row r="99" spans="1:37" x14ac:dyDescent="0.25">
      <c r="A99" s="111" t="s">
        <v>104</v>
      </c>
      <c r="B99" s="112">
        <v>83.9</v>
      </c>
      <c r="C99" s="112">
        <v>80.099999999999994</v>
      </c>
      <c r="D99" s="112">
        <v>79.5</v>
      </c>
      <c r="E99" s="112">
        <v>78.900000000000006</v>
      </c>
      <c r="F99" s="112">
        <v>71.7</v>
      </c>
      <c r="G99" s="112">
        <v>75.900000000000006</v>
      </c>
      <c r="H99" s="112">
        <v>65.599999999999994</v>
      </c>
      <c r="I99" s="112">
        <v>69.900000000000006</v>
      </c>
      <c r="J99" s="112">
        <v>66.3</v>
      </c>
      <c r="K99" s="112">
        <v>73</v>
      </c>
      <c r="L99" s="112">
        <v>64.7</v>
      </c>
      <c r="M99" s="112">
        <v>68.599999999999994</v>
      </c>
      <c r="N99" s="112">
        <v>74.2</v>
      </c>
      <c r="O99" s="112">
        <v>68.400000000000006</v>
      </c>
      <c r="P99" s="112">
        <v>72.5</v>
      </c>
      <c r="Q99" s="112">
        <v>59.4</v>
      </c>
      <c r="R99" s="112">
        <v>72.8</v>
      </c>
      <c r="S99" s="112">
        <v>42.8</v>
      </c>
      <c r="T99" s="112">
        <v>55.1</v>
      </c>
      <c r="U99" s="112">
        <v>55.1</v>
      </c>
      <c r="V99" s="112">
        <v>53.2</v>
      </c>
      <c r="W99" s="112">
        <v>53.2</v>
      </c>
      <c r="X99" s="112">
        <v>347</v>
      </c>
      <c r="Y99" s="112">
        <v>347</v>
      </c>
      <c r="Z99" s="112">
        <v>10.1</v>
      </c>
      <c r="AA99" s="112">
        <v>7.4</v>
      </c>
      <c r="AB99" s="112">
        <v>12</v>
      </c>
      <c r="AC99" s="112">
        <v>11.9</v>
      </c>
      <c r="AD99" s="112">
        <v>9.9</v>
      </c>
      <c r="AE99" s="112">
        <v>10.9</v>
      </c>
      <c r="AF99" s="112"/>
      <c r="AG99" s="114"/>
      <c r="AH99" s="54">
        <f t="shared" si="24"/>
        <v>347</v>
      </c>
      <c r="AI99" s="108">
        <f t="shared" si="25"/>
        <v>0.75</v>
      </c>
    </row>
    <row r="100" spans="1:37" ht="15.75" thickBot="1" x14ac:dyDescent="0.3">
      <c r="A100" s="115" t="s">
        <v>105</v>
      </c>
      <c r="B100" s="95">
        <v>75.900000000000006</v>
      </c>
      <c r="C100" s="95">
        <v>68.400000000000006</v>
      </c>
      <c r="D100" s="95">
        <v>59.2</v>
      </c>
      <c r="E100" s="95">
        <v>44.7</v>
      </c>
      <c r="F100" s="95">
        <v>46.3</v>
      </c>
      <c r="G100" s="95">
        <v>41.7</v>
      </c>
      <c r="H100" s="95">
        <v>45.6</v>
      </c>
      <c r="I100" s="95">
        <v>43</v>
      </c>
      <c r="J100" s="95">
        <v>55.2</v>
      </c>
      <c r="K100" s="95">
        <v>57.3</v>
      </c>
      <c r="L100" s="95">
        <v>53.2</v>
      </c>
      <c r="M100" s="95">
        <v>66</v>
      </c>
      <c r="N100" s="95">
        <v>72.099999999999994</v>
      </c>
      <c r="O100" s="95">
        <v>66.5</v>
      </c>
      <c r="P100" s="95">
        <v>67.599999999999994</v>
      </c>
      <c r="Q100" s="95">
        <v>69.2</v>
      </c>
      <c r="R100" s="95">
        <v>67</v>
      </c>
      <c r="S100" s="95">
        <v>62.9</v>
      </c>
      <c r="T100" s="95">
        <v>64.2</v>
      </c>
      <c r="U100" s="95">
        <v>64.2</v>
      </c>
      <c r="V100" s="95">
        <v>55.3</v>
      </c>
      <c r="W100" s="95">
        <v>55.3</v>
      </c>
      <c r="X100" s="95">
        <v>45</v>
      </c>
      <c r="Y100" s="95">
        <v>45</v>
      </c>
      <c r="Z100" s="95">
        <v>68.400000000000006</v>
      </c>
      <c r="AA100" s="95">
        <v>68.8</v>
      </c>
      <c r="AB100" s="95">
        <v>70</v>
      </c>
      <c r="AC100" s="95">
        <v>68.400000000000006</v>
      </c>
      <c r="AD100" s="95">
        <v>65</v>
      </c>
      <c r="AE100" s="95">
        <v>51</v>
      </c>
      <c r="AF100" s="95"/>
      <c r="AG100" s="114"/>
      <c r="AH100" s="54">
        <f t="shared" si="24"/>
        <v>72.099999999999994</v>
      </c>
      <c r="AI100" s="108">
        <f t="shared" si="25"/>
        <v>0.375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7">AF102</f>
        <v>9.9</v>
      </c>
      <c r="C102" s="53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131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3"/>
        <v>0.04</v>
      </c>
      <c r="C190" s="53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3"/>
        <v>2.3E-2</v>
      </c>
      <c r="C191" s="53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1404.1400000000003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3">B75</f>
        <v>1340.84</v>
      </c>
      <c r="U214" s="161">
        <f t="shared" si="63"/>
        <v>1319.6399999999999</v>
      </c>
      <c r="V214" s="161">
        <f t="shared" si="63"/>
        <v>1306.54</v>
      </c>
      <c r="W214" s="161">
        <f t="shared" si="63"/>
        <v>1242.94</v>
      </c>
      <c r="X214" s="161">
        <f t="shared" si="63"/>
        <v>1224.3400000000001</v>
      </c>
      <c r="Y214" s="161">
        <f t="shared" si="63"/>
        <v>1248.69</v>
      </c>
      <c r="Z214" s="161">
        <f t="shared" si="63"/>
        <v>1232.54</v>
      </c>
      <c r="AA214" s="161">
        <f t="shared" si="63"/>
        <v>1229.74</v>
      </c>
      <c r="AB214" s="161">
        <f t="shared" si="63"/>
        <v>1236.44</v>
      </c>
      <c r="AC214" s="161">
        <f t="shared" si="63"/>
        <v>1299.6400000000001</v>
      </c>
      <c r="AD214" s="161">
        <f t="shared" si="63"/>
        <v>1321.9</v>
      </c>
      <c r="AE214" s="161">
        <f t="shared" si="63"/>
        <v>1347.54</v>
      </c>
      <c r="AF214" s="161">
        <f t="shared" si="63"/>
        <v>1404.1400000000003</v>
      </c>
      <c r="AG214" s="161">
        <f t="shared" si="63"/>
        <v>1402.6400000000003</v>
      </c>
      <c r="AH214" s="161">
        <f t="shared" si="63"/>
        <v>1419.54</v>
      </c>
      <c r="AI214" s="161">
        <f t="shared" si="63"/>
        <v>1426.3400000000001</v>
      </c>
      <c r="AJ214" s="161">
        <f t="shared" si="63"/>
        <v>1428.3400000000001</v>
      </c>
      <c r="AK214" s="161">
        <f t="shared" si="63"/>
        <v>1345.14</v>
      </c>
      <c r="AL214" s="161">
        <f t="shared" si="63"/>
        <v>1369.8400000000001</v>
      </c>
      <c r="AM214" s="161">
        <f t="shared" si="63"/>
        <v>1395.6400000000003</v>
      </c>
      <c r="AN214" s="161">
        <f t="shared" si="63"/>
        <v>1392.24</v>
      </c>
      <c r="AO214" s="161">
        <f t="shared" si="63"/>
        <v>1392.24</v>
      </c>
      <c r="AP214" s="161">
        <f t="shared" si="63"/>
        <v>1266.6400000000001</v>
      </c>
      <c r="AQ214" s="161">
        <f t="shared" si="63"/>
        <v>1314.04</v>
      </c>
      <c r="AR214" s="161">
        <f t="shared" si="63"/>
        <v>1338.64</v>
      </c>
      <c r="AS214" s="161">
        <f t="shared" si="63"/>
        <v>1368.4300000000003</v>
      </c>
      <c r="AT214" s="161">
        <f t="shared" si="63"/>
        <v>1309.1400000000001</v>
      </c>
      <c r="AU214" s="161">
        <f t="shared" si="63"/>
        <v>1165.21</v>
      </c>
      <c r="AV214" s="161">
        <f t="shared" si="63"/>
        <v>1273.3400000000001</v>
      </c>
      <c r="AW214" s="161">
        <f t="shared" si="63"/>
        <v>1067.92</v>
      </c>
      <c r="AX214" s="161">
        <f t="shared" si="63"/>
        <v>916.26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B94:AF100 Y11:AF11">
    <cfRule type="expression" dxfId="5725" priority="264">
      <formula>B$9&gt;=20/24</formula>
    </cfRule>
    <cfRule type="expression" dxfId="5724" priority="265">
      <formula>AND(B$9&gt;=14/24,B$9&lt;20/24)</formula>
    </cfRule>
    <cfRule type="expression" dxfId="5723" priority="266">
      <formula>AND(B$9&gt;=8/24,B$9&lt;14/24)</formula>
    </cfRule>
    <cfRule type="expression" dxfId="5722" priority="267">
      <formula>B$9&lt;8/24</formula>
    </cfRule>
  </conditionalFormatting>
  <conditionalFormatting sqref="AL4:AL6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5721" priority="259">
      <formula>AA$9&gt;=20/24</formula>
    </cfRule>
    <cfRule type="expression" dxfId="5720" priority="260">
      <formula>AND(AA$9&gt;=14/24,AA$9&lt;20/24)</formula>
    </cfRule>
    <cfRule type="expression" dxfId="5719" priority="261">
      <formula>AND(AA$9&gt;=8/24,AA$9&lt;14/24)</formula>
    </cfRule>
    <cfRule type="expression" dxfId="5718" priority="262">
      <formula>AA$9&lt;8/24</formula>
    </cfRule>
  </conditionalFormatting>
  <conditionalFormatting sqref="AG51 AA37:AF37 J11:AF11">
    <cfRule type="expression" dxfId="5717" priority="258">
      <formula>J11&gt;$AG11</formula>
    </cfRule>
  </conditionalFormatting>
  <conditionalFormatting sqref="A101:A157 A84:A97 A11:A14 A16:A32 A45:A72 A80:A82 A74:A78 A35:A43 A170:A200">
    <cfRule type="expression" dxfId="5716" priority="257">
      <formula>$AH11=0</formula>
    </cfRule>
  </conditionalFormatting>
  <conditionalFormatting sqref="A98">
    <cfRule type="expression" dxfId="5715" priority="256">
      <formula>$AH98=0</formula>
    </cfRule>
  </conditionalFormatting>
  <conditionalFormatting sqref="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714" priority="254">
      <formula>$AH34=0</formula>
    </cfRule>
  </conditionalFormatting>
  <conditionalFormatting sqref="A83">
    <cfRule type="expression" dxfId="5713" priority="253">
      <formula>$AH83=0</formula>
    </cfRule>
  </conditionalFormatting>
  <conditionalFormatting sqref="A15">
    <cfRule type="expression" dxfId="5712" priority="252">
      <formula>$AH15=0</formula>
    </cfRule>
  </conditionalFormatting>
  <conditionalFormatting sqref="A164:A169">
    <cfRule type="expression" dxfId="5711" priority="251">
      <formula>$AH164=0</formula>
    </cfRule>
  </conditionalFormatting>
  <conditionalFormatting sqref="A158:A163">
    <cfRule type="expression" dxfId="5710" priority="250">
      <formula>$AH158=0</formula>
    </cfRule>
  </conditionalFormatting>
  <conditionalFormatting sqref="A44">
    <cfRule type="expression" dxfId="5709" priority="249">
      <formula>$AH44=0</formula>
    </cfRule>
  </conditionalFormatting>
  <conditionalFormatting sqref="A79">
    <cfRule type="expression" dxfId="5708" priority="248">
      <formula>$AH79=0</formula>
    </cfRule>
  </conditionalFormatting>
  <conditionalFormatting sqref="A73">
    <cfRule type="expression" dxfId="5707" priority="247">
      <formula>$AH73=0</formula>
    </cfRule>
  </conditionalFormatting>
  <conditionalFormatting sqref="AL34:AL35 AL7:AL31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B84:AF84">
    <cfRule type="expression" dxfId="5706" priority="243">
      <formula>B$9&gt;=20/24</formula>
    </cfRule>
    <cfRule type="expression" dxfId="5705" priority="244">
      <formula>AND(B$9&gt;=14/24,B$9&lt;20/24)</formula>
    </cfRule>
    <cfRule type="expression" dxfId="5704" priority="245">
      <formula>AND(B$9&gt;=8/24,B$9&lt;14/24)</formula>
    </cfRule>
    <cfRule type="expression" dxfId="5703" priority="246">
      <formula>B$9&lt;8/24</formula>
    </cfRule>
  </conditionalFormatting>
  <conditionalFormatting sqref="AL33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02" priority="271">
      <formula>C$9&gt;=20/24</formula>
    </cfRule>
    <cfRule type="expression" dxfId="5701" priority="272">
      <formula>AND(C$9&gt;=14/24,C$9&lt;20/24)</formula>
    </cfRule>
    <cfRule type="expression" dxfId="5700" priority="273">
      <formula>AND(C$9&gt;=8/24,C$9&lt;14/24)</formula>
    </cfRule>
    <cfRule type="expression" dxfId="5699" priority="274">
      <formula>C$9&lt;8/24</formula>
    </cfRule>
  </conditionalFormatting>
  <conditionalFormatting sqref="A201">
    <cfRule type="expression" dxfId="5698" priority="275">
      <formula>$AH201=0</formula>
    </cfRule>
  </conditionalFormatting>
  <conditionalFormatting sqref="AG213">
    <cfRule type="expression" dxfId="5697" priority="276">
      <formula>B$9&gt;=20/24</formula>
    </cfRule>
    <cfRule type="expression" dxfId="5696" priority="277">
      <formula>AND(B$9&gt;=14/24,B$9&lt;20/24)</formula>
    </cfRule>
    <cfRule type="expression" dxfId="5695" priority="278">
      <formula>AND(B$9&gt;=8/24,B$9&lt;14/24)</formula>
    </cfRule>
    <cfRule type="expression" dxfId="5694" priority="279">
      <formula>B$9&lt;8/24</formula>
    </cfRule>
  </conditionalFormatting>
  <conditionalFormatting sqref="S8">
    <cfRule type="expression" dxfId="5693" priority="237">
      <formula>U$9&gt;=20/24</formula>
    </cfRule>
    <cfRule type="expression" dxfId="5692" priority="238">
      <formula>AND(U$9&gt;=14/24,U$9&lt;20/24)</formula>
    </cfRule>
    <cfRule type="expression" dxfId="5691" priority="239">
      <formula>AND(U$9&gt;=8/24,U$9&lt;14/24)</formula>
    </cfRule>
    <cfRule type="expression" dxfId="5690" priority="240">
      <formula>U$9&lt;8/24</formula>
    </cfRule>
  </conditionalFormatting>
  <conditionalFormatting sqref="AB8">
    <cfRule type="expression" dxfId="5689" priority="233">
      <formula>AD$9&gt;=20/24</formula>
    </cfRule>
    <cfRule type="expression" dxfId="5688" priority="234">
      <formula>AND(AD$9&gt;=14/24,AD$9&lt;20/24)</formula>
    </cfRule>
    <cfRule type="expression" dxfId="5687" priority="235">
      <formula>AND(AD$9&gt;=8/24,AD$9&lt;14/24)</formula>
    </cfRule>
    <cfRule type="expression" dxfId="5686" priority="236">
      <formula>AD$9&lt;8/24</formula>
    </cfRule>
  </conditionalFormatting>
  <conditionalFormatting sqref="AH213:AX213">
    <cfRule type="expression" dxfId="5685" priority="280">
      <formula>AG$9&gt;=20/24</formula>
    </cfRule>
    <cfRule type="expression" dxfId="5684" priority="281">
      <formula>AND(AG$9&gt;=14/24,AG$9&lt;20/24)</formula>
    </cfRule>
    <cfRule type="expression" dxfId="5683" priority="282">
      <formula>AND(AG$9&gt;=8/24,AG$9&lt;14/24)</formula>
    </cfRule>
    <cfRule type="expression" dxfId="5682" priority="283">
      <formula>AG$9&lt;8/24</formula>
    </cfRule>
  </conditionalFormatting>
  <conditionalFormatting sqref="T213">
    <cfRule type="expression" dxfId="5681" priority="284">
      <formula>AX$9&gt;=20/24</formula>
    </cfRule>
    <cfRule type="expression" dxfId="5680" priority="285">
      <formula>AND(AX$9&gt;=14/24,AX$9&lt;20/24)</formula>
    </cfRule>
    <cfRule type="expression" dxfId="5679" priority="286">
      <formula>AND(AX$9&gt;=8/24,AX$9&lt;14/24)</formula>
    </cfRule>
    <cfRule type="expression" dxfId="5678" priority="287">
      <formula>AX$9&lt;8/24</formula>
    </cfRule>
  </conditionalFormatting>
  <conditionalFormatting sqref="A99:A100">
    <cfRule type="expression" dxfId="5677" priority="232">
      <formula>$AH99=0</formula>
    </cfRule>
  </conditionalFormatting>
  <conditionalFormatting sqref="E11:I11 E40:L41 AA36:AF36 T40:AF41 B57:AF57">
    <cfRule type="expression" dxfId="5676" priority="228">
      <formula>B$9&gt;=20/24</formula>
    </cfRule>
    <cfRule type="expression" dxfId="5675" priority="229">
      <formula>AND(B$9&gt;=14/24,B$9&lt;20/24)</formula>
    </cfRule>
    <cfRule type="expression" dxfId="5674" priority="230">
      <formula>AND(B$9&gt;=8/24,B$9&lt;14/24)</formula>
    </cfRule>
    <cfRule type="expression" dxfId="5673" priority="231">
      <formula>B$9&lt;8/24</formula>
    </cfRule>
  </conditionalFormatting>
  <conditionalFormatting sqref="E39:L39 T39:AF39">
    <cfRule type="expression" dxfId="5672" priority="224">
      <formula>E$9&gt;=20/24</formula>
    </cfRule>
    <cfRule type="expression" dxfId="5671" priority="225">
      <formula>AND(E$9&gt;=14/24,E$9&lt;20/24)</formula>
    </cfRule>
    <cfRule type="expression" dxfId="5670" priority="226">
      <formula>AND(E$9&gt;=8/24,E$9&lt;14/24)</formula>
    </cfRule>
    <cfRule type="expression" dxfId="5669" priority="227">
      <formula>E$9&lt;8/24</formula>
    </cfRule>
  </conditionalFormatting>
  <conditionalFormatting sqref="E11:I11 E39:L41 AA36:AF36 T39:AF41">
    <cfRule type="expression" dxfId="5668" priority="223">
      <formula>E11&gt;$AG11</formula>
    </cfRule>
  </conditionalFormatting>
  <conditionalFormatting sqref="M11:R11 C83:AF83 C75:AF81 C58:N59 C68:AF73 M64:M66 E61:F63 C60:F60 L12:N13 B53:B55 B58:B60 G60:M63 E67:M67 M14:N14 N60:N67 O12:R14 S11:X14 C53:AF56 M36:Z36 B85:AF91 M16:AF16 M28:AF31 M18:AF22 M24:AF26 Y12:AF14 O58:AF67">
    <cfRule type="expression" dxfId="5667" priority="219">
      <formula>B$9&gt;=20/24</formula>
    </cfRule>
    <cfRule type="expression" dxfId="5666" priority="220">
      <formula>AND(B$9&gt;=14/24,B$9&lt;20/24)</formula>
    </cfRule>
    <cfRule type="expression" dxfId="5665" priority="221">
      <formula>AND(B$9&gt;=8/24,B$9&lt;14/24)</formula>
    </cfRule>
    <cfRule type="expression" dxfId="5664" priority="222">
      <formula>B$9&lt;8/24</formula>
    </cfRule>
  </conditionalFormatting>
  <conditionalFormatting sqref="M32:AF32">
    <cfRule type="expression" dxfId="5663" priority="215">
      <formula>M$9&gt;=20/24</formula>
    </cfRule>
    <cfRule type="expression" dxfId="5662" priority="216">
      <formula>AND(M$9&gt;=14/24,M$9&lt;20/24)</formula>
    </cfRule>
    <cfRule type="expression" dxfId="5661" priority="217">
      <formula>AND(M$9&gt;=8/24,M$9&lt;14/24)</formula>
    </cfRule>
    <cfRule type="expression" dxfId="5660" priority="218">
      <formula>M$9&lt;8/24</formula>
    </cfRule>
  </conditionalFormatting>
  <conditionalFormatting sqref="M35:AF35">
    <cfRule type="expression" dxfId="5659" priority="211">
      <formula>M$9&gt;=20/24</formula>
    </cfRule>
    <cfRule type="expression" dxfId="5658" priority="212">
      <formula>AND(M$9&gt;=14/24,M$9&lt;20/24)</formula>
    </cfRule>
    <cfRule type="expression" dxfId="5657" priority="213">
      <formula>AND(M$9&gt;=8/24,M$9&lt;14/24)</formula>
    </cfRule>
    <cfRule type="expression" dxfId="5656" priority="214">
      <formula>M$9&lt;8/24</formula>
    </cfRule>
  </conditionalFormatting>
  <conditionalFormatting sqref="E42:G43 M11:R11 E37:R37 G44 L12:N13 H42:L44 B53:B55 C38:AF38 M14:N16 M34:R36 O12:R16 S11:X16 C51:AF56 S34:Z37 AA34:AF35 M18:AF22 M24:AF32 Y12:AF16">
    <cfRule type="expression" dxfId="5655" priority="210">
      <formula>B11&gt;$AG11</formula>
    </cfRule>
  </conditionalFormatting>
  <conditionalFormatting sqref="M34:AF34">
    <cfRule type="expression" dxfId="5654" priority="206">
      <formula>M$9&gt;=20/24</formula>
    </cfRule>
    <cfRule type="expression" dxfId="5653" priority="207">
      <formula>AND(M$9&gt;=14/24,M$9&lt;20/24)</formula>
    </cfRule>
    <cfRule type="expression" dxfId="5652" priority="208">
      <formula>AND(M$9&gt;=8/24,M$9&lt;14/24)</formula>
    </cfRule>
    <cfRule type="expression" dxfId="5651" priority="209">
      <formula>M$9&lt;8/24</formula>
    </cfRule>
  </conditionalFormatting>
  <conditionalFormatting sqref="M15:AF15">
    <cfRule type="expression" dxfId="5650" priority="202">
      <formula>M$9&gt;=20/24</formula>
    </cfRule>
    <cfRule type="expression" dxfId="5649" priority="203">
      <formula>AND(M$9&gt;=14/24,M$9&lt;20/24)</formula>
    </cfRule>
    <cfRule type="expression" dxfId="5648" priority="204">
      <formula>AND(M$9&gt;=8/24,M$9&lt;14/24)</formula>
    </cfRule>
    <cfRule type="expression" dxfId="5647" priority="205">
      <formula>M$9&lt;8/24</formula>
    </cfRule>
  </conditionalFormatting>
  <conditionalFormatting sqref="M33:AF33">
    <cfRule type="expression" dxfId="5646" priority="198">
      <formula>M$9&gt;=20/24</formula>
    </cfRule>
    <cfRule type="expression" dxfId="5645" priority="199">
      <formula>AND(M$9&gt;=14/24,M$9&lt;20/24)</formula>
    </cfRule>
    <cfRule type="expression" dxfId="5644" priority="200">
      <formula>AND(M$9&gt;=8/24,M$9&lt;14/24)</formula>
    </cfRule>
    <cfRule type="expression" dxfId="5643" priority="201">
      <formula>M$9&lt;8/24</formula>
    </cfRule>
  </conditionalFormatting>
  <conditionalFormatting sqref="M33:AF33">
    <cfRule type="expression" dxfId="5642" priority="197">
      <formula>M33&gt;$AG33</formula>
    </cfRule>
  </conditionalFormatting>
  <conditionalFormatting sqref="AA42:AF43">
    <cfRule type="expression" dxfId="5641" priority="189">
      <formula>AA$9&gt;=20/24</formula>
    </cfRule>
    <cfRule type="expression" dxfId="5640" priority="190">
      <formula>AND(AA$9&gt;=14/24,AA$9&lt;20/24)</formula>
    </cfRule>
    <cfRule type="expression" dxfId="5639" priority="191">
      <formula>AND(AA$9&gt;=8/24,AA$9&lt;14/24)</formula>
    </cfRule>
    <cfRule type="expression" dxfId="5638" priority="192">
      <formula>AA$9&lt;8/24</formula>
    </cfRule>
  </conditionalFormatting>
  <conditionalFormatting sqref="AA42:AF43">
    <cfRule type="expression" dxfId="5637" priority="188">
      <formula>AA42&gt;$AG42</formula>
    </cfRule>
  </conditionalFormatting>
  <conditionalFormatting sqref="M39:S50 T42:Z50 AA44:AF50">
    <cfRule type="expression" dxfId="5636" priority="184">
      <formula>M$9&gt;=20/24</formula>
    </cfRule>
    <cfRule type="expression" dxfId="5635" priority="185">
      <formula>AND(M$9&gt;=14/24,M$9&lt;20/24)</formula>
    </cfRule>
    <cfRule type="expression" dxfId="5634" priority="186">
      <formula>AND(M$9&gt;=8/24,M$9&lt;14/24)</formula>
    </cfRule>
    <cfRule type="expression" dxfId="5633" priority="187">
      <formula>M$9&lt;8/24</formula>
    </cfRule>
  </conditionalFormatting>
  <conditionalFormatting sqref="M39:S50 T42:Z50 AA44:AF50">
    <cfRule type="expression" dxfId="5632" priority="183">
      <formula>M39&gt;$AG39</formula>
    </cfRule>
  </conditionalFormatting>
  <conditionalFormatting sqref="M27:AF27">
    <cfRule type="expression" dxfId="5631" priority="179">
      <formula>M$9&gt;=20/24</formula>
    </cfRule>
    <cfRule type="expression" dxfId="5630" priority="180">
      <formula>AND(M$9&gt;=14/24,M$9&lt;20/24)</formula>
    </cfRule>
    <cfRule type="expression" dxfId="5629" priority="181">
      <formula>AND(M$9&gt;=8/24,M$9&lt;14/24)</formula>
    </cfRule>
    <cfRule type="expression" dxfId="5628" priority="182">
      <formula>M$9&lt;8/24</formula>
    </cfRule>
  </conditionalFormatting>
  <conditionalFormatting sqref="C74:I74 B11:D14 E12:K14 L14 M17:AF17 M23:AF23">
    <cfRule type="expression" dxfId="5627" priority="175">
      <formula>B$9&gt;=20/24</formula>
    </cfRule>
    <cfRule type="expression" dxfId="5626" priority="176">
      <formula>AND(B$9&gt;=14/24,B$9&lt;20/24)</formula>
    </cfRule>
    <cfRule type="expression" dxfId="5625" priority="177">
      <formula>AND(B$9&gt;=8/24,B$9&lt;14/24)</formula>
    </cfRule>
    <cfRule type="expression" dxfId="5624" priority="178">
      <formula>B$9&lt;8/24</formula>
    </cfRule>
  </conditionalFormatting>
  <conditionalFormatting sqref="B11:D15 E12:K15 L14:L15 M17:AF17 M23:AF23">
    <cfRule type="expression" dxfId="5623" priority="166">
      <formula>B11&gt;$AG11</formula>
    </cfRule>
  </conditionalFormatting>
  <conditionalFormatting sqref="B15:L15">
    <cfRule type="expression" dxfId="5622" priority="158">
      <formula>B$9&gt;=20/24</formula>
    </cfRule>
    <cfRule type="expression" dxfId="5621" priority="159">
      <formula>AND(B$9&gt;=14/24,B$9&lt;20/24)</formula>
    </cfRule>
    <cfRule type="expression" dxfId="5620" priority="160">
      <formula>AND(B$9&gt;=8/24,B$9&lt;14/24)</formula>
    </cfRule>
    <cfRule type="expression" dxfId="5619" priority="161">
      <formula>B$9&lt;8/24</formula>
    </cfRule>
  </conditionalFormatting>
  <conditionalFormatting sqref="B40:D41">
    <cfRule type="expression" dxfId="5618" priority="149">
      <formula>B$9&gt;=20/24</formula>
    </cfRule>
    <cfRule type="expression" dxfId="5617" priority="150">
      <formula>AND(B$9&gt;=14/24,B$9&lt;20/24)</formula>
    </cfRule>
    <cfRule type="expression" dxfId="5616" priority="151">
      <formula>AND(B$9&gt;=8/24,B$9&lt;14/24)</formula>
    </cfRule>
    <cfRule type="expression" dxfId="5615" priority="152">
      <formula>B$9&lt;8/24</formula>
    </cfRule>
  </conditionalFormatting>
  <conditionalFormatting sqref="B39:D39">
    <cfRule type="expression" dxfId="5614" priority="145">
      <formula>B$9&gt;=20/24</formula>
    </cfRule>
    <cfRule type="expression" dxfId="5613" priority="146">
      <formula>AND(B$9&gt;=14/24,B$9&lt;20/24)</formula>
    </cfRule>
    <cfRule type="expression" dxfId="5612" priority="147">
      <formula>AND(B$9&gt;=8/24,B$9&lt;14/24)</formula>
    </cfRule>
    <cfRule type="expression" dxfId="5611" priority="148">
      <formula>B$9&lt;8/24</formula>
    </cfRule>
  </conditionalFormatting>
  <conditionalFormatting sqref="B39:D41">
    <cfRule type="expression" dxfId="5610" priority="144">
      <formula>B39&gt;$AG39</formula>
    </cfRule>
  </conditionalFormatting>
  <conditionalFormatting sqref="E64:L66">
    <cfRule type="expression" dxfId="5609" priority="140">
      <formula>E$9&gt;=20/24</formula>
    </cfRule>
    <cfRule type="expression" dxfId="5608" priority="141">
      <formula>AND(E$9&gt;=14/24,E$9&lt;20/24)</formula>
    </cfRule>
    <cfRule type="expression" dxfId="5607" priority="142">
      <formula>AND(E$9&gt;=8/24,E$9&lt;14/24)</formula>
    </cfRule>
    <cfRule type="expression" dxfId="5606" priority="143">
      <formula>E$9&lt;8/24</formula>
    </cfRule>
  </conditionalFormatting>
  <conditionalFormatting sqref="B42:D43">
    <cfRule type="expression" dxfId="5605" priority="139">
      <formula>B42&gt;$AG42</formula>
    </cfRule>
  </conditionalFormatting>
  <conditionalFormatting sqref="E45 B44:E44 F44:F45 G45:L47">
    <cfRule type="expression" dxfId="5604" priority="135">
      <formula>B$9&gt;=20/24</formula>
    </cfRule>
    <cfRule type="expression" dxfId="5603" priority="136">
      <formula>AND(B$9&gt;=14/24,B$9&lt;20/24)</formula>
    </cfRule>
    <cfRule type="expression" dxfId="5602" priority="137">
      <formula>AND(B$9&gt;=8/24,B$9&lt;14/24)</formula>
    </cfRule>
    <cfRule type="expression" dxfId="5601" priority="138">
      <formula>B$9&lt;8/24</formula>
    </cfRule>
  </conditionalFormatting>
  <conditionalFormatting sqref="E45 B44:E44 F44:F45 G45:L47">
    <cfRule type="expression" dxfId="5600" priority="134">
      <formula>B44&gt;$AG44</formula>
    </cfRule>
  </conditionalFormatting>
  <conditionalFormatting sqref="B82 B74">
    <cfRule type="expression" dxfId="5599" priority="59">
      <formula>B$9&gt;=20/24</formula>
    </cfRule>
    <cfRule type="expression" dxfId="5598" priority="60">
      <formula>AND(B$9&gt;=14/24,B$9&lt;20/24)</formula>
    </cfRule>
    <cfRule type="expression" dxfId="5597" priority="61">
      <formula>AND(B$9&gt;=8/24,B$9&lt;14/24)</formula>
    </cfRule>
    <cfRule type="expression" dxfId="5596" priority="62">
      <formula>B$9&lt;8/24</formula>
    </cfRule>
  </conditionalFormatting>
  <conditionalFormatting sqref="B37:D37">
    <cfRule type="expression" dxfId="5595" priority="55">
      <formula>B$9&gt;=20/24</formula>
    </cfRule>
    <cfRule type="expression" dxfId="5594" priority="56">
      <formula>AND(B$9&gt;=14/24,B$9&lt;20/24)</formula>
    </cfRule>
    <cfRule type="expression" dxfId="5593" priority="57">
      <formula>AND(B$9&gt;=8/24,B$9&lt;14/24)</formula>
    </cfRule>
    <cfRule type="expression" dxfId="5592" priority="58">
      <formula>B$9&lt;8/24</formula>
    </cfRule>
  </conditionalFormatting>
  <conditionalFormatting sqref="B37:D37">
    <cfRule type="expression" dxfId="5591" priority="54">
      <formula>B37&gt;$AG37</formula>
    </cfRule>
  </conditionalFormatting>
  <conditionalFormatting sqref="B36:L36">
    <cfRule type="expression" dxfId="5590" priority="46">
      <formula>B$9&gt;=20/24</formula>
    </cfRule>
    <cfRule type="expression" dxfId="5589" priority="47">
      <formula>AND(B$9&gt;=14/24,B$9&lt;20/24)</formula>
    </cfRule>
    <cfRule type="expression" dxfId="5588" priority="48">
      <formula>AND(B$9&gt;=8/24,B$9&lt;14/24)</formula>
    </cfRule>
    <cfRule type="expression" dxfId="5587" priority="49">
      <formula>B$9&lt;8/24</formula>
    </cfRule>
  </conditionalFormatting>
  <conditionalFormatting sqref="B36:L36">
    <cfRule type="expression" dxfId="5586" priority="41">
      <formula>B36&gt;$AG36</formula>
    </cfRule>
  </conditionalFormatting>
  <conditionalFormatting sqref="B83 B75:B81 B56 B68:B73 B61:D67 B24:L26 B18:L22 B28:L31 B16:L16">
    <cfRule type="expression" dxfId="5585" priority="37">
      <formula>B$9&gt;=20/24</formula>
    </cfRule>
    <cfRule type="expression" dxfId="5584" priority="38">
      <formula>AND(B$9&gt;=14/24,B$9&lt;20/24)</formula>
    </cfRule>
    <cfRule type="expression" dxfId="5583" priority="39">
      <formula>AND(B$9&gt;=8/24,B$9&lt;14/24)</formula>
    </cfRule>
    <cfRule type="expression" dxfId="5582" priority="40">
      <formula>B$9&lt;8/24</formula>
    </cfRule>
  </conditionalFormatting>
  <conditionalFormatting sqref="B32:L32">
    <cfRule type="expression" dxfId="5581" priority="33">
      <formula>B$9&gt;=20/24</formula>
    </cfRule>
    <cfRule type="expression" dxfId="5580" priority="34">
      <formula>AND(B$9&gt;=14/24,B$9&lt;20/24)</formula>
    </cfRule>
    <cfRule type="expression" dxfId="5579" priority="35">
      <formula>AND(B$9&gt;=8/24,B$9&lt;14/24)</formula>
    </cfRule>
    <cfRule type="expression" dxfId="5578" priority="36">
      <formula>B$9&lt;8/24</formula>
    </cfRule>
  </conditionalFormatting>
  <conditionalFormatting sqref="B35:L35">
    <cfRule type="expression" dxfId="5577" priority="29">
      <formula>B$9&gt;=20/24</formula>
    </cfRule>
    <cfRule type="expression" dxfId="5576" priority="30">
      <formula>AND(B$9&gt;=14/24,B$9&lt;20/24)</formula>
    </cfRule>
    <cfRule type="expression" dxfId="5575" priority="31">
      <formula>AND(B$9&gt;=8/24,B$9&lt;14/24)</formula>
    </cfRule>
    <cfRule type="expression" dxfId="5574" priority="32">
      <formula>B$9&lt;8/24</formula>
    </cfRule>
  </conditionalFormatting>
  <conditionalFormatting sqref="B38 B51:B52 B56 B24:L32 B18:L22 B34:L35 B16:L16">
    <cfRule type="expression" dxfId="5573" priority="28">
      <formula>B16&gt;$AG16</formula>
    </cfRule>
  </conditionalFormatting>
  <conditionalFormatting sqref="B34:L34">
    <cfRule type="expression" dxfId="5572" priority="24">
      <formula>B$9&gt;=20/24</formula>
    </cfRule>
    <cfRule type="expression" dxfId="5571" priority="25">
      <formula>AND(B$9&gt;=14/24,B$9&lt;20/24)</formula>
    </cfRule>
    <cfRule type="expression" dxfId="5570" priority="26">
      <formula>AND(B$9&gt;=8/24,B$9&lt;14/24)</formula>
    </cfRule>
    <cfRule type="expression" dxfId="5569" priority="27">
      <formula>B$9&lt;8/24</formula>
    </cfRule>
  </conditionalFormatting>
  <conditionalFormatting sqref="B33:L33">
    <cfRule type="expression" dxfId="5568" priority="16">
      <formula>B$9&gt;=20/24</formula>
    </cfRule>
    <cfRule type="expression" dxfId="5567" priority="17">
      <formula>AND(B$9&gt;=14/24,B$9&lt;20/24)</formula>
    </cfRule>
    <cfRule type="expression" dxfId="5566" priority="18">
      <formula>AND(B$9&gt;=8/24,B$9&lt;14/24)</formula>
    </cfRule>
    <cfRule type="expression" dxfId="5565" priority="19">
      <formula>B$9&lt;8/24</formula>
    </cfRule>
  </conditionalFormatting>
  <conditionalFormatting sqref="B33:L33">
    <cfRule type="expression" dxfId="5564" priority="15">
      <formula>B33&gt;$AG33</formula>
    </cfRule>
  </conditionalFormatting>
  <conditionalFormatting sqref="B45:D47 E46:F47 B48:L50">
    <cfRule type="expression" dxfId="5563" priority="11">
      <formula>B$9&gt;=20/24</formula>
    </cfRule>
    <cfRule type="expression" dxfId="5562" priority="12">
      <formula>AND(B$9&gt;=14/24,B$9&lt;20/24)</formula>
    </cfRule>
    <cfRule type="expression" dxfId="5561" priority="13">
      <formula>AND(B$9&gt;=8/24,B$9&lt;14/24)</formula>
    </cfRule>
    <cfRule type="expression" dxfId="5560" priority="14">
      <formula>B$9&lt;8/24</formula>
    </cfRule>
  </conditionalFormatting>
  <conditionalFormatting sqref="B45:D47 E46:F47 B48:L50">
    <cfRule type="expression" dxfId="5559" priority="10">
      <formula>B45&gt;$AG45</formula>
    </cfRule>
  </conditionalFormatting>
  <conditionalFormatting sqref="B27:L27">
    <cfRule type="expression" dxfId="5558" priority="6">
      <formula>B$9&gt;=20/24</formula>
    </cfRule>
    <cfRule type="expression" dxfId="5557" priority="7">
      <formula>AND(B$9&gt;=14/24,B$9&lt;20/24)</formula>
    </cfRule>
    <cfRule type="expression" dxfId="5556" priority="8">
      <formula>AND(B$9&gt;=8/24,B$9&lt;14/24)</formula>
    </cfRule>
    <cfRule type="expression" dxfId="5555" priority="9">
      <formula>B$9&lt;8/24</formula>
    </cfRule>
  </conditionalFormatting>
  <conditionalFormatting sqref="B17:L17 B23:L23">
    <cfRule type="expression" dxfId="5554" priority="2">
      <formula>B$9&gt;=20/24</formula>
    </cfRule>
    <cfRule type="expression" dxfId="5553" priority="3">
      <formula>AND(B$9&gt;=14/24,B$9&lt;20/24)</formula>
    </cfRule>
    <cfRule type="expression" dxfId="5552" priority="4">
      <formula>AND(B$9&gt;=8/24,B$9&lt;14/24)</formula>
    </cfRule>
    <cfRule type="expression" dxfId="5551" priority="5">
      <formula>B$9&lt;8/24</formula>
    </cfRule>
  </conditionalFormatting>
  <conditionalFormatting sqref="B17:L17 B23:L23">
    <cfRule type="expression" dxfId="5550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2" id="{38322D23-2C60-4A37-9516-E624ACD2702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tabSelected="1"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36" sqref="A3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2079/02/3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-60</v>
      </c>
      <c r="C5" s="32">
        <f t="shared" si="0"/>
        <v>-43</v>
      </c>
      <c r="D5" s="32">
        <f t="shared" si="0"/>
        <v>-36.22</v>
      </c>
      <c r="E5" s="32">
        <f t="shared" si="0"/>
        <v>-62.210000000000008</v>
      </c>
      <c r="F5" s="32">
        <f t="shared" si="0"/>
        <v>-109</v>
      </c>
      <c r="G5" s="32">
        <f t="shared" si="0"/>
        <v>-115.59</v>
      </c>
      <c r="H5" s="32">
        <f t="shared" si="0"/>
        <v>-116.04</v>
      </c>
      <c r="I5" s="32">
        <f t="shared" si="0"/>
        <v>-102.55000000000001</v>
      </c>
      <c r="J5" s="32">
        <f t="shared" si="0"/>
        <v>-148.34</v>
      </c>
      <c r="K5" s="32">
        <f t="shared" si="0"/>
        <v>-110.41</v>
      </c>
      <c r="L5" s="32">
        <f t="shared" si="0"/>
        <v>-60.529999999999994</v>
      </c>
      <c r="M5" s="32">
        <f t="shared" si="0"/>
        <v>-25.9</v>
      </c>
      <c r="N5" s="32">
        <f t="shared" si="0"/>
        <v>106.77000000000001</v>
      </c>
      <c r="O5" s="32">
        <f t="shared" si="0"/>
        <v>118.5</v>
      </c>
      <c r="P5" s="32">
        <f t="shared" si="0"/>
        <v>145.89999999999998</v>
      </c>
      <c r="Q5" s="32">
        <f t="shared" si="0"/>
        <v>158.24</v>
      </c>
      <c r="R5" s="32">
        <f t="shared" si="0"/>
        <v>168.5</v>
      </c>
      <c r="S5" s="32">
        <f t="shared" si="0"/>
        <v>170</v>
      </c>
      <c r="T5" s="32">
        <f t="shared" si="0"/>
        <v>169</v>
      </c>
      <c r="U5" s="32">
        <f t="shared" si="0"/>
        <v>175.6</v>
      </c>
      <c r="V5" s="32">
        <f t="shared" si="0"/>
        <v>0</v>
      </c>
      <c r="W5" s="32">
        <f t="shared" si="0"/>
        <v>176.2</v>
      </c>
      <c r="X5" s="32">
        <f t="shared" si="0"/>
        <v>152.19999999999999</v>
      </c>
      <c r="Y5" s="32">
        <f t="shared" si="0"/>
        <v>180</v>
      </c>
      <c r="Z5" s="32">
        <f t="shared" si="0"/>
        <v>177.2</v>
      </c>
      <c r="AA5" s="32">
        <f t="shared" si="0"/>
        <v>115</v>
      </c>
      <c r="AB5" s="32">
        <f t="shared" si="0"/>
        <v>86</v>
      </c>
      <c r="AC5" s="32">
        <f t="shared" si="0"/>
        <v>86</v>
      </c>
      <c r="AD5" s="32">
        <f t="shared" si="0"/>
        <v>95</v>
      </c>
      <c r="AE5" s="32">
        <f t="shared" si="0"/>
        <v>117</v>
      </c>
      <c r="AF5" s="32">
        <f>B68</f>
        <v>-19.299999999999997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1254MW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1049.24</v>
      </c>
      <c r="C7" s="37">
        <f t="shared" ref="C7:AF7" si="1">C75</f>
        <v>1044.3400000000001</v>
      </c>
      <c r="D7" s="37">
        <f t="shared" si="1"/>
        <v>1106.3400000000001</v>
      </c>
      <c r="E7" s="37">
        <f t="shared" si="1"/>
        <v>1106.92</v>
      </c>
      <c r="F7" s="37">
        <f t="shared" si="1"/>
        <v>1055.5300000000002</v>
      </c>
      <c r="G7" s="37">
        <f t="shared" si="1"/>
        <v>1057.54</v>
      </c>
      <c r="H7" s="37">
        <f t="shared" si="1"/>
        <v>1071.8500000000001</v>
      </c>
      <c r="I7" s="37">
        <f t="shared" si="1"/>
        <v>1112.4000000000001</v>
      </c>
      <c r="J7" s="37">
        <f t="shared" si="1"/>
        <v>1186.2900000000002</v>
      </c>
      <c r="K7" s="37">
        <f t="shared" si="1"/>
        <v>1222.5000000000002</v>
      </c>
      <c r="L7" s="37">
        <f t="shared" si="1"/>
        <v>1253.4300000000003</v>
      </c>
      <c r="M7" s="37">
        <f t="shared" si="1"/>
        <v>1221.3100000000002</v>
      </c>
      <c r="N7" s="37">
        <f t="shared" si="1"/>
        <v>1253.7400000000002</v>
      </c>
      <c r="O7" s="37">
        <f t="shared" si="1"/>
        <v>1394.91</v>
      </c>
      <c r="P7" s="37">
        <f t="shared" si="1"/>
        <v>1438.8400000000001</v>
      </c>
      <c r="Q7" s="37">
        <f t="shared" si="1"/>
        <v>1458.24</v>
      </c>
      <c r="R7" s="37">
        <f t="shared" si="1"/>
        <v>1492.48</v>
      </c>
      <c r="S7" s="37">
        <f t="shared" si="1"/>
        <v>1514.14</v>
      </c>
      <c r="T7" s="37">
        <f t="shared" si="1"/>
        <v>1517.54</v>
      </c>
      <c r="U7" s="37">
        <f t="shared" si="1"/>
        <v>1475.6399999999999</v>
      </c>
      <c r="V7" s="37">
        <f t="shared" si="1"/>
        <v>1440.1399999999999</v>
      </c>
      <c r="W7" s="37">
        <f t="shared" si="1"/>
        <v>3.54</v>
      </c>
      <c r="X7" s="37">
        <f t="shared" si="1"/>
        <v>1363.54</v>
      </c>
      <c r="Y7" s="37">
        <f t="shared" si="1"/>
        <v>1358.1399999999999</v>
      </c>
      <c r="Z7" s="37">
        <f t="shared" si="1"/>
        <v>1448.84</v>
      </c>
      <c r="AA7" s="37">
        <f t="shared" si="1"/>
        <v>1544.7400000000002</v>
      </c>
      <c r="AB7" s="37">
        <f t="shared" si="1"/>
        <v>1547.94</v>
      </c>
      <c r="AC7" s="37">
        <f t="shared" si="1"/>
        <v>1537.44</v>
      </c>
      <c r="AD7" s="37">
        <f t="shared" si="1"/>
        <v>1543.7400000000002</v>
      </c>
      <c r="AE7" s="37">
        <f t="shared" si="1"/>
        <v>1439.3400000000001</v>
      </c>
      <c r="AF7" s="37">
        <f t="shared" si="1"/>
        <v>1413.74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150</v>
      </c>
      <c r="C11" s="50">
        <v>200</v>
      </c>
      <c r="D11" s="50">
        <v>220</v>
      </c>
      <c r="E11" s="50">
        <v>200</v>
      </c>
      <c r="F11" s="51">
        <v>202</v>
      </c>
      <c r="G11" s="51">
        <v>240</v>
      </c>
      <c r="H11" s="51">
        <v>270</v>
      </c>
      <c r="I11" s="51">
        <v>300</v>
      </c>
      <c r="J11" s="52">
        <v>350</v>
      </c>
      <c r="K11" s="52">
        <v>360</v>
      </c>
      <c r="L11" s="52">
        <v>350</v>
      </c>
      <c r="M11" s="51">
        <v>300</v>
      </c>
      <c r="N11" s="51">
        <v>300</v>
      </c>
      <c r="O11" s="51">
        <v>280</v>
      </c>
      <c r="P11" s="51">
        <v>300</v>
      </c>
      <c r="Q11" s="51">
        <v>305</v>
      </c>
      <c r="R11" s="51">
        <v>320</v>
      </c>
      <c r="S11" s="49">
        <v>320</v>
      </c>
      <c r="T11" s="49">
        <v>280</v>
      </c>
      <c r="U11" s="49">
        <v>240</v>
      </c>
      <c r="V11" s="49">
        <v>200</v>
      </c>
      <c r="W11" s="49" t="s">
        <v>221</v>
      </c>
      <c r="X11" s="49">
        <v>180</v>
      </c>
      <c r="Y11" s="49">
        <v>200</v>
      </c>
      <c r="Z11" s="49">
        <v>230</v>
      </c>
      <c r="AA11" s="49">
        <v>310</v>
      </c>
      <c r="AB11" s="49">
        <v>331</v>
      </c>
      <c r="AC11" s="49">
        <v>400</v>
      </c>
      <c r="AD11" s="49">
        <v>410</v>
      </c>
      <c r="AE11" s="49">
        <v>300</v>
      </c>
      <c r="AF11" s="49">
        <v>260</v>
      </c>
      <c r="AG11" s="53">
        <v>456</v>
      </c>
      <c r="AH11" s="54">
        <f>MAX(B11:AF11)</f>
        <v>410</v>
      </c>
      <c r="AI11" s="55">
        <f>MIN(B11:AF11)</f>
        <v>150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40</v>
      </c>
      <c r="C12" s="51">
        <v>43</v>
      </c>
      <c r="D12" s="51">
        <v>43</v>
      </c>
      <c r="E12" s="51">
        <v>43</v>
      </c>
      <c r="F12" s="51">
        <v>43</v>
      </c>
      <c r="G12" s="51">
        <v>43</v>
      </c>
      <c r="H12" s="51">
        <v>43</v>
      </c>
      <c r="I12" s="51">
        <v>43</v>
      </c>
      <c r="J12" s="51">
        <v>43</v>
      </c>
      <c r="K12" s="51">
        <v>43</v>
      </c>
      <c r="L12" s="51">
        <v>43</v>
      </c>
      <c r="M12" s="51">
        <v>43</v>
      </c>
      <c r="N12" s="51">
        <v>43</v>
      </c>
      <c r="O12" s="51">
        <v>43</v>
      </c>
      <c r="P12" s="51">
        <v>43</v>
      </c>
      <c r="Q12" s="51">
        <v>43</v>
      </c>
      <c r="R12" s="51">
        <v>43</v>
      </c>
      <c r="S12" s="51">
        <v>43</v>
      </c>
      <c r="T12" s="51">
        <v>43</v>
      </c>
      <c r="U12" s="51">
        <v>36</v>
      </c>
      <c r="V12" s="51">
        <v>36</v>
      </c>
      <c r="W12" s="51" t="s">
        <v>222</v>
      </c>
      <c r="X12" s="51">
        <v>36</v>
      </c>
      <c r="Y12" s="51">
        <v>36</v>
      </c>
      <c r="Z12" s="51">
        <v>36</v>
      </c>
      <c r="AA12" s="51">
        <v>36</v>
      </c>
      <c r="AB12" s="51">
        <v>43</v>
      </c>
      <c r="AC12" s="51">
        <v>43</v>
      </c>
      <c r="AD12" s="51">
        <v>43</v>
      </c>
      <c r="AE12" s="51">
        <v>43</v>
      </c>
      <c r="AF12" s="51">
        <v>43</v>
      </c>
      <c r="AG12" s="58">
        <v>60</v>
      </c>
      <c r="AH12" s="54">
        <f t="shared" ref="AH12:AH75" si="2">MAX(B12:AF12)</f>
        <v>43</v>
      </c>
      <c r="AI12" s="55">
        <f t="shared" ref="AI12:AI75" si="3">MIN(B12:AF12)</f>
        <v>36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36.9</v>
      </c>
      <c r="C13" s="51">
        <v>36.9</v>
      </c>
      <c r="D13" s="51">
        <v>36.9</v>
      </c>
      <c r="E13" s="51">
        <v>36.9</v>
      </c>
      <c r="F13" s="51">
        <v>27.8</v>
      </c>
      <c r="G13" s="51">
        <v>34.700000000000003</v>
      </c>
      <c r="H13" s="51">
        <v>31.9</v>
      </c>
      <c r="I13" s="51">
        <v>31.9</v>
      </c>
      <c r="J13" s="51">
        <v>31.9</v>
      </c>
      <c r="K13" s="51">
        <v>31.9</v>
      </c>
      <c r="L13" s="51">
        <v>25.3</v>
      </c>
      <c r="M13" s="51">
        <v>25.9</v>
      </c>
      <c r="N13" s="51">
        <v>25.9</v>
      </c>
      <c r="O13" s="51">
        <v>25.1</v>
      </c>
      <c r="P13" s="51">
        <v>24.7</v>
      </c>
      <c r="Q13" s="51">
        <v>24.7</v>
      </c>
      <c r="R13" s="51">
        <v>26.8</v>
      </c>
      <c r="S13" s="51">
        <v>26.8</v>
      </c>
      <c r="T13" s="51">
        <v>26.8</v>
      </c>
      <c r="U13" s="51">
        <v>26.9</v>
      </c>
      <c r="V13" s="51">
        <v>26.9</v>
      </c>
      <c r="W13" s="51" t="s">
        <v>221</v>
      </c>
      <c r="X13" s="51">
        <v>26.9</v>
      </c>
      <c r="Y13" s="51">
        <v>26.9</v>
      </c>
      <c r="Z13" s="51">
        <v>26.9</v>
      </c>
      <c r="AA13" s="51">
        <v>23.4</v>
      </c>
      <c r="AB13" s="51">
        <v>23.1</v>
      </c>
      <c r="AC13" s="51">
        <v>21.5</v>
      </c>
      <c r="AD13" s="51">
        <v>21.5</v>
      </c>
      <c r="AE13" s="51">
        <v>21.5</v>
      </c>
      <c r="AF13" s="51">
        <v>21.5</v>
      </c>
      <c r="AG13" s="58">
        <v>52.4</v>
      </c>
      <c r="AH13" s="54">
        <f t="shared" si="2"/>
        <v>36.9</v>
      </c>
      <c r="AI13" s="55">
        <f t="shared" si="3"/>
        <v>21.5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50.4</v>
      </c>
      <c r="C14" s="51">
        <v>0</v>
      </c>
      <c r="D14" s="51">
        <v>25</v>
      </c>
      <c r="E14" s="51">
        <v>50.1</v>
      </c>
      <c r="F14" s="51">
        <v>50.5</v>
      </c>
      <c r="G14" s="51">
        <v>50.2</v>
      </c>
      <c r="H14" s="51">
        <v>50.2</v>
      </c>
      <c r="I14" s="51">
        <v>50.2</v>
      </c>
      <c r="J14" s="51">
        <v>50.2</v>
      </c>
      <c r="K14" s="51">
        <v>50.2</v>
      </c>
      <c r="L14" s="51">
        <v>50.2</v>
      </c>
      <c r="M14" s="51">
        <v>50.4</v>
      </c>
      <c r="N14" s="51">
        <v>50.4</v>
      </c>
      <c r="O14" s="51">
        <v>50.3</v>
      </c>
      <c r="P14" s="51">
        <v>50.3</v>
      </c>
      <c r="Q14" s="51">
        <v>50.3</v>
      </c>
      <c r="R14" s="51">
        <v>50.1</v>
      </c>
      <c r="S14" s="51">
        <v>50.1</v>
      </c>
      <c r="T14" s="51">
        <v>50.1</v>
      </c>
      <c r="U14" s="51">
        <v>50.4</v>
      </c>
      <c r="V14" s="51">
        <v>50.4</v>
      </c>
      <c r="W14" s="51" t="s">
        <v>223</v>
      </c>
      <c r="X14" s="51">
        <v>50.4</v>
      </c>
      <c r="Y14" s="51">
        <v>50.4</v>
      </c>
      <c r="Z14" s="51">
        <v>50.4</v>
      </c>
      <c r="AA14" s="51">
        <v>50.6</v>
      </c>
      <c r="AB14" s="51">
        <v>50.6</v>
      </c>
      <c r="AC14" s="51">
        <v>50.7</v>
      </c>
      <c r="AD14" s="51">
        <v>50.7</v>
      </c>
      <c r="AE14" s="51">
        <v>50.7</v>
      </c>
      <c r="AF14" s="51">
        <v>50.7</v>
      </c>
      <c r="AG14" s="58">
        <v>50</v>
      </c>
      <c r="AH14" s="54">
        <f t="shared" si="2"/>
        <v>50.7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43</v>
      </c>
      <c r="C15" s="51">
        <v>43</v>
      </c>
      <c r="D15" s="51">
        <v>43</v>
      </c>
      <c r="E15" s="51">
        <v>43</v>
      </c>
      <c r="F15" s="51">
        <v>39.700000000000003</v>
      </c>
      <c r="G15" s="51">
        <v>39.299999999999997</v>
      </c>
      <c r="H15" s="51">
        <v>39.299999999999997</v>
      </c>
      <c r="I15" s="51">
        <v>39.299999999999997</v>
      </c>
      <c r="J15" s="51">
        <v>39.299999999999997</v>
      </c>
      <c r="K15" s="51">
        <v>39.299999999999997</v>
      </c>
      <c r="L15" s="51">
        <v>39.299999999999997</v>
      </c>
      <c r="M15" s="51">
        <v>29.6</v>
      </c>
      <c r="N15" s="51">
        <v>29.6</v>
      </c>
      <c r="O15" s="51">
        <v>37.9</v>
      </c>
      <c r="P15" s="51">
        <v>37.9</v>
      </c>
      <c r="Q15" s="51">
        <v>22.9</v>
      </c>
      <c r="R15" s="51">
        <v>22.8</v>
      </c>
      <c r="S15" s="51">
        <v>22.8</v>
      </c>
      <c r="T15" s="51">
        <v>22.8</v>
      </c>
      <c r="U15" s="51">
        <v>24.3</v>
      </c>
      <c r="V15" s="51">
        <v>24.3</v>
      </c>
      <c r="W15" s="51" t="s">
        <v>224</v>
      </c>
      <c r="X15" s="51">
        <v>24.3</v>
      </c>
      <c r="Y15" s="51">
        <v>24.3</v>
      </c>
      <c r="Z15" s="51">
        <v>24.3</v>
      </c>
      <c r="AA15" s="51">
        <v>24.3</v>
      </c>
      <c r="AB15" s="51">
        <v>24.3</v>
      </c>
      <c r="AC15" s="51">
        <v>23.9</v>
      </c>
      <c r="AD15" s="51">
        <v>23.9</v>
      </c>
      <c r="AE15" s="51">
        <v>23.9</v>
      </c>
      <c r="AF15" s="51">
        <v>23.9</v>
      </c>
      <c r="AG15" s="59">
        <v>45</v>
      </c>
      <c r="AH15" s="54">
        <f t="shared" si="2"/>
        <v>43</v>
      </c>
      <c r="AI15" s="55">
        <f t="shared" si="3"/>
        <v>22.8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26</v>
      </c>
      <c r="C16" s="51">
        <v>26</v>
      </c>
      <c r="D16" s="51">
        <v>26</v>
      </c>
      <c r="E16" s="51">
        <v>26</v>
      </c>
      <c r="F16" s="51">
        <v>26</v>
      </c>
      <c r="G16" s="51">
        <v>25.4</v>
      </c>
      <c r="H16" s="51">
        <v>25.4</v>
      </c>
      <c r="I16" s="51">
        <v>25.4</v>
      </c>
      <c r="J16" s="51">
        <v>25.4</v>
      </c>
      <c r="K16" s="51">
        <v>25.4</v>
      </c>
      <c r="L16" s="51">
        <v>25.4</v>
      </c>
      <c r="M16" s="51">
        <v>25.4</v>
      </c>
      <c r="N16" s="51">
        <v>25.4</v>
      </c>
      <c r="O16" s="51">
        <v>25.4</v>
      </c>
      <c r="P16" s="51">
        <v>25.4</v>
      </c>
      <c r="Q16" s="51">
        <v>25.4</v>
      </c>
      <c r="R16" s="51">
        <v>25.4</v>
      </c>
      <c r="S16" s="51">
        <v>25.4</v>
      </c>
      <c r="T16" s="51">
        <v>25.4</v>
      </c>
      <c r="U16" s="51">
        <v>28</v>
      </c>
      <c r="V16" s="51">
        <v>28</v>
      </c>
      <c r="W16" s="51" t="s">
        <v>225</v>
      </c>
      <c r="X16" s="51">
        <v>28</v>
      </c>
      <c r="Y16" s="51">
        <v>28</v>
      </c>
      <c r="Z16" s="51">
        <v>28</v>
      </c>
      <c r="AA16" s="51">
        <v>28</v>
      </c>
      <c r="AB16" s="51">
        <v>28</v>
      </c>
      <c r="AC16" s="51">
        <v>28</v>
      </c>
      <c r="AD16" s="51">
        <v>28</v>
      </c>
      <c r="AE16" s="51">
        <v>28</v>
      </c>
      <c r="AF16" s="51">
        <v>28</v>
      </c>
      <c r="AG16" s="58">
        <v>45</v>
      </c>
      <c r="AH16" s="54">
        <f t="shared" si="2"/>
        <v>28</v>
      </c>
      <c r="AI16" s="55">
        <f t="shared" si="3"/>
        <v>25.4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23</v>
      </c>
      <c r="H17" s="51">
        <v>23</v>
      </c>
      <c r="I17" s="51">
        <v>23</v>
      </c>
      <c r="J17" s="51">
        <v>23</v>
      </c>
      <c r="K17" s="51">
        <v>23</v>
      </c>
      <c r="L17" s="51">
        <v>23</v>
      </c>
      <c r="M17" s="51">
        <v>23</v>
      </c>
      <c r="N17" s="51">
        <v>21</v>
      </c>
      <c r="O17" s="51">
        <v>21</v>
      </c>
      <c r="P17" s="51">
        <v>21</v>
      </c>
      <c r="Q17" s="51">
        <v>21</v>
      </c>
      <c r="R17" s="51">
        <v>21</v>
      </c>
      <c r="S17" s="51">
        <v>21</v>
      </c>
      <c r="T17" s="51">
        <v>21</v>
      </c>
      <c r="U17" s="51">
        <v>21</v>
      </c>
      <c r="V17" s="51">
        <v>21</v>
      </c>
      <c r="W17" s="51" t="s">
        <v>226</v>
      </c>
      <c r="X17" s="51">
        <v>21</v>
      </c>
      <c r="Y17" s="51">
        <v>21</v>
      </c>
      <c r="Z17" s="51">
        <v>21</v>
      </c>
      <c r="AA17" s="51">
        <v>21</v>
      </c>
      <c r="AB17" s="51">
        <v>21</v>
      </c>
      <c r="AC17" s="51">
        <v>21</v>
      </c>
      <c r="AD17" s="51">
        <v>21</v>
      </c>
      <c r="AE17" s="51">
        <v>21</v>
      </c>
      <c r="AF17" s="51">
        <v>21</v>
      </c>
      <c r="AG17" s="58">
        <v>42</v>
      </c>
      <c r="AH17" s="54">
        <f t="shared" si="2"/>
        <v>25</v>
      </c>
      <c r="AI17" s="55">
        <f t="shared" si="3"/>
        <v>21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 t="s">
        <v>227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58">
        <v>36</v>
      </c>
      <c r="AH18" s="54">
        <f t="shared" si="2"/>
        <v>13.2</v>
      </c>
      <c r="AI18" s="55">
        <f t="shared" si="3"/>
        <v>13.2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25</v>
      </c>
      <c r="C19" s="51">
        <v>23</v>
      </c>
      <c r="D19" s="51">
        <v>23</v>
      </c>
      <c r="E19" s="51">
        <v>23</v>
      </c>
      <c r="F19" s="51">
        <v>23</v>
      </c>
      <c r="G19" s="51">
        <v>23</v>
      </c>
      <c r="H19" s="51">
        <v>23</v>
      </c>
      <c r="I19" s="51">
        <v>23</v>
      </c>
      <c r="J19" s="51">
        <v>23</v>
      </c>
      <c r="K19" s="51">
        <v>23</v>
      </c>
      <c r="L19" s="51">
        <v>23</v>
      </c>
      <c r="M19" s="51">
        <v>23</v>
      </c>
      <c r="N19" s="51">
        <v>23</v>
      </c>
      <c r="O19" s="51">
        <v>22</v>
      </c>
      <c r="P19" s="51">
        <v>22</v>
      </c>
      <c r="Q19" s="51">
        <v>22</v>
      </c>
      <c r="R19" s="51">
        <v>22</v>
      </c>
      <c r="S19" s="51">
        <v>22</v>
      </c>
      <c r="T19" s="51">
        <v>22</v>
      </c>
      <c r="U19" s="51">
        <v>22</v>
      </c>
      <c r="V19" s="51">
        <v>22</v>
      </c>
      <c r="W19" s="51" t="s">
        <v>221</v>
      </c>
      <c r="X19" s="51">
        <v>22</v>
      </c>
      <c r="Y19" s="51">
        <v>22</v>
      </c>
      <c r="Z19" s="51">
        <v>22</v>
      </c>
      <c r="AA19" s="51">
        <v>22.2</v>
      </c>
      <c r="AB19" s="51">
        <v>25</v>
      </c>
      <c r="AC19" s="51">
        <v>25</v>
      </c>
      <c r="AD19" s="51">
        <v>25</v>
      </c>
      <c r="AE19" s="51">
        <v>25</v>
      </c>
      <c r="AF19" s="51">
        <v>25</v>
      </c>
      <c r="AG19" s="58">
        <v>30</v>
      </c>
      <c r="AH19" s="54">
        <f t="shared" si="2"/>
        <v>25</v>
      </c>
      <c r="AI19" s="55">
        <f t="shared" si="3"/>
        <v>22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12</v>
      </c>
      <c r="C20" s="51">
        <v>12</v>
      </c>
      <c r="D20" s="51">
        <v>12</v>
      </c>
      <c r="E20" s="51">
        <v>12</v>
      </c>
      <c r="F20" s="51">
        <v>12</v>
      </c>
      <c r="G20" s="51">
        <v>12</v>
      </c>
      <c r="H20" s="51">
        <v>12</v>
      </c>
      <c r="I20" s="51">
        <v>12</v>
      </c>
      <c r="J20" s="51">
        <v>12</v>
      </c>
      <c r="K20" s="51">
        <v>12</v>
      </c>
      <c r="L20" s="51">
        <v>12</v>
      </c>
      <c r="M20" s="51">
        <v>12</v>
      </c>
      <c r="N20" s="51">
        <v>12</v>
      </c>
      <c r="O20" s="51">
        <v>12</v>
      </c>
      <c r="P20" s="51">
        <v>12</v>
      </c>
      <c r="Q20" s="51">
        <v>12</v>
      </c>
      <c r="R20" s="51">
        <v>12</v>
      </c>
      <c r="S20" s="51">
        <v>12</v>
      </c>
      <c r="T20" s="51">
        <v>12</v>
      </c>
      <c r="U20" s="51">
        <v>12</v>
      </c>
      <c r="V20" s="51">
        <v>12</v>
      </c>
      <c r="W20" s="51" t="s">
        <v>223</v>
      </c>
      <c r="X20" s="51">
        <v>12</v>
      </c>
      <c r="Y20" s="51">
        <v>12</v>
      </c>
      <c r="Z20" s="51">
        <v>12</v>
      </c>
      <c r="AA20" s="51">
        <v>12</v>
      </c>
      <c r="AB20" s="51">
        <v>12</v>
      </c>
      <c r="AC20" s="51">
        <v>12</v>
      </c>
      <c r="AD20" s="51">
        <v>12</v>
      </c>
      <c r="AE20" s="51">
        <v>12</v>
      </c>
      <c r="AF20" s="51">
        <v>12</v>
      </c>
      <c r="AG20" s="58">
        <v>27</v>
      </c>
      <c r="AH20" s="54">
        <f t="shared" si="2"/>
        <v>12</v>
      </c>
      <c r="AI20" s="55">
        <f t="shared" si="3"/>
        <v>12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3.5</v>
      </c>
      <c r="C21" s="51">
        <v>3.5</v>
      </c>
      <c r="D21" s="51">
        <v>3.5</v>
      </c>
      <c r="E21" s="51">
        <v>3.5</v>
      </c>
      <c r="F21" s="51">
        <v>3.5</v>
      </c>
      <c r="G21" s="51">
        <v>3.5</v>
      </c>
      <c r="H21" s="51">
        <v>3.5</v>
      </c>
      <c r="I21" s="51">
        <v>3.5</v>
      </c>
      <c r="J21" s="51">
        <v>3.5</v>
      </c>
      <c r="K21" s="51">
        <v>3.5</v>
      </c>
      <c r="L21" s="51">
        <v>3.5</v>
      </c>
      <c r="M21" s="51">
        <v>3.5</v>
      </c>
      <c r="N21" s="51">
        <v>3.5</v>
      </c>
      <c r="O21" s="51">
        <v>3.5</v>
      </c>
      <c r="P21" s="51">
        <v>3.5</v>
      </c>
      <c r="Q21" s="51">
        <v>3.5</v>
      </c>
      <c r="R21" s="51">
        <v>3.5</v>
      </c>
      <c r="S21" s="51">
        <v>3.5</v>
      </c>
      <c r="T21" s="51">
        <v>3.5</v>
      </c>
      <c r="U21" s="51">
        <v>3.5</v>
      </c>
      <c r="V21" s="51">
        <v>3.5</v>
      </c>
      <c r="W21" s="51" t="s">
        <v>228</v>
      </c>
      <c r="X21" s="51">
        <v>3.5</v>
      </c>
      <c r="Y21" s="51">
        <v>3.5</v>
      </c>
      <c r="Z21" s="51">
        <v>3.5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3.5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 t="s">
        <v>229</v>
      </c>
      <c r="X22" s="51">
        <v>22</v>
      </c>
      <c r="Y22" s="51">
        <v>22</v>
      </c>
      <c r="Z22" s="51">
        <v>22</v>
      </c>
      <c r="AA22" s="51">
        <v>22.9</v>
      </c>
      <c r="AB22" s="51">
        <v>22.9</v>
      </c>
      <c r="AC22" s="51">
        <v>22.9</v>
      </c>
      <c r="AD22" s="51">
        <v>22.9</v>
      </c>
      <c r="AE22" s="51">
        <v>22.9</v>
      </c>
      <c r="AF22" s="51">
        <v>22.9</v>
      </c>
      <c r="AG22" s="58">
        <v>25</v>
      </c>
      <c r="AH22" s="54">
        <f t="shared" si="2"/>
        <v>22.9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5.2</v>
      </c>
      <c r="C23" s="51">
        <v>5.2</v>
      </c>
      <c r="D23" s="51">
        <v>5.2</v>
      </c>
      <c r="E23" s="51">
        <v>5.2</v>
      </c>
      <c r="F23" s="51">
        <v>5.2</v>
      </c>
      <c r="G23" s="51">
        <v>5.2</v>
      </c>
      <c r="H23" s="51">
        <v>5.2</v>
      </c>
      <c r="I23" s="51">
        <v>5.2</v>
      </c>
      <c r="J23" s="51">
        <v>5.2</v>
      </c>
      <c r="K23" s="51">
        <v>5.2</v>
      </c>
      <c r="L23" s="51">
        <v>5.2</v>
      </c>
      <c r="M23" s="51">
        <v>5.2</v>
      </c>
      <c r="N23" s="51">
        <v>5.2</v>
      </c>
      <c r="O23" s="51">
        <v>5.2</v>
      </c>
      <c r="P23" s="51">
        <v>5.2</v>
      </c>
      <c r="Q23" s="51">
        <v>5.2</v>
      </c>
      <c r="R23" s="51">
        <v>5.2</v>
      </c>
      <c r="S23" s="51">
        <v>5.2</v>
      </c>
      <c r="T23" s="51">
        <v>5.2</v>
      </c>
      <c r="U23" s="51">
        <v>5.2</v>
      </c>
      <c r="V23" s="51">
        <v>5.2</v>
      </c>
      <c r="W23" s="51" t="s">
        <v>230</v>
      </c>
      <c r="X23" s="51">
        <v>5.2</v>
      </c>
      <c r="Y23" s="51">
        <v>5.2</v>
      </c>
      <c r="Z23" s="51">
        <v>5.2</v>
      </c>
      <c r="AA23" s="51">
        <v>5.2</v>
      </c>
      <c r="AB23" s="51">
        <v>5.2</v>
      </c>
      <c r="AC23" s="51">
        <v>5.2</v>
      </c>
      <c r="AD23" s="51">
        <v>5.2</v>
      </c>
      <c r="AE23" s="51">
        <v>5.2</v>
      </c>
      <c r="AF23" s="51">
        <v>5.2</v>
      </c>
      <c r="AG23" s="58">
        <v>25</v>
      </c>
      <c r="AH23" s="54">
        <f t="shared" si="2"/>
        <v>5.2</v>
      </c>
      <c r="AI23" s="55">
        <f t="shared" si="3"/>
        <v>5.2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22.7</v>
      </c>
      <c r="C24" s="51">
        <v>22.7</v>
      </c>
      <c r="D24" s="51">
        <v>22.7</v>
      </c>
      <c r="E24" s="51">
        <v>22.7</v>
      </c>
      <c r="F24" s="51">
        <v>22.7</v>
      </c>
      <c r="G24" s="51">
        <v>22.7</v>
      </c>
      <c r="H24" s="51">
        <v>22.7</v>
      </c>
      <c r="I24" s="51">
        <v>22.7</v>
      </c>
      <c r="J24" s="51">
        <v>22.7</v>
      </c>
      <c r="K24" s="51">
        <v>22.7</v>
      </c>
      <c r="L24" s="51">
        <v>22.7</v>
      </c>
      <c r="M24" s="51">
        <v>22.7</v>
      </c>
      <c r="N24" s="51">
        <v>22.7</v>
      </c>
      <c r="O24" s="51">
        <v>22.7</v>
      </c>
      <c r="P24" s="51">
        <v>22.7</v>
      </c>
      <c r="Q24" s="51">
        <v>22.7</v>
      </c>
      <c r="R24" s="51">
        <v>22.7</v>
      </c>
      <c r="S24" s="51">
        <v>22.7</v>
      </c>
      <c r="T24" s="51">
        <v>22.7</v>
      </c>
      <c r="U24" s="51">
        <v>22.7</v>
      </c>
      <c r="V24" s="51">
        <v>22.7</v>
      </c>
      <c r="W24" s="51"/>
      <c r="X24" s="51">
        <v>22.7</v>
      </c>
      <c r="Y24" s="51">
        <v>22.7</v>
      </c>
      <c r="Z24" s="51">
        <v>22.7</v>
      </c>
      <c r="AA24" s="51">
        <v>18.600000000000001</v>
      </c>
      <c r="AB24" s="51">
        <v>18.600000000000001</v>
      </c>
      <c r="AC24" s="51">
        <v>18.600000000000001</v>
      </c>
      <c r="AD24" s="51">
        <v>18.600000000000001</v>
      </c>
      <c r="AE24" s="51">
        <v>18.600000000000001</v>
      </c>
      <c r="AF24" s="51">
        <v>18.600000000000001</v>
      </c>
      <c r="AG24" s="58">
        <v>25</v>
      </c>
      <c r="AH24" s="54">
        <f t="shared" si="2"/>
        <v>22.7</v>
      </c>
      <c r="AI24" s="55">
        <f t="shared" si="3"/>
        <v>18.600000000000001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/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5</v>
      </c>
      <c r="C26" s="51">
        <v>5</v>
      </c>
      <c r="D26" s="51">
        <v>5</v>
      </c>
      <c r="E26" s="51">
        <v>5</v>
      </c>
      <c r="F26" s="51">
        <v>5</v>
      </c>
      <c r="G26" s="51">
        <v>5</v>
      </c>
      <c r="H26" s="51">
        <v>5</v>
      </c>
      <c r="I26" s="51">
        <v>5</v>
      </c>
      <c r="J26" s="51">
        <v>5</v>
      </c>
      <c r="K26" s="51">
        <v>5</v>
      </c>
      <c r="L26" s="51">
        <v>5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5</v>
      </c>
      <c r="T26" s="51">
        <v>11</v>
      </c>
      <c r="U26" s="51">
        <v>11</v>
      </c>
      <c r="V26" s="51">
        <v>11</v>
      </c>
      <c r="W26" s="51"/>
      <c r="X26" s="51">
        <v>11</v>
      </c>
      <c r="Y26" s="51">
        <v>11</v>
      </c>
      <c r="Z26" s="51">
        <v>11</v>
      </c>
      <c r="AA26" s="51">
        <v>11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11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/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/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/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58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/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/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5</v>
      </c>
      <c r="C32" s="51">
        <v>5</v>
      </c>
      <c r="D32" s="51">
        <v>5</v>
      </c>
      <c r="E32" s="51">
        <v>5</v>
      </c>
      <c r="F32" s="51">
        <v>5</v>
      </c>
      <c r="G32" s="51">
        <v>5</v>
      </c>
      <c r="H32" s="51">
        <v>5</v>
      </c>
      <c r="I32" s="51">
        <v>5</v>
      </c>
      <c r="J32" s="51">
        <v>5</v>
      </c>
      <c r="K32" s="51">
        <v>5</v>
      </c>
      <c r="L32" s="51">
        <v>5</v>
      </c>
      <c r="M32" s="51">
        <v>5</v>
      </c>
      <c r="N32" s="51">
        <v>5</v>
      </c>
      <c r="O32" s="51">
        <v>5</v>
      </c>
      <c r="P32" s="51">
        <v>5</v>
      </c>
      <c r="Q32" s="51">
        <v>5</v>
      </c>
      <c r="R32" s="51">
        <v>5</v>
      </c>
      <c r="S32" s="51">
        <v>5</v>
      </c>
      <c r="T32" s="51">
        <v>5</v>
      </c>
      <c r="U32" s="51">
        <v>5</v>
      </c>
      <c r="V32" s="51">
        <v>5</v>
      </c>
      <c r="W32" s="51"/>
      <c r="X32" s="51">
        <v>5</v>
      </c>
      <c r="Y32" s="51">
        <v>5</v>
      </c>
      <c r="Z32" s="51">
        <v>5</v>
      </c>
      <c r="AA32" s="51">
        <v>5</v>
      </c>
      <c r="AB32" s="51">
        <v>5</v>
      </c>
      <c r="AC32" s="51">
        <v>5</v>
      </c>
      <c r="AD32" s="51">
        <v>5</v>
      </c>
      <c r="AE32" s="51">
        <v>5</v>
      </c>
      <c r="AF32" s="51">
        <v>5</v>
      </c>
      <c r="AG32" s="63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/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5</v>
      </c>
      <c r="C34" s="51">
        <v>5</v>
      </c>
      <c r="D34" s="51">
        <v>5</v>
      </c>
      <c r="E34" s="51">
        <v>5</v>
      </c>
      <c r="F34" s="51">
        <v>5</v>
      </c>
      <c r="G34" s="51">
        <v>5</v>
      </c>
      <c r="H34" s="51">
        <v>5</v>
      </c>
      <c r="I34" s="51">
        <v>5</v>
      </c>
      <c r="J34" s="51">
        <v>5</v>
      </c>
      <c r="K34" s="51">
        <v>5</v>
      </c>
      <c r="L34" s="51">
        <v>5</v>
      </c>
      <c r="M34" s="51">
        <v>5</v>
      </c>
      <c r="N34" s="51">
        <v>5</v>
      </c>
      <c r="O34" s="51">
        <v>5</v>
      </c>
      <c r="P34" s="51">
        <v>5</v>
      </c>
      <c r="Q34" s="51">
        <v>5</v>
      </c>
      <c r="R34" s="51">
        <v>5</v>
      </c>
      <c r="S34" s="51">
        <v>6</v>
      </c>
      <c r="T34" s="51">
        <v>6.6</v>
      </c>
      <c r="U34" s="51">
        <v>6.6</v>
      </c>
      <c r="V34" s="51">
        <v>6.6</v>
      </c>
      <c r="W34" s="51"/>
      <c r="X34" s="51">
        <v>6.6</v>
      </c>
      <c r="Y34" s="51">
        <v>6.6</v>
      </c>
      <c r="Z34" s="51">
        <v>6.6</v>
      </c>
      <c r="AA34" s="51">
        <v>6.6</v>
      </c>
      <c r="AB34" s="51">
        <v>6.6</v>
      </c>
      <c r="AC34" s="51">
        <v>6.6</v>
      </c>
      <c r="AD34" s="51">
        <v>6.6</v>
      </c>
      <c r="AE34" s="51">
        <v>6.6</v>
      </c>
      <c r="AF34" s="51">
        <v>6.6</v>
      </c>
      <c r="AG34" s="63">
        <v>20</v>
      </c>
      <c r="AH34" s="54">
        <f t="shared" si="2"/>
        <v>6.6</v>
      </c>
      <c r="AI34" s="55">
        <f t="shared" si="3"/>
        <v>5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5</v>
      </c>
      <c r="C35" s="51">
        <v>5</v>
      </c>
      <c r="D35" s="51">
        <v>5</v>
      </c>
      <c r="E35" s="51">
        <v>5</v>
      </c>
      <c r="F35" s="51">
        <v>5</v>
      </c>
      <c r="G35" s="51">
        <v>5</v>
      </c>
      <c r="H35" s="51">
        <v>5</v>
      </c>
      <c r="I35" s="51">
        <v>5</v>
      </c>
      <c r="J35" s="51">
        <v>5</v>
      </c>
      <c r="K35" s="51">
        <v>5</v>
      </c>
      <c r="L35" s="51">
        <v>5</v>
      </c>
      <c r="M35" s="51">
        <v>5</v>
      </c>
      <c r="N35" s="51">
        <v>5</v>
      </c>
      <c r="O35" s="51">
        <v>5</v>
      </c>
      <c r="P35" s="51">
        <v>5</v>
      </c>
      <c r="Q35" s="51">
        <v>5</v>
      </c>
      <c r="R35" s="51">
        <v>5</v>
      </c>
      <c r="S35" s="51">
        <v>5</v>
      </c>
      <c r="T35" s="51">
        <v>5</v>
      </c>
      <c r="U35" s="51">
        <v>5</v>
      </c>
      <c r="V35" s="51">
        <v>5</v>
      </c>
      <c r="W35" s="51"/>
      <c r="X35" s="51">
        <v>5</v>
      </c>
      <c r="Y35" s="51">
        <v>5</v>
      </c>
      <c r="Z35" s="51">
        <v>5</v>
      </c>
      <c r="AA35" s="51">
        <v>5</v>
      </c>
      <c r="AB35" s="51">
        <v>5</v>
      </c>
      <c r="AC35" s="51">
        <v>5</v>
      </c>
      <c r="AD35" s="51">
        <v>5</v>
      </c>
      <c r="AE35" s="51">
        <v>5</v>
      </c>
      <c r="AF35" s="51">
        <v>5</v>
      </c>
      <c r="AG35" s="63">
        <v>15.33</v>
      </c>
      <c r="AH35" s="54">
        <f t="shared" si="2"/>
        <v>5</v>
      </c>
      <c r="AI35" s="55">
        <f t="shared" si="3"/>
        <v>5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/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110</v>
      </c>
      <c r="C37" s="65">
        <v>110</v>
      </c>
      <c r="D37" s="65">
        <v>106</v>
      </c>
      <c r="E37" s="65">
        <v>107</v>
      </c>
      <c r="F37" s="65">
        <f>54.3+43.3</f>
        <v>97.6</v>
      </c>
      <c r="G37" s="65">
        <f>56.4+42.7</f>
        <v>99.1</v>
      </c>
      <c r="H37" s="65">
        <f>57.7+40.8</f>
        <v>98.5</v>
      </c>
      <c r="I37" s="65">
        <f>56.6+37.9</f>
        <v>94.5</v>
      </c>
      <c r="J37" s="65">
        <f>55.9+38.4</f>
        <v>94.3</v>
      </c>
      <c r="K37" s="65">
        <f>55.3+40.9</f>
        <v>96.199999999999989</v>
      </c>
      <c r="L37" s="65">
        <f>49.5+39.3</f>
        <v>88.8</v>
      </c>
      <c r="M37" s="65">
        <v>86.5</v>
      </c>
      <c r="N37" s="65">
        <v>80.900000000000006</v>
      </c>
      <c r="O37" s="65">
        <v>90.1</v>
      </c>
      <c r="P37" s="65">
        <v>86.5</v>
      </c>
      <c r="Q37" s="65">
        <v>84.7</v>
      </c>
      <c r="R37" s="65">
        <v>87.1</v>
      </c>
      <c r="S37" s="67">
        <f>48.9+35</f>
        <v>83.9</v>
      </c>
      <c r="T37" s="67">
        <f>53.1+33.5</f>
        <v>86.6</v>
      </c>
      <c r="U37" s="67">
        <v>87.5</v>
      </c>
      <c r="V37" s="67">
        <f>49.4+33.2</f>
        <v>82.6</v>
      </c>
      <c r="W37" s="67"/>
      <c r="X37" s="67">
        <f>49.4+32.2</f>
        <v>81.599999999999994</v>
      </c>
      <c r="Y37" s="67">
        <f>49.2+33.2</f>
        <v>82.4</v>
      </c>
      <c r="Z37" s="67">
        <f>50.1+34.8</f>
        <v>84.9</v>
      </c>
      <c r="AA37" s="67">
        <v>77.699999999999989</v>
      </c>
      <c r="AB37" s="67">
        <f>49.3+26.8</f>
        <v>76.099999999999994</v>
      </c>
      <c r="AC37" s="67">
        <v>80</v>
      </c>
      <c r="AD37" s="67">
        <v>82</v>
      </c>
      <c r="AE37" s="67">
        <v>82</v>
      </c>
      <c r="AF37" s="67">
        <v>71</v>
      </c>
      <c r="AG37" s="63">
        <v>240</v>
      </c>
      <c r="AH37" s="54">
        <f t="shared" si="2"/>
        <v>110</v>
      </c>
      <c r="AI37" s="55">
        <f t="shared" si="3"/>
        <v>71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751.4</v>
      </c>
      <c r="C38" s="69">
        <f t="shared" si="4"/>
        <v>752</v>
      </c>
      <c r="D38" s="69">
        <f t="shared" si="4"/>
        <v>797</v>
      </c>
      <c r="E38" s="69">
        <f t="shared" si="4"/>
        <v>802.1</v>
      </c>
      <c r="F38" s="69">
        <f t="shared" si="4"/>
        <v>792.1</v>
      </c>
      <c r="G38" s="69">
        <f t="shared" si="4"/>
        <v>833.7</v>
      </c>
      <c r="H38" s="69">
        <f t="shared" si="4"/>
        <v>860.90000000000009</v>
      </c>
      <c r="I38" s="69">
        <f t="shared" si="4"/>
        <v>890.90000000000009</v>
      </c>
      <c r="J38" s="69">
        <f t="shared" si="4"/>
        <v>940.90000000000009</v>
      </c>
      <c r="K38" s="69">
        <f t="shared" si="4"/>
        <v>950.90000000000009</v>
      </c>
      <c r="L38" s="69">
        <f t="shared" si="4"/>
        <v>934.30000000000018</v>
      </c>
      <c r="M38" s="69">
        <f t="shared" si="4"/>
        <v>870.40000000000009</v>
      </c>
      <c r="N38" s="69">
        <f t="shared" si="4"/>
        <v>868.40000000000009</v>
      </c>
      <c r="O38" s="69">
        <f t="shared" si="4"/>
        <v>854.80000000000007</v>
      </c>
      <c r="P38" s="69">
        <f t="shared" si="4"/>
        <v>874.40000000000009</v>
      </c>
      <c r="Q38" s="69">
        <f t="shared" si="4"/>
        <v>864.40000000000009</v>
      </c>
      <c r="R38" s="69">
        <f t="shared" si="4"/>
        <v>881.20000000000016</v>
      </c>
      <c r="S38" s="69">
        <f t="shared" si="4"/>
        <v>887.20000000000016</v>
      </c>
      <c r="T38" s="69">
        <f t="shared" si="4"/>
        <v>853.80000000000007</v>
      </c>
      <c r="U38" s="69">
        <f t="shared" si="4"/>
        <v>811.3</v>
      </c>
      <c r="V38" s="69">
        <f t="shared" si="4"/>
        <v>771.3</v>
      </c>
      <c r="W38" s="69">
        <f t="shared" si="4"/>
        <v>0</v>
      </c>
      <c r="X38" s="69">
        <f t="shared" si="4"/>
        <v>751.30000000000007</v>
      </c>
      <c r="Y38" s="69">
        <f t="shared" si="4"/>
        <v>771.3</v>
      </c>
      <c r="Z38" s="69">
        <f t="shared" si="4"/>
        <v>801.3</v>
      </c>
      <c r="AA38" s="69">
        <f t="shared" si="4"/>
        <v>875.50000000000011</v>
      </c>
      <c r="AB38" s="69">
        <f t="shared" si="4"/>
        <v>905.00000000000011</v>
      </c>
      <c r="AC38" s="69">
        <f t="shared" si="4"/>
        <v>972.10000000000014</v>
      </c>
      <c r="AD38" s="69">
        <f t="shared" si="4"/>
        <v>982.10000000000014</v>
      </c>
      <c r="AE38" s="69">
        <f t="shared" si="4"/>
        <v>872.1</v>
      </c>
      <c r="AF38" s="69">
        <f t="shared" si="4"/>
        <v>832.1</v>
      </c>
      <c r="AG38" s="63">
        <f>SUM(AG11:AG37)</f>
        <v>1492.8299999999997</v>
      </c>
      <c r="AH38" s="54">
        <f t="shared" si="2"/>
        <v>982.10000000000014</v>
      </c>
      <c r="AI38" s="55">
        <f t="shared" si="3"/>
        <v>0</v>
      </c>
      <c r="AK38" s="56"/>
    </row>
    <row r="39" spans="1:88" x14ac:dyDescent="0.25">
      <c r="A39" s="57" t="s">
        <v>47</v>
      </c>
      <c r="B39" s="51">
        <v>138.5</v>
      </c>
      <c r="C39" s="51">
        <v>145.4</v>
      </c>
      <c r="D39" s="51">
        <v>145.4</v>
      </c>
      <c r="E39" s="51">
        <v>145.4</v>
      </c>
      <c r="F39" s="51">
        <v>121.3</v>
      </c>
      <c r="G39" s="51">
        <v>131.19999999999999</v>
      </c>
      <c r="H39" s="51">
        <v>145.1</v>
      </c>
      <c r="I39" s="51">
        <v>145.30000000000001</v>
      </c>
      <c r="J39" s="51">
        <v>145.30000000000001</v>
      </c>
      <c r="K39" s="51">
        <v>121.8</v>
      </c>
      <c r="L39" s="51">
        <v>121.1</v>
      </c>
      <c r="M39" s="51">
        <v>131.4</v>
      </c>
      <c r="N39" s="51">
        <v>131.30000000000001</v>
      </c>
      <c r="O39" s="51">
        <v>142.4</v>
      </c>
      <c r="P39" s="51">
        <v>145.5</v>
      </c>
      <c r="Q39" s="51">
        <v>145.5</v>
      </c>
      <c r="R39" s="51">
        <v>145.69999999999999</v>
      </c>
      <c r="S39" s="51">
        <v>145.5</v>
      </c>
      <c r="T39" s="51">
        <v>144.9</v>
      </c>
      <c r="U39" s="51">
        <v>145</v>
      </c>
      <c r="V39" s="51">
        <v>145</v>
      </c>
      <c r="W39" s="51"/>
      <c r="X39" s="51">
        <v>130</v>
      </c>
      <c r="Y39" s="51">
        <v>138.5</v>
      </c>
      <c r="Z39" s="51">
        <v>145.4</v>
      </c>
      <c r="AA39" s="51">
        <v>135</v>
      </c>
      <c r="AB39" s="51">
        <v>145</v>
      </c>
      <c r="AC39" s="51">
        <v>141</v>
      </c>
      <c r="AD39" s="51">
        <v>141</v>
      </c>
      <c r="AE39" s="51">
        <v>144</v>
      </c>
      <c r="AF39" s="51">
        <v>145</v>
      </c>
      <c r="AG39" s="59">
        <v>144</v>
      </c>
      <c r="AH39" s="54">
        <f t="shared" si="2"/>
        <v>145.69999999999999</v>
      </c>
      <c r="AI39" s="55">
        <f t="shared" si="3"/>
        <v>121.1</v>
      </c>
      <c r="AK39" s="56"/>
    </row>
    <row r="40" spans="1:88" x14ac:dyDescent="0.25">
      <c r="A40" s="62" t="s">
        <v>48</v>
      </c>
      <c r="B40" s="70">
        <v>0</v>
      </c>
      <c r="C40" s="70">
        <v>0</v>
      </c>
      <c r="D40" s="70">
        <v>0</v>
      </c>
      <c r="E40" s="70">
        <v>23.3</v>
      </c>
      <c r="F40" s="70">
        <v>22.2</v>
      </c>
      <c r="G40" s="70">
        <v>23.9</v>
      </c>
      <c r="H40" s="70">
        <v>25.1</v>
      </c>
      <c r="I40" s="70">
        <v>36.1</v>
      </c>
      <c r="J40" s="70">
        <v>46.7</v>
      </c>
      <c r="K40" s="70">
        <v>45.7</v>
      </c>
      <c r="L40" s="70">
        <v>71.599999999999994</v>
      </c>
      <c r="M40" s="51">
        <v>71.2</v>
      </c>
      <c r="N40" s="51">
        <v>70.5</v>
      </c>
      <c r="O40" s="51">
        <v>69</v>
      </c>
      <c r="P40" s="51">
        <v>71.3</v>
      </c>
      <c r="Q40" s="51">
        <v>71.599999999999994</v>
      </c>
      <c r="R40" s="51">
        <v>69.900000000000006</v>
      </c>
      <c r="S40" s="70">
        <v>69.099999999999994</v>
      </c>
      <c r="T40" s="70">
        <v>69.3</v>
      </c>
      <c r="U40" s="70">
        <v>70</v>
      </c>
      <c r="V40" s="70">
        <v>70</v>
      </c>
      <c r="W40" s="70"/>
      <c r="X40" s="70">
        <v>50</v>
      </c>
      <c r="Y40" s="70">
        <v>50</v>
      </c>
      <c r="Z40" s="70">
        <v>60</v>
      </c>
      <c r="AA40" s="70">
        <v>60</v>
      </c>
      <c r="AB40" s="70">
        <v>70.2</v>
      </c>
      <c r="AC40" s="70">
        <v>70</v>
      </c>
      <c r="AD40" s="70">
        <v>71</v>
      </c>
      <c r="AE40" s="70">
        <v>68</v>
      </c>
      <c r="AF40" s="70">
        <v>70.400000000000006</v>
      </c>
      <c r="AG40" s="63">
        <v>70</v>
      </c>
      <c r="AH40" s="54">
        <f t="shared" si="2"/>
        <v>71.599999999999994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51</v>
      </c>
      <c r="C41" s="70">
        <v>70</v>
      </c>
      <c r="D41" s="70">
        <v>70</v>
      </c>
      <c r="E41" s="70">
        <v>35.4</v>
      </c>
      <c r="F41" s="70">
        <v>35.6</v>
      </c>
      <c r="G41" s="70">
        <v>35.6</v>
      </c>
      <c r="H41" s="70">
        <v>35.9</v>
      </c>
      <c r="I41" s="70">
        <v>35.9</v>
      </c>
      <c r="J41" s="70">
        <v>35.5</v>
      </c>
      <c r="K41" s="70">
        <v>52.9</v>
      </c>
      <c r="L41" s="70">
        <v>52.4</v>
      </c>
      <c r="M41" s="51">
        <v>68.5</v>
      </c>
      <c r="N41" s="51">
        <v>69.099999999999994</v>
      </c>
      <c r="O41" s="51">
        <v>69.099999999999994</v>
      </c>
      <c r="P41" s="51">
        <v>69.599999999999994</v>
      </c>
      <c r="Q41" s="51">
        <v>68.400000000000006</v>
      </c>
      <c r="R41" s="51">
        <v>68.900000000000006</v>
      </c>
      <c r="S41" s="70">
        <v>69.599999999999994</v>
      </c>
      <c r="T41" s="70">
        <v>69.3</v>
      </c>
      <c r="U41" s="70">
        <v>69.2</v>
      </c>
      <c r="V41" s="70">
        <v>69.2</v>
      </c>
      <c r="W41" s="70"/>
      <c r="X41" s="70">
        <v>70.5</v>
      </c>
      <c r="Y41" s="70">
        <v>59.7</v>
      </c>
      <c r="Z41" s="70">
        <v>61.5</v>
      </c>
      <c r="AA41" s="70">
        <v>62.7</v>
      </c>
      <c r="AB41" s="70">
        <v>68.7</v>
      </c>
      <c r="AC41" s="70">
        <v>68.7</v>
      </c>
      <c r="AD41" s="70">
        <v>68.400000000000006</v>
      </c>
      <c r="AE41" s="70">
        <v>65</v>
      </c>
      <c r="AF41" s="70">
        <v>68</v>
      </c>
      <c r="AG41" s="63">
        <v>69</v>
      </c>
      <c r="AH41" s="54">
        <f t="shared" si="2"/>
        <v>70.5</v>
      </c>
      <c r="AI41" s="55">
        <f t="shared" si="3"/>
        <v>35.4</v>
      </c>
      <c r="AK41" s="56"/>
    </row>
    <row r="42" spans="1:88" x14ac:dyDescent="0.25">
      <c r="A42" s="62" t="s">
        <v>50</v>
      </c>
      <c r="B42" s="65">
        <v>61</v>
      </c>
      <c r="C42" s="65">
        <v>61</v>
      </c>
      <c r="D42" s="65">
        <v>61</v>
      </c>
      <c r="E42" s="65">
        <v>61</v>
      </c>
      <c r="F42" s="65">
        <v>61.2</v>
      </c>
      <c r="G42" s="65">
        <v>61.2</v>
      </c>
      <c r="H42" s="65">
        <v>39.5</v>
      </c>
      <c r="I42" s="65">
        <v>39.299999999999997</v>
      </c>
      <c r="J42" s="65">
        <v>39.5</v>
      </c>
      <c r="K42" s="65">
        <v>43.6</v>
      </c>
      <c r="L42" s="65">
        <v>62.5</v>
      </c>
      <c r="M42" s="51">
        <v>60.7</v>
      </c>
      <c r="N42" s="51">
        <v>60.7</v>
      </c>
      <c r="O42" s="51">
        <v>60.7</v>
      </c>
      <c r="P42" s="51">
        <v>60.7</v>
      </c>
      <c r="Q42" s="51">
        <v>60.7</v>
      </c>
      <c r="R42" s="51">
        <v>60.7</v>
      </c>
      <c r="S42" s="51">
        <v>60.7</v>
      </c>
      <c r="T42" s="51">
        <v>60.9</v>
      </c>
      <c r="U42" s="51">
        <v>61.2</v>
      </c>
      <c r="V42" s="51">
        <v>61.2</v>
      </c>
      <c r="W42" s="70"/>
      <c r="X42" s="70">
        <v>60.9</v>
      </c>
      <c r="Y42" s="70">
        <v>60.9</v>
      </c>
      <c r="Z42" s="70">
        <v>60.9</v>
      </c>
      <c r="AA42" s="70">
        <v>60.9</v>
      </c>
      <c r="AB42" s="70">
        <v>60.9</v>
      </c>
      <c r="AC42" s="65">
        <v>60.7</v>
      </c>
      <c r="AD42" s="65">
        <v>60.7</v>
      </c>
      <c r="AE42" s="65">
        <v>60.7</v>
      </c>
      <c r="AF42" s="65">
        <v>60.7</v>
      </c>
      <c r="AG42" s="63">
        <v>60</v>
      </c>
      <c r="AH42" s="54">
        <f t="shared" si="2"/>
        <v>62.5</v>
      </c>
      <c r="AI42" s="55">
        <f t="shared" si="3"/>
        <v>39.299999999999997</v>
      </c>
      <c r="AK42" s="56"/>
    </row>
    <row r="43" spans="1:88" x14ac:dyDescent="0.25">
      <c r="A43" s="62" t="s">
        <v>51</v>
      </c>
      <c r="B43" s="65">
        <v>10.7</v>
      </c>
      <c r="C43" s="65">
        <v>20</v>
      </c>
      <c r="D43" s="65">
        <v>20</v>
      </c>
      <c r="E43" s="65">
        <v>20</v>
      </c>
      <c r="F43" s="65">
        <v>29.4</v>
      </c>
      <c r="G43" s="65">
        <v>25</v>
      </c>
      <c r="H43" s="65">
        <v>25</v>
      </c>
      <c r="I43" s="65">
        <v>25</v>
      </c>
      <c r="J43" s="65">
        <v>25</v>
      </c>
      <c r="K43" s="65">
        <v>20</v>
      </c>
      <c r="L43" s="65">
        <v>16</v>
      </c>
      <c r="M43" s="65">
        <v>16</v>
      </c>
      <c r="N43" s="51">
        <v>16</v>
      </c>
      <c r="O43" s="51">
        <v>18.5</v>
      </c>
      <c r="P43" s="51">
        <v>19.600000000000001</v>
      </c>
      <c r="Q43" s="51">
        <v>19.5</v>
      </c>
      <c r="R43" s="51">
        <v>19.7</v>
      </c>
      <c r="S43" s="51">
        <v>20.7</v>
      </c>
      <c r="T43" s="51">
        <v>20</v>
      </c>
      <c r="U43" s="51">
        <v>20</v>
      </c>
      <c r="V43" s="51">
        <v>20</v>
      </c>
      <c r="W43" s="70"/>
      <c r="X43" s="70">
        <v>10.3</v>
      </c>
      <c r="Y43" s="70">
        <v>10.8</v>
      </c>
      <c r="Z43" s="70">
        <v>21</v>
      </c>
      <c r="AA43" s="70">
        <v>29</v>
      </c>
      <c r="AB43" s="70">
        <v>29</v>
      </c>
      <c r="AC43" s="70">
        <v>29</v>
      </c>
      <c r="AD43" s="70">
        <v>29</v>
      </c>
      <c r="AE43" s="70">
        <v>29</v>
      </c>
      <c r="AF43" s="65">
        <v>15</v>
      </c>
      <c r="AG43" s="63">
        <v>30</v>
      </c>
      <c r="AH43" s="54">
        <f t="shared" si="2"/>
        <v>29.4</v>
      </c>
      <c r="AI43" s="55">
        <f t="shared" si="3"/>
        <v>10.3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10</v>
      </c>
      <c r="N44" s="70">
        <v>10</v>
      </c>
      <c r="O44" s="70">
        <v>10</v>
      </c>
      <c r="P44" s="70">
        <v>10</v>
      </c>
      <c r="Q44" s="70">
        <v>10</v>
      </c>
      <c r="R44" s="70">
        <v>10</v>
      </c>
      <c r="S44" s="51">
        <v>10</v>
      </c>
      <c r="T44" s="51">
        <v>10</v>
      </c>
      <c r="U44" s="51">
        <v>10</v>
      </c>
      <c r="V44" s="51">
        <v>10</v>
      </c>
      <c r="W44" s="51"/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10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17.100000000000001</v>
      </c>
      <c r="C45" s="70">
        <v>17.100000000000001</v>
      </c>
      <c r="D45" s="70">
        <v>17.100000000000001</v>
      </c>
      <c r="E45" s="70">
        <v>17.100000000000001</v>
      </c>
      <c r="F45" s="70">
        <v>17.100000000000001</v>
      </c>
      <c r="G45" s="70">
        <v>17.100000000000001</v>
      </c>
      <c r="H45" s="70">
        <v>17.100000000000001</v>
      </c>
      <c r="I45" s="70">
        <v>17.100000000000001</v>
      </c>
      <c r="J45" s="70">
        <v>17.100000000000001</v>
      </c>
      <c r="K45" s="70">
        <v>17.100000000000001</v>
      </c>
      <c r="L45" s="70">
        <v>17.100000000000001</v>
      </c>
      <c r="M45" s="70">
        <v>14.8</v>
      </c>
      <c r="N45" s="51">
        <v>14.8</v>
      </c>
      <c r="O45" s="51">
        <v>14.8</v>
      </c>
      <c r="P45" s="51">
        <v>14.8</v>
      </c>
      <c r="Q45" s="51">
        <v>14.7</v>
      </c>
      <c r="R45" s="51">
        <v>14.7</v>
      </c>
      <c r="S45" s="51">
        <v>14.9</v>
      </c>
      <c r="T45" s="51">
        <v>14.9</v>
      </c>
      <c r="U45" s="51">
        <v>14.9</v>
      </c>
      <c r="V45" s="51">
        <v>14.9</v>
      </c>
      <c r="W45" s="51"/>
      <c r="X45" s="51">
        <v>10.5</v>
      </c>
      <c r="Y45" s="51">
        <v>10.5</v>
      </c>
      <c r="Z45" s="51">
        <v>14.5</v>
      </c>
      <c r="AA45" s="51">
        <v>14.5</v>
      </c>
      <c r="AB45" s="51">
        <v>14.5</v>
      </c>
      <c r="AC45" s="51">
        <v>14.5</v>
      </c>
      <c r="AD45" s="51">
        <v>14.5</v>
      </c>
      <c r="AE45" s="51">
        <v>14.5</v>
      </c>
      <c r="AF45" s="51">
        <v>14.5</v>
      </c>
      <c r="AG45" s="63">
        <v>24</v>
      </c>
      <c r="AH45" s="54">
        <f t="shared" si="2"/>
        <v>17.100000000000001</v>
      </c>
      <c r="AI45" s="55">
        <f t="shared" si="3"/>
        <v>10.5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51">
        <v>0</v>
      </c>
      <c r="T46" s="51">
        <v>0</v>
      </c>
      <c r="U46" s="51">
        <v>0</v>
      </c>
      <c r="V46" s="51">
        <v>0</v>
      </c>
      <c r="W46" s="51"/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</v>
      </c>
      <c r="C47" s="70">
        <v>13</v>
      </c>
      <c r="D47" s="70">
        <v>13</v>
      </c>
      <c r="E47" s="70">
        <v>13</v>
      </c>
      <c r="F47" s="70">
        <v>13</v>
      </c>
      <c r="G47" s="70">
        <v>13</v>
      </c>
      <c r="H47" s="70">
        <v>13</v>
      </c>
      <c r="I47" s="70">
        <v>13</v>
      </c>
      <c r="J47" s="70">
        <v>13</v>
      </c>
      <c r="K47" s="70">
        <v>13</v>
      </c>
      <c r="L47" s="70">
        <v>13</v>
      </c>
      <c r="M47" s="70">
        <v>13</v>
      </c>
      <c r="N47" s="70">
        <v>13</v>
      </c>
      <c r="O47" s="70">
        <v>13</v>
      </c>
      <c r="P47" s="70">
        <v>13</v>
      </c>
      <c r="Q47" s="70">
        <v>13</v>
      </c>
      <c r="R47" s="70">
        <v>13</v>
      </c>
      <c r="S47" s="51">
        <v>13</v>
      </c>
      <c r="T47" s="51">
        <v>13</v>
      </c>
      <c r="U47" s="51">
        <v>13</v>
      </c>
      <c r="V47" s="51">
        <v>13</v>
      </c>
      <c r="W47" s="51"/>
      <c r="X47" s="51">
        <v>13</v>
      </c>
      <c r="Y47" s="51">
        <v>13</v>
      </c>
      <c r="Z47" s="51">
        <v>13</v>
      </c>
      <c r="AA47" s="51">
        <v>13</v>
      </c>
      <c r="AB47" s="51">
        <v>13</v>
      </c>
      <c r="AC47" s="51">
        <v>13</v>
      </c>
      <c r="AD47" s="51">
        <v>13</v>
      </c>
      <c r="AE47" s="51">
        <v>13</v>
      </c>
      <c r="AF47" s="51">
        <v>13</v>
      </c>
      <c r="AG47" s="63">
        <v>14.1</v>
      </c>
      <c r="AH47" s="54">
        <f t="shared" si="2"/>
        <v>13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12.2</v>
      </c>
      <c r="C48" s="70">
        <v>12.2</v>
      </c>
      <c r="D48" s="70">
        <v>12.2</v>
      </c>
      <c r="E48" s="70">
        <v>12.2</v>
      </c>
      <c r="F48" s="70">
        <v>12.2</v>
      </c>
      <c r="G48" s="70">
        <v>12.2</v>
      </c>
      <c r="H48" s="70">
        <v>12.2</v>
      </c>
      <c r="I48" s="70">
        <v>12.2</v>
      </c>
      <c r="J48" s="70">
        <v>12.2</v>
      </c>
      <c r="K48" s="70">
        <v>12.2</v>
      </c>
      <c r="L48" s="70">
        <v>12.2</v>
      </c>
      <c r="M48" s="70">
        <v>12.2</v>
      </c>
      <c r="N48" s="70">
        <v>12.2</v>
      </c>
      <c r="O48" s="70">
        <v>12.2</v>
      </c>
      <c r="P48" s="70">
        <v>12.2</v>
      </c>
      <c r="Q48" s="70">
        <v>12.2</v>
      </c>
      <c r="R48" s="70">
        <v>12.2</v>
      </c>
      <c r="S48" s="51">
        <v>12.7</v>
      </c>
      <c r="T48" s="51">
        <v>12.5</v>
      </c>
      <c r="U48" s="51">
        <v>12.5</v>
      </c>
      <c r="V48" s="51">
        <v>12.5</v>
      </c>
      <c r="W48" s="51"/>
      <c r="X48" s="51">
        <v>13.4</v>
      </c>
      <c r="Y48" s="51">
        <v>13.4</v>
      </c>
      <c r="Z48" s="51">
        <v>13.4</v>
      </c>
      <c r="AA48" s="51">
        <v>13.4</v>
      </c>
      <c r="AB48" s="51">
        <v>13.4</v>
      </c>
      <c r="AC48" s="51">
        <v>13.4</v>
      </c>
      <c r="AD48" s="51">
        <v>13.4</v>
      </c>
      <c r="AE48" s="51">
        <v>13.4</v>
      </c>
      <c r="AF48" s="51">
        <v>13.4</v>
      </c>
      <c r="AG48" s="63">
        <v>14</v>
      </c>
      <c r="AH48" s="54">
        <f t="shared" si="2"/>
        <v>13.4</v>
      </c>
      <c r="AI48" s="55">
        <f t="shared" si="3"/>
        <v>12.2</v>
      </c>
      <c r="AK48" s="56"/>
    </row>
    <row r="49" spans="1:37" x14ac:dyDescent="0.25">
      <c r="A49" s="62" t="s">
        <v>57</v>
      </c>
      <c r="B49" s="70">
        <v>6</v>
      </c>
      <c r="C49" s="70">
        <v>6</v>
      </c>
      <c r="D49" s="70">
        <v>6</v>
      </c>
      <c r="E49" s="70">
        <v>6</v>
      </c>
      <c r="F49" s="70">
        <v>6</v>
      </c>
      <c r="G49" s="70">
        <v>6</v>
      </c>
      <c r="H49" s="70">
        <v>6</v>
      </c>
      <c r="I49" s="70">
        <v>6</v>
      </c>
      <c r="J49" s="70">
        <v>6</v>
      </c>
      <c r="K49" s="70">
        <v>6</v>
      </c>
      <c r="L49" s="70">
        <v>6</v>
      </c>
      <c r="M49" s="70">
        <v>6</v>
      </c>
      <c r="N49" s="70">
        <v>6</v>
      </c>
      <c r="O49" s="70">
        <v>6</v>
      </c>
      <c r="P49" s="70">
        <v>6</v>
      </c>
      <c r="Q49" s="70">
        <v>6</v>
      </c>
      <c r="R49" s="70">
        <v>6</v>
      </c>
      <c r="S49" s="51">
        <v>6</v>
      </c>
      <c r="T49" s="51">
        <v>6</v>
      </c>
      <c r="U49" s="51">
        <v>6</v>
      </c>
      <c r="V49" s="51">
        <v>6</v>
      </c>
      <c r="W49" s="51"/>
      <c r="X49" s="51">
        <v>6</v>
      </c>
      <c r="Y49" s="51">
        <v>6</v>
      </c>
      <c r="Z49" s="51">
        <v>6</v>
      </c>
      <c r="AA49" s="51">
        <v>6</v>
      </c>
      <c r="AB49" s="51">
        <v>6</v>
      </c>
      <c r="AC49" s="51">
        <v>6</v>
      </c>
      <c r="AD49" s="51">
        <v>6</v>
      </c>
      <c r="AE49" s="51">
        <v>6</v>
      </c>
      <c r="AF49" s="51">
        <v>6</v>
      </c>
      <c r="AG49" s="63">
        <v>10.050000000000001</v>
      </c>
      <c r="AH49" s="54">
        <f t="shared" si="2"/>
        <v>6</v>
      </c>
      <c r="AI49" s="55">
        <f t="shared" si="3"/>
        <v>6</v>
      </c>
      <c r="AK49" s="56"/>
    </row>
    <row r="50" spans="1:37" x14ac:dyDescent="0.25">
      <c r="A50" s="62" t="s">
        <v>58</v>
      </c>
      <c r="B50" s="70">
        <v>4.0999999999999996</v>
      </c>
      <c r="C50" s="70">
        <v>4.0999999999999996</v>
      </c>
      <c r="D50" s="70">
        <v>4.0999999999999996</v>
      </c>
      <c r="E50" s="70">
        <v>4.0999999999999996</v>
      </c>
      <c r="F50" s="70">
        <v>4.0999999999999996</v>
      </c>
      <c r="G50" s="70">
        <v>4.0999999999999996</v>
      </c>
      <c r="H50" s="70">
        <v>4.0999999999999996</v>
      </c>
      <c r="I50" s="70">
        <v>4.0999999999999996</v>
      </c>
      <c r="J50" s="70">
        <v>4.0999999999999996</v>
      </c>
      <c r="K50" s="70">
        <v>4.0999999999999996</v>
      </c>
      <c r="L50" s="70">
        <v>4.0999999999999996</v>
      </c>
      <c r="M50" s="70">
        <v>4.0999999999999996</v>
      </c>
      <c r="N50" s="70">
        <v>4.0999999999999996</v>
      </c>
      <c r="O50" s="70">
        <v>4.0999999999999996</v>
      </c>
      <c r="P50" s="70">
        <v>4.0999999999999996</v>
      </c>
      <c r="Q50" s="70">
        <v>4.0999999999999996</v>
      </c>
      <c r="R50" s="70">
        <v>4.0999999999999996</v>
      </c>
      <c r="S50" s="51">
        <v>4.0999999999999996</v>
      </c>
      <c r="T50" s="51">
        <v>4.0999999999999996</v>
      </c>
      <c r="U50" s="51">
        <v>4.0999999999999996</v>
      </c>
      <c r="V50" s="51">
        <v>4.0999999999999996</v>
      </c>
      <c r="W50" s="51"/>
      <c r="X50" s="51">
        <v>4.0999999999999996</v>
      </c>
      <c r="Y50" s="51">
        <v>4.0999999999999996</v>
      </c>
      <c r="Z50" s="51">
        <v>4.0999999999999996</v>
      </c>
      <c r="AA50" s="51">
        <v>4.0999999999999996</v>
      </c>
      <c r="AB50" s="51">
        <v>4.0999999999999996</v>
      </c>
      <c r="AC50" s="51">
        <v>4.0999999999999996</v>
      </c>
      <c r="AD50" s="51">
        <v>4.0999999999999996</v>
      </c>
      <c r="AE50" s="51">
        <v>4.0999999999999996</v>
      </c>
      <c r="AF50" s="51">
        <v>4.0999999999999996</v>
      </c>
      <c r="AG50" s="63">
        <v>6.2</v>
      </c>
      <c r="AH50" s="54">
        <f t="shared" si="2"/>
        <v>4.0999999999999996</v>
      </c>
      <c r="AI50" s="55">
        <f t="shared" si="3"/>
        <v>4.0999999999999996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317.14000000000004</v>
      </c>
      <c r="C52" s="69">
        <f t="shared" si="6"/>
        <v>352.34000000000003</v>
      </c>
      <c r="D52" s="69">
        <f t="shared" si="6"/>
        <v>352.34000000000003</v>
      </c>
      <c r="E52" s="69">
        <f t="shared" si="6"/>
        <v>341.04000000000008</v>
      </c>
      <c r="F52" s="69">
        <f t="shared" si="6"/>
        <v>325.64000000000004</v>
      </c>
      <c r="G52" s="69">
        <f t="shared" si="6"/>
        <v>332.84000000000003</v>
      </c>
      <c r="H52" s="69">
        <f t="shared" si="6"/>
        <v>326.54000000000008</v>
      </c>
      <c r="I52" s="69">
        <f t="shared" si="6"/>
        <v>337.54000000000008</v>
      </c>
      <c r="J52" s="69">
        <f t="shared" si="6"/>
        <v>347.94000000000005</v>
      </c>
      <c r="K52" s="69">
        <f t="shared" si="6"/>
        <v>339.94000000000005</v>
      </c>
      <c r="L52" s="69">
        <f t="shared" si="6"/>
        <v>379.54000000000008</v>
      </c>
      <c r="M52" s="69">
        <f t="shared" si="6"/>
        <v>411.44000000000005</v>
      </c>
      <c r="N52" s="69">
        <f t="shared" si="6"/>
        <v>411.24</v>
      </c>
      <c r="O52" s="69">
        <f t="shared" si="6"/>
        <v>423.34000000000003</v>
      </c>
      <c r="P52" s="69">
        <f t="shared" si="6"/>
        <v>430.34000000000003</v>
      </c>
      <c r="Q52" s="69">
        <f t="shared" si="6"/>
        <v>429.24</v>
      </c>
      <c r="R52" s="69">
        <f t="shared" si="6"/>
        <v>428.44</v>
      </c>
      <c r="S52" s="69">
        <f t="shared" si="6"/>
        <v>429.84</v>
      </c>
      <c r="T52" s="69">
        <f t="shared" si="6"/>
        <v>428.44</v>
      </c>
      <c r="U52" s="69">
        <f t="shared" si="6"/>
        <v>429.44</v>
      </c>
      <c r="V52" s="69">
        <f t="shared" si="6"/>
        <v>429.44</v>
      </c>
      <c r="W52" s="69">
        <f t="shared" si="6"/>
        <v>3.54</v>
      </c>
      <c r="X52" s="69">
        <f>SUM(X39:X51)</f>
        <v>372.24</v>
      </c>
      <c r="Y52" s="69">
        <f t="shared" si="6"/>
        <v>370.44</v>
      </c>
      <c r="Z52" s="69">
        <f t="shared" si="6"/>
        <v>403.34</v>
      </c>
      <c r="AA52" s="69">
        <f t="shared" si="6"/>
        <v>402.14</v>
      </c>
      <c r="AB52" s="69">
        <f t="shared" si="6"/>
        <v>428.34</v>
      </c>
      <c r="AC52" s="69">
        <f t="shared" si="6"/>
        <v>423.94</v>
      </c>
      <c r="AD52" s="69">
        <f t="shared" si="6"/>
        <v>424.64</v>
      </c>
      <c r="AE52" s="69">
        <f t="shared" si="6"/>
        <v>421.24</v>
      </c>
      <c r="AF52" s="69">
        <f t="shared" si="6"/>
        <v>413.64</v>
      </c>
      <c r="AG52" s="74">
        <f>SUM(AG39:AG51)</f>
        <v>489.91</v>
      </c>
      <c r="AH52" s="54">
        <f t="shared" si="2"/>
        <v>430.34000000000003</v>
      </c>
      <c r="AI52" s="55">
        <f t="shared" si="3"/>
        <v>3.54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10</v>
      </c>
      <c r="P53" s="51">
        <v>10</v>
      </c>
      <c r="Q53" s="51">
        <v>12</v>
      </c>
      <c r="R53" s="51">
        <v>14.8</v>
      </c>
      <c r="S53" s="51">
        <v>20</v>
      </c>
      <c r="T53" s="51">
        <v>40</v>
      </c>
      <c r="U53" s="51">
        <v>40</v>
      </c>
      <c r="V53" s="51">
        <v>40</v>
      </c>
      <c r="W53" s="51"/>
      <c r="X53" s="51">
        <v>40</v>
      </c>
      <c r="Y53" s="51">
        <v>40</v>
      </c>
      <c r="Z53" s="51">
        <v>40</v>
      </c>
      <c r="AA53" s="51">
        <v>53.8</v>
      </c>
      <c r="AB53" s="51">
        <v>59.1</v>
      </c>
      <c r="AC53" s="51">
        <v>30</v>
      </c>
      <c r="AD53" s="51">
        <v>30</v>
      </c>
      <c r="AE53" s="51">
        <v>30</v>
      </c>
      <c r="AF53" s="51">
        <v>30</v>
      </c>
      <c r="AG53" s="59">
        <v>60</v>
      </c>
      <c r="AH53" s="54">
        <f t="shared" si="2"/>
        <v>59.1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4.0999999999999996</v>
      </c>
      <c r="Q54" s="70">
        <v>4.9000000000000004</v>
      </c>
      <c r="R54" s="70">
        <v>7.2</v>
      </c>
      <c r="S54" s="70">
        <v>6.3</v>
      </c>
      <c r="T54" s="70">
        <v>18.5</v>
      </c>
      <c r="U54" s="70">
        <v>19</v>
      </c>
      <c r="V54" s="70">
        <v>17.399999999999999</v>
      </c>
      <c r="W54" s="70"/>
      <c r="X54" s="70">
        <v>17.399999999999999</v>
      </c>
      <c r="Y54" s="70">
        <v>17.399999999999999</v>
      </c>
      <c r="Z54" s="70">
        <v>17.399999999999999</v>
      </c>
      <c r="AA54" s="70">
        <v>26.4</v>
      </c>
      <c r="AB54" s="70">
        <v>29.6</v>
      </c>
      <c r="AC54" s="70">
        <v>18.7</v>
      </c>
      <c r="AD54" s="70">
        <v>15</v>
      </c>
      <c r="AE54" s="70">
        <v>15</v>
      </c>
      <c r="AF54" s="70">
        <v>15</v>
      </c>
      <c r="AG54" s="63">
        <v>32</v>
      </c>
      <c r="AH54" s="54">
        <f t="shared" si="2"/>
        <v>29.6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1.5</v>
      </c>
      <c r="Q55" s="75">
        <v>1.8</v>
      </c>
      <c r="R55" s="75">
        <v>2.6</v>
      </c>
      <c r="S55" s="75">
        <v>2.2999999999999998</v>
      </c>
      <c r="T55" s="75">
        <v>6.8</v>
      </c>
      <c r="U55" s="75">
        <v>6.9</v>
      </c>
      <c r="V55" s="75">
        <v>6.4</v>
      </c>
      <c r="W55" s="75"/>
      <c r="X55" s="75">
        <v>6.4</v>
      </c>
      <c r="Y55" s="75">
        <v>6.8</v>
      </c>
      <c r="Z55" s="75">
        <v>6.8</v>
      </c>
      <c r="AA55" s="75">
        <v>9.6999999999999993</v>
      </c>
      <c r="AB55" s="75">
        <v>10.9</v>
      </c>
      <c r="AC55" s="75">
        <v>6.7</v>
      </c>
      <c r="AD55" s="75">
        <v>6</v>
      </c>
      <c r="AE55" s="75">
        <v>6</v>
      </c>
      <c r="AF55" s="75">
        <v>6</v>
      </c>
      <c r="AG55" s="76">
        <v>14</v>
      </c>
      <c r="AH55" s="54">
        <f t="shared" si="2"/>
        <v>10.9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0</v>
      </c>
      <c r="C56" s="69">
        <f t="shared" si="7"/>
        <v>0</v>
      </c>
      <c r="D56" s="69">
        <f t="shared" si="7"/>
        <v>0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0</v>
      </c>
      <c r="N56" s="69">
        <f t="shared" si="7"/>
        <v>0</v>
      </c>
      <c r="O56" s="69">
        <f t="shared" si="7"/>
        <v>10</v>
      </c>
      <c r="P56" s="69">
        <f t="shared" si="7"/>
        <v>15.6</v>
      </c>
      <c r="Q56" s="69">
        <f t="shared" si="7"/>
        <v>18.7</v>
      </c>
      <c r="R56" s="69">
        <f t="shared" si="7"/>
        <v>24.6</v>
      </c>
      <c r="S56" s="69">
        <f t="shared" si="7"/>
        <v>28.6</v>
      </c>
      <c r="T56" s="69">
        <f t="shared" si="7"/>
        <v>65.3</v>
      </c>
      <c r="U56" s="69">
        <f t="shared" si="7"/>
        <v>65.900000000000006</v>
      </c>
      <c r="V56" s="69">
        <f t="shared" si="7"/>
        <v>63.8</v>
      </c>
      <c r="W56" s="69">
        <f t="shared" si="7"/>
        <v>0</v>
      </c>
      <c r="X56" s="69">
        <f t="shared" si="7"/>
        <v>63.8</v>
      </c>
      <c r="Y56" s="69">
        <f t="shared" si="7"/>
        <v>64.2</v>
      </c>
      <c r="Z56" s="69">
        <f t="shared" si="7"/>
        <v>64.2</v>
      </c>
      <c r="AA56" s="69">
        <f t="shared" si="7"/>
        <v>89.899999999999991</v>
      </c>
      <c r="AB56" s="69">
        <f t="shared" si="7"/>
        <v>99.600000000000009</v>
      </c>
      <c r="AC56" s="69">
        <f t="shared" si="7"/>
        <v>55.400000000000006</v>
      </c>
      <c r="AD56" s="69">
        <f t="shared" si="7"/>
        <v>51</v>
      </c>
      <c r="AE56" s="69">
        <f t="shared" si="7"/>
        <v>51</v>
      </c>
      <c r="AF56" s="69">
        <f t="shared" si="7"/>
        <v>51</v>
      </c>
      <c r="AG56" s="74">
        <f>SUM(AG53:AG55)</f>
        <v>106</v>
      </c>
      <c r="AH56" s="54">
        <f t="shared" si="2"/>
        <v>99.600000000000009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38</v>
      </c>
      <c r="C57" s="51">
        <v>32</v>
      </c>
      <c r="D57" s="51">
        <v>28</v>
      </c>
      <c r="E57" s="51">
        <v>36.78</v>
      </c>
      <c r="F57" s="51">
        <v>26.69</v>
      </c>
      <c r="G57" s="51">
        <v>2</v>
      </c>
      <c r="H57" s="51">
        <v>1.41</v>
      </c>
      <c r="I57" s="51">
        <v>1.96</v>
      </c>
      <c r="J57" s="51">
        <v>3.85</v>
      </c>
      <c r="K57" s="51">
        <v>11.66</v>
      </c>
      <c r="L57" s="51">
        <v>15.89</v>
      </c>
      <c r="M57" s="51">
        <v>18.57</v>
      </c>
      <c r="N57" s="51">
        <v>22.1</v>
      </c>
      <c r="O57" s="51">
        <v>55.27</v>
      </c>
      <c r="P57" s="51">
        <v>58</v>
      </c>
      <c r="Q57" s="51">
        <v>58.3</v>
      </c>
      <c r="R57" s="51">
        <v>64.239999999999995</v>
      </c>
      <c r="S57" s="51">
        <v>67</v>
      </c>
      <c r="T57" s="51">
        <v>66</v>
      </c>
      <c r="U57" s="51">
        <v>63</v>
      </c>
      <c r="V57" s="51">
        <v>50.6</v>
      </c>
      <c r="W57" s="51"/>
      <c r="X57" s="51">
        <v>53.2</v>
      </c>
      <c r="Y57" s="51">
        <v>44.2</v>
      </c>
      <c r="Z57" s="51">
        <v>63</v>
      </c>
      <c r="AA57" s="51">
        <v>73.599999999999994</v>
      </c>
      <c r="AB57" s="51">
        <v>43</v>
      </c>
      <c r="AC57" s="51">
        <v>48</v>
      </c>
      <c r="AD57" s="51">
        <v>53</v>
      </c>
      <c r="AE57" s="51">
        <v>54</v>
      </c>
      <c r="AF57" s="51">
        <v>62</v>
      </c>
      <c r="AG57" s="59"/>
      <c r="AH57" s="54">
        <f t="shared" si="2"/>
        <v>73.599999999999994</v>
      </c>
      <c r="AI57" s="55">
        <f t="shared" si="3"/>
        <v>1.41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/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-65.3</v>
      </c>
      <c r="C59" s="70">
        <v>-97</v>
      </c>
      <c r="D59" s="70">
        <v>-76</v>
      </c>
      <c r="E59" s="70">
        <v>-78</v>
      </c>
      <c r="F59" s="70">
        <v>-88.9</v>
      </c>
      <c r="G59" s="70">
        <v>-111</v>
      </c>
      <c r="H59" s="70">
        <v>-117</v>
      </c>
      <c r="I59" s="70">
        <v>-118</v>
      </c>
      <c r="J59" s="70">
        <v>-106.4</v>
      </c>
      <c r="K59" s="70">
        <v>-160</v>
      </c>
      <c r="L59" s="70">
        <v>-126.3</v>
      </c>
      <c r="M59" s="70">
        <v>-79.099999999999994</v>
      </c>
      <c r="N59" s="70">
        <v>-48</v>
      </c>
      <c r="O59" s="70">
        <v>51.5</v>
      </c>
      <c r="P59" s="70">
        <v>60.5</v>
      </c>
      <c r="Q59" s="70">
        <v>72.599999999999994</v>
      </c>
      <c r="R59" s="70">
        <v>79</v>
      </c>
      <c r="S59" s="70">
        <v>86.5</v>
      </c>
      <c r="T59" s="70">
        <v>78</v>
      </c>
      <c r="U59" s="70">
        <v>83</v>
      </c>
      <c r="V59" s="70">
        <v>100</v>
      </c>
      <c r="W59" s="70"/>
      <c r="X59" s="70">
        <v>90</v>
      </c>
      <c r="Y59" s="70">
        <v>100</v>
      </c>
      <c r="Z59" s="70">
        <v>109</v>
      </c>
      <c r="AA59" s="70">
        <v>95.6</v>
      </c>
      <c r="AB59" s="70">
        <v>64</v>
      </c>
      <c r="AC59" s="70">
        <v>30</v>
      </c>
      <c r="AD59" s="70">
        <v>25</v>
      </c>
      <c r="AE59" s="70">
        <v>33</v>
      </c>
      <c r="AF59" s="70">
        <v>47</v>
      </c>
      <c r="AG59" s="77"/>
      <c r="AH59" s="54">
        <f t="shared" si="2"/>
        <v>109</v>
      </c>
      <c r="AI59" s="55">
        <f t="shared" si="3"/>
        <v>-160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15</v>
      </c>
      <c r="R60" s="78">
        <v>15</v>
      </c>
      <c r="S60" s="78">
        <v>15</v>
      </c>
      <c r="T60" s="78">
        <v>26</v>
      </c>
      <c r="U60" s="78">
        <v>23</v>
      </c>
      <c r="V60" s="78">
        <v>25</v>
      </c>
      <c r="W60" s="78"/>
      <c r="X60" s="78">
        <v>25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26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/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5</v>
      </c>
      <c r="D62" s="79">
        <v>5</v>
      </c>
      <c r="E62" s="79">
        <v>5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/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/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/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/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/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/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-19.299999999999997</v>
      </c>
      <c r="C68" s="69">
        <f t="shared" si="8"/>
        <v>-60</v>
      </c>
      <c r="D68" s="69">
        <f t="shared" si="8"/>
        <v>-43</v>
      </c>
      <c r="E68" s="69">
        <f t="shared" si="8"/>
        <v>-36.22</v>
      </c>
      <c r="F68" s="69">
        <f t="shared" si="8"/>
        <v>-62.210000000000008</v>
      </c>
      <c r="G68" s="69">
        <f t="shared" si="8"/>
        <v>-109</v>
      </c>
      <c r="H68" s="69">
        <f t="shared" si="8"/>
        <v>-115.59</v>
      </c>
      <c r="I68" s="69">
        <f t="shared" si="8"/>
        <v>-116.04</v>
      </c>
      <c r="J68" s="69">
        <f t="shared" si="8"/>
        <v>-102.55000000000001</v>
      </c>
      <c r="K68" s="69">
        <f t="shared" si="8"/>
        <v>-148.34</v>
      </c>
      <c r="L68" s="69">
        <f t="shared" si="8"/>
        <v>-110.41</v>
      </c>
      <c r="M68" s="69">
        <f t="shared" si="8"/>
        <v>-60.529999999999994</v>
      </c>
      <c r="N68" s="69">
        <f t="shared" si="8"/>
        <v>-25.9</v>
      </c>
      <c r="O68" s="69">
        <f t="shared" si="8"/>
        <v>106.77000000000001</v>
      </c>
      <c r="P68" s="69">
        <f t="shared" si="8"/>
        <v>118.5</v>
      </c>
      <c r="Q68" s="69">
        <f t="shared" si="8"/>
        <v>145.89999999999998</v>
      </c>
      <c r="R68" s="69">
        <f t="shared" si="8"/>
        <v>158.24</v>
      </c>
      <c r="S68" s="69">
        <f t="shared" si="8"/>
        <v>168.5</v>
      </c>
      <c r="T68" s="69">
        <f t="shared" si="8"/>
        <v>170</v>
      </c>
      <c r="U68" s="69">
        <f t="shared" si="8"/>
        <v>169</v>
      </c>
      <c r="V68" s="69">
        <f>SUM(V57:V67)</f>
        <v>175.6</v>
      </c>
      <c r="W68" s="69">
        <f t="shared" si="8"/>
        <v>0</v>
      </c>
      <c r="X68" s="69">
        <f t="shared" si="8"/>
        <v>176.2</v>
      </c>
      <c r="Y68" s="69">
        <f t="shared" si="8"/>
        <v>152.19999999999999</v>
      </c>
      <c r="Z68" s="69">
        <f t="shared" si="8"/>
        <v>180</v>
      </c>
      <c r="AA68" s="69">
        <f t="shared" si="8"/>
        <v>177.2</v>
      </c>
      <c r="AB68" s="69">
        <f t="shared" si="8"/>
        <v>115</v>
      </c>
      <c r="AC68" s="69">
        <f t="shared" si="8"/>
        <v>86</v>
      </c>
      <c r="AD68" s="69">
        <f t="shared" si="8"/>
        <v>86</v>
      </c>
      <c r="AE68" s="69">
        <f t="shared" si="8"/>
        <v>95</v>
      </c>
      <c r="AF68" s="69">
        <f t="shared" si="8"/>
        <v>117</v>
      </c>
      <c r="AG68" s="74">
        <f>SUM(AG57:AG67)</f>
        <v>0</v>
      </c>
      <c r="AH68" s="54">
        <f t="shared" si="2"/>
        <v>180</v>
      </c>
      <c r="AI68" s="55">
        <f t="shared" si="3"/>
        <v>-148.34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>
        <v>80</v>
      </c>
      <c r="L74" s="86">
        <v>50</v>
      </c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80</v>
      </c>
      <c r="AI74" s="55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1049.24</v>
      </c>
      <c r="C75" s="84">
        <f t="shared" si="10"/>
        <v>1044.3400000000001</v>
      </c>
      <c r="D75" s="84">
        <f t="shared" si="10"/>
        <v>1106.3400000000001</v>
      </c>
      <c r="E75" s="84">
        <f t="shared" si="10"/>
        <v>1106.92</v>
      </c>
      <c r="F75" s="84">
        <f t="shared" si="10"/>
        <v>1055.5300000000002</v>
      </c>
      <c r="G75" s="84">
        <f t="shared" si="10"/>
        <v>1057.54</v>
      </c>
      <c r="H75" s="84">
        <f t="shared" si="10"/>
        <v>1071.8500000000001</v>
      </c>
      <c r="I75" s="84">
        <f t="shared" si="10"/>
        <v>1112.4000000000001</v>
      </c>
      <c r="J75" s="84">
        <f t="shared" si="10"/>
        <v>1186.2900000000002</v>
      </c>
      <c r="K75" s="84">
        <f t="shared" si="10"/>
        <v>1222.5000000000002</v>
      </c>
      <c r="L75" s="84">
        <f t="shared" si="10"/>
        <v>1253.4300000000003</v>
      </c>
      <c r="M75" s="84">
        <f t="shared" si="10"/>
        <v>1221.3100000000002</v>
      </c>
      <c r="N75" s="84">
        <f t="shared" si="10"/>
        <v>1253.7400000000002</v>
      </c>
      <c r="O75" s="84">
        <f t="shared" si="10"/>
        <v>1394.91</v>
      </c>
      <c r="P75" s="84">
        <f t="shared" si="10"/>
        <v>1438.8400000000001</v>
      </c>
      <c r="Q75" s="84">
        <f t="shared" si="10"/>
        <v>1458.24</v>
      </c>
      <c r="R75" s="84">
        <f t="shared" si="10"/>
        <v>1492.48</v>
      </c>
      <c r="S75" s="84">
        <f t="shared" si="10"/>
        <v>1514.14</v>
      </c>
      <c r="T75" s="84">
        <f t="shared" si="10"/>
        <v>1517.54</v>
      </c>
      <c r="U75" s="84">
        <f t="shared" si="10"/>
        <v>1475.6399999999999</v>
      </c>
      <c r="V75" s="84">
        <f t="shared" si="10"/>
        <v>1440.1399999999999</v>
      </c>
      <c r="W75" s="84">
        <f t="shared" si="10"/>
        <v>3.54</v>
      </c>
      <c r="X75" s="84">
        <f t="shared" si="10"/>
        <v>1363.54</v>
      </c>
      <c r="Y75" s="84">
        <f t="shared" si="10"/>
        <v>1358.1399999999999</v>
      </c>
      <c r="Z75" s="84">
        <f t="shared" si="10"/>
        <v>1448.84</v>
      </c>
      <c r="AA75" s="84">
        <f t="shared" si="10"/>
        <v>1544.7400000000002</v>
      </c>
      <c r="AB75" s="84">
        <f t="shared" si="10"/>
        <v>1547.94</v>
      </c>
      <c r="AC75" s="84">
        <f t="shared" si="10"/>
        <v>1537.44</v>
      </c>
      <c r="AD75" s="84">
        <f t="shared" si="10"/>
        <v>1543.7400000000002</v>
      </c>
      <c r="AE75" s="84">
        <f t="shared" si="10"/>
        <v>1439.3400000000001</v>
      </c>
      <c r="AF75" s="84">
        <f t="shared" si="10"/>
        <v>1413.74</v>
      </c>
      <c r="AG75" s="74">
        <f>AG72+AG68+AG56+AG52+AG38+AG74</f>
        <v>2144.14</v>
      </c>
      <c r="AH75" s="54">
        <f t="shared" si="2"/>
        <v>1547.94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2251.13</v>
      </c>
      <c r="C83" s="69">
        <f t="shared" si="14"/>
        <v>2246.23</v>
      </c>
      <c r="D83" s="69">
        <f t="shared" si="14"/>
        <v>2308.23</v>
      </c>
      <c r="E83" s="69">
        <f t="shared" si="14"/>
        <v>2308.81</v>
      </c>
      <c r="F83" s="69">
        <f t="shared" si="14"/>
        <v>2257.42</v>
      </c>
      <c r="G83" s="69">
        <f t="shared" si="14"/>
        <v>2259.4299999999998</v>
      </c>
      <c r="H83" s="69">
        <f t="shared" si="14"/>
        <v>2273.7399999999998</v>
      </c>
      <c r="I83" s="69">
        <f t="shared" si="14"/>
        <v>2314.29</v>
      </c>
      <c r="J83" s="69">
        <f t="shared" si="14"/>
        <v>2388.1800000000003</v>
      </c>
      <c r="K83" s="69">
        <f t="shared" si="14"/>
        <v>2504.3900000000003</v>
      </c>
      <c r="L83" s="69">
        <f t="shared" si="14"/>
        <v>2505.3200000000002</v>
      </c>
      <c r="M83" s="69">
        <f t="shared" si="14"/>
        <v>2423.1999999999998</v>
      </c>
      <c r="N83" s="69">
        <f t="shared" si="14"/>
        <v>2455.63</v>
      </c>
      <c r="O83" s="69">
        <f t="shared" si="14"/>
        <v>2596.8000000000002</v>
      </c>
      <c r="P83" s="69">
        <f t="shared" si="14"/>
        <v>2640.73</v>
      </c>
      <c r="Q83" s="69">
        <f t="shared" si="14"/>
        <v>2660.13</v>
      </c>
      <c r="R83" s="69">
        <f t="shared" si="14"/>
        <v>2694.37</v>
      </c>
      <c r="S83" s="69">
        <f t="shared" si="14"/>
        <v>2716.0299999999997</v>
      </c>
      <c r="T83" s="69">
        <f t="shared" si="14"/>
        <v>2719.43</v>
      </c>
      <c r="U83" s="69">
        <f t="shared" si="14"/>
        <v>2677.5299999999997</v>
      </c>
      <c r="V83" s="69">
        <f t="shared" si="14"/>
        <v>2642.0299999999997</v>
      </c>
      <c r="W83" s="69">
        <f t="shared" si="14"/>
        <v>1205.4299999999998</v>
      </c>
      <c r="X83" s="69">
        <f t="shared" si="14"/>
        <v>2565.4299999999998</v>
      </c>
      <c r="Y83" s="69">
        <f t="shared" si="14"/>
        <v>2560.0299999999997</v>
      </c>
      <c r="Z83" s="69">
        <f t="shared" si="14"/>
        <v>2650.7299999999996</v>
      </c>
      <c r="AA83" s="69">
        <f t="shared" si="14"/>
        <v>2746.63</v>
      </c>
      <c r="AB83" s="69">
        <f t="shared" si="14"/>
        <v>2749.83</v>
      </c>
      <c r="AC83" s="69">
        <f t="shared" si="14"/>
        <v>2739.33</v>
      </c>
      <c r="AD83" s="69">
        <f t="shared" si="14"/>
        <v>2745.63</v>
      </c>
      <c r="AE83" s="69">
        <f t="shared" si="14"/>
        <v>2641.23</v>
      </c>
      <c r="AF83" s="69">
        <f t="shared" si="14"/>
        <v>2615.63</v>
      </c>
      <c r="AG83" s="74">
        <f t="shared" si="14"/>
        <v>4360.08</v>
      </c>
      <c r="AH83" s="54">
        <f t="shared" si="11"/>
        <v>2749.83</v>
      </c>
      <c r="AI83" s="55">
        <f t="shared" si="12"/>
        <v>1205.4299999999998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50.026000000000003</v>
      </c>
      <c r="C84" s="90">
        <v>50.01</v>
      </c>
      <c r="D84" s="90">
        <v>50.017000000000003</v>
      </c>
      <c r="E84" s="90">
        <v>49.926000000000002</v>
      </c>
      <c r="F84" s="90">
        <v>49.957000000000001</v>
      </c>
      <c r="G84" s="90">
        <v>49.841000000000001</v>
      </c>
      <c r="H84" s="90">
        <v>49.762999999999998</v>
      </c>
      <c r="I84" s="90">
        <v>49.904000000000003</v>
      </c>
      <c r="J84" s="90">
        <v>50</v>
      </c>
      <c r="K84" s="90">
        <v>50.082000000000001</v>
      </c>
      <c r="L84" s="90">
        <v>50.033000000000001</v>
      </c>
      <c r="M84" s="90">
        <v>50.02</v>
      </c>
      <c r="N84" s="90">
        <v>50.006999999999998</v>
      </c>
      <c r="O84" s="90">
        <v>49.99</v>
      </c>
      <c r="P84" s="90">
        <v>49.976999999999997</v>
      </c>
      <c r="Q84" s="90">
        <v>49.993000000000002</v>
      </c>
      <c r="R84" s="90">
        <v>50.027000000000001</v>
      </c>
      <c r="S84" s="90">
        <v>50.029000000000003</v>
      </c>
      <c r="T84" s="90">
        <v>49.978999999999999</v>
      </c>
      <c r="U84" s="90">
        <v>50</v>
      </c>
      <c r="V84" s="90">
        <v>50.01</v>
      </c>
      <c r="W84" s="90"/>
      <c r="X84" s="90">
        <v>50.095999999999997</v>
      </c>
      <c r="Y84" s="90">
        <v>50.042999999999999</v>
      </c>
      <c r="Z84" s="90">
        <v>50.027000000000001</v>
      </c>
      <c r="AA84" s="90">
        <v>49.945</v>
      </c>
      <c r="AB84" s="90">
        <v>50.03</v>
      </c>
      <c r="AC84" s="90">
        <v>50</v>
      </c>
      <c r="AD84" s="90">
        <v>49.962000000000003</v>
      </c>
      <c r="AE84" s="90">
        <v>50</v>
      </c>
      <c r="AF84" s="90">
        <v>49.862000000000002</v>
      </c>
      <c r="AG84" s="91"/>
      <c r="AH84" s="54">
        <f t="shared" si="11"/>
        <v>50.095999999999997</v>
      </c>
      <c r="AI84" s="55">
        <f t="shared" si="12"/>
        <v>49.762999999999998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126.1</v>
      </c>
      <c r="C85" s="70">
        <v>125.3</v>
      </c>
      <c r="D85" s="70">
        <v>127</v>
      </c>
      <c r="E85" s="70">
        <v>126.5</v>
      </c>
      <c r="F85" s="70">
        <v>126.2</v>
      </c>
      <c r="G85" s="70">
        <v>126.6</v>
      </c>
      <c r="H85" s="70">
        <v>126</v>
      </c>
      <c r="I85" s="70">
        <v>125.5</v>
      </c>
      <c r="J85" s="70">
        <v>124.7</v>
      </c>
      <c r="K85" s="70">
        <v>124.6</v>
      </c>
      <c r="L85" s="70">
        <v>123.9</v>
      </c>
      <c r="M85" s="70">
        <v>123.2</v>
      </c>
      <c r="N85" s="70">
        <v>120.3</v>
      </c>
      <c r="O85" s="70">
        <v>120</v>
      </c>
      <c r="P85" s="70">
        <v>121.7</v>
      </c>
      <c r="Q85" s="70">
        <v>120.7</v>
      </c>
      <c r="R85" s="70">
        <v>121.3</v>
      </c>
      <c r="S85" s="70">
        <v>121.1</v>
      </c>
      <c r="T85" s="70">
        <v>122.4</v>
      </c>
      <c r="U85" s="70">
        <v>122</v>
      </c>
      <c r="V85" s="70">
        <v>122</v>
      </c>
      <c r="W85" s="70"/>
      <c r="X85" s="70">
        <v>124.6</v>
      </c>
      <c r="Y85" s="70">
        <v>124.6</v>
      </c>
      <c r="Z85" s="70">
        <v>122.2</v>
      </c>
      <c r="AA85" s="70">
        <v>121.3</v>
      </c>
      <c r="AB85" s="70">
        <v>123.7</v>
      </c>
      <c r="AC85" s="70">
        <v>123.5</v>
      </c>
      <c r="AD85" s="70">
        <v>121</v>
      </c>
      <c r="AE85" s="70">
        <v>122</v>
      </c>
      <c r="AF85" s="70">
        <v>125</v>
      </c>
      <c r="AG85" s="93"/>
      <c r="AH85" s="54">
        <f t="shared" si="11"/>
        <v>127</v>
      </c>
      <c r="AI85" s="55">
        <f t="shared" si="12"/>
        <v>120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130.9</v>
      </c>
      <c r="C86" s="70">
        <v>130.19999999999999</v>
      </c>
      <c r="D86" s="70">
        <v>132</v>
      </c>
      <c r="E86" s="70">
        <v>131.5</v>
      </c>
      <c r="F86" s="70">
        <v>131.30000000000001</v>
      </c>
      <c r="G86" s="70">
        <v>131.19999999999999</v>
      </c>
      <c r="H86" s="70">
        <v>130.4</v>
      </c>
      <c r="I86" s="70">
        <v>129.69999999999999</v>
      </c>
      <c r="J86" s="70">
        <v>129.19999999999999</v>
      </c>
      <c r="K86" s="70">
        <v>128.5</v>
      </c>
      <c r="L86" s="70">
        <v>127.9</v>
      </c>
      <c r="M86" s="70">
        <v>127.2</v>
      </c>
      <c r="N86" s="70">
        <v>125.3</v>
      </c>
      <c r="O86" s="70">
        <v>125</v>
      </c>
      <c r="P86" s="70">
        <v>126.3</v>
      </c>
      <c r="Q86" s="70">
        <v>125.3</v>
      </c>
      <c r="R86" s="70">
        <v>125.3</v>
      </c>
      <c r="S86" s="70">
        <v>126.2</v>
      </c>
      <c r="T86" s="70">
        <v>127.3</v>
      </c>
      <c r="U86" s="70">
        <v>127</v>
      </c>
      <c r="V86" s="70">
        <v>127</v>
      </c>
      <c r="W86" s="70"/>
      <c r="X86" s="70">
        <v>128.9</v>
      </c>
      <c r="Y86" s="70">
        <v>128.9</v>
      </c>
      <c r="Z86" s="70">
        <v>126.5</v>
      </c>
      <c r="AA86" s="70">
        <v>125.6</v>
      </c>
      <c r="AB86" s="70">
        <v>127.7</v>
      </c>
      <c r="AC86" s="70">
        <v>128</v>
      </c>
      <c r="AD86" s="70">
        <v>126</v>
      </c>
      <c r="AE86" s="70">
        <v>128</v>
      </c>
      <c r="AF86" s="70">
        <v>130</v>
      </c>
      <c r="AG86" s="93"/>
      <c r="AH86" s="54">
        <f t="shared" si="11"/>
        <v>132</v>
      </c>
      <c r="AI86" s="55">
        <f t="shared" si="12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0</v>
      </c>
      <c r="C87" s="70">
        <v>128.30000000000001</v>
      </c>
      <c r="D87" s="70">
        <v>130</v>
      </c>
      <c r="E87" s="70">
        <v>128.6</v>
      </c>
      <c r="F87" s="70">
        <v>128.80000000000001</v>
      </c>
      <c r="G87" s="70">
        <v>128.6</v>
      </c>
      <c r="H87" s="70">
        <v>128.9</v>
      </c>
      <c r="I87" s="70">
        <v>128.5</v>
      </c>
      <c r="J87" s="70">
        <v>127.1</v>
      </c>
      <c r="K87" s="70">
        <v>129.19999999999999</v>
      </c>
      <c r="L87" s="70">
        <v>126.8</v>
      </c>
      <c r="M87" s="70">
        <v>124.4</v>
      </c>
      <c r="N87" s="70">
        <v>124.1</v>
      </c>
      <c r="O87" s="70">
        <v>124.3</v>
      </c>
      <c r="P87" s="70">
        <v>126.8</v>
      </c>
      <c r="Q87" s="70">
        <v>128.4</v>
      </c>
      <c r="R87" s="70">
        <v>127.3</v>
      </c>
      <c r="S87" s="70">
        <v>126.3</v>
      </c>
      <c r="T87" s="70">
        <v>125.5</v>
      </c>
      <c r="U87" s="70">
        <v>124</v>
      </c>
      <c r="V87" s="70">
        <v>124</v>
      </c>
      <c r="W87" s="70"/>
      <c r="X87" s="70">
        <v>130.19999999999999</v>
      </c>
      <c r="Y87" s="70">
        <v>130.19999999999999</v>
      </c>
      <c r="Z87" s="70">
        <v>126.5</v>
      </c>
      <c r="AA87" s="70">
        <v>126.3</v>
      </c>
      <c r="AB87" s="70">
        <v>128.80000000000001</v>
      </c>
      <c r="AC87" s="70">
        <v>129</v>
      </c>
      <c r="AD87" s="70">
        <v>129</v>
      </c>
      <c r="AE87" s="70">
        <v>125</v>
      </c>
      <c r="AF87" s="70">
        <v>128</v>
      </c>
      <c r="AG87" s="93"/>
      <c r="AH87" s="54">
        <f t="shared" si="11"/>
        <v>130.19999999999999</v>
      </c>
      <c r="AI87" s="55">
        <f t="shared" si="12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133.19999999999999</v>
      </c>
      <c r="C88" s="70">
        <v>130.9</v>
      </c>
      <c r="D88" s="70">
        <v>132.4</v>
      </c>
      <c r="E88" s="70">
        <v>131.4</v>
      </c>
      <c r="F88" s="70">
        <v>131.69999999999999</v>
      </c>
      <c r="G88" s="70">
        <v>131.6</v>
      </c>
      <c r="H88" s="70">
        <v>131.4</v>
      </c>
      <c r="I88" s="70">
        <v>130.80000000000001</v>
      </c>
      <c r="J88" s="70">
        <v>129.30000000000001</v>
      </c>
      <c r="K88" s="70">
        <v>131.80000000000001</v>
      </c>
      <c r="L88" s="70">
        <v>128.80000000000001</v>
      </c>
      <c r="M88" s="70">
        <v>129.1</v>
      </c>
      <c r="N88" s="70">
        <v>127.7</v>
      </c>
      <c r="O88" s="70">
        <v>128.19999999999999</v>
      </c>
      <c r="P88" s="70">
        <v>130.19999999999999</v>
      </c>
      <c r="Q88" s="70">
        <v>130.6</v>
      </c>
      <c r="R88" s="70">
        <v>130.30000000000001</v>
      </c>
      <c r="S88" s="70">
        <v>128.6</v>
      </c>
      <c r="T88" s="70">
        <v>126</v>
      </c>
      <c r="U88" s="70">
        <v>125</v>
      </c>
      <c r="V88" s="70">
        <v>125</v>
      </c>
      <c r="W88" s="70"/>
      <c r="X88" s="70">
        <v>130.9</v>
      </c>
      <c r="Y88" s="70">
        <v>130.9</v>
      </c>
      <c r="Z88" s="70">
        <v>128.9</v>
      </c>
      <c r="AA88" s="70">
        <v>129.30000000000001</v>
      </c>
      <c r="AB88" s="70">
        <v>132.4</v>
      </c>
      <c r="AC88" s="70">
        <v>132</v>
      </c>
      <c r="AD88" s="70">
        <v>133</v>
      </c>
      <c r="AE88" s="70">
        <v>128</v>
      </c>
      <c r="AF88" s="70">
        <v>130</v>
      </c>
      <c r="AG88" s="93"/>
      <c r="AH88" s="54">
        <f t="shared" si="11"/>
        <v>133.19999999999999</v>
      </c>
      <c r="AI88" s="55">
        <f t="shared" si="12"/>
        <v>125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134</v>
      </c>
      <c r="C89" s="95">
        <v>132.1</v>
      </c>
      <c r="D89" s="95">
        <v>134.6</v>
      </c>
      <c r="E89" s="95">
        <v>128.5</v>
      </c>
      <c r="F89" s="95">
        <v>132.4</v>
      </c>
      <c r="G89" s="95">
        <v>131.1</v>
      </c>
      <c r="H89" s="95">
        <v>136.4</v>
      </c>
      <c r="I89" s="95">
        <v>134.19999999999999</v>
      </c>
      <c r="J89" s="95">
        <v>133.6</v>
      </c>
      <c r="K89" s="95">
        <v>134.1</v>
      </c>
      <c r="L89" s="95">
        <v>133.9</v>
      </c>
      <c r="M89" s="95">
        <v>134.5</v>
      </c>
      <c r="N89" s="95">
        <v>131.19999999999999</v>
      </c>
      <c r="O89" s="95">
        <v>131.19999999999999</v>
      </c>
      <c r="P89" s="95">
        <v>129.69999999999999</v>
      </c>
      <c r="Q89" s="95">
        <v>131.9</v>
      </c>
      <c r="R89" s="95">
        <v>131.4</v>
      </c>
      <c r="S89" s="95">
        <v>136.4</v>
      </c>
      <c r="T89" s="95">
        <v>133</v>
      </c>
      <c r="U89" s="95">
        <v>131</v>
      </c>
      <c r="V89" s="95">
        <v>131</v>
      </c>
      <c r="W89" s="95"/>
      <c r="X89" s="95">
        <v>132.19999999999999</v>
      </c>
      <c r="Y89" s="95">
        <v>132.19999999999999</v>
      </c>
      <c r="Z89" s="95">
        <v>133.1</v>
      </c>
      <c r="AA89" s="95">
        <v>136</v>
      </c>
      <c r="AB89" s="95">
        <v>133.30000000000001</v>
      </c>
      <c r="AC89" s="95">
        <v>133</v>
      </c>
      <c r="AD89" s="95">
        <v>131</v>
      </c>
      <c r="AE89" s="95">
        <v>131</v>
      </c>
      <c r="AF89" s="95">
        <v>131</v>
      </c>
      <c r="AG89" s="96"/>
      <c r="AH89" s="54">
        <f t="shared" si="11"/>
        <v>136.4</v>
      </c>
      <c r="AI89" s="55">
        <f t="shared" si="12"/>
        <v>128.5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132.6</v>
      </c>
      <c r="C90" s="70">
        <v>127</v>
      </c>
      <c r="D90" s="70">
        <v>130.69999999999999</v>
      </c>
      <c r="E90" s="70">
        <v>120.4</v>
      </c>
      <c r="F90" s="70">
        <v>125.4</v>
      </c>
      <c r="G90" s="70">
        <v>125.2</v>
      </c>
      <c r="H90" s="70">
        <v>133.1</v>
      </c>
      <c r="I90" s="70">
        <v>132.69999999999999</v>
      </c>
      <c r="J90" s="70">
        <v>132.30000000000001</v>
      </c>
      <c r="K90" s="70">
        <v>130.19999999999999</v>
      </c>
      <c r="L90" s="70">
        <v>127.5</v>
      </c>
      <c r="M90" s="70">
        <v>132.6</v>
      </c>
      <c r="N90" s="70">
        <v>125.2</v>
      </c>
      <c r="O90" s="70">
        <v>132</v>
      </c>
      <c r="P90" s="70">
        <v>124.7</v>
      </c>
      <c r="Q90" s="70">
        <v>126.2</v>
      </c>
      <c r="R90" s="70">
        <v>127.4</v>
      </c>
      <c r="S90" s="70">
        <v>132.9</v>
      </c>
      <c r="T90" s="70">
        <v>125.6</v>
      </c>
      <c r="U90" s="70">
        <v>128</v>
      </c>
      <c r="V90" s="70">
        <v>128</v>
      </c>
      <c r="W90" s="70"/>
      <c r="X90" s="70">
        <v>132.69999999999999</v>
      </c>
      <c r="Y90" s="70">
        <v>132.69999999999999</v>
      </c>
      <c r="Z90" s="70">
        <v>125.9</v>
      </c>
      <c r="AA90" s="70">
        <v>132.9</v>
      </c>
      <c r="AB90" s="70">
        <v>133.9</v>
      </c>
      <c r="AC90" s="70">
        <v>130</v>
      </c>
      <c r="AD90" s="70">
        <v>129</v>
      </c>
      <c r="AE90" s="70">
        <v>129</v>
      </c>
      <c r="AF90" s="70">
        <v>129</v>
      </c>
      <c r="AG90" s="93"/>
      <c r="AH90" s="54">
        <f t="shared" si="11"/>
        <v>133.9</v>
      </c>
      <c r="AI90" s="55">
        <f t="shared" si="12"/>
        <v>120.4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65.900000000000006</v>
      </c>
      <c r="C91" s="97">
        <v>65.8</v>
      </c>
      <c r="D91" s="97">
        <v>66.400000000000006</v>
      </c>
      <c r="E91" s="97">
        <v>66.2</v>
      </c>
      <c r="F91" s="97">
        <v>66</v>
      </c>
      <c r="G91" s="97">
        <v>66.2</v>
      </c>
      <c r="H91" s="97">
        <v>65.7</v>
      </c>
      <c r="I91" s="97">
        <v>65.5</v>
      </c>
      <c r="J91" s="97">
        <v>64.8</v>
      </c>
      <c r="K91" s="97">
        <v>64.599999999999994</v>
      </c>
      <c r="L91" s="97">
        <v>64</v>
      </c>
      <c r="M91" s="97">
        <v>63.4</v>
      </c>
      <c r="N91" s="97">
        <v>62.4</v>
      </c>
      <c r="O91" s="97">
        <v>63.1</v>
      </c>
      <c r="P91" s="97">
        <v>62.8</v>
      </c>
      <c r="Q91" s="97">
        <v>62.5</v>
      </c>
      <c r="R91" s="97">
        <v>62.6</v>
      </c>
      <c r="S91" s="97">
        <v>63.1</v>
      </c>
      <c r="T91" s="97">
        <v>63.6</v>
      </c>
      <c r="U91" s="97">
        <v>63.5</v>
      </c>
      <c r="V91" s="97">
        <v>63.5</v>
      </c>
      <c r="W91" s="97"/>
      <c r="X91" s="97">
        <v>64.599999999999994</v>
      </c>
      <c r="Y91" s="97">
        <v>64.599999999999994</v>
      </c>
      <c r="Z91" s="97">
        <v>63.8</v>
      </c>
      <c r="AA91" s="97">
        <v>63.2</v>
      </c>
      <c r="AB91" s="97">
        <v>64</v>
      </c>
      <c r="AC91" s="97">
        <v>64.400000000000006</v>
      </c>
      <c r="AD91" s="97">
        <v>63.6</v>
      </c>
      <c r="AE91" s="97">
        <v>63.6</v>
      </c>
      <c r="AF91" s="97">
        <v>65.5</v>
      </c>
      <c r="AG91" s="98"/>
      <c r="AH91" s="54">
        <f t="shared" si="11"/>
        <v>66.400000000000006</v>
      </c>
      <c r="AI91" s="55">
        <f t="shared" si="12"/>
        <v>62.4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140.93999999999997</v>
      </c>
      <c r="C93" s="103">
        <f t="shared" si="15"/>
        <v>133.93999999999994</v>
      </c>
      <c r="D93" s="103">
        <f t="shared" si="15"/>
        <v>134.53999999999996</v>
      </c>
      <c r="E93" s="103">
        <f t="shared" si="15"/>
        <v>140.53999999999996</v>
      </c>
      <c r="F93" s="103">
        <f t="shared" si="15"/>
        <v>142.24</v>
      </c>
      <c r="G93" s="103">
        <f t="shared" si="15"/>
        <v>260.94000000000005</v>
      </c>
      <c r="H93" s="103">
        <f t="shared" si="15"/>
        <v>190.43999999999997</v>
      </c>
      <c r="I93" s="103">
        <f t="shared" si="15"/>
        <v>213.64</v>
      </c>
      <c r="J93" s="103">
        <f t="shared" si="15"/>
        <v>247.83999999999997</v>
      </c>
      <c r="K93" s="103">
        <f t="shared" si="15"/>
        <v>269.24</v>
      </c>
      <c r="L93" s="103">
        <f t="shared" si="15"/>
        <v>292.54000000000002</v>
      </c>
      <c r="M93" s="103">
        <f t="shared" si="15"/>
        <v>295.94000000000005</v>
      </c>
      <c r="N93" s="103">
        <f t="shared" si="15"/>
        <v>283.94000000000005</v>
      </c>
      <c r="O93" s="103">
        <f t="shared" si="15"/>
        <v>302.04000000000008</v>
      </c>
      <c r="P93" s="103">
        <f t="shared" si="15"/>
        <v>313.34000000000003</v>
      </c>
      <c r="Q93" s="103">
        <f t="shared" si="15"/>
        <v>301.04000000000008</v>
      </c>
      <c r="R93" s="103">
        <f t="shared" si="15"/>
        <v>299.44</v>
      </c>
      <c r="S93" s="103">
        <f t="shared" si="15"/>
        <v>304.53999999999996</v>
      </c>
      <c r="T93" s="103">
        <f t="shared" si="15"/>
        <v>314.84000000000003</v>
      </c>
      <c r="U93" s="103">
        <f t="shared" si="15"/>
        <v>313.94000000000005</v>
      </c>
      <c r="V93" s="103">
        <f t="shared" si="15"/>
        <v>313.94000000000005</v>
      </c>
      <c r="W93" s="103">
        <f>SUM(W15,W18,W21:W22,W42,W44:W45,W47,W49,W94:W97,W103,W109,W115,W124,W126,W138,W145,W148:W149,W156,W158,W160,W164:W166,W168:W170,W175,W181:W182,W184:W186,W194,W199)</f>
        <v>34.840000000000003</v>
      </c>
      <c r="X93" s="103">
        <f>SUM(X15,X18,X21:X22,X42,X44:X45,X47,X49,X94:X97,X103,X109,X115,X124,X126,X138,X145,X148:X149,X156,X158,X160,X164:X166,X168:X170,X175,X181:X182,X184:X186,X194,X199)</f>
        <v>281.34000000000003</v>
      </c>
      <c r="Y93" s="103">
        <f t="shared" si="15"/>
        <v>297.54000000000008</v>
      </c>
      <c r="Z93" s="103">
        <f t="shared" si="15"/>
        <v>339.54</v>
      </c>
      <c r="AA93" s="103">
        <f t="shared" si="15"/>
        <v>374.74</v>
      </c>
      <c r="AB93" s="103">
        <f t="shared" si="15"/>
        <v>354.84000000000003</v>
      </c>
      <c r="AC93" s="103">
        <f t="shared" si="15"/>
        <v>328.54</v>
      </c>
      <c r="AD93" s="103">
        <f t="shared" si="15"/>
        <v>300.44000000000005</v>
      </c>
      <c r="AE93" s="103">
        <f t="shared" si="15"/>
        <v>237.03999999999996</v>
      </c>
      <c r="AF93" s="103">
        <f t="shared" si="15"/>
        <v>195.93999999999997</v>
      </c>
      <c r="AG93" s="104"/>
      <c r="AH93" s="54">
        <f>MAX(C93:AF93)</f>
        <v>374.74</v>
      </c>
      <c r="AI93" s="55">
        <f>MIN(C93:AF93)</f>
        <v>34.840000000000003</v>
      </c>
    </row>
    <row r="94" spans="1:88" x14ac:dyDescent="0.25">
      <c r="A94" s="105" t="s">
        <v>99</v>
      </c>
      <c r="B94" s="106">
        <v>-1</v>
      </c>
      <c r="C94" s="106">
        <v>-2.8</v>
      </c>
      <c r="D94" s="106">
        <v>3.4</v>
      </c>
      <c r="E94" s="106">
        <v>12.7</v>
      </c>
      <c r="F94" s="106">
        <v>26.3</v>
      </c>
      <c r="G94" s="106">
        <v>13.6</v>
      </c>
      <c r="H94" s="106">
        <v>23.4</v>
      </c>
      <c r="I94" s="106">
        <v>25.1</v>
      </c>
      <c r="J94" s="106">
        <v>24.9</v>
      </c>
      <c r="K94" s="106">
        <v>50.5</v>
      </c>
      <c r="L94" s="106">
        <v>53.9</v>
      </c>
      <c r="M94" s="106">
        <v>58.7</v>
      </c>
      <c r="N94" s="106">
        <v>48.8</v>
      </c>
      <c r="O94" s="106">
        <v>53.6</v>
      </c>
      <c r="P94" s="106">
        <v>30.7</v>
      </c>
      <c r="Q94" s="106">
        <v>37.799999999999997</v>
      </c>
      <c r="R94" s="106">
        <v>26.4</v>
      </c>
      <c r="S94" s="106">
        <v>30.2</v>
      </c>
      <c r="T94" s="106">
        <v>38.799999999999997</v>
      </c>
      <c r="U94" s="106">
        <v>53</v>
      </c>
      <c r="V94" s="106">
        <v>53</v>
      </c>
      <c r="W94" s="106"/>
      <c r="X94" s="106">
        <v>88.5</v>
      </c>
      <c r="Y94" s="106">
        <v>71.7</v>
      </c>
      <c r="Z94" s="106">
        <v>82</v>
      </c>
      <c r="AA94" s="106">
        <v>84.1</v>
      </c>
      <c r="AB94" s="106">
        <v>80.7</v>
      </c>
      <c r="AC94" s="106">
        <v>66.900000000000006</v>
      </c>
      <c r="AD94" s="106">
        <v>53</v>
      </c>
      <c r="AE94" s="106">
        <v>111</v>
      </c>
      <c r="AF94" s="106">
        <v>79</v>
      </c>
      <c r="AG94" s="107">
        <v>75</v>
      </c>
      <c r="AH94" s="54">
        <f t="shared" ref="AH94:AH100" si="16">IF(ABS(MAX(C94:AF94))&gt;ABS(MIN(C94:AF94)),MAX(C94:AF94),MIN(C94:AF94))</f>
        <v>111</v>
      </c>
      <c r="AI94" s="108">
        <f t="shared" ref="AI94:AI100" si="17">INDEX($C$9:$AF$9,1,MATCH(AH94,C94:AF94,0))</f>
        <v>0.91666666666666696</v>
      </c>
    </row>
    <row r="95" spans="1:88" x14ac:dyDescent="0.25">
      <c r="A95" s="109" t="s">
        <v>100</v>
      </c>
      <c r="B95" s="110">
        <f>-25.7-27.5</f>
        <v>-53.2</v>
      </c>
      <c r="C95" s="110">
        <v>-52</v>
      </c>
      <c r="D95" s="110">
        <v>-63</v>
      </c>
      <c r="E95" s="110">
        <f>-51.4-55.7</f>
        <v>-107.1</v>
      </c>
      <c r="F95" s="110">
        <f>-52.6-57.1</f>
        <v>-109.7</v>
      </c>
      <c r="G95" s="110">
        <f>-46.9+50.8</f>
        <v>3.8999999999999986</v>
      </c>
      <c r="H95" s="110">
        <v>-76</v>
      </c>
      <c r="I95" s="110">
        <v>-64</v>
      </c>
      <c r="J95" s="110">
        <v>-56</v>
      </c>
      <c r="K95" s="110">
        <v>-50</v>
      </c>
      <c r="L95" s="110">
        <v>-53</v>
      </c>
      <c r="M95" s="110">
        <v>-51.2</v>
      </c>
      <c r="N95" s="110">
        <v>-59.9</v>
      </c>
      <c r="O95" s="110">
        <v>-53.7</v>
      </c>
      <c r="P95" s="110">
        <v>-50.2</v>
      </c>
      <c r="Q95" s="110">
        <v>-51.1</v>
      </c>
      <c r="R95" s="110">
        <v>-51.5</v>
      </c>
      <c r="S95" s="110">
        <v>-55.2</v>
      </c>
      <c r="T95" s="110">
        <v>-51.2</v>
      </c>
      <c r="U95" s="110">
        <v>-48</v>
      </c>
      <c r="V95" s="110">
        <v>-48</v>
      </c>
      <c r="W95" s="110"/>
      <c r="X95" s="110">
        <v>-80</v>
      </c>
      <c r="Y95" s="110">
        <v>-61</v>
      </c>
      <c r="Z95" s="110">
        <v>-65</v>
      </c>
      <c r="AA95" s="110">
        <v>-45</v>
      </c>
      <c r="AB95" s="110">
        <f>-20.5-32.9</f>
        <v>-53.4</v>
      </c>
      <c r="AC95" s="110">
        <v>-48</v>
      </c>
      <c r="AD95" s="110">
        <v>-61</v>
      </c>
      <c r="AE95" s="110">
        <v>-122</v>
      </c>
      <c r="AF95" s="110">
        <v>-116</v>
      </c>
      <c r="AG95" s="107">
        <v>240</v>
      </c>
      <c r="AH95" s="54">
        <f t="shared" si="16"/>
        <v>-122</v>
      </c>
      <c r="AI95" s="108">
        <f t="shared" si="17"/>
        <v>0.91666666666666696</v>
      </c>
    </row>
    <row r="96" spans="1:88" x14ac:dyDescent="0.25">
      <c r="A96" s="109" t="s">
        <v>101</v>
      </c>
      <c r="B96" s="110">
        <v>5.6</v>
      </c>
      <c r="C96" s="110">
        <v>4.7</v>
      </c>
      <c r="D96" s="110">
        <v>5.9</v>
      </c>
      <c r="E96" s="110">
        <v>-0.3</v>
      </c>
      <c r="F96" s="110">
        <v>0</v>
      </c>
      <c r="G96" s="110">
        <v>2</v>
      </c>
      <c r="H96" s="110">
        <v>7.1</v>
      </c>
      <c r="I96" s="110">
        <v>9.8000000000000007</v>
      </c>
      <c r="J96" s="110">
        <v>14</v>
      </c>
      <c r="K96" s="110">
        <v>14</v>
      </c>
      <c r="L96" s="110">
        <v>12.7</v>
      </c>
      <c r="M96" s="110">
        <v>13.2</v>
      </c>
      <c r="N96" s="110">
        <v>12.8</v>
      </c>
      <c r="O96" s="110">
        <v>20.3</v>
      </c>
      <c r="P96" s="110">
        <v>22.7</v>
      </c>
      <c r="Q96" s="110">
        <v>21.8</v>
      </c>
      <c r="R96" s="110">
        <v>19.5</v>
      </c>
      <c r="S96" s="110">
        <v>23.6</v>
      </c>
      <c r="T96" s="110">
        <v>36.1</v>
      </c>
      <c r="U96" s="110">
        <v>34</v>
      </c>
      <c r="V96" s="110">
        <v>34</v>
      </c>
      <c r="W96" s="110"/>
      <c r="X96" s="110">
        <v>34.1</v>
      </c>
      <c r="Y96" s="110">
        <v>34.9</v>
      </c>
      <c r="Z96" s="110">
        <v>35</v>
      </c>
      <c r="AA96" s="110">
        <v>44.6</v>
      </c>
      <c r="AB96" s="110">
        <v>45.7</v>
      </c>
      <c r="AC96" s="110">
        <v>28.8</v>
      </c>
      <c r="AD96" s="110">
        <v>15.4</v>
      </c>
      <c r="AE96" s="110">
        <v>16</v>
      </c>
      <c r="AF96" s="110">
        <v>16</v>
      </c>
      <c r="AG96" s="107">
        <v>60</v>
      </c>
      <c r="AH96" s="54">
        <f t="shared" si="16"/>
        <v>45.7</v>
      </c>
      <c r="AI96" s="108">
        <f t="shared" si="17"/>
        <v>0.83333333333333337</v>
      </c>
    </row>
    <row r="97" spans="1:37" x14ac:dyDescent="0.25">
      <c r="A97" s="111" t="s">
        <v>102</v>
      </c>
      <c r="B97" s="112">
        <v>-24.1</v>
      </c>
      <c r="C97" s="112">
        <v>-29.6</v>
      </c>
      <c r="D97" s="112">
        <v>-25.4</v>
      </c>
      <c r="E97" s="112">
        <v>21.6</v>
      </c>
      <c r="F97" s="112">
        <v>15.1</v>
      </c>
      <c r="G97" s="112">
        <v>31.3</v>
      </c>
      <c r="H97" s="112">
        <v>47.5</v>
      </c>
      <c r="I97" s="112">
        <v>54.5</v>
      </c>
      <c r="J97" s="112">
        <v>76.5</v>
      </c>
      <c r="K97" s="112">
        <v>62.2</v>
      </c>
      <c r="L97" s="112">
        <v>67.5</v>
      </c>
      <c r="M97" s="112">
        <v>67.599999999999994</v>
      </c>
      <c r="N97" s="112">
        <v>74.599999999999994</v>
      </c>
      <c r="O97" s="112">
        <v>65.900000000000006</v>
      </c>
      <c r="P97" s="112">
        <v>94.2</v>
      </c>
      <c r="Q97" s="112">
        <v>91.7</v>
      </c>
      <c r="R97" s="112">
        <v>104.3</v>
      </c>
      <c r="S97" s="112">
        <v>105</v>
      </c>
      <c r="T97" s="112">
        <v>90</v>
      </c>
      <c r="U97" s="112">
        <v>72</v>
      </c>
      <c r="V97" s="112">
        <v>72</v>
      </c>
      <c r="W97" s="112"/>
      <c r="X97" s="112">
        <v>50.5</v>
      </c>
      <c r="Y97" s="112">
        <v>63.7</v>
      </c>
      <c r="Z97" s="112">
        <v>95.3</v>
      </c>
      <c r="AA97" s="112">
        <v>97.4</v>
      </c>
      <c r="AB97" s="112">
        <v>88.2</v>
      </c>
      <c r="AC97" s="112">
        <v>87.8</v>
      </c>
      <c r="AD97" s="112">
        <v>100</v>
      </c>
      <c r="AE97" s="112">
        <v>39</v>
      </c>
      <c r="AF97" s="112">
        <v>23.9</v>
      </c>
      <c r="AG97" s="113">
        <v>120</v>
      </c>
      <c r="AH97" s="54">
        <f t="shared" si="16"/>
        <v>105</v>
      </c>
      <c r="AI97" s="108">
        <f t="shared" si="17"/>
        <v>0.58333333333333304</v>
      </c>
    </row>
    <row r="98" spans="1:37" x14ac:dyDescent="0.25">
      <c r="A98" s="111" t="s">
        <v>103</v>
      </c>
      <c r="B98" s="112">
        <v>73.3</v>
      </c>
      <c r="C98" s="112">
        <v>78.5</v>
      </c>
      <c r="D98" s="112">
        <v>68.099999999999994</v>
      </c>
      <c r="E98" s="112">
        <v>37</v>
      </c>
      <c r="F98" s="112">
        <v>31.7</v>
      </c>
      <c r="G98" s="112">
        <v>37</v>
      </c>
      <c r="H98" s="112">
        <v>49.2</v>
      </c>
      <c r="I98" s="112">
        <v>54.5</v>
      </c>
      <c r="J98" s="112">
        <v>74.3</v>
      </c>
      <c r="K98" s="112">
        <v>53.4</v>
      </c>
      <c r="L98" s="112">
        <v>58.8</v>
      </c>
      <c r="M98" s="112">
        <v>59.1</v>
      </c>
      <c r="N98" s="112">
        <v>74.5</v>
      </c>
      <c r="O98" s="112">
        <v>69.8</v>
      </c>
      <c r="P98" s="112">
        <v>90.1</v>
      </c>
      <c r="Q98" s="112">
        <v>91.7</v>
      </c>
      <c r="R98" s="112">
        <v>96</v>
      </c>
      <c r="S98" s="112">
        <v>96.1</v>
      </c>
      <c r="T98" s="112">
        <v>89</v>
      </c>
      <c r="U98" s="112">
        <v>74</v>
      </c>
      <c r="V98" s="112">
        <v>74</v>
      </c>
      <c r="W98" s="112"/>
      <c r="X98" s="112">
        <v>60</v>
      </c>
      <c r="Y98" s="112">
        <v>69.099999999999994</v>
      </c>
      <c r="Z98" s="112">
        <v>74.3</v>
      </c>
      <c r="AA98" s="112">
        <v>85.9</v>
      </c>
      <c r="AB98" s="112">
        <v>73.7</v>
      </c>
      <c r="AC98" s="112">
        <v>87</v>
      </c>
      <c r="AD98" s="112">
        <v>91.5</v>
      </c>
      <c r="AE98" s="112">
        <v>53.5</v>
      </c>
      <c r="AF98" s="112">
        <v>41</v>
      </c>
      <c r="AG98" s="113"/>
      <c r="AH98" s="54">
        <f t="shared" si="16"/>
        <v>96.1</v>
      </c>
      <c r="AI98" s="108">
        <f t="shared" si="17"/>
        <v>0.58333333333333304</v>
      </c>
    </row>
    <row r="99" spans="1:37" x14ac:dyDescent="0.25">
      <c r="A99" s="111" t="s">
        <v>104</v>
      </c>
      <c r="B99" s="112">
        <v>13</v>
      </c>
      <c r="C99" s="112">
        <v>12.7</v>
      </c>
      <c r="D99" s="112">
        <v>12.9</v>
      </c>
      <c r="E99" s="112">
        <v>12.3</v>
      </c>
      <c r="F99" s="112">
        <v>12.6</v>
      </c>
      <c r="G99" s="112">
        <v>12.6</v>
      </c>
      <c r="H99" s="112">
        <v>12.7</v>
      </c>
      <c r="I99" s="112">
        <v>12.4</v>
      </c>
      <c r="J99" s="112">
        <v>54.8</v>
      </c>
      <c r="K99" s="112">
        <v>29.9</v>
      </c>
      <c r="L99" s="112">
        <v>42.5</v>
      </c>
      <c r="M99" s="112">
        <v>38.700000000000003</v>
      </c>
      <c r="N99" s="112">
        <v>55.6</v>
      </c>
      <c r="O99" s="112">
        <v>46.1</v>
      </c>
      <c r="P99" s="112">
        <v>76.400000000000006</v>
      </c>
      <c r="Q99" s="112">
        <v>67.5</v>
      </c>
      <c r="R99" s="112">
        <v>73.8</v>
      </c>
      <c r="S99" s="112">
        <v>70.3</v>
      </c>
      <c r="T99" s="112">
        <v>69</v>
      </c>
      <c r="U99" s="112">
        <v>55</v>
      </c>
      <c r="V99" s="112">
        <v>55</v>
      </c>
      <c r="W99" s="112"/>
      <c r="X99" s="112">
        <v>45.4</v>
      </c>
      <c r="Y99" s="112">
        <v>41.5</v>
      </c>
      <c r="Z99" s="112">
        <v>25</v>
      </c>
      <c r="AA99" s="112">
        <v>20</v>
      </c>
      <c r="AB99" s="112">
        <v>40.799999999999997</v>
      </c>
      <c r="AC99" s="112">
        <v>51</v>
      </c>
      <c r="AD99" s="112">
        <v>67</v>
      </c>
      <c r="AE99" s="112">
        <v>64</v>
      </c>
      <c r="AF99" s="112">
        <v>81</v>
      </c>
      <c r="AG99" s="114"/>
      <c r="AH99" s="54">
        <f t="shared" si="16"/>
        <v>81</v>
      </c>
      <c r="AI99" s="108">
        <f t="shared" si="17"/>
        <v>0.95833333333333304</v>
      </c>
    </row>
    <row r="100" spans="1:37" ht="15.75" thickBot="1" x14ac:dyDescent="0.3">
      <c r="A100" s="115" t="s">
        <v>105</v>
      </c>
      <c r="B100" s="95">
        <v>7.4</v>
      </c>
      <c r="C100" s="95">
        <v>79</v>
      </c>
      <c r="D100" s="95">
        <v>24</v>
      </c>
      <c r="E100" s="95">
        <v>30.4</v>
      </c>
      <c r="F100" s="95">
        <v>31.4</v>
      </c>
      <c r="G100" s="95">
        <v>29.8</v>
      </c>
      <c r="H100" s="95">
        <v>28.5</v>
      </c>
      <c r="I100" s="95">
        <v>31.3</v>
      </c>
      <c r="J100" s="95">
        <v>37.5</v>
      </c>
      <c r="K100" s="95">
        <v>40.200000000000003</v>
      </c>
      <c r="L100" s="95">
        <v>43</v>
      </c>
      <c r="M100" s="95">
        <v>49.6</v>
      </c>
      <c r="N100" s="95">
        <v>51.6</v>
      </c>
      <c r="O100" s="95">
        <v>53</v>
      </c>
      <c r="P100" s="95">
        <v>62.3</v>
      </c>
      <c r="Q100" s="95">
        <v>63.4</v>
      </c>
      <c r="R100" s="95">
        <v>65.3</v>
      </c>
      <c r="S100" s="95">
        <v>74</v>
      </c>
      <c r="T100" s="95">
        <v>70.2</v>
      </c>
      <c r="U100" s="95">
        <v>71</v>
      </c>
      <c r="V100" s="95">
        <v>71</v>
      </c>
      <c r="W100" s="95"/>
      <c r="X100" s="95">
        <v>59</v>
      </c>
      <c r="Y100" s="95">
        <v>60.7</v>
      </c>
      <c r="Z100" s="95">
        <v>75.400000000000006</v>
      </c>
      <c r="AA100" s="95">
        <v>82.6</v>
      </c>
      <c r="AB100" s="95">
        <v>72.900000000000006</v>
      </c>
      <c r="AC100" s="95">
        <v>86.8</v>
      </c>
      <c r="AD100" s="95">
        <v>82.4</v>
      </c>
      <c r="AE100" s="95">
        <v>101</v>
      </c>
      <c r="AF100" s="95">
        <v>95.6</v>
      </c>
      <c r="AG100" s="114"/>
      <c r="AH100" s="54">
        <f t="shared" si="16"/>
        <v>101</v>
      </c>
      <c r="AI100" s="108">
        <f t="shared" si="17"/>
        <v>0.91666666666666696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1253.7400000000002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3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2079/02/3)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2079/02/3)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1049.24</v>
      </c>
      <c r="U214" s="161">
        <f t="shared" si="54"/>
        <v>1044.3400000000001</v>
      </c>
      <c r="V214" s="161">
        <f t="shared" si="54"/>
        <v>1106.3400000000001</v>
      </c>
      <c r="W214" s="161">
        <f t="shared" si="54"/>
        <v>1106.92</v>
      </c>
      <c r="X214" s="161">
        <f t="shared" si="54"/>
        <v>1055.5300000000002</v>
      </c>
      <c r="Y214" s="161">
        <f t="shared" si="54"/>
        <v>1057.54</v>
      </c>
      <c r="Z214" s="161">
        <f t="shared" si="54"/>
        <v>1071.8500000000001</v>
      </c>
      <c r="AA214" s="161">
        <f t="shared" si="54"/>
        <v>1112.4000000000001</v>
      </c>
      <c r="AB214" s="161">
        <f t="shared" si="54"/>
        <v>1186.2900000000002</v>
      </c>
      <c r="AC214" s="161">
        <f t="shared" si="54"/>
        <v>1222.5000000000002</v>
      </c>
      <c r="AD214" s="161">
        <f t="shared" si="54"/>
        <v>1253.4300000000003</v>
      </c>
      <c r="AE214" s="161">
        <f t="shared" si="54"/>
        <v>1221.3100000000002</v>
      </c>
      <c r="AF214" s="161">
        <f t="shared" si="54"/>
        <v>1253.7400000000002</v>
      </c>
      <c r="AG214" s="161">
        <f t="shared" si="54"/>
        <v>1394.91</v>
      </c>
      <c r="AH214" s="161">
        <f t="shared" si="54"/>
        <v>1438.8400000000001</v>
      </c>
      <c r="AI214" s="161">
        <f t="shared" si="54"/>
        <v>1458.24</v>
      </c>
      <c r="AJ214" s="161">
        <f t="shared" si="54"/>
        <v>1492.48</v>
      </c>
      <c r="AK214" s="161">
        <f t="shared" si="54"/>
        <v>1514.14</v>
      </c>
      <c r="AL214" s="161">
        <f t="shared" si="54"/>
        <v>1517.54</v>
      </c>
      <c r="AM214" s="161">
        <f t="shared" si="54"/>
        <v>1475.6399999999999</v>
      </c>
      <c r="AN214" s="161">
        <f t="shared" si="54"/>
        <v>1440.1399999999999</v>
      </c>
      <c r="AO214" s="161">
        <f t="shared" si="54"/>
        <v>3.54</v>
      </c>
      <c r="AP214" s="161">
        <f t="shared" si="54"/>
        <v>1363.54</v>
      </c>
      <c r="AQ214" s="161">
        <f t="shared" si="54"/>
        <v>1358.1399999999999</v>
      </c>
      <c r="AR214" s="161">
        <f t="shared" si="54"/>
        <v>1448.84</v>
      </c>
      <c r="AS214" s="161">
        <f t="shared" si="54"/>
        <v>1544.7400000000002</v>
      </c>
      <c r="AT214" s="161">
        <f t="shared" si="54"/>
        <v>1547.94</v>
      </c>
      <c r="AU214" s="161">
        <f t="shared" si="54"/>
        <v>1537.44</v>
      </c>
      <c r="AV214" s="161">
        <f t="shared" si="54"/>
        <v>1543.7400000000002</v>
      </c>
      <c r="AW214" s="161">
        <f t="shared" si="54"/>
        <v>1439.3400000000001</v>
      </c>
      <c r="AX214" s="161">
        <f t="shared" si="54"/>
        <v>1413.74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5548" priority="202">
      <formula>B$9&gt;=20/24</formula>
    </cfRule>
    <cfRule type="expression" dxfId="5547" priority="203">
      <formula>AND(B$9&gt;=14/24,B$9&lt;20/24)</formula>
    </cfRule>
    <cfRule type="expression" dxfId="5546" priority="204">
      <formula>AND(B$9&gt;=8/24,B$9&lt;14/24)</formula>
    </cfRule>
    <cfRule type="expression" dxfId="5545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544" priority="197">
      <formula>S$9&gt;=20/24</formula>
    </cfRule>
    <cfRule type="expression" dxfId="5543" priority="198">
      <formula>AND(S$9&gt;=14/24,S$9&lt;20/24)</formula>
    </cfRule>
    <cfRule type="expression" dxfId="5542" priority="199">
      <formula>AND(S$9&gt;=8/24,S$9&lt;14/24)</formula>
    </cfRule>
    <cfRule type="expression" dxfId="5541" priority="200">
      <formula>S$9&lt;8/24</formula>
    </cfRule>
  </conditionalFormatting>
  <conditionalFormatting sqref="AG51 J11:AF11 S37:AF37">
    <cfRule type="expression" dxfId="5540" priority="196">
      <formula>J11&gt;$AG11</formula>
    </cfRule>
  </conditionalFormatting>
  <conditionalFormatting sqref="A101:A157 A84:A97 A11:A14 A16:A32 A45:A72 A80:A82 A74:A78 A35:A43 A170:A200">
    <cfRule type="expression" dxfId="5539" priority="195">
      <formula>$AH11=0</formula>
    </cfRule>
  </conditionalFormatting>
  <conditionalFormatting sqref="A98">
    <cfRule type="expression" dxfId="5538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537" priority="192">
      <formula>$AH34=0</formula>
    </cfRule>
  </conditionalFormatting>
  <conditionalFormatting sqref="A83">
    <cfRule type="expression" dxfId="5536" priority="191">
      <formula>$AH83=0</formula>
    </cfRule>
  </conditionalFormatting>
  <conditionalFormatting sqref="A15">
    <cfRule type="expression" dxfId="5535" priority="190">
      <formula>$AH15=0</formula>
    </cfRule>
  </conditionalFormatting>
  <conditionalFormatting sqref="A164:A169">
    <cfRule type="expression" dxfId="5534" priority="189">
      <formula>$AH164=0</formula>
    </cfRule>
  </conditionalFormatting>
  <conditionalFormatting sqref="A158:A163">
    <cfRule type="expression" dxfId="5533" priority="188">
      <formula>$AH158=0</formula>
    </cfRule>
  </conditionalFormatting>
  <conditionalFormatting sqref="A44">
    <cfRule type="expression" dxfId="5532" priority="187">
      <formula>$AH44=0</formula>
    </cfRule>
  </conditionalFormatting>
  <conditionalFormatting sqref="A79">
    <cfRule type="expression" dxfId="5531" priority="186">
      <formula>$AH79=0</formula>
    </cfRule>
  </conditionalFormatting>
  <conditionalFormatting sqref="A73">
    <cfRule type="expression" dxfId="5530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529" priority="181">
      <formula>C$9&gt;=20/24</formula>
    </cfRule>
    <cfRule type="expression" dxfId="5528" priority="182">
      <formula>AND(C$9&gt;=14/24,C$9&lt;20/24)</formula>
    </cfRule>
    <cfRule type="expression" dxfId="5527" priority="183">
      <formula>AND(C$9&gt;=8/24,C$9&lt;14/24)</formula>
    </cfRule>
    <cfRule type="expression" dxfId="5526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25" priority="209">
      <formula>C$9&gt;=20/24</formula>
    </cfRule>
    <cfRule type="expression" dxfId="5524" priority="210">
      <formula>AND(C$9&gt;=14/24,C$9&lt;20/24)</formula>
    </cfRule>
    <cfRule type="expression" dxfId="5523" priority="211">
      <formula>AND(C$9&gt;=8/24,C$9&lt;14/24)</formula>
    </cfRule>
    <cfRule type="expression" dxfId="5522" priority="212">
      <formula>C$9&lt;8/24</formula>
    </cfRule>
  </conditionalFormatting>
  <conditionalFormatting sqref="A201">
    <cfRule type="expression" dxfId="5521" priority="213">
      <formula>$AH201=0</formula>
    </cfRule>
  </conditionalFormatting>
  <conditionalFormatting sqref="AG213">
    <cfRule type="expression" dxfId="5520" priority="214">
      <formula>B$9&gt;=20/24</formula>
    </cfRule>
    <cfRule type="expression" dxfId="5519" priority="215">
      <formula>AND(B$9&gt;=14/24,B$9&lt;20/24)</formula>
    </cfRule>
    <cfRule type="expression" dxfId="5518" priority="216">
      <formula>AND(B$9&gt;=8/24,B$9&lt;14/24)</formula>
    </cfRule>
    <cfRule type="expression" dxfId="5517" priority="217">
      <formula>B$9&lt;8/24</formula>
    </cfRule>
  </conditionalFormatting>
  <conditionalFormatting sqref="S8">
    <cfRule type="expression" dxfId="5516" priority="175">
      <formula>U$9&gt;=20/24</formula>
    </cfRule>
    <cfRule type="expression" dxfId="5515" priority="176">
      <formula>AND(U$9&gt;=14/24,U$9&lt;20/24)</formula>
    </cfRule>
    <cfRule type="expression" dxfId="5514" priority="177">
      <formula>AND(U$9&gt;=8/24,U$9&lt;14/24)</formula>
    </cfRule>
    <cfRule type="expression" dxfId="5513" priority="178">
      <formula>U$9&lt;8/24</formula>
    </cfRule>
  </conditionalFormatting>
  <conditionalFormatting sqref="AB8">
    <cfRule type="expression" dxfId="5512" priority="171">
      <formula>AD$9&gt;=20/24</formula>
    </cfRule>
    <cfRule type="expression" dxfId="5511" priority="172">
      <formula>AND(AD$9&gt;=14/24,AD$9&lt;20/24)</formula>
    </cfRule>
    <cfRule type="expression" dxfId="5510" priority="173">
      <formula>AND(AD$9&gt;=8/24,AD$9&lt;14/24)</formula>
    </cfRule>
    <cfRule type="expression" dxfId="5509" priority="174">
      <formula>AD$9&lt;8/24</formula>
    </cfRule>
  </conditionalFormatting>
  <conditionalFormatting sqref="AH213:AX213">
    <cfRule type="expression" dxfId="5508" priority="218">
      <formula>AG$9&gt;=20/24</formula>
    </cfRule>
    <cfRule type="expression" dxfId="5507" priority="219">
      <formula>AND(AG$9&gt;=14/24,AG$9&lt;20/24)</formula>
    </cfRule>
    <cfRule type="expression" dxfId="5506" priority="220">
      <formula>AND(AG$9&gt;=8/24,AG$9&lt;14/24)</formula>
    </cfRule>
    <cfRule type="expression" dxfId="5505" priority="221">
      <formula>AG$9&lt;8/24</formula>
    </cfRule>
  </conditionalFormatting>
  <conditionalFormatting sqref="T213">
    <cfRule type="expression" dxfId="5504" priority="222">
      <formula>AX$9&gt;=20/24</formula>
    </cfRule>
    <cfRule type="expression" dxfId="5503" priority="223">
      <formula>AND(AX$9&gt;=14/24,AX$9&lt;20/24)</formula>
    </cfRule>
    <cfRule type="expression" dxfId="5502" priority="224">
      <formula>AND(AX$9&gt;=8/24,AX$9&lt;14/24)</formula>
    </cfRule>
    <cfRule type="expression" dxfId="5501" priority="225">
      <formula>AX$9&lt;8/24</formula>
    </cfRule>
  </conditionalFormatting>
  <conditionalFormatting sqref="A99:A100">
    <cfRule type="expression" dxfId="5500" priority="170">
      <formula>$AH99=0</formula>
    </cfRule>
  </conditionalFormatting>
  <conditionalFormatting sqref="F11:I11 F40:L41 S40:W41 Y40:AF41 E57:AF57 AA36:AF36">
    <cfRule type="expression" dxfId="5499" priority="166">
      <formula>E$9&gt;=20/24</formula>
    </cfRule>
    <cfRule type="expression" dxfId="5498" priority="167">
      <formula>AND(E$9&gt;=14/24,E$9&lt;20/24)</formula>
    </cfRule>
    <cfRule type="expression" dxfId="5497" priority="168">
      <formula>AND(E$9&gt;=8/24,E$9&lt;14/24)</formula>
    </cfRule>
    <cfRule type="expression" dxfId="5496" priority="169">
      <formula>E$9&lt;8/24</formula>
    </cfRule>
  </conditionalFormatting>
  <conditionalFormatting sqref="F39:L39 S39:W39 Y39:AF39">
    <cfRule type="expression" dxfId="5495" priority="162">
      <formula>F$9&gt;=20/24</formula>
    </cfRule>
    <cfRule type="expression" dxfId="5494" priority="163">
      <formula>AND(F$9&gt;=14/24,F$9&lt;20/24)</formula>
    </cfRule>
    <cfRule type="expression" dxfId="5493" priority="164">
      <formula>AND(F$9&gt;=8/24,F$9&lt;14/24)</formula>
    </cfRule>
    <cfRule type="expression" dxfId="5492" priority="165">
      <formula>F$9&lt;8/24</formula>
    </cfRule>
  </conditionalFormatting>
  <conditionalFormatting sqref="F11:I11 F39:L41 S39:W41 Y39:AF41 AA36:AF36">
    <cfRule type="expression" dxfId="5491" priority="161">
      <formula>F11&gt;$AG11</formula>
    </cfRule>
  </conditionalFormatting>
  <conditionalFormatting sqref="M11:R11 C83:AF83 C75:AF81 E58:AA59 C68:AF73 C56:AF56 Q60:AA60 G60:P63 G67:R67 Q61:R63 S61:AA67 O36:Z36 F12:AF14 W28:AF31 W18:AF22 W24:AF26 O16:AF16 D53:AF55 AB58:AF67 C85:AF91">
    <cfRule type="expression" dxfId="5490" priority="157">
      <formula>C$9&gt;=20/24</formula>
    </cfRule>
    <cfRule type="expression" dxfId="5489" priority="158">
      <formula>AND(C$9&gt;=14/24,C$9&lt;20/24)</formula>
    </cfRule>
    <cfRule type="expression" dxfId="5488" priority="159">
      <formula>AND(C$9&gt;=8/24,C$9&lt;14/24)</formula>
    </cfRule>
    <cfRule type="expression" dxfId="5487" priority="160">
      <formula>C$9&lt;8/24</formula>
    </cfRule>
  </conditionalFormatting>
  <conditionalFormatting sqref="W32:AF32">
    <cfRule type="expression" dxfId="5486" priority="153">
      <formula>W$9&gt;=20/24</formula>
    </cfRule>
    <cfRule type="expression" dxfId="5485" priority="154">
      <formula>AND(W$9&gt;=14/24,W$9&lt;20/24)</formula>
    </cfRule>
    <cfRule type="expression" dxfId="5484" priority="155">
      <formula>AND(W$9&gt;=8/24,W$9&lt;14/24)</formula>
    </cfRule>
    <cfRule type="expression" dxfId="5483" priority="156">
      <formula>W$9&lt;8/24</formula>
    </cfRule>
  </conditionalFormatting>
  <conditionalFormatting sqref="W35:AF35">
    <cfRule type="expression" dxfId="5482" priority="149">
      <formula>W$9&gt;=20/24</formula>
    </cfRule>
    <cfRule type="expression" dxfId="5481" priority="150">
      <formula>AND(W$9&gt;=14/24,W$9&lt;20/24)</formula>
    </cfRule>
    <cfRule type="expression" dxfId="5480" priority="151">
      <formula>AND(W$9&gt;=8/24,W$9&lt;14/24)</formula>
    </cfRule>
    <cfRule type="expression" dxfId="5479" priority="152">
      <formula>W$9&lt;8/24</formula>
    </cfRule>
  </conditionalFormatting>
  <conditionalFormatting sqref="M11:R11 C37:R37 C38:AF38 W34:X35 C51:AF52 C56:AF56 F42:L43 M43 O36:X36 Y34:Z36 F12:AC15 O16:AC16 AF42:AF43 AC42:AE42 AA34:AF35 W18:AF22 W24:AF32 AD12:AF16 D53:AF55">
    <cfRule type="expression" dxfId="5478" priority="148">
      <formula>C11&gt;$AG11</formula>
    </cfRule>
  </conditionalFormatting>
  <conditionalFormatting sqref="W34:AF34">
    <cfRule type="expression" dxfId="5477" priority="144">
      <formula>W$9&gt;=20/24</formula>
    </cfRule>
    <cfRule type="expression" dxfId="5476" priority="145">
      <formula>AND(W$9&gt;=14/24,W$9&lt;20/24)</formula>
    </cfRule>
    <cfRule type="expression" dxfId="5475" priority="146">
      <formula>AND(W$9&gt;=8/24,W$9&lt;14/24)</formula>
    </cfRule>
    <cfRule type="expression" dxfId="5474" priority="147">
      <formula>W$9&lt;8/24</formula>
    </cfRule>
  </conditionalFormatting>
  <conditionalFormatting sqref="F15:AF15">
    <cfRule type="expression" dxfId="5473" priority="140">
      <formula>F$9&gt;=20/24</formula>
    </cfRule>
    <cfRule type="expression" dxfId="5472" priority="141">
      <formula>AND(F$9&gt;=14/24,F$9&lt;20/24)</formula>
    </cfRule>
    <cfRule type="expression" dxfId="5471" priority="142">
      <formula>AND(F$9&gt;=8/24,F$9&lt;14/24)</formula>
    </cfRule>
    <cfRule type="expression" dxfId="5470" priority="143">
      <formula>F$9&lt;8/24</formula>
    </cfRule>
  </conditionalFormatting>
  <conditionalFormatting sqref="W33:AF33">
    <cfRule type="expression" dxfId="5469" priority="136">
      <formula>W$9&gt;=20/24</formula>
    </cfRule>
    <cfRule type="expression" dxfId="5468" priority="137">
      <formula>AND(W$9&gt;=14/24,W$9&lt;20/24)</formula>
    </cfRule>
    <cfRule type="expression" dxfId="5467" priority="138">
      <formula>AND(W$9&gt;=8/24,W$9&lt;14/24)</formula>
    </cfRule>
    <cfRule type="expression" dxfId="5466" priority="139">
      <formula>W$9&lt;8/24</formula>
    </cfRule>
  </conditionalFormatting>
  <conditionalFormatting sqref="W33:AF33">
    <cfRule type="expression" dxfId="5465" priority="135">
      <formula>W33&gt;$AG33</formula>
    </cfRule>
  </conditionalFormatting>
  <conditionalFormatting sqref="S11">
    <cfRule type="expression" dxfId="5464" priority="131">
      <formula>S$9&gt;=20/24</formula>
    </cfRule>
    <cfRule type="expression" dxfId="5463" priority="132">
      <formula>AND(S$9&gt;=14/24,S$9&lt;20/24)</formula>
    </cfRule>
    <cfRule type="expression" dxfId="5462" priority="133">
      <formula>AND(S$9&gt;=8/24,S$9&lt;14/24)</formula>
    </cfRule>
    <cfRule type="expression" dxfId="5461" priority="134">
      <formula>S$9&lt;8/24</formula>
    </cfRule>
  </conditionalFormatting>
  <conditionalFormatting sqref="W42:AB43 AC43:AE43">
    <cfRule type="expression" dxfId="5460" priority="127">
      <formula>W$9&gt;=20/24</formula>
    </cfRule>
    <cfRule type="expression" dxfId="5459" priority="128">
      <formula>AND(W$9&gt;=14/24,W$9&lt;20/24)</formula>
    </cfRule>
    <cfRule type="expression" dxfId="5458" priority="129">
      <formula>AND(W$9&gt;=8/24,W$9&lt;14/24)</formula>
    </cfRule>
    <cfRule type="expression" dxfId="5457" priority="130">
      <formula>W$9&lt;8/24</formula>
    </cfRule>
  </conditionalFormatting>
  <conditionalFormatting sqref="W42:AB43 AC43:AE43">
    <cfRule type="expression" dxfId="5456" priority="126">
      <formula>W42&gt;$AG42</formula>
    </cfRule>
  </conditionalFormatting>
  <conditionalFormatting sqref="M39:R42 N43:R43 N45:R45 S42:V50 W44:AF50">
    <cfRule type="expression" dxfId="5455" priority="122">
      <formula>M$9&gt;=20/24</formula>
    </cfRule>
    <cfRule type="expression" dxfId="5454" priority="123">
      <formula>AND(M$9&gt;=14/24,M$9&lt;20/24)</formula>
    </cfRule>
    <cfRule type="expression" dxfId="5453" priority="124">
      <formula>AND(M$9&gt;=8/24,M$9&lt;14/24)</formula>
    </cfRule>
    <cfRule type="expression" dxfId="5452" priority="125">
      <formula>M$9&lt;8/24</formula>
    </cfRule>
  </conditionalFormatting>
  <conditionalFormatting sqref="M39:R42 N43:R43 N45:R45 S42:V50 W44:AF50">
    <cfRule type="expression" dxfId="5451" priority="121">
      <formula>M39&gt;$AG39</formula>
    </cfRule>
  </conditionalFormatting>
  <conditionalFormatting sqref="W27:AF27">
    <cfRule type="expression" dxfId="5450" priority="117">
      <formula>W$9&gt;=20/24</formula>
    </cfRule>
    <cfRule type="expression" dxfId="5449" priority="118">
      <formula>AND(W$9&gt;=14/24,W$9&lt;20/24)</formula>
    </cfRule>
    <cfRule type="expression" dxfId="5448" priority="119">
      <formula>AND(W$9&gt;=8/24,W$9&lt;14/24)</formula>
    </cfRule>
    <cfRule type="expression" dxfId="5447" priority="120">
      <formula>W$9&lt;8/24</formula>
    </cfRule>
  </conditionalFormatting>
  <conditionalFormatting sqref="C74:I74 C11:E11 G16:N17 W23:AF23 O17:AF17">
    <cfRule type="expression" dxfId="5446" priority="113">
      <formula>C$9&gt;=20/24</formula>
    </cfRule>
    <cfRule type="expression" dxfId="5445" priority="114">
      <formula>AND(C$9&gt;=14/24,C$9&lt;20/24)</formula>
    </cfRule>
    <cfRule type="expression" dxfId="5444" priority="115">
      <formula>AND(C$9&gt;=8/24,C$9&lt;14/24)</formula>
    </cfRule>
    <cfRule type="expression" dxfId="5443" priority="116">
      <formula>C$9&lt;8/24</formula>
    </cfRule>
  </conditionalFormatting>
  <conditionalFormatting sqref="C11:E11 G16:N17 W23:AF23 O17:AF17">
    <cfRule type="expression" dxfId="5442" priority="104">
      <formula>C11&gt;$AG11</formula>
    </cfRule>
  </conditionalFormatting>
  <conditionalFormatting sqref="G64:R66">
    <cfRule type="expression" dxfId="5441" priority="78">
      <formula>G$9&gt;=20/24</formula>
    </cfRule>
    <cfRule type="expression" dxfId="5440" priority="79">
      <formula>AND(G$9&gt;=14/24,G$9&lt;20/24)</formula>
    </cfRule>
    <cfRule type="expression" dxfId="5439" priority="80">
      <formula>AND(G$9&gt;=8/24,G$9&lt;14/24)</formula>
    </cfRule>
    <cfRule type="expression" dxfId="5438" priority="81">
      <formula>G$9&lt;8/24</formula>
    </cfRule>
  </conditionalFormatting>
  <conditionalFormatting sqref="X40:X41">
    <cfRule type="expression" dxfId="5437" priority="68">
      <formula>X$9&gt;=20/24</formula>
    </cfRule>
    <cfRule type="expression" dxfId="5436" priority="69">
      <formula>AND(X$9&gt;=14/24,X$9&lt;20/24)</formula>
    </cfRule>
    <cfRule type="expression" dxfId="5435" priority="70">
      <formula>AND(X$9&gt;=8/24,X$9&lt;14/24)</formula>
    </cfRule>
    <cfRule type="expression" dxfId="5434" priority="71">
      <formula>X$9&lt;8/24</formula>
    </cfRule>
  </conditionalFormatting>
  <conditionalFormatting sqref="X39">
    <cfRule type="expression" dxfId="5433" priority="64">
      <formula>X$9&gt;=20/24</formula>
    </cfRule>
    <cfRule type="expression" dxfId="5432" priority="65">
      <formula>AND(X$9&gt;=14/24,X$9&lt;20/24)</formula>
    </cfRule>
    <cfRule type="expression" dxfId="5431" priority="66">
      <formula>AND(X$9&gt;=8/24,X$9&lt;14/24)</formula>
    </cfRule>
    <cfRule type="expression" dxfId="5430" priority="67">
      <formula>X$9&lt;8/24</formula>
    </cfRule>
  </conditionalFormatting>
  <conditionalFormatting sqref="X39:X41">
    <cfRule type="expression" dxfId="5429" priority="63">
      <formula>X39&gt;$AG39</formula>
    </cfRule>
  </conditionalFormatting>
  <conditionalFormatting sqref="B82 B74 B94:B100 B11">
    <cfRule type="expression" dxfId="5428" priority="59">
      <formula>B$9&gt;=20/24</formula>
    </cfRule>
    <cfRule type="expression" dxfId="5427" priority="60">
      <formula>AND(B$9&gt;=14/24,B$9&lt;20/24)</formula>
    </cfRule>
    <cfRule type="expression" dxfId="5426" priority="61">
      <formula>AND(B$9&gt;=8/24,B$9&lt;14/24)</formula>
    </cfRule>
    <cfRule type="expression" dxfId="5425" priority="62">
      <formula>B$9&lt;8/24</formula>
    </cfRule>
  </conditionalFormatting>
  <conditionalFormatting sqref="B37">
    <cfRule type="expression" dxfId="5424" priority="55">
      <formula>B$9&gt;=20/24</formula>
    </cfRule>
    <cfRule type="expression" dxfId="5423" priority="56">
      <formula>AND(B$9&gt;=14/24,B$9&lt;20/24)</formula>
    </cfRule>
    <cfRule type="expression" dxfId="5422" priority="57">
      <formula>AND(B$9&gt;=8/24,B$9&lt;14/24)</formula>
    </cfRule>
    <cfRule type="expression" dxfId="5421" priority="58">
      <formula>B$9&lt;8/24</formula>
    </cfRule>
  </conditionalFormatting>
  <conditionalFormatting sqref="B37 B11">
    <cfRule type="expression" dxfId="5420" priority="54">
      <formula>B11&gt;$AG11</formula>
    </cfRule>
  </conditionalFormatting>
  <conditionalFormatting sqref="B84">
    <cfRule type="expression" dxfId="5419" priority="50">
      <formula>B$9&gt;=20/24</formula>
    </cfRule>
    <cfRule type="expression" dxfId="5418" priority="51">
      <formula>AND(B$9&gt;=14/24,B$9&lt;20/24)</formula>
    </cfRule>
    <cfRule type="expression" dxfId="5417" priority="52">
      <formula>AND(B$9&gt;=8/24,B$9&lt;14/24)</formula>
    </cfRule>
    <cfRule type="expression" dxfId="5416" priority="53">
      <formula>B$9&lt;8/24</formula>
    </cfRule>
  </conditionalFormatting>
  <conditionalFormatting sqref="B57:D57 B40:E41 B36:N36">
    <cfRule type="expression" dxfId="5415" priority="46">
      <formula>B$9&gt;=20/24</formula>
    </cfRule>
    <cfRule type="expression" dxfId="5414" priority="47">
      <formula>AND(B$9&gt;=14/24,B$9&lt;20/24)</formula>
    </cfRule>
    <cfRule type="expression" dxfId="5413" priority="48">
      <formula>AND(B$9&gt;=8/24,B$9&lt;14/24)</formula>
    </cfRule>
    <cfRule type="expression" dxfId="5412" priority="49">
      <formula>B$9&lt;8/24</formula>
    </cfRule>
  </conditionalFormatting>
  <conditionalFormatting sqref="B39:E39">
    <cfRule type="expression" dxfId="5411" priority="42">
      <formula>B$9&gt;=20/24</formula>
    </cfRule>
    <cfRule type="expression" dxfId="5410" priority="43">
      <formula>AND(B$9&gt;=14/24,B$9&lt;20/24)</formula>
    </cfRule>
    <cfRule type="expression" dxfId="5409" priority="44">
      <formula>AND(B$9&gt;=8/24,B$9&lt;14/24)</formula>
    </cfRule>
    <cfRule type="expression" dxfId="5408" priority="45">
      <formula>B$9&lt;8/24</formula>
    </cfRule>
  </conditionalFormatting>
  <conditionalFormatting sqref="B39:E41 B36:N36">
    <cfRule type="expression" dxfId="5407" priority="41">
      <formula>B36&gt;$AG36</formula>
    </cfRule>
  </conditionalFormatting>
  <conditionalFormatting sqref="B83 B75:B81 B85:B91 B53:B56 B58:B73 C53:C55 C58:D67 B12:E14 B16:F16 E60:F67 B24:V26 B18:V22 B28:V31">
    <cfRule type="expression" dxfId="5406" priority="37">
      <formula>B$9&gt;=20/24</formula>
    </cfRule>
    <cfRule type="expression" dxfId="5405" priority="38">
      <formula>AND(B$9&gt;=14/24,B$9&lt;20/24)</formula>
    </cfRule>
    <cfRule type="expression" dxfId="5404" priority="39">
      <formula>AND(B$9&gt;=8/24,B$9&lt;14/24)</formula>
    </cfRule>
    <cfRule type="expression" dxfId="5403" priority="40">
      <formula>B$9&lt;8/24</formula>
    </cfRule>
  </conditionalFormatting>
  <conditionalFormatting sqref="B32:V32">
    <cfRule type="expression" dxfId="5402" priority="33">
      <formula>B$9&gt;=20/24</formula>
    </cfRule>
    <cfRule type="expression" dxfId="5401" priority="34">
      <formula>AND(B$9&gt;=14/24,B$9&lt;20/24)</formula>
    </cfRule>
    <cfRule type="expression" dxfId="5400" priority="35">
      <formula>AND(B$9&gt;=8/24,B$9&lt;14/24)</formula>
    </cfRule>
    <cfRule type="expression" dxfId="5399" priority="36">
      <formula>B$9&lt;8/24</formula>
    </cfRule>
  </conditionalFormatting>
  <conditionalFormatting sqref="B35:V35">
    <cfRule type="expression" dxfId="5398" priority="29">
      <formula>B$9&gt;=20/24</formula>
    </cfRule>
    <cfRule type="expression" dxfId="5397" priority="30">
      <formula>AND(B$9&gt;=14/24,B$9&lt;20/24)</formula>
    </cfRule>
    <cfRule type="expression" dxfId="5396" priority="31">
      <formula>AND(B$9&gt;=8/24,B$9&lt;14/24)</formula>
    </cfRule>
    <cfRule type="expression" dxfId="5395" priority="32">
      <formula>B$9&lt;8/24</formula>
    </cfRule>
  </conditionalFormatting>
  <conditionalFormatting sqref="B38 B51:B56 C53:C55 B12:E16 B42:E43 F16 B18:V22 B34:V35 B24:V32">
    <cfRule type="expression" dxfId="5394" priority="28">
      <formula>B12&gt;$AG12</formula>
    </cfRule>
  </conditionalFormatting>
  <conditionalFormatting sqref="B34:V34">
    <cfRule type="expression" dxfId="5393" priority="24">
      <formula>B$9&gt;=20/24</formula>
    </cfRule>
    <cfRule type="expression" dxfId="5392" priority="25">
      <formula>AND(B$9&gt;=14/24,B$9&lt;20/24)</formula>
    </cfRule>
    <cfRule type="expression" dxfId="5391" priority="26">
      <formula>AND(B$9&gt;=8/24,B$9&lt;14/24)</formula>
    </cfRule>
    <cfRule type="expression" dxfId="5390" priority="27">
      <formula>B$9&lt;8/24</formula>
    </cfRule>
  </conditionalFormatting>
  <conditionalFormatting sqref="B15:E15">
    <cfRule type="expression" dxfId="5389" priority="20">
      <formula>B$9&gt;=20/24</formula>
    </cfRule>
    <cfRule type="expression" dxfId="5388" priority="21">
      <formula>AND(B$9&gt;=14/24,B$9&lt;20/24)</formula>
    </cfRule>
    <cfRule type="expression" dxfId="5387" priority="22">
      <formula>AND(B$9&gt;=8/24,B$9&lt;14/24)</formula>
    </cfRule>
    <cfRule type="expression" dxfId="5386" priority="23">
      <formula>B$9&lt;8/24</formula>
    </cfRule>
  </conditionalFormatting>
  <conditionalFormatting sqref="B33:V33">
    <cfRule type="expression" dxfId="5385" priority="16">
      <formula>B$9&gt;=20/24</formula>
    </cfRule>
    <cfRule type="expression" dxfId="5384" priority="17">
      <formula>AND(B$9&gt;=14/24,B$9&lt;20/24)</formula>
    </cfRule>
    <cfRule type="expression" dxfId="5383" priority="18">
      <formula>AND(B$9&gt;=8/24,B$9&lt;14/24)</formula>
    </cfRule>
    <cfRule type="expression" dxfId="5382" priority="19">
      <formula>B$9&lt;8/24</formula>
    </cfRule>
  </conditionalFormatting>
  <conditionalFormatting sqref="B33:V33">
    <cfRule type="expression" dxfId="5381" priority="15">
      <formula>B33&gt;$AG33</formula>
    </cfRule>
  </conditionalFormatting>
  <conditionalFormatting sqref="B44:M50 N46:R50 N44:R44">
    <cfRule type="expression" dxfId="5380" priority="11">
      <formula>B$9&gt;=20/24</formula>
    </cfRule>
    <cfRule type="expression" dxfId="5379" priority="12">
      <formula>AND(B$9&gt;=14/24,B$9&lt;20/24)</formula>
    </cfRule>
    <cfRule type="expression" dxfId="5378" priority="13">
      <formula>AND(B$9&gt;=8/24,B$9&lt;14/24)</formula>
    </cfRule>
    <cfRule type="expression" dxfId="5377" priority="14">
      <formula>B$9&lt;8/24</formula>
    </cfRule>
  </conditionalFormatting>
  <conditionalFormatting sqref="B44:M50 N46:R50 N44:R44">
    <cfRule type="expression" dxfId="5376" priority="10">
      <formula>B44&gt;$AG44</formula>
    </cfRule>
  </conditionalFormatting>
  <conditionalFormatting sqref="B27:V27">
    <cfRule type="expression" dxfId="5375" priority="6">
      <formula>B$9&gt;=20/24</formula>
    </cfRule>
    <cfRule type="expression" dxfId="5374" priority="7">
      <formula>AND(B$9&gt;=14/24,B$9&lt;20/24)</formula>
    </cfRule>
    <cfRule type="expression" dxfId="5373" priority="8">
      <formula>AND(B$9&gt;=8/24,B$9&lt;14/24)</formula>
    </cfRule>
    <cfRule type="expression" dxfId="5372" priority="9">
      <formula>B$9&lt;8/24</formula>
    </cfRule>
  </conditionalFormatting>
  <conditionalFormatting sqref="B17:F17 B23:V23">
    <cfRule type="expression" dxfId="5371" priority="2">
      <formula>B$9&gt;=20/24</formula>
    </cfRule>
    <cfRule type="expression" dxfId="5370" priority="3">
      <formula>AND(B$9&gt;=14/24,B$9&lt;20/24)</formula>
    </cfRule>
    <cfRule type="expression" dxfId="5369" priority="4">
      <formula>AND(B$9&gt;=8/24,B$9&lt;14/24)</formula>
    </cfRule>
    <cfRule type="expression" dxfId="5368" priority="5">
      <formula>B$9&lt;8/24</formula>
    </cfRule>
  </conditionalFormatting>
  <conditionalFormatting sqref="B17:F17 B23:V23">
    <cfRule type="expression" dxfId="5367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609307BF-B72D-47A8-AAA3-F276CC9EB644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S2" sqref="S1:S104857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2079/02/4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86</v>
      </c>
      <c r="C5" s="32">
        <f t="shared" si="0"/>
        <v>60</v>
      </c>
      <c r="D5" s="32">
        <f t="shared" si="0"/>
        <v>43.9</v>
      </c>
      <c r="E5" s="32">
        <f t="shared" si="0"/>
        <v>46.4</v>
      </c>
      <c r="F5" s="32">
        <f t="shared" si="0"/>
        <v>25.5</v>
      </c>
      <c r="G5" s="32">
        <f t="shared" si="0"/>
        <v>35.5</v>
      </c>
      <c r="H5" s="32">
        <f t="shared" si="0"/>
        <v>47</v>
      </c>
      <c r="I5" s="32">
        <f t="shared" si="0"/>
        <v>62.699999999999996</v>
      </c>
      <c r="J5" s="32">
        <f t="shared" si="0"/>
        <v>88.68</v>
      </c>
      <c r="K5" s="32">
        <f t="shared" si="0"/>
        <v>99</v>
      </c>
      <c r="L5" s="32">
        <f t="shared" si="0"/>
        <v>89.4</v>
      </c>
      <c r="M5" s="32">
        <f t="shared" si="0"/>
        <v>130.6</v>
      </c>
      <c r="N5" s="32">
        <f t="shared" si="0"/>
        <v>152.4</v>
      </c>
      <c r="O5" s="32">
        <f t="shared" si="0"/>
        <v>153</v>
      </c>
      <c r="P5" s="32">
        <f t="shared" si="0"/>
        <v>153.30000000000001</v>
      </c>
      <c r="Q5" s="32">
        <f t="shared" si="0"/>
        <v>152.30000000000001</v>
      </c>
      <c r="R5" s="32">
        <f t="shared" si="0"/>
        <v>180.25</v>
      </c>
      <c r="S5" s="32">
        <f t="shared" si="0"/>
        <v>212.2</v>
      </c>
      <c r="T5" s="32">
        <f t="shared" si="0"/>
        <v>229</v>
      </c>
      <c r="U5" s="32">
        <f t="shared" si="0"/>
        <v>242.5</v>
      </c>
      <c r="V5" s="32">
        <f t="shared" si="0"/>
        <v>180.59999999999997</v>
      </c>
      <c r="W5" s="32">
        <f t="shared" si="0"/>
        <v>154.5</v>
      </c>
      <c r="X5" s="32">
        <f t="shared" si="0"/>
        <v>172.59999999999997</v>
      </c>
      <c r="Y5" s="32">
        <f t="shared" si="0"/>
        <v>166.7</v>
      </c>
      <c r="Z5" s="32">
        <f t="shared" si="0"/>
        <v>121.48</v>
      </c>
      <c r="AA5" s="32">
        <f t="shared" si="0"/>
        <v>118.10000000000001</v>
      </c>
      <c r="AB5" s="32">
        <f t="shared" si="0"/>
        <v>137.1</v>
      </c>
      <c r="AC5" s="32">
        <f t="shared" si="0"/>
        <v>122.1</v>
      </c>
      <c r="AD5" s="32">
        <f t="shared" si="0"/>
        <v>154.9</v>
      </c>
      <c r="AE5" s="32">
        <f t="shared" si="0"/>
        <v>196.3</v>
      </c>
      <c r="AF5" s="32">
        <f>B68</f>
        <v>96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1472MW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Load=1238</v>
      </c>
      <c r="B7" s="37">
        <f>B75</f>
        <v>1317.8400000000001</v>
      </c>
      <c r="C7" s="37">
        <f t="shared" ref="C7:AF7" si="1">C75</f>
        <v>1315.1399999999999</v>
      </c>
      <c r="D7" s="37">
        <f t="shared" si="1"/>
        <v>1262.94</v>
      </c>
      <c r="E7" s="37">
        <f t="shared" si="1"/>
        <v>1250.74</v>
      </c>
      <c r="F7" s="37">
        <f t="shared" si="1"/>
        <v>1237.74</v>
      </c>
      <c r="G7" s="37">
        <f t="shared" si="1"/>
        <v>1242.04</v>
      </c>
      <c r="H7" s="37">
        <f t="shared" si="1"/>
        <v>1257.04</v>
      </c>
      <c r="I7" s="37">
        <f t="shared" si="1"/>
        <v>1281.54</v>
      </c>
      <c r="J7" s="37">
        <f t="shared" si="1"/>
        <v>1333.3400000000001</v>
      </c>
      <c r="K7" s="37">
        <f t="shared" si="1"/>
        <v>1402.22</v>
      </c>
      <c r="L7" s="37">
        <f t="shared" si="1"/>
        <v>1426.44</v>
      </c>
      <c r="M7" s="37">
        <f t="shared" si="1"/>
        <v>1471.87</v>
      </c>
      <c r="N7" s="37">
        <f t="shared" si="1"/>
        <v>1454.46</v>
      </c>
      <c r="O7" s="37">
        <f t="shared" si="1"/>
        <v>1490.37</v>
      </c>
      <c r="P7" s="37">
        <f t="shared" si="1"/>
        <v>1507.5499999999997</v>
      </c>
      <c r="Q7" s="37">
        <f t="shared" si="1"/>
        <v>1514.2400000000002</v>
      </c>
      <c r="R7" s="37">
        <f t="shared" si="1"/>
        <v>1545.2400000000002</v>
      </c>
      <c r="S7" s="37">
        <f t="shared" si="1"/>
        <v>1561.69</v>
      </c>
      <c r="T7" s="37">
        <f t="shared" si="1"/>
        <v>1486.94</v>
      </c>
      <c r="U7" s="37">
        <f t="shared" si="1"/>
        <v>1527.2400000000002</v>
      </c>
      <c r="V7" s="37">
        <f t="shared" si="1"/>
        <v>1511.74</v>
      </c>
      <c r="W7" s="37">
        <f t="shared" si="1"/>
        <v>1440.04</v>
      </c>
      <c r="X7" s="37">
        <f t="shared" si="1"/>
        <v>1467.8400000000001</v>
      </c>
      <c r="Y7" s="37">
        <f t="shared" si="1"/>
        <v>1509.54</v>
      </c>
      <c r="Z7" s="37">
        <f t="shared" si="1"/>
        <v>1528.7400000000002</v>
      </c>
      <c r="AA7" s="37">
        <f t="shared" si="1"/>
        <v>1566.7200000000003</v>
      </c>
      <c r="AB7" s="37">
        <f t="shared" si="1"/>
        <v>1496.14</v>
      </c>
      <c r="AC7" s="37">
        <f t="shared" si="1"/>
        <v>1515.6399999999999</v>
      </c>
      <c r="AD7" s="37">
        <f t="shared" si="1"/>
        <v>1480.94</v>
      </c>
      <c r="AE7" s="37">
        <f t="shared" si="1"/>
        <v>1467.64</v>
      </c>
      <c r="AF7" s="37">
        <f t="shared" si="1"/>
        <v>1436.44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210</v>
      </c>
      <c r="C11" s="49">
        <v>210</v>
      </c>
      <c r="D11" s="49">
        <v>210</v>
      </c>
      <c r="E11" s="51">
        <v>210</v>
      </c>
      <c r="F11" s="51">
        <v>172</v>
      </c>
      <c r="G11" s="51">
        <v>190</v>
      </c>
      <c r="H11" s="51">
        <v>190</v>
      </c>
      <c r="I11" s="51">
        <v>200</v>
      </c>
      <c r="J11" s="51">
        <v>220</v>
      </c>
      <c r="K11" s="51">
        <v>242</v>
      </c>
      <c r="L11" s="52">
        <v>245</v>
      </c>
      <c r="M11" s="51">
        <v>280</v>
      </c>
      <c r="N11" s="51">
        <v>290</v>
      </c>
      <c r="O11" s="51">
        <v>300</v>
      </c>
      <c r="P11" s="51">
        <v>300</v>
      </c>
      <c r="Q11" s="51">
        <v>340</v>
      </c>
      <c r="R11" s="51">
        <v>350</v>
      </c>
      <c r="S11" s="51">
        <v>326</v>
      </c>
      <c r="T11" s="51">
        <v>253</v>
      </c>
      <c r="U11" s="51">
        <v>255</v>
      </c>
      <c r="V11" s="51">
        <v>214</v>
      </c>
      <c r="W11" s="51">
        <v>209</v>
      </c>
      <c r="X11" s="49">
        <v>200</v>
      </c>
      <c r="Y11" s="49">
        <v>187</v>
      </c>
      <c r="Z11" s="49">
        <v>240</v>
      </c>
      <c r="AA11" s="49">
        <v>331</v>
      </c>
      <c r="AB11" s="49">
        <v>250</v>
      </c>
      <c r="AC11" s="49">
        <v>245</v>
      </c>
      <c r="AD11" s="49">
        <v>240</v>
      </c>
      <c r="AE11" s="49">
        <v>230</v>
      </c>
      <c r="AF11" s="49">
        <v>185</v>
      </c>
      <c r="AG11" s="53">
        <v>456</v>
      </c>
      <c r="AH11" s="54">
        <f>MAX(B11:AF11)</f>
        <v>350</v>
      </c>
      <c r="AI11" s="55">
        <f>MIN(B11:AF11)</f>
        <v>172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43</v>
      </c>
      <c r="C12" s="51">
        <v>43</v>
      </c>
      <c r="D12" s="51">
        <v>43</v>
      </c>
      <c r="E12" s="51">
        <v>43</v>
      </c>
      <c r="F12" s="51">
        <v>43</v>
      </c>
      <c r="G12" s="51">
        <v>43</v>
      </c>
      <c r="H12" s="51">
        <v>43</v>
      </c>
      <c r="I12" s="51">
        <v>43</v>
      </c>
      <c r="J12" s="51">
        <v>43</v>
      </c>
      <c r="K12" s="51">
        <v>43</v>
      </c>
      <c r="L12" s="51">
        <v>43</v>
      </c>
      <c r="M12" s="51">
        <v>35.6</v>
      </c>
      <c r="N12" s="51">
        <v>35.6</v>
      </c>
      <c r="O12" s="51">
        <v>35.6</v>
      </c>
      <c r="P12" s="51">
        <v>35.6</v>
      </c>
      <c r="Q12" s="51">
        <v>35.6</v>
      </c>
      <c r="R12" s="51">
        <v>35.6</v>
      </c>
      <c r="S12" s="51">
        <v>35.6</v>
      </c>
      <c r="T12" s="51">
        <v>43</v>
      </c>
      <c r="U12" s="51">
        <v>43</v>
      </c>
      <c r="V12" s="51">
        <v>43</v>
      </c>
      <c r="W12" s="51">
        <v>43</v>
      </c>
      <c r="X12" s="51">
        <v>43</v>
      </c>
      <c r="Y12" s="51">
        <v>43</v>
      </c>
      <c r="Z12" s="51">
        <v>43</v>
      </c>
      <c r="AA12" s="51">
        <v>43</v>
      </c>
      <c r="AB12" s="51">
        <v>43</v>
      </c>
      <c r="AC12" s="51">
        <v>43</v>
      </c>
      <c r="AD12" s="51">
        <v>43</v>
      </c>
      <c r="AE12" s="51">
        <v>43</v>
      </c>
      <c r="AF12" s="51">
        <v>43</v>
      </c>
      <c r="AG12" s="58">
        <v>60</v>
      </c>
      <c r="AH12" s="54">
        <f t="shared" ref="AH12:AH75" si="2">MAX(B12:AF12)</f>
        <v>43</v>
      </c>
      <c r="AI12" s="55">
        <f t="shared" ref="AI12:AI75" si="3">MIN(B12:AF12)</f>
        <v>35.6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21.5</v>
      </c>
      <c r="C13" s="51">
        <v>21.5</v>
      </c>
      <c r="D13" s="51">
        <v>21.5</v>
      </c>
      <c r="E13" s="51">
        <v>22.3</v>
      </c>
      <c r="F13" s="51">
        <v>22.3</v>
      </c>
      <c r="G13" s="51">
        <v>22.3</v>
      </c>
      <c r="H13" s="51">
        <v>22.3</v>
      </c>
      <c r="I13" s="51">
        <v>22.3</v>
      </c>
      <c r="J13" s="51">
        <v>22.3</v>
      </c>
      <c r="K13" s="51">
        <v>22.3</v>
      </c>
      <c r="L13" s="51">
        <v>21.2</v>
      </c>
      <c r="M13" s="51">
        <v>21.1</v>
      </c>
      <c r="N13" s="51">
        <v>21.1</v>
      </c>
      <c r="O13" s="51">
        <v>21.1</v>
      </c>
      <c r="P13" s="51">
        <v>21.1</v>
      </c>
      <c r="Q13" s="51">
        <v>21.2</v>
      </c>
      <c r="R13" s="51">
        <v>21.2</v>
      </c>
      <c r="S13" s="51">
        <v>21.2</v>
      </c>
      <c r="T13" s="51">
        <v>21.2</v>
      </c>
      <c r="U13" s="51">
        <v>19</v>
      </c>
      <c r="V13" s="51">
        <v>19</v>
      </c>
      <c r="W13" s="51">
        <v>19</v>
      </c>
      <c r="X13" s="51">
        <v>19</v>
      </c>
      <c r="Y13" s="51">
        <v>19</v>
      </c>
      <c r="Z13" s="51">
        <v>19.600000000000001</v>
      </c>
      <c r="AA13" s="51">
        <v>19.600000000000001</v>
      </c>
      <c r="AB13" s="51">
        <v>22.3</v>
      </c>
      <c r="AC13" s="51">
        <v>23.9</v>
      </c>
      <c r="AD13" s="51">
        <v>22.2</v>
      </c>
      <c r="AE13" s="51">
        <v>18.3</v>
      </c>
      <c r="AF13" s="51">
        <v>18.3</v>
      </c>
      <c r="AG13" s="58">
        <v>52.4</v>
      </c>
      <c r="AH13" s="54">
        <f t="shared" si="2"/>
        <v>23.9</v>
      </c>
      <c r="AI13" s="55">
        <f t="shared" si="3"/>
        <v>18.3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50.3</v>
      </c>
      <c r="C14" s="51">
        <v>50.3</v>
      </c>
      <c r="D14" s="51">
        <v>50.3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50.4</v>
      </c>
      <c r="M14" s="51">
        <v>50.4</v>
      </c>
      <c r="N14" s="51">
        <v>50.4</v>
      </c>
      <c r="O14" s="51">
        <v>50.4</v>
      </c>
      <c r="P14" s="51">
        <v>50.4</v>
      </c>
      <c r="Q14" s="51">
        <v>50.1</v>
      </c>
      <c r="R14" s="51">
        <v>50.1</v>
      </c>
      <c r="S14" s="51">
        <v>50.1</v>
      </c>
      <c r="T14" s="51">
        <v>50.1</v>
      </c>
      <c r="U14" s="51">
        <v>50.1</v>
      </c>
      <c r="V14" s="51">
        <v>50.1</v>
      </c>
      <c r="W14" s="51">
        <v>50.1</v>
      </c>
      <c r="X14" s="51">
        <v>50.1</v>
      </c>
      <c r="Y14" s="51">
        <v>50.1</v>
      </c>
      <c r="Z14" s="51">
        <v>50.1</v>
      </c>
      <c r="AA14" s="51">
        <v>50.2</v>
      </c>
      <c r="AB14" s="51">
        <v>50.5</v>
      </c>
      <c r="AC14" s="51">
        <v>50.3</v>
      </c>
      <c r="AD14" s="51">
        <v>50.3</v>
      </c>
      <c r="AE14" s="51">
        <v>50.3</v>
      </c>
      <c r="AF14" s="51">
        <v>50.3</v>
      </c>
      <c r="AG14" s="58">
        <v>50</v>
      </c>
      <c r="AH14" s="54">
        <f t="shared" si="2"/>
        <v>50.5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24</v>
      </c>
      <c r="C15" s="51">
        <v>24</v>
      </c>
      <c r="D15" s="51">
        <v>24</v>
      </c>
      <c r="E15" s="51">
        <v>24</v>
      </c>
      <c r="F15" s="51">
        <v>24</v>
      </c>
      <c r="G15" s="51">
        <v>24</v>
      </c>
      <c r="H15" s="51">
        <v>24</v>
      </c>
      <c r="I15" s="51">
        <v>24</v>
      </c>
      <c r="J15" s="51">
        <v>24</v>
      </c>
      <c r="K15" s="51">
        <v>24</v>
      </c>
      <c r="L15" s="51">
        <v>24</v>
      </c>
      <c r="M15" s="51">
        <v>23.5</v>
      </c>
      <c r="N15" s="51">
        <v>23.5</v>
      </c>
      <c r="O15" s="51">
        <v>23.5</v>
      </c>
      <c r="P15" s="51">
        <v>23.5</v>
      </c>
      <c r="Q15" s="51">
        <v>23.5</v>
      </c>
      <c r="R15" s="51">
        <v>23.5</v>
      </c>
      <c r="S15" s="51">
        <v>23.5</v>
      </c>
      <c r="T15" s="51">
        <v>23.5</v>
      </c>
      <c r="U15" s="51">
        <v>23.5</v>
      </c>
      <c r="V15" s="51">
        <v>23.5</v>
      </c>
      <c r="W15" s="51">
        <v>23.5</v>
      </c>
      <c r="X15" s="51">
        <v>23.5</v>
      </c>
      <c r="Y15" s="51">
        <v>23.5</v>
      </c>
      <c r="Z15" s="51">
        <v>23.5</v>
      </c>
      <c r="AA15" s="51">
        <v>24.3</v>
      </c>
      <c r="AB15" s="51">
        <v>23.8</v>
      </c>
      <c r="AC15" s="51">
        <v>23.9</v>
      </c>
      <c r="AD15" s="51">
        <v>23.9</v>
      </c>
      <c r="AE15" s="51">
        <v>23.9</v>
      </c>
      <c r="AF15" s="51">
        <v>23.9</v>
      </c>
      <c r="AG15" s="59">
        <v>45</v>
      </c>
      <c r="AH15" s="54">
        <f t="shared" si="2"/>
        <v>24.3</v>
      </c>
      <c r="AI15" s="55">
        <f t="shared" si="3"/>
        <v>23.5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28</v>
      </c>
      <c r="C16" s="51">
        <v>28</v>
      </c>
      <c r="D16" s="51">
        <v>28</v>
      </c>
      <c r="E16" s="51">
        <v>28</v>
      </c>
      <c r="F16" s="51">
        <v>28</v>
      </c>
      <c r="G16" s="51">
        <v>28</v>
      </c>
      <c r="H16" s="51">
        <v>28</v>
      </c>
      <c r="I16" s="51">
        <v>28</v>
      </c>
      <c r="J16" s="51">
        <v>28</v>
      </c>
      <c r="K16" s="51">
        <v>28</v>
      </c>
      <c r="L16" s="51">
        <v>28</v>
      </c>
      <c r="M16" s="51">
        <v>28</v>
      </c>
      <c r="N16" s="51">
        <v>28</v>
      </c>
      <c r="O16" s="51">
        <v>28</v>
      </c>
      <c r="P16" s="51">
        <v>28</v>
      </c>
      <c r="Q16" s="51">
        <v>28</v>
      </c>
      <c r="R16" s="51">
        <v>28</v>
      </c>
      <c r="S16" s="51">
        <v>24</v>
      </c>
      <c r="T16" s="51">
        <v>24</v>
      </c>
      <c r="U16" s="51">
        <v>24</v>
      </c>
      <c r="V16" s="51">
        <v>24</v>
      </c>
      <c r="W16" s="51">
        <v>24</v>
      </c>
      <c r="X16" s="51">
        <v>24</v>
      </c>
      <c r="Y16" s="51">
        <v>24</v>
      </c>
      <c r="Z16" s="51">
        <v>24</v>
      </c>
      <c r="AA16" s="51">
        <v>24</v>
      </c>
      <c r="AB16" s="51">
        <v>24</v>
      </c>
      <c r="AC16" s="51">
        <v>24</v>
      </c>
      <c r="AD16" s="51">
        <v>24</v>
      </c>
      <c r="AE16" s="51">
        <v>24</v>
      </c>
      <c r="AF16" s="51">
        <v>24</v>
      </c>
      <c r="AG16" s="58">
        <v>45</v>
      </c>
      <c r="AH16" s="54">
        <f t="shared" si="2"/>
        <v>28</v>
      </c>
      <c r="AI16" s="55">
        <f t="shared" si="3"/>
        <v>24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21</v>
      </c>
      <c r="C17" s="51">
        <v>21</v>
      </c>
      <c r="D17" s="51">
        <v>21</v>
      </c>
      <c r="E17" s="51">
        <v>21</v>
      </c>
      <c r="F17" s="51">
        <v>21</v>
      </c>
      <c r="G17" s="51">
        <v>21</v>
      </c>
      <c r="H17" s="51">
        <v>21</v>
      </c>
      <c r="I17" s="51">
        <v>21</v>
      </c>
      <c r="J17" s="51">
        <v>21</v>
      </c>
      <c r="K17" s="51">
        <v>21</v>
      </c>
      <c r="L17" s="51">
        <v>21</v>
      </c>
      <c r="M17" s="51">
        <v>21</v>
      </c>
      <c r="N17" s="51">
        <v>21</v>
      </c>
      <c r="O17" s="51">
        <v>21</v>
      </c>
      <c r="P17" s="51">
        <v>21</v>
      </c>
      <c r="Q17" s="51">
        <v>21</v>
      </c>
      <c r="R17" s="51">
        <v>21</v>
      </c>
      <c r="S17" s="51">
        <v>21</v>
      </c>
      <c r="T17" s="51">
        <v>21</v>
      </c>
      <c r="U17" s="51">
        <v>21</v>
      </c>
      <c r="V17" s="51">
        <v>21</v>
      </c>
      <c r="W17" s="51">
        <v>21</v>
      </c>
      <c r="X17" s="51">
        <v>21</v>
      </c>
      <c r="Y17" s="51">
        <v>21</v>
      </c>
      <c r="Z17" s="51">
        <v>21</v>
      </c>
      <c r="AA17" s="51">
        <v>21</v>
      </c>
      <c r="AB17" s="51">
        <v>21</v>
      </c>
      <c r="AC17" s="51">
        <v>21</v>
      </c>
      <c r="AD17" s="51">
        <v>21</v>
      </c>
      <c r="AE17" s="51">
        <v>21</v>
      </c>
      <c r="AF17" s="51">
        <v>21</v>
      </c>
      <c r="AG17" s="58">
        <v>42</v>
      </c>
      <c r="AH17" s="54">
        <f t="shared" si="2"/>
        <v>21</v>
      </c>
      <c r="AI17" s="55">
        <f t="shared" si="3"/>
        <v>21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58">
        <v>36</v>
      </c>
      <c r="AH18" s="54">
        <f t="shared" si="2"/>
        <v>13.2</v>
      </c>
      <c r="AI18" s="55">
        <f t="shared" si="3"/>
        <v>13.2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25</v>
      </c>
      <c r="C19" s="51">
        <v>25</v>
      </c>
      <c r="D19" s="51">
        <v>25</v>
      </c>
      <c r="E19" s="51">
        <v>25</v>
      </c>
      <c r="F19" s="51">
        <v>25</v>
      </c>
      <c r="G19" s="51">
        <v>25</v>
      </c>
      <c r="H19" s="51">
        <v>25</v>
      </c>
      <c r="I19" s="51">
        <v>25</v>
      </c>
      <c r="J19" s="51">
        <v>25</v>
      </c>
      <c r="K19" s="51">
        <v>25</v>
      </c>
      <c r="L19" s="51">
        <v>25</v>
      </c>
      <c r="M19" s="51">
        <v>19.510000000000002</v>
      </c>
      <c r="N19" s="51">
        <v>21.63</v>
      </c>
      <c r="O19" s="51">
        <v>20.440000000000001</v>
      </c>
      <c r="P19" s="51">
        <v>20.100000000000001</v>
      </c>
      <c r="Q19" s="51">
        <v>19.100000000000001</v>
      </c>
      <c r="R19" s="51">
        <v>19.100000000000001</v>
      </c>
      <c r="S19" s="51">
        <v>19.100000000000001</v>
      </c>
      <c r="T19" s="51">
        <v>19.100000000000001</v>
      </c>
      <c r="U19" s="51">
        <v>19.100000000000001</v>
      </c>
      <c r="V19" s="51">
        <v>19.100000000000001</v>
      </c>
      <c r="W19" s="51">
        <v>19.100000000000001</v>
      </c>
      <c r="X19" s="51">
        <v>19.100000000000001</v>
      </c>
      <c r="Y19" s="51">
        <v>19.100000000000001</v>
      </c>
      <c r="Z19" s="51">
        <v>19.100000000000001</v>
      </c>
      <c r="AA19" s="51">
        <v>19.100000000000001</v>
      </c>
      <c r="AB19" s="51">
        <v>19.100000000000001</v>
      </c>
      <c r="AC19" s="51">
        <v>19.100000000000001</v>
      </c>
      <c r="AD19" s="51">
        <v>19.100000000000001</v>
      </c>
      <c r="AE19" s="51">
        <v>19.100000000000001</v>
      </c>
      <c r="AF19" s="51">
        <v>19.100000000000001</v>
      </c>
      <c r="AG19" s="58">
        <v>30</v>
      </c>
      <c r="AH19" s="54">
        <f t="shared" si="2"/>
        <v>25</v>
      </c>
      <c r="AI19" s="55">
        <f t="shared" si="3"/>
        <v>19.100000000000001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12</v>
      </c>
      <c r="C20" s="51">
        <v>12</v>
      </c>
      <c r="D20" s="51">
        <v>12</v>
      </c>
      <c r="E20" s="51">
        <v>12</v>
      </c>
      <c r="F20" s="51">
        <v>12</v>
      </c>
      <c r="G20" s="51">
        <v>12</v>
      </c>
      <c r="H20" s="51">
        <v>12</v>
      </c>
      <c r="I20" s="51">
        <v>12</v>
      </c>
      <c r="J20" s="51">
        <v>12</v>
      </c>
      <c r="K20" s="51">
        <v>12</v>
      </c>
      <c r="L20" s="51">
        <v>12</v>
      </c>
      <c r="M20" s="51">
        <v>12</v>
      </c>
      <c r="N20" s="51">
        <v>12</v>
      </c>
      <c r="O20" s="51">
        <v>12</v>
      </c>
      <c r="P20" s="51">
        <v>12</v>
      </c>
      <c r="Q20" s="51">
        <v>12</v>
      </c>
      <c r="R20" s="51">
        <v>12</v>
      </c>
      <c r="S20" s="51">
        <v>12</v>
      </c>
      <c r="T20" s="51">
        <v>12</v>
      </c>
      <c r="U20" s="51">
        <v>12</v>
      </c>
      <c r="V20" s="51">
        <v>12</v>
      </c>
      <c r="W20" s="51">
        <v>12</v>
      </c>
      <c r="X20" s="51">
        <v>12</v>
      </c>
      <c r="Y20" s="51">
        <v>12</v>
      </c>
      <c r="Z20" s="51">
        <v>12</v>
      </c>
      <c r="AA20" s="51">
        <v>12</v>
      </c>
      <c r="AB20" s="51">
        <v>12</v>
      </c>
      <c r="AC20" s="51">
        <v>12</v>
      </c>
      <c r="AD20" s="51">
        <v>12</v>
      </c>
      <c r="AE20" s="51">
        <v>12</v>
      </c>
      <c r="AF20" s="51">
        <v>12</v>
      </c>
      <c r="AG20" s="58">
        <v>27</v>
      </c>
      <c r="AH20" s="54">
        <f t="shared" si="2"/>
        <v>12</v>
      </c>
      <c r="AI20" s="55">
        <f t="shared" si="3"/>
        <v>12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8">
        <v>25</v>
      </c>
      <c r="AH22" s="54">
        <f t="shared" si="2"/>
        <v>22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15</v>
      </c>
      <c r="C24" s="51">
        <v>16</v>
      </c>
      <c r="D24" s="51">
        <v>16</v>
      </c>
      <c r="E24" s="51">
        <v>16</v>
      </c>
      <c r="F24" s="51">
        <v>16</v>
      </c>
      <c r="G24" s="51">
        <v>16</v>
      </c>
      <c r="H24" s="51">
        <v>16</v>
      </c>
      <c r="I24" s="51">
        <v>16</v>
      </c>
      <c r="J24" s="51">
        <v>16</v>
      </c>
      <c r="K24" s="51">
        <v>16</v>
      </c>
      <c r="L24" s="51">
        <v>16</v>
      </c>
      <c r="M24" s="51">
        <v>12.72</v>
      </c>
      <c r="N24" s="51">
        <v>11.89</v>
      </c>
      <c r="O24" s="51">
        <v>11.79</v>
      </c>
      <c r="P24" s="51">
        <v>11.81</v>
      </c>
      <c r="Q24" s="51">
        <v>11.7</v>
      </c>
      <c r="R24" s="51">
        <v>11.7</v>
      </c>
      <c r="S24" s="51">
        <v>11.7</v>
      </c>
      <c r="T24" s="51">
        <v>11.7</v>
      </c>
      <c r="U24" s="51">
        <v>11.7</v>
      </c>
      <c r="V24" s="51">
        <v>11.7</v>
      </c>
      <c r="W24" s="51">
        <v>11.7</v>
      </c>
      <c r="X24" s="51">
        <v>11.7</v>
      </c>
      <c r="Y24" s="51">
        <v>11.7</v>
      </c>
      <c r="Z24" s="51">
        <v>11.7</v>
      </c>
      <c r="AA24" s="51">
        <v>11.7</v>
      </c>
      <c r="AB24" s="51">
        <v>11.7</v>
      </c>
      <c r="AC24" s="51">
        <v>11.7</v>
      </c>
      <c r="AD24" s="51">
        <v>11.7</v>
      </c>
      <c r="AE24" s="51">
        <v>11.7</v>
      </c>
      <c r="AF24" s="51">
        <v>11.7</v>
      </c>
      <c r="AG24" s="58">
        <v>25</v>
      </c>
      <c r="AH24" s="54">
        <f t="shared" si="2"/>
        <v>16</v>
      </c>
      <c r="AI24" s="55">
        <f t="shared" si="3"/>
        <v>11.7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4</v>
      </c>
      <c r="C26" s="51">
        <v>8</v>
      </c>
      <c r="D26" s="51">
        <v>8</v>
      </c>
      <c r="E26" s="51">
        <v>8</v>
      </c>
      <c r="F26" s="51">
        <v>8</v>
      </c>
      <c r="G26" s="51">
        <v>8</v>
      </c>
      <c r="H26" s="51">
        <v>8</v>
      </c>
      <c r="I26" s="51">
        <v>8</v>
      </c>
      <c r="J26" s="51">
        <v>8</v>
      </c>
      <c r="K26" s="51">
        <v>8</v>
      </c>
      <c r="L26" s="51">
        <v>8</v>
      </c>
      <c r="M26" s="51">
        <v>8</v>
      </c>
      <c r="N26" s="51">
        <v>8</v>
      </c>
      <c r="O26" s="51">
        <v>8</v>
      </c>
      <c r="P26" s="51">
        <v>8</v>
      </c>
      <c r="Q26" s="51">
        <v>8</v>
      </c>
      <c r="R26" s="51">
        <v>8</v>
      </c>
      <c r="S26" s="51">
        <v>8</v>
      </c>
      <c r="T26" s="51">
        <v>8</v>
      </c>
      <c r="U26" s="51">
        <v>8</v>
      </c>
      <c r="V26" s="51">
        <v>8</v>
      </c>
      <c r="W26" s="51">
        <v>8</v>
      </c>
      <c r="X26" s="51">
        <v>8</v>
      </c>
      <c r="Y26" s="51">
        <v>8</v>
      </c>
      <c r="Z26" s="51">
        <v>8</v>
      </c>
      <c r="AA26" s="51">
        <v>8</v>
      </c>
      <c r="AB26" s="51">
        <v>8</v>
      </c>
      <c r="AC26" s="51">
        <v>8</v>
      </c>
      <c r="AD26" s="51">
        <v>8</v>
      </c>
      <c r="AE26" s="51">
        <v>8</v>
      </c>
      <c r="AF26" s="51">
        <v>8</v>
      </c>
      <c r="AG26" s="58">
        <v>20</v>
      </c>
      <c r="AH26" s="54">
        <f t="shared" si="2"/>
        <v>8</v>
      </c>
      <c r="AI26" s="55">
        <f t="shared" si="3"/>
        <v>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6</v>
      </c>
      <c r="K29" s="51">
        <v>6</v>
      </c>
      <c r="L29" s="51">
        <v>6</v>
      </c>
      <c r="M29" s="51">
        <v>6</v>
      </c>
      <c r="N29" s="51">
        <v>6</v>
      </c>
      <c r="O29" s="51">
        <v>6</v>
      </c>
      <c r="P29" s="51">
        <v>6</v>
      </c>
      <c r="Q29" s="51">
        <v>6</v>
      </c>
      <c r="R29" s="51">
        <v>6</v>
      </c>
      <c r="S29" s="51">
        <v>6</v>
      </c>
      <c r="T29" s="51">
        <v>6</v>
      </c>
      <c r="U29" s="51">
        <v>6</v>
      </c>
      <c r="V29" s="51">
        <v>6</v>
      </c>
      <c r="W29" s="51">
        <v>6</v>
      </c>
      <c r="X29" s="51">
        <v>6</v>
      </c>
      <c r="Y29" s="51">
        <v>6</v>
      </c>
      <c r="Z29" s="51">
        <v>6</v>
      </c>
      <c r="AA29" s="51">
        <v>6</v>
      </c>
      <c r="AB29" s="51">
        <v>6</v>
      </c>
      <c r="AC29" s="51">
        <v>6</v>
      </c>
      <c r="AD29" s="51">
        <v>6</v>
      </c>
      <c r="AE29" s="51">
        <v>6</v>
      </c>
      <c r="AF29" s="51">
        <v>6</v>
      </c>
      <c r="AG29" s="58">
        <v>22.1</v>
      </c>
      <c r="AH29" s="54">
        <f t="shared" si="2"/>
        <v>6</v>
      </c>
      <c r="AI29" s="55">
        <f t="shared" si="3"/>
        <v>6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8">
        <v>22.1</v>
      </c>
      <c r="AH30" s="54">
        <f t="shared" si="2"/>
        <v>12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5</v>
      </c>
      <c r="C32" s="51">
        <v>5</v>
      </c>
      <c r="D32" s="51">
        <v>5</v>
      </c>
      <c r="E32" s="51">
        <v>5</v>
      </c>
      <c r="F32" s="51">
        <v>5</v>
      </c>
      <c r="G32" s="51">
        <v>5</v>
      </c>
      <c r="H32" s="51">
        <v>5</v>
      </c>
      <c r="I32" s="51">
        <v>5</v>
      </c>
      <c r="J32" s="51">
        <v>5</v>
      </c>
      <c r="K32" s="51">
        <v>5</v>
      </c>
      <c r="L32" s="51">
        <v>5</v>
      </c>
      <c r="M32" s="51">
        <v>5</v>
      </c>
      <c r="N32" s="51">
        <v>5</v>
      </c>
      <c r="O32" s="51">
        <v>5</v>
      </c>
      <c r="P32" s="51">
        <v>5</v>
      </c>
      <c r="Q32" s="51">
        <v>5</v>
      </c>
      <c r="R32" s="51">
        <v>5</v>
      </c>
      <c r="S32" s="51">
        <v>5</v>
      </c>
      <c r="T32" s="51">
        <v>5</v>
      </c>
      <c r="U32" s="51">
        <v>5</v>
      </c>
      <c r="V32" s="51">
        <v>5</v>
      </c>
      <c r="W32" s="51">
        <v>5</v>
      </c>
      <c r="X32" s="51">
        <v>5</v>
      </c>
      <c r="Y32" s="51">
        <v>5</v>
      </c>
      <c r="Z32" s="51">
        <v>5</v>
      </c>
      <c r="AA32" s="51">
        <v>5</v>
      </c>
      <c r="AB32" s="51">
        <v>5</v>
      </c>
      <c r="AC32" s="51">
        <v>5</v>
      </c>
      <c r="AD32" s="51">
        <v>5</v>
      </c>
      <c r="AE32" s="51">
        <v>5</v>
      </c>
      <c r="AF32" s="51">
        <v>5</v>
      </c>
      <c r="AG32" s="63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4</v>
      </c>
      <c r="C34" s="51">
        <v>4</v>
      </c>
      <c r="D34" s="51">
        <v>4</v>
      </c>
      <c r="E34" s="51">
        <v>4</v>
      </c>
      <c r="F34" s="51">
        <v>4</v>
      </c>
      <c r="G34" s="51">
        <v>4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4</v>
      </c>
      <c r="N34" s="51">
        <v>4</v>
      </c>
      <c r="O34" s="51">
        <v>4</v>
      </c>
      <c r="P34" s="51">
        <v>4</v>
      </c>
      <c r="Q34" s="51">
        <v>4</v>
      </c>
      <c r="R34" s="51">
        <v>4</v>
      </c>
      <c r="S34" s="51">
        <v>4</v>
      </c>
      <c r="T34" s="51">
        <v>4</v>
      </c>
      <c r="U34" s="51">
        <v>4</v>
      </c>
      <c r="V34" s="51">
        <v>4</v>
      </c>
      <c r="W34" s="51">
        <v>4</v>
      </c>
      <c r="X34" s="51">
        <v>4</v>
      </c>
      <c r="Y34" s="51">
        <v>4</v>
      </c>
      <c r="Z34" s="51">
        <v>4</v>
      </c>
      <c r="AA34" s="51">
        <v>4</v>
      </c>
      <c r="AB34" s="51">
        <v>4</v>
      </c>
      <c r="AC34" s="51">
        <v>4</v>
      </c>
      <c r="AD34" s="51">
        <v>4</v>
      </c>
      <c r="AE34" s="51">
        <v>4</v>
      </c>
      <c r="AF34" s="51">
        <v>4</v>
      </c>
      <c r="AG34" s="63">
        <v>20</v>
      </c>
      <c r="AH34" s="54">
        <f t="shared" si="2"/>
        <v>4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74</v>
      </c>
      <c r="C37" s="67">
        <v>74</v>
      </c>
      <c r="D37" s="67">
        <v>75.900000000000006</v>
      </c>
      <c r="E37" s="65">
        <f>44.4+32.8</f>
        <v>77.199999999999989</v>
      </c>
      <c r="F37" s="65">
        <f>44.4+32.8</f>
        <v>77.199999999999989</v>
      </c>
      <c r="G37" s="65">
        <f t="shared" ref="G37:L37" si="4">44+30</f>
        <v>74</v>
      </c>
      <c r="H37" s="65">
        <f t="shared" si="4"/>
        <v>74</v>
      </c>
      <c r="I37" s="65">
        <f t="shared" si="4"/>
        <v>74</v>
      </c>
      <c r="J37" s="65">
        <f t="shared" si="4"/>
        <v>74</v>
      </c>
      <c r="K37" s="65">
        <f t="shared" si="4"/>
        <v>74</v>
      </c>
      <c r="L37" s="65">
        <f t="shared" si="4"/>
        <v>74</v>
      </c>
      <c r="M37" s="65">
        <f>43+31.2</f>
        <v>74.2</v>
      </c>
      <c r="N37" s="65">
        <f>43.1+30.8</f>
        <v>73.900000000000006</v>
      </c>
      <c r="O37" s="65">
        <f>42.8+33.5</f>
        <v>76.3</v>
      </c>
      <c r="P37" s="65">
        <f>40.8+34.3</f>
        <v>75.099999999999994</v>
      </c>
      <c r="Q37" s="65">
        <f>41+22.7</f>
        <v>63.7</v>
      </c>
      <c r="R37" s="65">
        <f>41+28.6</f>
        <v>69.599999999999994</v>
      </c>
      <c r="S37" s="65">
        <f>38.5+35</f>
        <v>73.5</v>
      </c>
      <c r="T37" s="65">
        <f>39+30.3</f>
        <v>69.3</v>
      </c>
      <c r="U37" s="65">
        <f>39.7+30.7</f>
        <v>70.400000000000006</v>
      </c>
      <c r="V37" s="65">
        <f>42.4+27.6</f>
        <v>70</v>
      </c>
      <c r="W37" s="65">
        <f>42.4+26.8</f>
        <v>69.2</v>
      </c>
      <c r="X37" s="65">
        <f>42.4+26.8</f>
        <v>69.2</v>
      </c>
      <c r="Y37" s="65">
        <f>38+18.8</f>
        <v>56.8</v>
      </c>
      <c r="Z37" s="65">
        <f>45.1+33</f>
        <v>78.099999999999994</v>
      </c>
      <c r="AA37" s="67">
        <v>75.5</v>
      </c>
      <c r="AB37" s="67">
        <v>81.099999999999994</v>
      </c>
      <c r="AC37" s="67">
        <v>83.1</v>
      </c>
      <c r="AD37" s="67">
        <v>83</v>
      </c>
      <c r="AE37" s="67">
        <v>81.8</v>
      </c>
      <c r="AF37" s="67">
        <v>71.8</v>
      </c>
      <c r="AG37" s="63">
        <v>240</v>
      </c>
      <c r="AH37" s="54">
        <f t="shared" si="2"/>
        <v>83.1</v>
      </c>
      <c r="AI37" s="55">
        <f t="shared" si="3"/>
        <v>56.8</v>
      </c>
      <c r="AK37" s="56"/>
    </row>
    <row r="38" spans="1:88" ht="15.75" thickBot="1" x14ac:dyDescent="0.3">
      <c r="A38" s="68" t="s">
        <v>46</v>
      </c>
      <c r="B38" s="69">
        <f t="shared" ref="B38:AF38" si="5">SUM(B11:B36)</f>
        <v>765.5</v>
      </c>
      <c r="C38" s="69">
        <f t="shared" si="5"/>
        <v>770.5</v>
      </c>
      <c r="D38" s="69">
        <f t="shared" si="5"/>
        <v>770.5</v>
      </c>
      <c r="E38" s="69">
        <f t="shared" si="5"/>
        <v>771.5</v>
      </c>
      <c r="F38" s="69">
        <f t="shared" si="5"/>
        <v>733.5</v>
      </c>
      <c r="G38" s="69">
        <f t="shared" si="5"/>
        <v>751.5</v>
      </c>
      <c r="H38" s="69">
        <f t="shared" si="5"/>
        <v>751.5</v>
      </c>
      <c r="I38" s="69">
        <f t="shared" si="5"/>
        <v>761.5</v>
      </c>
      <c r="J38" s="69">
        <f t="shared" si="5"/>
        <v>781.5</v>
      </c>
      <c r="K38" s="69">
        <f t="shared" si="5"/>
        <v>803.5</v>
      </c>
      <c r="L38" s="69">
        <f t="shared" si="5"/>
        <v>805.3</v>
      </c>
      <c r="M38" s="69">
        <f t="shared" si="5"/>
        <v>823.53</v>
      </c>
      <c r="N38" s="69">
        <f t="shared" si="5"/>
        <v>834.82</v>
      </c>
      <c r="O38" s="69">
        <f t="shared" si="5"/>
        <v>843.53</v>
      </c>
      <c r="P38" s="69">
        <f t="shared" si="5"/>
        <v>843.20999999999992</v>
      </c>
      <c r="Q38" s="69">
        <f t="shared" si="5"/>
        <v>869.9000000000002</v>
      </c>
      <c r="R38" s="69">
        <f t="shared" si="5"/>
        <v>879.9000000000002</v>
      </c>
      <c r="S38" s="69">
        <f t="shared" si="5"/>
        <v>851.90000000000009</v>
      </c>
      <c r="T38" s="69">
        <f t="shared" si="5"/>
        <v>786.30000000000007</v>
      </c>
      <c r="U38" s="69">
        <f t="shared" si="5"/>
        <v>786.10000000000014</v>
      </c>
      <c r="V38" s="69">
        <f t="shared" si="5"/>
        <v>745.1</v>
      </c>
      <c r="W38" s="69">
        <f t="shared" si="5"/>
        <v>740.1</v>
      </c>
      <c r="X38" s="69">
        <f t="shared" si="5"/>
        <v>731.1</v>
      </c>
      <c r="Y38" s="69">
        <f t="shared" si="5"/>
        <v>718.1</v>
      </c>
      <c r="Z38" s="69">
        <f t="shared" si="5"/>
        <v>771.7</v>
      </c>
      <c r="AA38" s="69">
        <v>863.60000000000014</v>
      </c>
      <c r="AB38" s="69">
        <f t="shared" si="5"/>
        <v>785.1</v>
      </c>
      <c r="AC38" s="69">
        <f t="shared" si="5"/>
        <v>781.6</v>
      </c>
      <c r="AD38" s="69">
        <f t="shared" si="5"/>
        <v>774.9</v>
      </c>
      <c r="AE38" s="69">
        <f t="shared" si="5"/>
        <v>761</v>
      </c>
      <c r="AF38" s="69">
        <f t="shared" si="5"/>
        <v>716</v>
      </c>
      <c r="AG38" s="63">
        <f>SUM(AG11:AG37)</f>
        <v>1492.8299999999997</v>
      </c>
      <c r="AH38" s="54">
        <f t="shared" si="2"/>
        <v>879.9000000000002</v>
      </c>
      <c r="AI38" s="55">
        <f t="shared" si="3"/>
        <v>716</v>
      </c>
      <c r="AK38" s="56"/>
    </row>
    <row r="39" spans="1:88" x14ac:dyDescent="0.25">
      <c r="A39" s="57" t="s">
        <v>47</v>
      </c>
      <c r="B39" s="51">
        <v>145</v>
      </c>
      <c r="C39" s="51">
        <v>143</v>
      </c>
      <c r="D39" s="51">
        <v>143</v>
      </c>
      <c r="E39" s="51">
        <v>143.4</v>
      </c>
      <c r="F39" s="51">
        <v>143.4</v>
      </c>
      <c r="G39" s="51">
        <v>143.5</v>
      </c>
      <c r="H39" s="51">
        <v>143.5</v>
      </c>
      <c r="I39" s="51">
        <v>143.5</v>
      </c>
      <c r="J39" s="51">
        <v>143.5</v>
      </c>
      <c r="K39" s="51">
        <v>143.5</v>
      </c>
      <c r="L39" s="51">
        <v>145</v>
      </c>
      <c r="M39" s="51">
        <v>145.5</v>
      </c>
      <c r="N39" s="51">
        <v>145.5</v>
      </c>
      <c r="O39" s="51">
        <v>145.5</v>
      </c>
      <c r="P39" s="51">
        <v>145.69999999999999</v>
      </c>
      <c r="Q39" s="51">
        <v>145.4</v>
      </c>
      <c r="R39" s="51">
        <v>145.30000000000001</v>
      </c>
      <c r="S39" s="51">
        <v>145.30000000000001</v>
      </c>
      <c r="T39" s="51">
        <v>114.2</v>
      </c>
      <c r="U39" s="51">
        <v>141.69999999999999</v>
      </c>
      <c r="V39" s="51">
        <v>141.4</v>
      </c>
      <c r="W39" s="51">
        <v>135.1</v>
      </c>
      <c r="X39" s="51">
        <v>145</v>
      </c>
      <c r="Y39" s="51">
        <v>145</v>
      </c>
      <c r="Z39" s="51">
        <v>145.5</v>
      </c>
      <c r="AA39" s="51">
        <v>145.30000000000001</v>
      </c>
      <c r="AB39" s="51">
        <v>141.19999999999999</v>
      </c>
      <c r="AC39" s="51">
        <v>130.19999999999999</v>
      </c>
      <c r="AD39" s="51">
        <v>141</v>
      </c>
      <c r="AE39" s="51">
        <v>145.4</v>
      </c>
      <c r="AF39" s="51">
        <v>145.5</v>
      </c>
      <c r="AG39" s="59">
        <v>144</v>
      </c>
      <c r="AH39" s="54">
        <f t="shared" si="2"/>
        <v>145.69999999999999</v>
      </c>
      <c r="AI39" s="55">
        <f t="shared" si="3"/>
        <v>114.2</v>
      </c>
      <c r="AK39" s="56"/>
    </row>
    <row r="40" spans="1:88" x14ac:dyDescent="0.25">
      <c r="A40" s="62" t="s">
        <v>48</v>
      </c>
      <c r="B40" s="70">
        <v>70.7</v>
      </c>
      <c r="C40" s="70">
        <v>71</v>
      </c>
      <c r="D40" s="70">
        <v>72.7</v>
      </c>
      <c r="E40" s="70">
        <v>68.7</v>
      </c>
      <c r="F40" s="70">
        <v>70.599999999999994</v>
      </c>
      <c r="G40" s="70">
        <v>71.900000000000006</v>
      </c>
      <c r="H40" s="70">
        <v>71.900000000000006</v>
      </c>
      <c r="I40" s="70">
        <v>71.900000000000006</v>
      </c>
      <c r="J40" s="70">
        <v>71.900000000000006</v>
      </c>
      <c r="K40" s="70">
        <v>71.900000000000006</v>
      </c>
      <c r="L40" s="70">
        <v>71.400000000000006</v>
      </c>
      <c r="M40" s="51">
        <v>71.3</v>
      </c>
      <c r="N40" s="51">
        <v>71.3</v>
      </c>
      <c r="O40" s="51">
        <v>71</v>
      </c>
      <c r="P40" s="51">
        <v>70.599999999999994</v>
      </c>
      <c r="Q40" s="51">
        <v>70.900000000000006</v>
      </c>
      <c r="R40" s="51">
        <v>70.5</v>
      </c>
      <c r="S40" s="51">
        <v>70.5</v>
      </c>
      <c r="T40" s="51">
        <v>70.7</v>
      </c>
      <c r="U40" s="51">
        <v>66.900000000000006</v>
      </c>
      <c r="V40" s="51">
        <v>70.5</v>
      </c>
      <c r="W40" s="51">
        <v>65.3</v>
      </c>
      <c r="X40" s="70">
        <v>72.599999999999994</v>
      </c>
      <c r="Y40" s="70">
        <v>66.8</v>
      </c>
      <c r="Z40" s="70">
        <v>66.8</v>
      </c>
      <c r="AA40" s="70">
        <v>68.900000000000006</v>
      </c>
      <c r="AB40" s="70">
        <v>65.099999999999994</v>
      </c>
      <c r="AC40" s="70">
        <v>65.400000000000006</v>
      </c>
      <c r="AD40" s="70">
        <v>70.2</v>
      </c>
      <c r="AE40" s="70">
        <v>69.7</v>
      </c>
      <c r="AF40" s="70">
        <v>70.900000000000006</v>
      </c>
      <c r="AG40" s="63">
        <v>70</v>
      </c>
      <c r="AH40" s="54">
        <f t="shared" si="2"/>
        <v>72.7</v>
      </c>
      <c r="AI40" s="55">
        <f t="shared" si="3"/>
        <v>65.099999999999994</v>
      </c>
      <c r="AK40" s="56"/>
    </row>
    <row r="41" spans="1:88" x14ac:dyDescent="0.25">
      <c r="A41" s="62" t="s">
        <v>49</v>
      </c>
      <c r="B41" s="70">
        <v>66</v>
      </c>
      <c r="C41" s="70">
        <v>70</v>
      </c>
      <c r="D41" s="70">
        <v>69.2</v>
      </c>
      <c r="E41" s="70">
        <v>65</v>
      </c>
      <c r="F41" s="70">
        <v>67.599999999999994</v>
      </c>
      <c r="G41" s="70">
        <v>69.5</v>
      </c>
      <c r="H41" s="70">
        <v>69.5</v>
      </c>
      <c r="I41" s="70">
        <v>69.5</v>
      </c>
      <c r="J41" s="70">
        <v>69.5</v>
      </c>
      <c r="K41" s="70">
        <v>69.5</v>
      </c>
      <c r="L41" s="70">
        <v>67.8</v>
      </c>
      <c r="M41" s="51">
        <v>69</v>
      </c>
      <c r="N41" s="51">
        <v>69</v>
      </c>
      <c r="O41" s="51">
        <v>69.7</v>
      </c>
      <c r="P41" s="51">
        <v>69.5</v>
      </c>
      <c r="Q41" s="51">
        <v>69.900000000000006</v>
      </c>
      <c r="R41" s="51">
        <v>69.900000000000006</v>
      </c>
      <c r="S41" s="51">
        <v>69.900000000000006</v>
      </c>
      <c r="T41" s="51">
        <v>58.3</v>
      </c>
      <c r="U41" s="51">
        <v>58.3</v>
      </c>
      <c r="V41" s="51">
        <v>65.8</v>
      </c>
      <c r="W41" s="51">
        <v>65.8</v>
      </c>
      <c r="X41" s="70">
        <v>69.3</v>
      </c>
      <c r="Y41" s="70">
        <v>69.900000000000006</v>
      </c>
      <c r="Z41" s="70">
        <v>68.8</v>
      </c>
      <c r="AA41" s="70">
        <v>69.2</v>
      </c>
      <c r="AB41" s="70">
        <v>60.2</v>
      </c>
      <c r="AC41" s="70">
        <v>60.7</v>
      </c>
      <c r="AD41" s="70">
        <v>68.3</v>
      </c>
      <c r="AE41" s="70">
        <v>68.400000000000006</v>
      </c>
      <c r="AF41" s="70">
        <v>69</v>
      </c>
      <c r="AG41" s="63">
        <v>69</v>
      </c>
      <c r="AH41" s="54">
        <f t="shared" si="2"/>
        <v>70</v>
      </c>
      <c r="AI41" s="55">
        <f t="shared" si="3"/>
        <v>58.3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60.7</v>
      </c>
      <c r="M42" s="51">
        <v>60.7</v>
      </c>
      <c r="N42" s="51">
        <v>60.7</v>
      </c>
      <c r="O42" s="51">
        <v>60.7</v>
      </c>
      <c r="P42" s="51">
        <v>60.7</v>
      </c>
      <c r="Q42" s="51">
        <v>60.9</v>
      </c>
      <c r="R42" s="51">
        <v>60.7</v>
      </c>
      <c r="S42" s="51">
        <v>60.7</v>
      </c>
      <c r="T42" s="51">
        <v>60.7</v>
      </c>
      <c r="U42" s="51">
        <v>60.7</v>
      </c>
      <c r="V42" s="51">
        <v>60.7</v>
      </c>
      <c r="W42" s="51">
        <v>60.7</v>
      </c>
      <c r="X42" s="70">
        <v>60.7</v>
      </c>
      <c r="Y42" s="70">
        <v>60.7</v>
      </c>
      <c r="Z42" s="70">
        <v>60.7</v>
      </c>
      <c r="AA42" s="70">
        <v>60.7</v>
      </c>
      <c r="AB42" s="65">
        <v>60.7</v>
      </c>
      <c r="AC42" s="65">
        <v>60.7</v>
      </c>
      <c r="AD42" s="65">
        <v>60.7</v>
      </c>
      <c r="AE42" s="65">
        <v>60.7</v>
      </c>
      <c r="AF42" s="65">
        <v>60.7</v>
      </c>
      <c r="AG42" s="63">
        <v>60</v>
      </c>
      <c r="AH42" s="54">
        <f t="shared" si="2"/>
        <v>60.9</v>
      </c>
      <c r="AI42" s="55">
        <f t="shared" si="3"/>
        <v>60.7</v>
      </c>
      <c r="AK42" s="56"/>
    </row>
    <row r="43" spans="1:88" x14ac:dyDescent="0.25">
      <c r="A43" s="62" t="s">
        <v>51</v>
      </c>
      <c r="B43" s="65">
        <v>10</v>
      </c>
      <c r="C43" s="65">
        <v>10</v>
      </c>
      <c r="D43" s="65">
        <v>10</v>
      </c>
      <c r="E43" s="65">
        <v>10</v>
      </c>
      <c r="F43" s="65">
        <v>10</v>
      </c>
      <c r="G43" s="65">
        <v>15</v>
      </c>
      <c r="H43" s="65">
        <v>20</v>
      </c>
      <c r="I43" s="65">
        <v>23</v>
      </c>
      <c r="J43" s="65">
        <v>23</v>
      </c>
      <c r="K43" s="65">
        <v>23</v>
      </c>
      <c r="L43" s="65">
        <v>23</v>
      </c>
      <c r="M43" s="51">
        <v>20</v>
      </c>
      <c r="N43" s="51">
        <v>21</v>
      </c>
      <c r="O43" s="51">
        <v>20</v>
      </c>
      <c r="P43" s="51">
        <v>20.6</v>
      </c>
      <c r="Q43" s="51">
        <v>20</v>
      </c>
      <c r="R43" s="51">
        <v>23</v>
      </c>
      <c r="S43" s="51">
        <v>23</v>
      </c>
      <c r="T43" s="51">
        <v>23</v>
      </c>
      <c r="U43" s="51">
        <v>23</v>
      </c>
      <c r="V43" s="51">
        <v>23</v>
      </c>
      <c r="W43" s="51">
        <v>0</v>
      </c>
      <c r="X43" s="70">
        <v>0</v>
      </c>
      <c r="Y43" s="70">
        <v>6.3</v>
      </c>
      <c r="Z43" s="70">
        <v>6.3</v>
      </c>
      <c r="AA43" s="70">
        <v>6.3</v>
      </c>
      <c r="AB43" s="65">
        <v>22.6</v>
      </c>
      <c r="AC43" s="65">
        <v>25</v>
      </c>
      <c r="AD43" s="65">
        <v>24</v>
      </c>
      <c r="AE43" s="65">
        <v>24</v>
      </c>
      <c r="AF43" s="65">
        <v>24</v>
      </c>
      <c r="AG43" s="63">
        <v>30</v>
      </c>
      <c r="AH43" s="54">
        <f t="shared" si="2"/>
        <v>25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65">
        <v>8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14.5</v>
      </c>
      <c r="C45" s="70">
        <v>14.5</v>
      </c>
      <c r="D45" s="70">
        <v>14.5</v>
      </c>
      <c r="E45" s="70">
        <v>14.5</v>
      </c>
      <c r="F45" s="70">
        <v>14.5</v>
      </c>
      <c r="G45" s="70">
        <v>14.5</v>
      </c>
      <c r="H45" s="70">
        <v>14.5</v>
      </c>
      <c r="I45" s="70">
        <v>14.5</v>
      </c>
      <c r="J45" s="70">
        <v>14.5</v>
      </c>
      <c r="K45" s="70">
        <v>14.5</v>
      </c>
      <c r="L45" s="70">
        <v>14.5</v>
      </c>
      <c r="M45" s="51">
        <v>14.3</v>
      </c>
      <c r="N45" s="51">
        <v>14.3</v>
      </c>
      <c r="O45" s="51">
        <v>14.4</v>
      </c>
      <c r="P45" s="51">
        <v>14.4</v>
      </c>
      <c r="Q45" s="51">
        <v>14.4</v>
      </c>
      <c r="R45" s="51">
        <v>14.4</v>
      </c>
      <c r="S45" s="51">
        <v>14.4</v>
      </c>
      <c r="T45" s="51">
        <v>14.4</v>
      </c>
      <c r="U45" s="51">
        <v>14.4</v>
      </c>
      <c r="V45" s="51">
        <v>14.4</v>
      </c>
      <c r="W45" s="51">
        <v>14.4</v>
      </c>
      <c r="X45" s="51">
        <v>14.4</v>
      </c>
      <c r="Y45" s="51">
        <v>14.3</v>
      </c>
      <c r="Z45" s="51">
        <v>14.3</v>
      </c>
      <c r="AA45" s="51">
        <v>14.3</v>
      </c>
      <c r="AB45" s="51">
        <v>14.3</v>
      </c>
      <c r="AC45" s="70">
        <v>14.2</v>
      </c>
      <c r="AD45" s="70">
        <v>13.8</v>
      </c>
      <c r="AE45" s="70">
        <v>14.3</v>
      </c>
      <c r="AF45" s="70">
        <v>14.3</v>
      </c>
      <c r="AG45" s="63">
        <v>24</v>
      </c>
      <c r="AH45" s="54">
        <f t="shared" si="2"/>
        <v>14.5</v>
      </c>
      <c r="AI45" s="55">
        <f t="shared" si="3"/>
        <v>13.8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12</v>
      </c>
      <c r="C47" s="70">
        <v>12</v>
      </c>
      <c r="D47" s="70">
        <v>12</v>
      </c>
      <c r="E47" s="70">
        <v>12</v>
      </c>
      <c r="F47" s="70">
        <v>12</v>
      </c>
      <c r="G47" s="70">
        <v>12</v>
      </c>
      <c r="H47" s="70">
        <v>12</v>
      </c>
      <c r="I47" s="70">
        <v>12</v>
      </c>
      <c r="J47" s="70">
        <v>12</v>
      </c>
      <c r="K47" s="70">
        <v>12</v>
      </c>
      <c r="L47" s="70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12</v>
      </c>
      <c r="AF47" s="51">
        <v>12</v>
      </c>
      <c r="AG47" s="63">
        <v>14.1</v>
      </c>
      <c r="AH47" s="54">
        <f t="shared" si="2"/>
        <v>12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13</v>
      </c>
      <c r="C48" s="70">
        <v>13</v>
      </c>
      <c r="D48" s="70">
        <v>13</v>
      </c>
      <c r="E48" s="70">
        <v>13</v>
      </c>
      <c r="F48" s="70">
        <v>13</v>
      </c>
      <c r="G48" s="70">
        <v>13</v>
      </c>
      <c r="H48" s="70">
        <v>13</v>
      </c>
      <c r="I48" s="70">
        <v>13</v>
      </c>
      <c r="J48" s="70">
        <v>13</v>
      </c>
      <c r="K48" s="70">
        <v>13</v>
      </c>
      <c r="L48" s="70">
        <v>13</v>
      </c>
      <c r="M48" s="51">
        <v>13</v>
      </c>
      <c r="N48" s="51">
        <v>13</v>
      </c>
      <c r="O48" s="51">
        <v>13</v>
      </c>
      <c r="P48" s="51">
        <v>13</v>
      </c>
      <c r="Q48" s="51">
        <v>13</v>
      </c>
      <c r="R48" s="51">
        <v>13</v>
      </c>
      <c r="S48" s="51">
        <v>13</v>
      </c>
      <c r="T48" s="51">
        <v>13</v>
      </c>
      <c r="U48" s="51">
        <v>13</v>
      </c>
      <c r="V48" s="51">
        <v>13</v>
      </c>
      <c r="W48" s="51">
        <v>13</v>
      </c>
      <c r="X48" s="51">
        <v>13</v>
      </c>
      <c r="Y48" s="51">
        <v>13</v>
      </c>
      <c r="Z48" s="51">
        <v>13</v>
      </c>
      <c r="AA48" s="51">
        <v>13</v>
      </c>
      <c r="AB48" s="51">
        <v>13</v>
      </c>
      <c r="AC48" s="51">
        <v>13</v>
      </c>
      <c r="AD48" s="51">
        <v>13</v>
      </c>
      <c r="AE48" s="51">
        <v>13</v>
      </c>
      <c r="AF48" s="51">
        <v>13</v>
      </c>
      <c r="AG48" s="63">
        <v>14</v>
      </c>
      <c r="AH48" s="54">
        <f t="shared" si="2"/>
        <v>13</v>
      </c>
      <c r="AI48" s="55">
        <f t="shared" si="3"/>
        <v>13</v>
      </c>
      <c r="AK48" s="56"/>
    </row>
    <row r="49" spans="1:37" x14ac:dyDescent="0.25">
      <c r="A49" s="62" t="s">
        <v>57</v>
      </c>
      <c r="B49" s="70">
        <v>6</v>
      </c>
      <c r="C49" s="70">
        <v>6</v>
      </c>
      <c r="D49" s="70">
        <v>6</v>
      </c>
      <c r="E49" s="70">
        <v>6</v>
      </c>
      <c r="F49" s="70">
        <v>6</v>
      </c>
      <c r="G49" s="70">
        <v>6</v>
      </c>
      <c r="H49" s="70">
        <v>6</v>
      </c>
      <c r="I49" s="70">
        <v>6</v>
      </c>
      <c r="J49" s="70">
        <v>6</v>
      </c>
      <c r="K49" s="70">
        <v>6</v>
      </c>
      <c r="L49" s="70">
        <v>6</v>
      </c>
      <c r="M49" s="51">
        <v>6</v>
      </c>
      <c r="N49" s="51">
        <v>6</v>
      </c>
      <c r="O49" s="51">
        <v>6</v>
      </c>
      <c r="P49" s="51">
        <v>6</v>
      </c>
      <c r="Q49" s="51">
        <v>6</v>
      </c>
      <c r="R49" s="51">
        <v>6</v>
      </c>
      <c r="S49" s="51">
        <v>6</v>
      </c>
      <c r="T49" s="51">
        <v>6</v>
      </c>
      <c r="U49" s="51">
        <v>6</v>
      </c>
      <c r="V49" s="51">
        <v>6</v>
      </c>
      <c r="W49" s="51">
        <v>6</v>
      </c>
      <c r="X49" s="51">
        <v>6</v>
      </c>
      <c r="Y49" s="51">
        <v>6</v>
      </c>
      <c r="Z49" s="51">
        <v>6</v>
      </c>
      <c r="AA49" s="51">
        <v>6</v>
      </c>
      <c r="AB49" s="51">
        <v>6</v>
      </c>
      <c r="AC49" s="51">
        <v>6</v>
      </c>
      <c r="AD49" s="51">
        <v>6</v>
      </c>
      <c r="AE49" s="51">
        <v>6</v>
      </c>
      <c r="AF49" s="51">
        <v>6</v>
      </c>
      <c r="AG49" s="63">
        <v>10.050000000000001</v>
      </c>
      <c r="AH49" s="54">
        <f t="shared" si="2"/>
        <v>6</v>
      </c>
      <c r="AI49" s="55">
        <f t="shared" si="3"/>
        <v>6</v>
      </c>
      <c r="AK49" s="56"/>
    </row>
    <row r="50" spans="1:37" x14ac:dyDescent="0.25">
      <c r="A50" s="62" t="s">
        <v>58</v>
      </c>
      <c r="B50" s="70">
        <v>4.0999999999999996</v>
      </c>
      <c r="C50" s="70">
        <v>4.0999999999999996</v>
      </c>
      <c r="D50" s="70">
        <v>4.0999999999999996</v>
      </c>
      <c r="E50" s="70">
        <v>4.0999999999999996</v>
      </c>
      <c r="F50" s="70">
        <v>4.0999999999999996</v>
      </c>
      <c r="G50" s="70">
        <v>4.0999999999999996</v>
      </c>
      <c r="H50" s="70">
        <v>4.0999999999999996</v>
      </c>
      <c r="I50" s="70">
        <v>4.0999999999999996</v>
      </c>
      <c r="J50" s="70">
        <v>4.0999999999999996</v>
      </c>
      <c r="K50" s="70">
        <v>4.0999999999999996</v>
      </c>
      <c r="L50" s="70">
        <v>4.0999999999999996</v>
      </c>
      <c r="M50" s="51">
        <v>4.0999999999999996</v>
      </c>
      <c r="N50" s="51">
        <v>4.0999999999999996</v>
      </c>
      <c r="O50" s="51">
        <v>4.0999999999999996</v>
      </c>
      <c r="P50" s="51">
        <v>4.0999999999999996</v>
      </c>
      <c r="Q50" s="51">
        <v>4.0999999999999996</v>
      </c>
      <c r="R50" s="51">
        <v>4.0999999999999996</v>
      </c>
      <c r="S50" s="51">
        <v>4.0999999999999996</v>
      </c>
      <c r="T50" s="51">
        <v>4.0999999999999996</v>
      </c>
      <c r="U50" s="51">
        <v>4.0999999999999996</v>
      </c>
      <c r="V50" s="51">
        <v>4.0999999999999996</v>
      </c>
      <c r="W50" s="51">
        <v>4.0999999999999996</v>
      </c>
      <c r="X50" s="51">
        <v>4.0999999999999996</v>
      </c>
      <c r="Y50" s="51">
        <v>4.0999999999999996</v>
      </c>
      <c r="Z50" s="51">
        <v>4.0999999999999996</v>
      </c>
      <c r="AA50" s="51">
        <v>4.0999999999999996</v>
      </c>
      <c r="AB50" s="51">
        <v>4.0999999999999996</v>
      </c>
      <c r="AC50" s="51">
        <v>4.0999999999999996</v>
      </c>
      <c r="AD50" s="51">
        <v>4.0999999999999996</v>
      </c>
      <c r="AE50" s="51">
        <v>4.0999999999999996</v>
      </c>
      <c r="AF50" s="51">
        <v>4.0999999999999996</v>
      </c>
      <c r="AG50" s="63">
        <v>6.2</v>
      </c>
      <c r="AH50" s="54">
        <f t="shared" si="2"/>
        <v>4.0999999999999996</v>
      </c>
      <c r="AI50" s="55">
        <f t="shared" si="3"/>
        <v>4.0999999999999996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7">SUM(B39:B51)</f>
        <v>405.74</v>
      </c>
      <c r="C52" s="69">
        <f t="shared" si="7"/>
        <v>408.04</v>
      </c>
      <c r="D52" s="69">
        <f t="shared" si="7"/>
        <v>408.94</v>
      </c>
      <c r="E52" s="69">
        <f t="shared" si="7"/>
        <v>401.14000000000004</v>
      </c>
      <c r="F52" s="69">
        <f t="shared" si="7"/>
        <v>405.64000000000004</v>
      </c>
      <c r="G52" s="69">
        <f t="shared" si="7"/>
        <v>413.94</v>
      </c>
      <c r="H52" s="69">
        <f t="shared" si="7"/>
        <v>418.94</v>
      </c>
      <c r="I52" s="69">
        <f t="shared" si="7"/>
        <v>421.94</v>
      </c>
      <c r="J52" s="69">
        <f t="shared" si="7"/>
        <v>421.94</v>
      </c>
      <c r="K52" s="69">
        <f t="shared" si="7"/>
        <v>421.94</v>
      </c>
      <c r="L52" s="69">
        <f t="shared" si="7"/>
        <v>429.04</v>
      </c>
      <c r="M52" s="69">
        <f t="shared" si="7"/>
        <v>427.44000000000005</v>
      </c>
      <c r="N52" s="69">
        <f t="shared" si="7"/>
        <v>428.44000000000005</v>
      </c>
      <c r="O52" s="69">
        <f t="shared" si="7"/>
        <v>427.94</v>
      </c>
      <c r="P52" s="69">
        <f t="shared" si="7"/>
        <v>428.14</v>
      </c>
      <c r="Q52" s="69">
        <f t="shared" si="7"/>
        <v>428.14000000000004</v>
      </c>
      <c r="R52" s="69">
        <f t="shared" si="7"/>
        <v>430.44000000000005</v>
      </c>
      <c r="S52" s="69">
        <f t="shared" si="7"/>
        <v>430.44000000000005</v>
      </c>
      <c r="T52" s="69">
        <f t="shared" si="7"/>
        <v>387.94</v>
      </c>
      <c r="U52" s="69">
        <f t="shared" si="7"/>
        <v>411.64</v>
      </c>
      <c r="V52" s="69">
        <f t="shared" si="7"/>
        <v>422.44</v>
      </c>
      <c r="W52" s="69">
        <f t="shared" si="7"/>
        <v>387.94</v>
      </c>
      <c r="X52" s="69">
        <f>SUM(X39:X51)</f>
        <v>408.64</v>
      </c>
      <c r="Y52" s="69">
        <f t="shared" si="7"/>
        <v>409.6400000000001</v>
      </c>
      <c r="Z52" s="69">
        <f t="shared" si="7"/>
        <v>409.04000000000008</v>
      </c>
      <c r="AA52" s="69">
        <v>411.34000000000009</v>
      </c>
      <c r="AB52" s="69">
        <f t="shared" si="7"/>
        <v>402.74000000000007</v>
      </c>
      <c r="AC52" s="69">
        <f t="shared" si="7"/>
        <v>394.84000000000003</v>
      </c>
      <c r="AD52" s="69">
        <f t="shared" si="7"/>
        <v>416.64000000000004</v>
      </c>
      <c r="AE52" s="69">
        <f t="shared" si="7"/>
        <v>421.14000000000004</v>
      </c>
      <c r="AF52" s="69">
        <f t="shared" si="7"/>
        <v>423.04</v>
      </c>
      <c r="AG52" s="74">
        <f>SUM(AG39:AG51)</f>
        <v>489.91</v>
      </c>
      <c r="AH52" s="54">
        <f t="shared" si="2"/>
        <v>430.44000000000005</v>
      </c>
      <c r="AI52" s="55">
        <f t="shared" si="3"/>
        <v>387.94</v>
      </c>
      <c r="AK52" s="56"/>
    </row>
    <row r="53" spans="1:37" x14ac:dyDescent="0.25">
      <c r="A53" s="57" t="s">
        <v>61</v>
      </c>
      <c r="B53" s="51">
        <v>30</v>
      </c>
      <c r="C53" s="51">
        <v>30</v>
      </c>
      <c r="D53" s="51">
        <v>13.6</v>
      </c>
      <c r="E53" s="51">
        <v>20.3</v>
      </c>
      <c r="F53" s="51">
        <v>30.2</v>
      </c>
      <c r="G53" s="51">
        <v>30.2</v>
      </c>
      <c r="H53" s="51">
        <v>30.2</v>
      </c>
      <c r="I53" s="51">
        <v>30.2</v>
      </c>
      <c r="J53" s="51">
        <v>40</v>
      </c>
      <c r="K53" s="51">
        <v>50</v>
      </c>
      <c r="L53" s="51">
        <v>55</v>
      </c>
      <c r="M53" s="51">
        <v>60</v>
      </c>
      <c r="N53" s="51">
        <v>40</v>
      </c>
      <c r="O53" s="51">
        <v>40</v>
      </c>
      <c r="P53" s="51">
        <v>50</v>
      </c>
      <c r="Q53" s="51">
        <v>40</v>
      </c>
      <c r="R53" s="51">
        <v>50</v>
      </c>
      <c r="S53" s="51">
        <v>59.1</v>
      </c>
      <c r="T53" s="51">
        <v>59.5</v>
      </c>
      <c r="U53" s="51">
        <v>59.5</v>
      </c>
      <c r="V53" s="51">
        <v>59.5</v>
      </c>
      <c r="W53" s="51">
        <v>59.2</v>
      </c>
      <c r="X53" s="51">
        <v>45</v>
      </c>
      <c r="Y53" s="51">
        <v>54.7</v>
      </c>
      <c r="Z53" s="51">
        <v>54.3</v>
      </c>
      <c r="AA53" s="51">
        <v>49.5</v>
      </c>
      <c r="AB53" s="51">
        <v>54</v>
      </c>
      <c r="AC53" s="51">
        <v>49.5</v>
      </c>
      <c r="AD53" s="51">
        <v>40.4</v>
      </c>
      <c r="AE53" s="51">
        <v>29.8</v>
      </c>
      <c r="AF53" s="51">
        <v>29.8</v>
      </c>
      <c r="AG53" s="59">
        <v>60</v>
      </c>
      <c r="AH53" s="54">
        <f t="shared" si="2"/>
        <v>60</v>
      </c>
      <c r="AI53" s="55">
        <f t="shared" si="3"/>
        <v>13.6</v>
      </c>
      <c r="AK53" s="56"/>
    </row>
    <row r="54" spans="1:37" x14ac:dyDescent="0.25">
      <c r="A54" s="62" t="s">
        <v>62</v>
      </c>
      <c r="B54" s="70">
        <v>15</v>
      </c>
      <c r="C54" s="70">
        <v>15</v>
      </c>
      <c r="D54" s="70">
        <v>6.9</v>
      </c>
      <c r="E54" s="70">
        <v>10.199999999999999</v>
      </c>
      <c r="F54" s="70">
        <v>16.100000000000001</v>
      </c>
      <c r="G54" s="70">
        <v>15.3</v>
      </c>
      <c r="H54" s="70">
        <v>15.3</v>
      </c>
      <c r="I54" s="70">
        <v>15.3</v>
      </c>
      <c r="J54" s="70">
        <v>20</v>
      </c>
      <c r="K54" s="70">
        <v>27.9</v>
      </c>
      <c r="L54" s="70">
        <v>27.9</v>
      </c>
      <c r="M54" s="70">
        <v>60.4</v>
      </c>
      <c r="N54" s="70">
        <v>15.1</v>
      </c>
      <c r="O54" s="70">
        <v>19.399999999999999</v>
      </c>
      <c r="P54" s="70">
        <v>24.3</v>
      </c>
      <c r="Q54" s="70">
        <v>16.8</v>
      </c>
      <c r="R54" s="70">
        <v>23.9</v>
      </c>
      <c r="S54" s="70">
        <v>29.3</v>
      </c>
      <c r="T54" s="70">
        <v>30</v>
      </c>
      <c r="U54" s="70">
        <v>30</v>
      </c>
      <c r="V54" s="70">
        <v>30.9</v>
      </c>
      <c r="W54" s="70">
        <v>30.9</v>
      </c>
      <c r="X54" s="70">
        <v>21</v>
      </c>
      <c r="Y54" s="70">
        <v>25.3</v>
      </c>
      <c r="Z54" s="70">
        <v>27.1</v>
      </c>
      <c r="AA54" s="70">
        <v>29.9</v>
      </c>
      <c r="AB54" s="70">
        <v>26.5</v>
      </c>
      <c r="AC54" s="70">
        <v>23.9</v>
      </c>
      <c r="AD54" s="70">
        <v>19.7</v>
      </c>
      <c r="AE54" s="70">
        <v>15.2</v>
      </c>
      <c r="AF54" s="70">
        <v>15.6</v>
      </c>
      <c r="AG54" s="63">
        <v>32</v>
      </c>
      <c r="AH54" s="54">
        <f t="shared" si="2"/>
        <v>60.4</v>
      </c>
      <c r="AI54" s="55">
        <f t="shared" si="3"/>
        <v>6.9</v>
      </c>
      <c r="AK54" s="56"/>
    </row>
    <row r="55" spans="1:37" ht="15.75" thickBot="1" x14ac:dyDescent="0.3">
      <c r="A55" s="72" t="s">
        <v>63</v>
      </c>
      <c r="B55" s="75">
        <v>5.6</v>
      </c>
      <c r="C55" s="75">
        <v>5.6</v>
      </c>
      <c r="D55" s="75">
        <v>3</v>
      </c>
      <c r="E55" s="75">
        <v>3.7</v>
      </c>
      <c r="F55" s="75">
        <v>5.9</v>
      </c>
      <c r="G55" s="75">
        <v>5.6</v>
      </c>
      <c r="H55" s="75">
        <v>5.6</v>
      </c>
      <c r="I55" s="75">
        <v>5.6</v>
      </c>
      <c r="J55" s="75">
        <v>7.2</v>
      </c>
      <c r="K55" s="75">
        <v>10.199999999999999</v>
      </c>
      <c r="L55" s="75">
        <v>10.199999999999999</v>
      </c>
      <c r="M55" s="75">
        <v>11.1</v>
      </c>
      <c r="N55" s="75">
        <v>5.5</v>
      </c>
      <c r="O55" s="75">
        <v>7.1</v>
      </c>
      <c r="P55" s="75">
        <v>8.9</v>
      </c>
      <c r="Q55" s="75">
        <v>6.1</v>
      </c>
      <c r="R55" s="75">
        <v>8.6999999999999993</v>
      </c>
      <c r="S55" s="75">
        <v>10.7</v>
      </c>
      <c r="T55" s="75">
        <v>11</v>
      </c>
      <c r="U55" s="75">
        <v>11</v>
      </c>
      <c r="V55" s="75">
        <v>11.3</v>
      </c>
      <c r="W55" s="75">
        <v>11.3</v>
      </c>
      <c r="X55" s="75">
        <v>7.6</v>
      </c>
      <c r="Y55" s="75">
        <v>9.1999999999999993</v>
      </c>
      <c r="Z55" s="75">
        <v>9.9</v>
      </c>
      <c r="AA55" s="75">
        <v>10.9</v>
      </c>
      <c r="AB55" s="75">
        <v>9.6999999999999993</v>
      </c>
      <c r="AC55" s="75">
        <v>8.6999999999999993</v>
      </c>
      <c r="AD55" s="75">
        <v>7.2</v>
      </c>
      <c r="AE55" s="75">
        <v>5.6</v>
      </c>
      <c r="AF55" s="75">
        <v>5.7</v>
      </c>
      <c r="AG55" s="76">
        <v>14</v>
      </c>
      <c r="AH55" s="54">
        <f t="shared" si="2"/>
        <v>11.3</v>
      </c>
      <c r="AI55" s="55">
        <f t="shared" si="3"/>
        <v>3</v>
      </c>
      <c r="AK55" s="56"/>
    </row>
    <row r="56" spans="1:37" ht="15.75" thickBot="1" x14ac:dyDescent="0.3">
      <c r="A56" s="68" t="s">
        <v>64</v>
      </c>
      <c r="B56" s="69">
        <f t="shared" ref="B56:AF56" si="8">SUM(B53:B55)</f>
        <v>50.6</v>
      </c>
      <c r="C56" s="69">
        <f t="shared" si="8"/>
        <v>50.6</v>
      </c>
      <c r="D56" s="69">
        <f t="shared" si="8"/>
        <v>23.5</v>
      </c>
      <c r="E56" s="69">
        <f t="shared" si="8"/>
        <v>34.200000000000003</v>
      </c>
      <c r="F56" s="69">
        <f t="shared" si="8"/>
        <v>52.199999999999996</v>
      </c>
      <c r="G56" s="69">
        <f t="shared" si="8"/>
        <v>51.1</v>
      </c>
      <c r="H56" s="69">
        <f t="shared" si="8"/>
        <v>51.1</v>
      </c>
      <c r="I56" s="69">
        <f t="shared" si="8"/>
        <v>51.1</v>
      </c>
      <c r="J56" s="69">
        <f t="shared" si="8"/>
        <v>67.2</v>
      </c>
      <c r="K56" s="69">
        <f t="shared" si="8"/>
        <v>88.100000000000009</v>
      </c>
      <c r="L56" s="69">
        <f t="shared" si="8"/>
        <v>93.100000000000009</v>
      </c>
      <c r="M56" s="69">
        <f t="shared" si="8"/>
        <v>131.5</v>
      </c>
      <c r="N56" s="69">
        <f t="shared" si="8"/>
        <v>60.6</v>
      </c>
      <c r="O56" s="69">
        <f t="shared" si="8"/>
        <v>66.5</v>
      </c>
      <c r="P56" s="69">
        <f t="shared" si="8"/>
        <v>83.2</v>
      </c>
      <c r="Q56" s="69">
        <f t="shared" si="8"/>
        <v>62.9</v>
      </c>
      <c r="R56" s="69">
        <f t="shared" si="8"/>
        <v>82.600000000000009</v>
      </c>
      <c r="S56" s="69">
        <f t="shared" si="8"/>
        <v>99.100000000000009</v>
      </c>
      <c r="T56" s="69">
        <f t="shared" si="8"/>
        <v>100.5</v>
      </c>
      <c r="U56" s="69">
        <f t="shared" si="8"/>
        <v>100.5</v>
      </c>
      <c r="V56" s="69">
        <f t="shared" si="8"/>
        <v>101.7</v>
      </c>
      <c r="W56" s="69">
        <f t="shared" si="8"/>
        <v>101.39999999999999</v>
      </c>
      <c r="X56" s="69">
        <f t="shared" si="8"/>
        <v>73.599999999999994</v>
      </c>
      <c r="Y56" s="69">
        <f t="shared" si="8"/>
        <v>89.2</v>
      </c>
      <c r="Z56" s="69">
        <f t="shared" si="8"/>
        <v>91.300000000000011</v>
      </c>
      <c r="AA56" s="69">
        <v>90.300000000000011</v>
      </c>
      <c r="AB56" s="69">
        <f t="shared" si="8"/>
        <v>90.2</v>
      </c>
      <c r="AC56" s="69">
        <f t="shared" si="8"/>
        <v>82.100000000000009</v>
      </c>
      <c r="AD56" s="69">
        <f t="shared" si="8"/>
        <v>67.3</v>
      </c>
      <c r="AE56" s="69">
        <f t="shared" si="8"/>
        <v>50.6</v>
      </c>
      <c r="AF56" s="69">
        <f t="shared" si="8"/>
        <v>51.1</v>
      </c>
      <c r="AG56" s="74">
        <f>SUM(AG53:AG55)</f>
        <v>106</v>
      </c>
      <c r="AH56" s="54">
        <f t="shared" si="2"/>
        <v>131.5</v>
      </c>
      <c r="AI56" s="55">
        <f t="shared" si="3"/>
        <v>23.5</v>
      </c>
      <c r="AK56" s="56"/>
    </row>
    <row r="57" spans="1:37" x14ac:dyDescent="0.25">
      <c r="A57" s="57" t="s">
        <v>65</v>
      </c>
      <c r="B57" s="51">
        <v>69</v>
      </c>
      <c r="C57" s="51">
        <v>50</v>
      </c>
      <c r="D57" s="51">
        <v>48</v>
      </c>
      <c r="E57" s="51">
        <v>45.9</v>
      </c>
      <c r="F57" s="51">
        <v>38.4</v>
      </c>
      <c r="G57" s="51">
        <v>27.5</v>
      </c>
      <c r="H57" s="51">
        <v>27.5</v>
      </c>
      <c r="I57" s="51">
        <v>31</v>
      </c>
      <c r="J57" s="51">
        <v>32.799999999999997</v>
      </c>
      <c r="K57" s="51">
        <v>30.78</v>
      </c>
      <c r="L57" s="51">
        <v>33</v>
      </c>
      <c r="M57" s="51">
        <v>45.4</v>
      </c>
      <c r="N57" s="51">
        <v>63.7</v>
      </c>
      <c r="O57" s="51">
        <v>75</v>
      </c>
      <c r="P57" s="51">
        <v>60</v>
      </c>
      <c r="Q57" s="51">
        <v>71.5</v>
      </c>
      <c r="R57" s="51">
        <v>65.099999999999994</v>
      </c>
      <c r="S57" s="51">
        <v>66.349999999999994</v>
      </c>
      <c r="T57" s="51">
        <v>75.099999999999994</v>
      </c>
      <c r="U57" s="51">
        <v>60.2</v>
      </c>
      <c r="V57" s="51">
        <v>77.8</v>
      </c>
      <c r="W57" s="51">
        <v>73.3</v>
      </c>
      <c r="X57" s="51">
        <v>68</v>
      </c>
      <c r="Y57" s="51">
        <v>68.8</v>
      </c>
      <c r="Z57" s="51">
        <v>60</v>
      </c>
      <c r="AA57" s="51">
        <v>61.18</v>
      </c>
      <c r="AB57" s="51">
        <v>55.2</v>
      </c>
      <c r="AC57" s="51">
        <v>68</v>
      </c>
      <c r="AD57" s="51">
        <v>67.599999999999994</v>
      </c>
      <c r="AE57" s="51">
        <v>70.5</v>
      </c>
      <c r="AF57" s="51">
        <v>61.3</v>
      </c>
      <c r="AG57" s="59"/>
      <c r="AH57" s="54">
        <f t="shared" si="2"/>
        <v>77.8</v>
      </c>
      <c r="AI57" s="55">
        <f t="shared" si="3"/>
        <v>27.5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19</v>
      </c>
      <c r="C59" s="70">
        <v>28</v>
      </c>
      <c r="D59" s="70">
        <v>4</v>
      </c>
      <c r="E59" s="70">
        <v>-10</v>
      </c>
      <c r="F59" s="70">
        <v>0</v>
      </c>
      <c r="G59" s="70">
        <v>-10</v>
      </c>
      <c r="H59" s="70">
        <v>0</v>
      </c>
      <c r="I59" s="70">
        <v>8</v>
      </c>
      <c r="J59" s="70">
        <v>21.9</v>
      </c>
      <c r="K59" s="70">
        <v>49.9</v>
      </c>
      <c r="L59" s="70">
        <v>58</v>
      </c>
      <c r="M59" s="70">
        <v>36</v>
      </c>
      <c r="N59" s="70">
        <v>58.9</v>
      </c>
      <c r="O59" s="70">
        <v>69.400000000000006</v>
      </c>
      <c r="P59" s="70">
        <v>59</v>
      </c>
      <c r="Q59" s="70">
        <v>50.2</v>
      </c>
      <c r="R59" s="70">
        <v>55.2</v>
      </c>
      <c r="S59" s="70">
        <v>82</v>
      </c>
      <c r="T59" s="70">
        <v>106</v>
      </c>
      <c r="U59" s="70">
        <v>137</v>
      </c>
      <c r="V59" s="70">
        <v>132</v>
      </c>
      <c r="W59" s="70">
        <v>75.099999999999994</v>
      </c>
      <c r="X59" s="70">
        <v>56</v>
      </c>
      <c r="Y59" s="70">
        <v>72.099999999999994</v>
      </c>
      <c r="Z59" s="70">
        <v>74.7</v>
      </c>
      <c r="AA59" s="70">
        <v>29.1</v>
      </c>
      <c r="AB59" s="70">
        <v>30.1</v>
      </c>
      <c r="AC59" s="70">
        <v>30.2</v>
      </c>
      <c r="AD59" s="70">
        <v>16.2</v>
      </c>
      <c r="AE59" s="70">
        <v>45.4</v>
      </c>
      <c r="AF59" s="70">
        <v>90</v>
      </c>
      <c r="AG59" s="77"/>
      <c r="AH59" s="54">
        <f t="shared" si="2"/>
        <v>137</v>
      </c>
      <c r="AI59" s="55">
        <f t="shared" si="3"/>
        <v>-10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26</v>
      </c>
      <c r="Q60" s="78">
        <v>23.6</v>
      </c>
      <c r="R60" s="78">
        <v>24</v>
      </c>
      <c r="S60" s="78">
        <v>23.9</v>
      </c>
      <c r="T60" s="78">
        <v>23.1</v>
      </c>
      <c r="U60" s="78">
        <v>23.8</v>
      </c>
      <c r="V60" s="78">
        <v>24.7</v>
      </c>
      <c r="W60" s="78">
        <v>24.2</v>
      </c>
      <c r="X60" s="78">
        <v>22.5</v>
      </c>
      <c r="Y60" s="78">
        <v>23.7</v>
      </c>
      <c r="Z60" s="78">
        <v>24</v>
      </c>
      <c r="AA60" s="78">
        <v>23.2</v>
      </c>
      <c r="AB60" s="78">
        <v>24.8</v>
      </c>
      <c r="AC60" s="78">
        <v>30.9</v>
      </c>
      <c r="AD60" s="78">
        <v>30.3</v>
      </c>
      <c r="AE60" s="78">
        <v>31</v>
      </c>
      <c r="AF60" s="78">
        <v>37</v>
      </c>
      <c r="AG60" s="77"/>
      <c r="AH60" s="54">
        <f t="shared" si="2"/>
        <v>37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8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9">SUM(B57:B67)</f>
        <v>96</v>
      </c>
      <c r="C68" s="69">
        <f t="shared" si="9"/>
        <v>86</v>
      </c>
      <c r="D68" s="69">
        <f t="shared" si="9"/>
        <v>60</v>
      </c>
      <c r="E68" s="69">
        <f t="shared" si="9"/>
        <v>43.9</v>
      </c>
      <c r="F68" s="69">
        <f t="shared" si="9"/>
        <v>46.4</v>
      </c>
      <c r="G68" s="69">
        <f t="shared" si="9"/>
        <v>25.5</v>
      </c>
      <c r="H68" s="69">
        <f t="shared" si="9"/>
        <v>35.5</v>
      </c>
      <c r="I68" s="69">
        <f t="shared" si="9"/>
        <v>47</v>
      </c>
      <c r="J68" s="69">
        <f t="shared" si="9"/>
        <v>62.699999999999996</v>
      </c>
      <c r="K68" s="69">
        <f t="shared" si="9"/>
        <v>88.68</v>
      </c>
      <c r="L68" s="69">
        <f t="shared" si="9"/>
        <v>99</v>
      </c>
      <c r="M68" s="69">
        <f t="shared" si="9"/>
        <v>89.4</v>
      </c>
      <c r="N68" s="69">
        <f t="shared" si="9"/>
        <v>130.6</v>
      </c>
      <c r="O68" s="69">
        <f t="shared" si="9"/>
        <v>152.4</v>
      </c>
      <c r="P68" s="69">
        <f t="shared" si="9"/>
        <v>153</v>
      </c>
      <c r="Q68" s="69">
        <f t="shared" si="9"/>
        <v>153.30000000000001</v>
      </c>
      <c r="R68" s="69">
        <f t="shared" si="9"/>
        <v>152.30000000000001</v>
      </c>
      <c r="S68" s="69">
        <f t="shared" si="9"/>
        <v>180.25</v>
      </c>
      <c r="T68" s="69">
        <f t="shared" si="9"/>
        <v>212.2</v>
      </c>
      <c r="U68" s="69">
        <f t="shared" si="9"/>
        <v>229</v>
      </c>
      <c r="V68" s="69">
        <f>SUM(V57:V67)</f>
        <v>242.5</v>
      </c>
      <c r="W68" s="69">
        <f t="shared" si="9"/>
        <v>180.59999999999997</v>
      </c>
      <c r="X68" s="69">
        <f t="shared" si="9"/>
        <v>154.5</v>
      </c>
      <c r="Y68" s="69">
        <f t="shared" si="9"/>
        <v>172.59999999999997</v>
      </c>
      <c r="Z68" s="69">
        <f t="shared" si="9"/>
        <v>166.7</v>
      </c>
      <c r="AA68" s="69">
        <v>121.48</v>
      </c>
      <c r="AB68" s="69">
        <f t="shared" si="9"/>
        <v>118.10000000000001</v>
      </c>
      <c r="AC68" s="69">
        <f t="shared" si="9"/>
        <v>137.1</v>
      </c>
      <c r="AD68" s="69">
        <f t="shared" si="9"/>
        <v>122.1</v>
      </c>
      <c r="AE68" s="69">
        <f t="shared" si="9"/>
        <v>154.9</v>
      </c>
      <c r="AF68" s="69">
        <f t="shared" si="9"/>
        <v>196.3</v>
      </c>
      <c r="AG68" s="74">
        <f>SUM(AG57:AG67)</f>
        <v>0</v>
      </c>
      <c r="AH68" s="54">
        <f t="shared" si="2"/>
        <v>242.5</v>
      </c>
      <c r="AI68" s="55">
        <f t="shared" si="3"/>
        <v>25.5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1486.7200000000003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0">AG68+AG56+AG52+AG38+AG72</f>
        <v>2144.14</v>
      </c>
      <c r="AH73" s="54">
        <f t="shared" si="2"/>
        <v>1486.7200000000003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>
        <v>30</v>
      </c>
      <c r="X74" s="86">
        <v>100</v>
      </c>
      <c r="Y74" s="86">
        <v>120</v>
      </c>
      <c r="Z74" s="86">
        <v>90</v>
      </c>
      <c r="AA74" s="86">
        <v>80</v>
      </c>
      <c r="AB74" s="86">
        <v>100</v>
      </c>
      <c r="AC74" s="86">
        <v>120</v>
      </c>
      <c r="AD74" s="86">
        <v>100</v>
      </c>
      <c r="AE74" s="86">
        <v>80</v>
      </c>
      <c r="AF74" s="86">
        <v>50</v>
      </c>
      <c r="AG74" s="74"/>
      <c r="AH74" s="54">
        <f t="shared" si="2"/>
        <v>120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1">B72+B68+B56+B52+B38+B74</f>
        <v>1317.8400000000001</v>
      </c>
      <c r="C75" s="84">
        <f t="shared" si="11"/>
        <v>1315.1399999999999</v>
      </c>
      <c r="D75" s="84">
        <f t="shared" si="11"/>
        <v>1262.94</v>
      </c>
      <c r="E75" s="84">
        <f t="shared" si="11"/>
        <v>1250.74</v>
      </c>
      <c r="F75" s="84">
        <f t="shared" si="11"/>
        <v>1237.74</v>
      </c>
      <c r="G75" s="84">
        <f t="shared" si="11"/>
        <v>1242.04</v>
      </c>
      <c r="H75" s="84">
        <f t="shared" si="11"/>
        <v>1257.04</v>
      </c>
      <c r="I75" s="84">
        <f t="shared" si="11"/>
        <v>1281.54</v>
      </c>
      <c r="J75" s="84">
        <f t="shared" si="11"/>
        <v>1333.3400000000001</v>
      </c>
      <c r="K75" s="84">
        <f t="shared" si="11"/>
        <v>1402.22</v>
      </c>
      <c r="L75" s="84">
        <f t="shared" si="11"/>
        <v>1426.44</v>
      </c>
      <c r="M75" s="84">
        <f t="shared" si="11"/>
        <v>1471.87</v>
      </c>
      <c r="N75" s="84">
        <f t="shared" si="11"/>
        <v>1454.46</v>
      </c>
      <c r="O75" s="84">
        <f t="shared" si="11"/>
        <v>1490.37</v>
      </c>
      <c r="P75" s="84">
        <f t="shared" si="11"/>
        <v>1507.5499999999997</v>
      </c>
      <c r="Q75" s="84">
        <f t="shared" si="11"/>
        <v>1514.2400000000002</v>
      </c>
      <c r="R75" s="84">
        <f t="shared" si="11"/>
        <v>1545.2400000000002</v>
      </c>
      <c r="S75" s="84">
        <f t="shared" si="11"/>
        <v>1561.69</v>
      </c>
      <c r="T75" s="84">
        <f t="shared" si="11"/>
        <v>1486.94</v>
      </c>
      <c r="U75" s="84">
        <f t="shared" si="11"/>
        <v>1527.2400000000002</v>
      </c>
      <c r="V75" s="84">
        <f t="shared" si="11"/>
        <v>1511.74</v>
      </c>
      <c r="W75" s="84">
        <f t="shared" si="11"/>
        <v>1440.04</v>
      </c>
      <c r="X75" s="84">
        <f t="shared" si="11"/>
        <v>1467.8400000000001</v>
      </c>
      <c r="Y75" s="84">
        <f t="shared" si="11"/>
        <v>1509.54</v>
      </c>
      <c r="Z75" s="84">
        <f t="shared" si="11"/>
        <v>1528.7400000000002</v>
      </c>
      <c r="AA75" s="84">
        <v>1566.7200000000003</v>
      </c>
      <c r="AB75" s="84">
        <f t="shared" si="11"/>
        <v>1496.14</v>
      </c>
      <c r="AC75" s="84">
        <f t="shared" si="11"/>
        <v>1515.6399999999999</v>
      </c>
      <c r="AD75" s="84">
        <f t="shared" si="11"/>
        <v>1480.94</v>
      </c>
      <c r="AE75" s="84">
        <f t="shared" si="11"/>
        <v>1467.64</v>
      </c>
      <c r="AF75" s="84">
        <f t="shared" si="11"/>
        <v>1436.44</v>
      </c>
      <c r="AG75" s="74">
        <f>AG72+AG68+AG56+AG52+AG38+AG74</f>
        <v>2144.14</v>
      </c>
      <c r="AH75" s="54">
        <f t="shared" si="2"/>
        <v>1566.7200000000003</v>
      </c>
      <c r="AI75" s="55">
        <f t="shared" si="3"/>
        <v>1237.74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/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2">MAX(B76:AF76)</f>
        <v>0</v>
      </c>
      <c r="AI76" s="55">
        <f t="shared" ref="AI76:AI91" si="1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2"/>
        <v>0</v>
      </c>
      <c r="AI77" s="55">
        <f t="shared" si="1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2"/>
        <v>0</v>
      </c>
      <c r="AI78" s="55">
        <f t="shared" si="1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2"/>
        <v>0</v>
      </c>
      <c r="AI79" s="55">
        <f t="shared" si="1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2"/>
        <v>0</v>
      </c>
      <c r="AI80" s="55">
        <f t="shared" si="1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2"/>
        <v>0</v>
      </c>
      <c r="AI81" s="55">
        <f t="shared" si="1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4">SUM(AG76:AG81)</f>
        <v>0</v>
      </c>
      <c r="AH82" s="54">
        <f t="shared" si="12"/>
        <v>0</v>
      </c>
      <c r="AI82" s="55">
        <f t="shared" si="13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5">SUM(B70:B82)</f>
        <v>2519.73</v>
      </c>
      <c r="C83" s="69">
        <f t="shared" si="15"/>
        <v>2517.0299999999997</v>
      </c>
      <c r="D83" s="69">
        <f t="shared" si="15"/>
        <v>2464.83</v>
      </c>
      <c r="E83" s="69">
        <f t="shared" si="15"/>
        <v>2452.63</v>
      </c>
      <c r="F83" s="69">
        <f t="shared" si="15"/>
        <v>2439.63</v>
      </c>
      <c r="G83" s="69">
        <f t="shared" si="15"/>
        <v>2443.9299999999998</v>
      </c>
      <c r="H83" s="69">
        <f t="shared" si="15"/>
        <v>2458.9299999999998</v>
      </c>
      <c r="I83" s="69">
        <f t="shared" si="15"/>
        <v>2483.4299999999998</v>
      </c>
      <c r="J83" s="69">
        <f t="shared" si="15"/>
        <v>2535.23</v>
      </c>
      <c r="K83" s="69">
        <f t="shared" si="15"/>
        <v>2604.1099999999997</v>
      </c>
      <c r="L83" s="69">
        <f t="shared" si="15"/>
        <v>2628.33</v>
      </c>
      <c r="M83" s="69">
        <f t="shared" si="15"/>
        <v>2673.7599999999998</v>
      </c>
      <c r="N83" s="69">
        <f t="shared" si="15"/>
        <v>2656.35</v>
      </c>
      <c r="O83" s="69">
        <f t="shared" si="15"/>
        <v>2692.2599999999998</v>
      </c>
      <c r="P83" s="69">
        <f t="shared" si="15"/>
        <v>2709.4399999999996</v>
      </c>
      <c r="Q83" s="69">
        <f t="shared" si="15"/>
        <v>2716.13</v>
      </c>
      <c r="R83" s="69">
        <f t="shared" si="15"/>
        <v>2747.13</v>
      </c>
      <c r="S83" s="69">
        <f t="shared" si="15"/>
        <v>2763.58</v>
      </c>
      <c r="T83" s="69">
        <f t="shared" si="15"/>
        <v>2688.83</v>
      </c>
      <c r="U83" s="69">
        <f t="shared" si="15"/>
        <v>2729.13</v>
      </c>
      <c r="V83" s="69">
        <f t="shared" si="15"/>
        <v>2713.63</v>
      </c>
      <c r="W83" s="69">
        <f t="shared" si="15"/>
        <v>2671.93</v>
      </c>
      <c r="X83" s="69">
        <f t="shared" si="15"/>
        <v>2769.73</v>
      </c>
      <c r="Y83" s="69">
        <f t="shared" si="15"/>
        <v>2831.43</v>
      </c>
      <c r="Z83" s="69">
        <f t="shared" si="15"/>
        <v>2820.63</v>
      </c>
      <c r="AA83" s="69">
        <v>121.48</v>
      </c>
      <c r="AB83" s="69">
        <f t="shared" si="15"/>
        <v>2798.0299999999997</v>
      </c>
      <c r="AC83" s="69">
        <f t="shared" si="15"/>
        <v>2837.5299999999997</v>
      </c>
      <c r="AD83" s="69">
        <f t="shared" si="15"/>
        <v>2782.83</v>
      </c>
      <c r="AE83" s="69">
        <f t="shared" si="15"/>
        <v>2749.5299999999997</v>
      </c>
      <c r="AF83" s="69">
        <f t="shared" si="15"/>
        <v>2688.33</v>
      </c>
      <c r="AG83" s="74">
        <f t="shared" si="15"/>
        <v>4360.08</v>
      </c>
      <c r="AH83" s="54">
        <f t="shared" si="12"/>
        <v>2837.5299999999997</v>
      </c>
      <c r="AI83" s="55">
        <f t="shared" si="13"/>
        <v>121.48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49.972999999999999</v>
      </c>
      <c r="C84" s="90">
        <v>49.960999999999999</v>
      </c>
      <c r="D84" s="90">
        <v>49.917999999999999</v>
      </c>
      <c r="E84" s="90">
        <v>49.78</v>
      </c>
      <c r="F84" s="90">
        <v>49.87</v>
      </c>
      <c r="G84" s="90">
        <v>49.8</v>
      </c>
      <c r="H84" s="90">
        <v>49.69</v>
      </c>
      <c r="I84" s="90">
        <v>49.94</v>
      </c>
      <c r="J84" s="90">
        <v>50.01</v>
      </c>
      <c r="K84" s="90">
        <v>49.94</v>
      </c>
      <c r="L84" s="90">
        <v>50.030999999999999</v>
      </c>
      <c r="M84" s="90">
        <v>50.055999999999997</v>
      </c>
      <c r="N84" s="90">
        <v>49.938000000000002</v>
      </c>
      <c r="O84" s="90">
        <v>49.996000000000002</v>
      </c>
      <c r="P84" s="90">
        <v>50.034999999999997</v>
      </c>
      <c r="Q84" s="90">
        <v>49.99</v>
      </c>
      <c r="R84" s="90">
        <v>49.97</v>
      </c>
      <c r="S84" s="90">
        <v>49.94</v>
      </c>
      <c r="T84" s="90">
        <v>49.65</v>
      </c>
      <c r="U84" s="90">
        <v>49.92</v>
      </c>
      <c r="V84" s="90">
        <v>50.03</v>
      </c>
      <c r="W84" s="90">
        <v>50.03</v>
      </c>
      <c r="X84" s="90">
        <v>49.97</v>
      </c>
      <c r="Y84" s="90">
        <v>49.94</v>
      </c>
      <c r="Z84" s="90">
        <v>49.86</v>
      </c>
      <c r="AA84" s="90">
        <v>49.91</v>
      </c>
      <c r="AB84" s="90">
        <v>50.000999999999998</v>
      </c>
      <c r="AC84" s="90">
        <v>50.12</v>
      </c>
      <c r="AD84" s="90">
        <v>49.878</v>
      </c>
      <c r="AE84" s="90">
        <v>49.911999999999999</v>
      </c>
      <c r="AF84" s="90">
        <v>50.51</v>
      </c>
      <c r="AG84" s="91"/>
      <c r="AH84" s="54">
        <f t="shared" si="12"/>
        <v>50.51</v>
      </c>
      <c r="AI84" s="55">
        <f t="shared" si="13"/>
        <v>49.65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</v>
      </c>
      <c r="C85" s="70">
        <v>122</v>
      </c>
      <c r="D85" s="70">
        <v>122</v>
      </c>
      <c r="E85" s="70">
        <v>124.6</v>
      </c>
      <c r="F85" s="70">
        <v>123.4</v>
      </c>
      <c r="G85" s="70">
        <v>123.4</v>
      </c>
      <c r="H85" s="70">
        <v>123.1</v>
      </c>
      <c r="I85" s="70">
        <v>123.8</v>
      </c>
      <c r="J85" s="70">
        <v>123.8</v>
      </c>
      <c r="K85" s="70">
        <v>123.8</v>
      </c>
      <c r="L85" s="70">
        <v>123</v>
      </c>
      <c r="M85" s="70">
        <v>122.9</v>
      </c>
      <c r="N85" s="70">
        <v>120.1</v>
      </c>
      <c r="O85" s="70">
        <v>121</v>
      </c>
      <c r="P85" s="70">
        <v>120.5</v>
      </c>
      <c r="Q85" s="70">
        <v>119.1</v>
      </c>
      <c r="R85" s="70">
        <v>122.5</v>
      </c>
      <c r="S85" s="70">
        <v>123.4</v>
      </c>
      <c r="T85" s="70">
        <v>122</v>
      </c>
      <c r="U85" s="70">
        <v>120.3</v>
      </c>
      <c r="V85" s="70">
        <v>123.3</v>
      </c>
      <c r="W85" s="70">
        <v>124.2</v>
      </c>
      <c r="X85" s="70">
        <v>127.5</v>
      </c>
      <c r="Y85" s="70">
        <v>126.5</v>
      </c>
      <c r="Z85" s="70">
        <v>126.5</v>
      </c>
      <c r="AA85" s="70">
        <v>127.5</v>
      </c>
      <c r="AB85" s="70">
        <v>126.5</v>
      </c>
      <c r="AC85" s="70">
        <v>127.1</v>
      </c>
      <c r="AD85" s="70">
        <v>125.6</v>
      </c>
      <c r="AE85" s="70">
        <v>125.3</v>
      </c>
      <c r="AF85" s="70">
        <v>124.4</v>
      </c>
      <c r="AG85" s="93"/>
      <c r="AH85" s="54">
        <f t="shared" si="12"/>
        <v>127.5</v>
      </c>
      <c r="AI85" s="55">
        <f t="shared" si="13"/>
        <v>119.1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</v>
      </c>
      <c r="C86" s="70">
        <v>127</v>
      </c>
      <c r="D86" s="70">
        <v>127</v>
      </c>
      <c r="E86" s="70">
        <v>129.5</v>
      </c>
      <c r="F86" s="70">
        <v>128.69999999999999</v>
      </c>
      <c r="G86" s="70">
        <v>128.69999999999999</v>
      </c>
      <c r="H86" s="70">
        <v>127.8</v>
      </c>
      <c r="I86" s="70">
        <v>129.19999999999999</v>
      </c>
      <c r="J86" s="70">
        <v>129.19999999999999</v>
      </c>
      <c r="K86" s="70">
        <v>129.19999999999999</v>
      </c>
      <c r="L86" s="70">
        <v>128</v>
      </c>
      <c r="M86" s="70">
        <v>126.8</v>
      </c>
      <c r="N86" s="70">
        <v>124.6</v>
      </c>
      <c r="O86" s="70">
        <v>125.6</v>
      </c>
      <c r="P86" s="70">
        <v>125.4</v>
      </c>
      <c r="Q86" s="70">
        <v>124.4</v>
      </c>
      <c r="R86" s="70">
        <v>127.1</v>
      </c>
      <c r="S86" s="70">
        <v>128.1</v>
      </c>
      <c r="T86" s="70">
        <v>126.4</v>
      </c>
      <c r="U86" s="70">
        <v>124.9</v>
      </c>
      <c r="V86" s="70">
        <v>127.5</v>
      </c>
      <c r="W86" s="70">
        <v>128</v>
      </c>
      <c r="X86" s="70">
        <v>130</v>
      </c>
      <c r="Y86" s="70">
        <v>129.69999999999999</v>
      </c>
      <c r="Z86" s="70">
        <v>129.19999999999999</v>
      </c>
      <c r="AA86" s="70">
        <v>130</v>
      </c>
      <c r="AB86" s="70">
        <v>129.9</v>
      </c>
      <c r="AC86" s="70">
        <v>130.5</v>
      </c>
      <c r="AD86" s="70">
        <v>129.19999999999999</v>
      </c>
      <c r="AE86" s="70">
        <v>129.1</v>
      </c>
      <c r="AF86" s="70">
        <v>128.30000000000001</v>
      </c>
      <c r="AG86" s="93"/>
      <c r="AH86" s="54">
        <f t="shared" si="12"/>
        <v>130.5</v>
      </c>
      <c r="AI86" s="55">
        <f t="shared" si="13"/>
        <v>124.4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130</v>
      </c>
      <c r="C87" s="70">
        <v>129</v>
      </c>
      <c r="D87" s="70">
        <v>129</v>
      </c>
      <c r="E87" s="70">
        <v>130</v>
      </c>
      <c r="F87" s="70">
        <v>128.5</v>
      </c>
      <c r="G87" s="70">
        <v>128.5</v>
      </c>
      <c r="H87" s="70">
        <v>128.69999999999999</v>
      </c>
      <c r="I87" s="70">
        <v>126</v>
      </c>
      <c r="J87" s="70">
        <v>126</v>
      </c>
      <c r="K87" s="70">
        <v>126</v>
      </c>
      <c r="L87" s="70">
        <v>127</v>
      </c>
      <c r="M87" s="70">
        <v>124.7</v>
      </c>
      <c r="N87" s="70">
        <v>123.9</v>
      </c>
      <c r="O87" s="70">
        <v>126.1</v>
      </c>
      <c r="P87" s="70">
        <v>123.4</v>
      </c>
      <c r="Q87" s="70">
        <v>123.1</v>
      </c>
      <c r="R87" s="70">
        <v>125.9</v>
      </c>
      <c r="S87" s="70">
        <v>124.9</v>
      </c>
      <c r="T87" s="70">
        <v>125.6</v>
      </c>
      <c r="U87" s="70">
        <v>124.6</v>
      </c>
      <c r="V87" s="70">
        <v>127.4</v>
      </c>
      <c r="W87" s="70">
        <v>129.9</v>
      </c>
      <c r="X87" s="70">
        <v>128</v>
      </c>
      <c r="Y87" s="70">
        <v>122.4</v>
      </c>
      <c r="Z87" s="70">
        <v>127</v>
      </c>
      <c r="AA87" s="70">
        <v>128.30000000000001</v>
      </c>
      <c r="AB87" s="70">
        <v>126.3</v>
      </c>
      <c r="AC87" s="70">
        <v>128.19999999999999</v>
      </c>
      <c r="AD87" s="70">
        <v>127.4</v>
      </c>
      <c r="AE87" s="70">
        <v>127.1</v>
      </c>
      <c r="AF87" s="70">
        <v>18.2</v>
      </c>
      <c r="AG87" s="93"/>
      <c r="AH87" s="54">
        <f t="shared" si="12"/>
        <v>130</v>
      </c>
      <c r="AI87" s="55">
        <f t="shared" si="13"/>
        <v>18.2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133</v>
      </c>
      <c r="C88" s="70">
        <v>132</v>
      </c>
      <c r="D88" s="70">
        <v>132</v>
      </c>
      <c r="E88" s="70">
        <v>133.30000000000001</v>
      </c>
      <c r="F88" s="70">
        <v>130.69999999999999</v>
      </c>
      <c r="G88" s="70">
        <v>130.69999999999999</v>
      </c>
      <c r="H88" s="70">
        <v>130.5</v>
      </c>
      <c r="I88" s="70">
        <v>127.7</v>
      </c>
      <c r="J88" s="70">
        <v>127.7</v>
      </c>
      <c r="K88" s="70">
        <v>127.7</v>
      </c>
      <c r="L88" s="70">
        <v>130</v>
      </c>
      <c r="M88" s="70">
        <v>127.7</v>
      </c>
      <c r="N88" s="70">
        <v>125.3</v>
      </c>
      <c r="O88" s="70">
        <v>126.9</v>
      </c>
      <c r="P88" s="70">
        <v>123.9</v>
      </c>
      <c r="Q88" s="70">
        <v>123.6</v>
      </c>
      <c r="R88" s="70">
        <v>126.9</v>
      </c>
      <c r="S88" s="70">
        <v>126.3</v>
      </c>
      <c r="T88" s="70">
        <v>126.8</v>
      </c>
      <c r="U88" s="70">
        <v>127</v>
      </c>
      <c r="V88" s="70">
        <v>130.1</v>
      </c>
      <c r="W88" s="70">
        <v>131.6</v>
      </c>
      <c r="X88" s="70">
        <v>130</v>
      </c>
      <c r="Y88" s="70">
        <v>123.2</v>
      </c>
      <c r="Z88" s="70">
        <v>127.7</v>
      </c>
      <c r="AA88" s="70">
        <v>130.69999999999999</v>
      </c>
      <c r="AB88" s="70">
        <v>129.69999999999999</v>
      </c>
      <c r="AC88" s="70">
        <v>130.4</v>
      </c>
      <c r="AD88" s="70">
        <v>130.30000000000001</v>
      </c>
      <c r="AE88" s="70">
        <v>130.9</v>
      </c>
      <c r="AF88" s="70">
        <v>130.69999999999999</v>
      </c>
      <c r="AG88" s="93"/>
      <c r="AH88" s="54">
        <f t="shared" si="12"/>
        <v>133.30000000000001</v>
      </c>
      <c r="AI88" s="55">
        <f t="shared" si="13"/>
        <v>123.2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132</v>
      </c>
      <c r="C89" s="95">
        <v>134</v>
      </c>
      <c r="D89" s="95">
        <v>134</v>
      </c>
      <c r="E89" s="95">
        <v>132.4</v>
      </c>
      <c r="F89" s="95">
        <v>130.19999999999999</v>
      </c>
      <c r="G89" s="95">
        <v>130.19999999999999</v>
      </c>
      <c r="H89" s="95">
        <v>129.9</v>
      </c>
      <c r="I89" s="95">
        <v>134.80000000000001</v>
      </c>
      <c r="J89" s="95">
        <v>134.80000000000001</v>
      </c>
      <c r="K89" s="95">
        <v>134.80000000000001</v>
      </c>
      <c r="L89" s="95">
        <v>132</v>
      </c>
      <c r="M89" s="95">
        <v>132.30000000000001</v>
      </c>
      <c r="N89" s="95">
        <v>128.69999999999999</v>
      </c>
      <c r="O89" s="95">
        <v>130.5</v>
      </c>
      <c r="P89" s="95">
        <v>133.6</v>
      </c>
      <c r="Q89" s="95">
        <v>134.5</v>
      </c>
      <c r="R89" s="95">
        <v>129.4</v>
      </c>
      <c r="S89" s="95">
        <v>133.5</v>
      </c>
      <c r="T89" s="95">
        <v>128.9</v>
      </c>
      <c r="U89" s="95">
        <v>132.4</v>
      </c>
      <c r="V89" s="95">
        <v>134.6</v>
      </c>
      <c r="W89" s="95">
        <v>132.19999999999999</v>
      </c>
      <c r="X89" s="95">
        <v>134</v>
      </c>
      <c r="Y89" s="95">
        <v>132.30000000000001</v>
      </c>
      <c r="Z89" s="95">
        <v>130.69999999999999</v>
      </c>
      <c r="AA89" s="95">
        <v>130.1</v>
      </c>
      <c r="AB89" s="95">
        <v>131.19999999999999</v>
      </c>
      <c r="AC89" s="95">
        <v>132</v>
      </c>
      <c r="AD89" s="95">
        <v>131.69999999999999</v>
      </c>
      <c r="AE89" s="95">
        <v>131.30000000000001</v>
      </c>
      <c r="AF89" s="95">
        <v>132.5</v>
      </c>
      <c r="AG89" s="96"/>
      <c r="AH89" s="54">
        <f t="shared" si="12"/>
        <v>134.80000000000001</v>
      </c>
      <c r="AI89" s="55">
        <f t="shared" si="13"/>
        <v>128.69999999999999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129</v>
      </c>
      <c r="C90" s="70">
        <v>129</v>
      </c>
      <c r="D90" s="70">
        <v>129</v>
      </c>
      <c r="E90" s="70">
        <v>133.6</v>
      </c>
      <c r="F90" s="70">
        <v>128.9</v>
      </c>
      <c r="G90" s="70">
        <v>128.9</v>
      </c>
      <c r="H90" s="70">
        <v>127.2</v>
      </c>
      <c r="I90" s="70">
        <v>132.80000000000001</v>
      </c>
      <c r="J90" s="70">
        <v>132.80000000000001</v>
      </c>
      <c r="K90" s="70">
        <v>132.80000000000001</v>
      </c>
      <c r="L90" s="70">
        <v>132</v>
      </c>
      <c r="M90" s="70">
        <v>130</v>
      </c>
      <c r="N90" s="70">
        <v>125.1</v>
      </c>
      <c r="O90" s="70">
        <v>125.9</v>
      </c>
      <c r="P90" s="70">
        <v>132.30000000000001</v>
      </c>
      <c r="Q90" s="70">
        <v>130.4</v>
      </c>
      <c r="R90" s="70">
        <v>115</v>
      </c>
      <c r="S90" s="70">
        <v>122</v>
      </c>
      <c r="T90" s="70">
        <v>126</v>
      </c>
      <c r="U90" s="70">
        <v>125.5</v>
      </c>
      <c r="V90" s="70">
        <v>129.6</v>
      </c>
      <c r="W90" s="70">
        <v>130.80000000000001</v>
      </c>
      <c r="X90" s="70">
        <v>129</v>
      </c>
      <c r="Y90" s="70">
        <v>131.69999999999999</v>
      </c>
      <c r="Z90" s="70">
        <v>129.6</v>
      </c>
      <c r="AA90" s="70">
        <v>127.6</v>
      </c>
      <c r="AB90" s="70">
        <v>131.4</v>
      </c>
      <c r="AC90" s="70">
        <v>129</v>
      </c>
      <c r="AD90" s="70">
        <v>127.7</v>
      </c>
      <c r="AE90" s="70">
        <v>126.6</v>
      </c>
      <c r="AF90" s="70">
        <v>133.1</v>
      </c>
      <c r="AG90" s="93"/>
      <c r="AH90" s="54">
        <f t="shared" si="12"/>
        <v>133.6</v>
      </c>
      <c r="AI90" s="55">
        <f t="shared" si="13"/>
        <v>115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65.7</v>
      </c>
      <c r="C91" s="97">
        <v>65.7</v>
      </c>
      <c r="D91" s="97">
        <v>65.7</v>
      </c>
      <c r="E91" s="97">
        <v>65.599999999999994</v>
      </c>
      <c r="F91" s="97">
        <v>65.3</v>
      </c>
      <c r="G91" s="97">
        <v>64.7</v>
      </c>
      <c r="H91" s="97">
        <v>64.599999999999994</v>
      </c>
      <c r="I91" s="97">
        <v>65.2</v>
      </c>
      <c r="J91" s="97">
        <v>64.3</v>
      </c>
      <c r="K91" s="97">
        <v>65.2</v>
      </c>
      <c r="L91" s="97">
        <v>64</v>
      </c>
      <c r="M91" s="97">
        <v>63.9</v>
      </c>
      <c r="N91" s="97">
        <v>62.7</v>
      </c>
      <c r="O91" s="97">
        <v>63.3</v>
      </c>
      <c r="P91" s="97">
        <v>62.8</v>
      </c>
      <c r="Q91" s="97">
        <v>63.3</v>
      </c>
      <c r="R91" s="97">
        <v>63.7</v>
      </c>
      <c r="S91" s="97">
        <v>64.099999999999994</v>
      </c>
      <c r="T91" s="97">
        <v>63.3</v>
      </c>
      <c r="U91" s="97">
        <v>63.3</v>
      </c>
      <c r="V91" s="97">
        <v>64.3</v>
      </c>
      <c r="W91" s="97">
        <v>64.599999999999994</v>
      </c>
      <c r="X91" s="97">
        <v>65.599999999999994</v>
      </c>
      <c r="Y91" s="97">
        <v>65.3</v>
      </c>
      <c r="Z91" s="97">
        <v>65</v>
      </c>
      <c r="AA91" s="97">
        <v>65.5</v>
      </c>
      <c r="AB91" s="97">
        <v>66.099999999999994</v>
      </c>
      <c r="AC91" s="97">
        <v>66</v>
      </c>
      <c r="AD91" s="97">
        <v>65.7</v>
      </c>
      <c r="AE91" s="97">
        <v>65.5</v>
      </c>
      <c r="AF91" s="97">
        <v>65.400000000000006</v>
      </c>
      <c r="AG91" s="98"/>
      <c r="AH91" s="54">
        <f t="shared" si="12"/>
        <v>66.099999999999994</v>
      </c>
      <c r="AI91" s="55">
        <f t="shared" si="13"/>
        <v>62.7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6">SUM(B15,B18,B21:B22,B42,B44:B45,B47,B49,B94:B97,B103,B109,B115,B124,B126,B138,B145,B148:B149,B156,B158,B160,B164:B166,B168:B170,B175,B181:B182,B184:B186,B194,B199)</f>
        <v>187.44</v>
      </c>
      <c r="C93" s="103">
        <f t="shared" si="16"/>
        <v>170.44</v>
      </c>
      <c r="D93" s="103">
        <f t="shared" si="16"/>
        <v>162.83999999999997</v>
      </c>
      <c r="E93" s="103">
        <f t="shared" si="16"/>
        <v>160.84</v>
      </c>
      <c r="F93" s="103">
        <f t="shared" si="16"/>
        <v>165.64</v>
      </c>
      <c r="G93" s="103">
        <f t="shared" si="16"/>
        <v>172.63999999999996</v>
      </c>
      <c r="H93" s="103">
        <f t="shared" si="16"/>
        <v>217.94</v>
      </c>
      <c r="I93" s="103">
        <f t="shared" si="16"/>
        <v>261.84000000000003</v>
      </c>
      <c r="J93" s="103">
        <f t="shared" si="16"/>
        <v>278.24</v>
      </c>
      <c r="K93" s="103">
        <f t="shared" si="16"/>
        <v>284.44</v>
      </c>
      <c r="L93" s="103">
        <f t="shared" si="16"/>
        <v>314.84000000000003</v>
      </c>
      <c r="M93" s="103">
        <f t="shared" si="16"/>
        <v>312.04000000000002</v>
      </c>
      <c r="N93" s="103">
        <f t="shared" si="16"/>
        <v>304.94000000000005</v>
      </c>
      <c r="O93" s="103">
        <f t="shared" si="16"/>
        <v>323.14000000000004</v>
      </c>
      <c r="P93" s="103">
        <f t="shared" si="16"/>
        <v>322.54000000000008</v>
      </c>
      <c r="Q93" s="103">
        <f t="shared" si="16"/>
        <v>306.24</v>
      </c>
      <c r="R93" s="103">
        <f t="shared" si="16"/>
        <v>308.54000000000008</v>
      </c>
      <c r="S93" s="103">
        <f t="shared" si="16"/>
        <v>307.24000000000007</v>
      </c>
      <c r="T93" s="103">
        <f t="shared" si="16"/>
        <v>318.34000000000003</v>
      </c>
      <c r="U93" s="103">
        <f t="shared" si="16"/>
        <v>336.24</v>
      </c>
      <c r="V93" s="103">
        <f t="shared" si="16"/>
        <v>328.64000000000004</v>
      </c>
      <c r="W93" s="103">
        <f>SUM(W15,W18,W21:W22,W42,W44:W45,W47,W49,W94:W97,W103,W109,W115,W124,W126,W138,W145,W148:W149,W156,W158,W160,W164:W166,W168:W170,W175,W181:W182,W184:W186,W194,W199)</f>
        <v>316.44000000000005</v>
      </c>
      <c r="X93" s="103">
        <f>SUM(X15,X18,X21:X22,X42,X44:X45,X47,X49,X94:X97,X103,X109,X115,X124,X126,X138,X145,X148:X149,X156,X158,X160,X164:X166,X168:X170,X175,X181:X182,X184:X186,X194,X199)</f>
        <v>343.14000000000004</v>
      </c>
      <c r="Y93" s="103">
        <f t="shared" si="16"/>
        <v>346.6400000000001</v>
      </c>
      <c r="Z93" s="103">
        <f t="shared" si="16"/>
        <v>370.44000000000005</v>
      </c>
      <c r="AA93" s="103">
        <v>413.49708333333331</v>
      </c>
      <c r="AB93" s="103">
        <f t="shared" si="16"/>
        <v>251.33999999999997</v>
      </c>
      <c r="AC93" s="103">
        <f t="shared" si="16"/>
        <v>254.04</v>
      </c>
      <c r="AD93" s="103">
        <f t="shared" si="16"/>
        <v>252.94</v>
      </c>
      <c r="AE93" s="103">
        <f t="shared" si="16"/>
        <v>209.73999999999995</v>
      </c>
      <c r="AF93" s="103">
        <f t="shared" si="16"/>
        <v>194.04</v>
      </c>
      <c r="AG93" s="104"/>
      <c r="AH93" s="54">
        <f>MAX(C93:AF93)</f>
        <v>413.49708333333331</v>
      </c>
      <c r="AI93" s="55">
        <f>MIN(C93:AF93)</f>
        <v>160.84</v>
      </c>
    </row>
    <row r="94" spans="1:88" x14ac:dyDescent="0.25">
      <c r="A94" s="105" t="s">
        <v>99</v>
      </c>
      <c r="B94" s="106">
        <v>110</v>
      </c>
      <c r="C94" s="106">
        <v>100</v>
      </c>
      <c r="D94" s="106">
        <v>52.5</v>
      </c>
      <c r="E94" s="106">
        <v>47.5</v>
      </c>
      <c r="F94" s="106">
        <v>48.2</v>
      </c>
      <c r="G94" s="106">
        <v>52</v>
      </c>
      <c r="H94" s="106">
        <v>53.2</v>
      </c>
      <c r="I94" s="106">
        <v>52.2</v>
      </c>
      <c r="J94" s="106">
        <v>48.7</v>
      </c>
      <c r="K94" s="106">
        <v>46</v>
      </c>
      <c r="L94" s="106">
        <v>43</v>
      </c>
      <c r="M94" s="106">
        <v>47.6</v>
      </c>
      <c r="N94" s="106">
        <v>55.5</v>
      </c>
      <c r="O94" s="106">
        <v>66.099999999999994</v>
      </c>
      <c r="P94" s="106">
        <v>61.9</v>
      </c>
      <c r="Q94" s="106">
        <v>60.6</v>
      </c>
      <c r="R94" s="106">
        <v>45.3</v>
      </c>
      <c r="S94" s="106">
        <v>43.1</v>
      </c>
      <c r="T94" s="106">
        <v>71.3</v>
      </c>
      <c r="U94" s="106">
        <v>80.2</v>
      </c>
      <c r="V94" s="106">
        <v>88</v>
      </c>
      <c r="W94" s="106">
        <v>87.7</v>
      </c>
      <c r="X94" s="106">
        <v>68.5</v>
      </c>
      <c r="Y94" s="106">
        <v>71.2</v>
      </c>
      <c r="Z94" s="106">
        <v>65.8</v>
      </c>
      <c r="AA94" s="106">
        <v>49.2</v>
      </c>
      <c r="AB94" s="106">
        <v>56.4</v>
      </c>
      <c r="AC94" s="106">
        <v>49.9</v>
      </c>
      <c r="AD94" s="106">
        <v>70.900000000000006</v>
      </c>
      <c r="AE94" s="106">
        <v>57.3</v>
      </c>
      <c r="AF94" s="106">
        <v>58.7</v>
      </c>
      <c r="AG94" s="107">
        <v>75</v>
      </c>
      <c r="AH94" s="54">
        <f t="shared" ref="AH94:AH100" si="17">IF(ABS(MAX(C94:AF94))&gt;ABS(MIN(C94:AF94)),MAX(C94:AF94),MIN(C94:AF94))</f>
        <v>100</v>
      </c>
      <c r="AI94" s="108">
        <f t="shared" ref="AI94:AI100" si="18">INDEX($C$9:$AF$9,1,MATCH(AH94,C94:AF94,0))</f>
        <v>4.1666666666666664E-2</v>
      </c>
    </row>
    <row r="95" spans="1:88" x14ac:dyDescent="0.25">
      <c r="A95" s="109" t="s">
        <v>100</v>
      </c>
      <c r="B95" s="110">
        <v>-127</v>
      </c>
      <c r="C95" s="110">
        <v>-125</v>
      </c>
      <c r="D95" s="110">
        <v>-84</v>
      </c>
      <c r="E95" s="110">
        <f>-39-45.6</f>
        <v>-84.6</v>
      </c>
      <c r="F95" s="110">
        <f>-39.8-48.1</f>
        <v>-87.9</v>
      </c>
      <c r="G95" s="110">
        <f>-39.8-45.1</f>
        <v>-84.9</v>
      </c>
      <c r="H95" s="110">
        <f>-33.3-41.2</f>
        <v>-74.5</v>
      </c>
      <c r="I95" s="110">
        <f>-27.1-34.9</f>
        <v>-62</v>
      </c>
      <c r="J95" s="110">
        <f>-27.1-34.9</f>
        <v>-62</v>
      </c>
      <c r="K95" s="110">
        <v>-55</v>
      </c>
      <c r="L95" s="110">
        <v>-41</v>
      </c>
      <c r="M95" s="110">
        <v>-37</v>
      </c>
      <c r="N95" s="110">
        <v>-43</v>
      </c>
      <c r="O95" s="110">
        <v>-43</v>
      </c>
      <c r="P95" s="110">
        <v>-42</v>
      </c>
      <c r="Q95" s="110">
        <f>-17.6-26</f>
        <v>-43.6</v>
      </c>
      <c r="R95" s="110">
        <v>-31</v>
      </c>
      <c r="S95" s="110">
        <f>-12.9-24.2</f>
        <v>-37.1</v>
      </c>
      <c r="T95" s="110">
        <f>-26.7-37.8</f>
        <v>-64.5</v>
      </c>
      <c r="U95" s="110">
        <f>-22.9-36.6</f>
        <v>-59.5</v>
      </c>
      <c r="V95" s="110">
        <f>-29.5-41.9</f>
        <v>-71.400000000000006</v>
      </c>
      <c r="W95" s="110">
        <f>-33.6-48.2</f>
        <v>-81.800000000000011</v>
      </c>
      <c r="X95" s="110">
        <v>-52</v>
      </c>
      <c r="Y95" s="110">
        <f>-26.4-35.7</f>
        <v>-62.1</v>
      </c>
      <c r="Z95" s="110">
        <f>-11.4-21.6</f>
        <v>-33</v>
      </c>
      <c r="AA95" s="110">
        <v>-18</v>
      </c>
      <c r="AB95" s="110">
        <v>-74.900000000000006</v>
      </c>
      <c r="AC95" s="110">
        <v>-72.3</v>
      </c>
      <c r="AD95" s="110">
        <v>-80</v>
      </c>
      <c r="AE95" s="110">
        <v>-79</v>
      </c>
      <c r="AF95" s="110">
        <v>-87.6</v>
      </c>
      <c r="AG95" s="107">
        <v>240</v>
      </c>
      <c r="AH95" s="54">
        <f t="shared" si="17"/>
        <v>-125</v>
      </c>
      <c r="AI95" s="108">
        <f t="shared" si="18"/>
        <v>4.1666666666666664E-2</v>
      </c>
    </row>
    <row r="96" spans="1:88" x14ac:dyDescent="0.25">
      <c r="A96" s="109" t="s">
        <v>101</v>
      </c>
      <c r="B96" s="110">
        <v>13</v>
      </c>
      <c r="C96" s="110">
        <v>4</v>
      </c>
      <c r="D96" s="110">
        <v>6.6</v>
      </c>
      <c r="E96" s="110">
        <v>12.3</v>
      </c>
      <c r="F96" s="110">
        <v>16.8</v>
      </c>
      <c r="G96" s="110">
        <v>17</v>
      </c>
      <c r="H96" s="110">
        <v>19.5</v>
      </c>
      <c r="I96" s="110">
        <v>27.7</v>
      </c>
      <c r="J96" s="110">
        <v>27.7</v>
      </c>
      <c r="K96" s="110">
        <v>28</v>
      </c>
      <c r="L96" s="110">
        <v>38</v>
      </c>
      <c r="M96" s="110">
        <v>30.2</v>
      </c>
      <c r="N96" s="110">
        <v>26.9</v>
      </c>
      <c r="O96" s="110">
        <v>32.5</v>
      </c>
      <c r="P96" s="110">
        <v>37</v>
      </c>
      <c r="Q96" s="110">
        <v>32.200000000000003</v>
      </c>
      <c r="R96" s="110">
        <v>40.4</v>
      </c>
      <c r="S96" s="110">
        <v>44</v>
      </c>
      <c r="T96" s="110">
        <v>43.8</v>
      </c>
      <c r="U96" s="110">
        <v>44.2</v>
      </c>
      <c r="V96" s="110">
        <v>40.6</v>
      </c>
      <c r="W96" s="110">
        <v>42.5</v>
      </c>
      <c r="X96" s="110">
        <v>38</v>
      </c>
      <c r="Y96" s="110">
        <v>43.5</v>
      </c>
      <c r="Z96" s="110">
        <v>48.1</v>
      </c>
      <c r="AA96" s="110">
        <v>47.3</v>
      </c>
      <c r="AB96" s="110">
        <v>32</v>
      </c>
      <c r="AC96" s="110">
        <v>37</v>
      </c>
      <c r="AD96" s="110">
        <v>28.8</v>
      </c>
      <c r="AE96" s="110">
        <v>21.5</v>
      </c>
      <c r="AF96" s="110">
        <v>17</v>
      </c>
      <c r="AG96" s="107">
        <v>60</v>
      </c>
      <c r="AH96" s="54">
        <f t="shared" si="17"/>
        <v>48.1</v>
      </c>
      <c r="AI96" s="108">
        <f t="shared" si="18"/>
        <v>0.79166666666666663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-3.7</v>
      </c>
      <c r="E97" s="112">
        <v>-5.8</v>
      </c>
      <c r="F97" s="112">
        <v>-2.9</v>
      </c>
      <c r="G97" s="112">
        <v>-2.9</v>
      </c>
      <c r="H97" s="112">
        <v>28.3</v>
      </c>
      <c r="I97" s="112">
        <v>52.5</v>
      </c>
      <c r="J97" s="112">
        <v>72.400000000000006</v>
      </c>
      <c r="K97" s="112">
        <v>74</v>
      </c>
      <c r="L97" s="112">
        <v>75.599999999999994</v>
      </c>
      <c r="M97" s="112">
        <v>72.7</v>
      </c>
      <c r="N97" s="112">
        <v>67</v>
      </c>
      <c r="O97" s="112">
        <v>68.900000000000006</v>
      </c>
      <c r="P97" s="112">
        <v>67</v>
      </c>
      <c r="Q97" s="112">
        <v>58.2</v>
      </c>
      <c r="R97" s="112">
        <v>55.2</v>
      </c>
      <c r="S97" s="112">
        <v>58.6</v>
      </c>
      <c r="T97" s="112">
        <v>69.099999999999994</v>
      </c>
      <c r="U97" s="112">
        <v>72.7</v>
      </c>
      <c r="V97" s="112">
        <v>72.8</v>
      </c>
      <c r="W97" s="112">
        <v>69.400000000000006</v>
      </c>
      <c r="X97" s="112">
        <v>90</v>
      </c>
      <c r="Y97" s="112">
        <v>95.5</v>
      </c>
      <c r="Z97" s="112">
        <v>91</v>
      </c>
      <c r="AA97" s="112">
        <v>96.8</v>
      </c>
      <c r="AB97" s="112">
        <v>47</v>
      </c>
      <c r="AC97" s="112">
        <v>48.6</v>
      </c>
      <c r="AD97" s="112">
        <v>42.8</v>
      </c>
      <c r="AE97" s="112">
        <v>19</v>
      </c>
      <c r="AF97" s="112">
        <v>15</v>
      </c>
      <c r="AG97" s="113">
        <v>120</v>
      </c>
      <c r="AH97" s="54">
        <f t="shared" si="17"/>
        <v>96.8</v>
      </c>
      <c r="AI97" s="108">
        <f t="shared" si="18"/>
        <v>0.8125</v>
      </c>
    </row>
    <row r="98" spans="1:37" x14ac:dyDescent="0.25">
      <c r="A98" s="111" t="s">
        <v>103</v>
      </c>
      <c r="B98" s="112">
        <v>21</v>
      </c>
      <c r="C98" s="112">
        <v>21</v>
      </c>
      <c r="D98" s="112">
        <v>48</v>
      </c>
      <c r="E98" s="112">
        <v>40.700000000000003</v>
      </c>
      <c r="F98" s="112">
        <v>37</v>
      </c>
      <c r="G98" s="112">
        <v>37</v>
      </c>
      <c r="H98" s="112">
        <v>31</v>
      </c>
      <c r="I98" s="112">
        <v>31.8</v>
      </c>
      <c r="J98" s="112">
        <v>51.9</v>
      </c>
      <c r="K98" s="112">
        <v>58</v>
      </c>
      <c r="L98" s="112">
        <v>56</v>
      </c>
      <c r="M98" s="112">
        <v>65.599999999999994</v>
      </c>
      <c r="N98" s="112">
        <v>71.900000000000006</v>
      </c>
      <c r="O98" s="112">
        <v>72.599999999999994</v>
      </c>
      <c r="P98" s="112">
        <v>76.5</v>
      </c>
      <c r="Q98" s="112">
        <v>75.599999999999994</v>
      </c>
      <c r="R98" s="112">
        <v>80.400000000000006</v>
      </c>
      <c r="S98" s="112">
        <v>74.8</v>
      </c>
      <c r="T98" s="112">
        <v>58</v>
      </c>
      <c r="U98" s="112">
        <v>79.599999999999994</v>
      </c>
      <c r="V98" s="112">
        <v>51.5</v>
      </c>
      <c r="W98" s="112">
        <v>31.4</v>
      </c>
      <c r="X98" s="112">
        <v>13</v>
      </c>
      <c r="Y98" s="112">
        <v>5.7</v>
      </c>
      <c r="Z98" s="112">
        <v>30.6</v>
      </c>
      <c r="AA98" s="112">
        <v>43.1</v>
      </c>
      <c r="AB98" s="112">
        <v>21.3</v>
      </c>
      <c r="AC98" s="112">
        <v>10.3</v>
      </c>
      <c r="AD98" s="112">
        <v>8.1999999999999993</v>
      </c>
      <c r="AE98" s="112">
        <v>29.5</v>
      </c>
      <c r="AF98" s="112">
        <v>39.700000000000003</v>
      </c>
      <c r="AG98" s="113"/>
      <c r="AH98" s="54">
        <f t="shared" si="17"/>
        <v>80.400000000000006</v>
      </c>
      <c r="AI98" s="108">
        <f t="shared" si="18"/>
        <v>0.54166666666666696</v>
      </c>
    </row>
    <row r="99" spans="1:37" x14ac:dyDescent="0.25">
      <c r="A99" s="111" t="s">
        <v>104</v>
      </c>
      <c r="B99" s="112">
        <v>48</v>
      </c>
      <c r="C99" s="112">
        <v>48</v>
      </c>
      <c r="D99" s="112">
        <v>60.7</v>
      </c>
      <c r="E99" s="112">
        <v>57.4</v>
      </c>
      <c r="F99" s="112">
        <v>61.9</v>
      </c>
      <c r="G99" s="112">
        <v>62</v>
      </c>
      <c r="H99" s="112">
        <v>59.5</v>
      </c>
      <c r="I99" s="112">
        <v>54.1</v>
      </c>
      <c r="J99" s="112">
        <v>56.5</v>
      </c>
      <c r="K99" s="112">
        <v>56</v>
      </c>
      <c r="L99" s="112">
        <v>57.9</v>
      </c>
      <c r="M99" s="112">
        <v>55.5</v>
      </c>
      <c r="N99" s="112">
        <v>36.200000000000003</v>
      </c>
      <c r="O99" s="112">
        <v>41.9</v>
      </c>
      <c r="P99" s="112">
        <v>45.4</v>
      </c>
      <c r="Q99" s="112">
        <v>44.3</v>
      </c>
      <c r="R99" s="112">
        <v>65</v>
      </c>
      <c r="S99" s="112">
        <v>63.3</v>
      </c>
      <c r="T99" s="112">
        <v>52.7</v>
      </c>
      <c r="U99" s="112">
        <v>58.8</v>
      </c>
      <c r="V99" s="112">
        <v>56.5</v>
      </c>
      <c r="W99" s="112">
        <v>57.9</v>
      </c>
      <c r="X99" s="112">
        <v>44</v>
      </c>
      <c r="Y99" s="112">
        <v>39.6</v>
      </c>
      <c r="Z99" s="112">
        <v>50.2</v>
      </c>
      <c r="AA99" s="112">
        <v>67.5</v>
      </c>
      <c r="AB99" s="112">
        <v>58.9</v>
      </c>
      <c r="AC99" s="112">
        <v>14</v>
      </c>
      <c r="AD99" s="112">
        <v>14</v>
      </c>
      <c r="AE99" s="112">
        <v>60</v>
      </c>
      <c r="AF99" s="112">
        <v>59.9</v>
      </c>
      <c r="AG99" s="114"/>
      <c r="AH99" s="54">
        <f t="shared" si="17"/>
        <v>67.5</v>
      </c>
      <c r="AI99" s="108">
        <f t="shared" si="18"/>
        <v>0.8125</v>
      </c>
    </row>
    <row r="100" spans="1:37" ht="15.75" thickBot="1" x14ac:dyDescent="0.3">
      <c r="A100" s="115" t="s">
        <v>105</v>
      </c>
      <c r="B100" s="95">
        <v>85</v>
      </c>
      <c r="C100" s="95">
        <v>85</v>
      </c>
      <c r="D100" s="95">
        <v>76.5</v>
      </c>
      <c r="E100" s="95">
        <v>72.599999999999994</v>
      </c>
      <c r="F100" s="95">
        <v>67.2</v>
      </c>
      <c r="G100" s="95">
        <v>67</v>
      </c>
      <c r="H100" s="95">
        <v>61.9</v>
      </c>
      <c r="I100" s="95">
        <v>67</v>
      </c>
      <c r="J100" s="95">
        <v>78.900000000000006</v>
      </c>
      <c r="K100" s="95">
        <v>78.900000000000006</v>
      </c>
      <c r="L100" s="95">
        <v>79</v>
      </c>
      <c r="M100" s="95">
        <v>83.6</v>
      </c>
      <c r="N100" s="95">
        <v>89.5</v>
      </c>
      <c r="O100" s="95">
        <v>94.7</v>
      </c>
      <c r="P100" s="95">
        <v>97.8</v>
      </c>
      <c r="Q100" s="95">
        <v>103</v>
      </c>
      <c r="R100" s="95">
        <v>102.3</v>
      </c>
      <c r="S100" s="95">
        <v>101.6</v>
      </c>
      <c r="T100" s="95">
        <v>101.4</v>
      </c>
      <c r="U100" s="95">
        <v>93.9</v>
      </c>
      <c r="V100" s="95">
        <v>51.3</v>
      </c>
      <c r="W100" s="95">
        <v>84.8</v>
      </c>
      <c r="X100" s="95">
        <v>80</v>
      </c>
      <c r="Y100" s="95">
        <v>93.6</v>
      </c>
      <c r="Z100" s="95">
        <v>90.1</v>
      </c>
      <c r="AA100" s="95">
        <v>96.3</v>
      </c>
      <c r="AB100" s="95">
        <v>96.5</v>
      </c>
      <c r="AC100" s="95">
        <v>89.5</v>
      </c>
      <c r="AD100" s="95">
        <v>88.3</v>
      </c>
      <c r="AE100" s="95">
        <v>84.8</v>
      </c>
      <c r="AF100" s="95">
        <v>87.6</v>
      </c>
      <c r="AG100" s="114"/>
      <c r="AH100" s="54">
        <f t="shared" si="17"/>
        <v>103</v>
      </c>
      <c r="AI100" s="108">
        <f t="shared" si="18"/>
        <v>0.5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9">AF102</f>
        <v>9.9</v>
      </c>
      <c r="C102" s="53">
        <v>9.9</v>
      </c>
      <c r="D102" s="121">
        <f t="shared" ref="D102:S107" si="20">C102</f>
        <v>9.9</v>
      </c>
      <c r="E102" s="121">
        <f t="shared" si="20"/>
        <v>9.9</v>
      </c>
      <c r="F102" s="121">
        <f t="shared" si="20"/>
        <v>9.9</v>
      </c>
      <c r="G102" s="121">
        <f t="shared" si="20"/>
        <v>9.9</v>
      </c>
      <c r="H102" s="121">
        <f t="shared" si="20"/>
        <v>9.9</v>
      </c>
      <c r="I102" s="121">
        <f t="shared" si="20"/>
        <v>9.9</v>
      </c>
      <c r="J102" s="121">
        <f t="shared" si="20"/>
        <v>9.9</v>
      </c>
      <c r="K102" s="121">
        <f t="shared" si="20"/>
        <v>9.9</v>
      </c>
      <c r="L102" s="121">
        <f t="shared" si="20"/>
        <v>9.9</v>
      </c>
      <c r="M102" s="121">
        <f t="shared" si="20"/>
        <v>9.9</v>
      </c>
      <c r="N102" s="121">
        <f t="shared" si="20"/>
        <v>9.9</v>
      </c>
      <c r="O102" s="121">
        <f t="shared" si="20"/>
        <v>9.9</v>
      </c>
      <c r="P102" s="121">
        <f t="shared" si="20"/>
        <v>9.9</v>
      </c>
      <c r="Q102" s="121">
        <f t="shared" si="20"/>
        <v>9.9</v>
      </c>
      <c r="R102" s="121">
        <f t="shared" si="20"/>
        <v>9.9</v>
      </c>
      <c r="S102" s="121">
        <f t="shared" si="20"/>
        <v>9.9</v>
      </c>
      <c r="T102" s="121">
        <f t="shared" ref="T102:AF107" si="21">S102</f>
        <v>9.9</v>
      </c>
      <c r="U102" s="121">
        <f t="shared" si="21"/>
        <v>9.9</v>
      </c>
      <c r="V102" s="121">
        <f t="shared" si="21"/>
        <v>9.9</v>
      </c>
      <c r="W102" s="121">
        <f t="shared" si="21"/>
        <v>9.9</v>
      </c>
      <c r="X102" s="121">
        <f t="shared" si="21"/>
        <v>9.9</v>
      </c>
      <c r="Y102" s="121">
        <f t="shared" si="21"/>
        <v>9.9</v>
      </c>
      <c r="Z102" s="121">
        <f t="shared" si="21"/>
        <v>9.9</v>
      </c>
      <c r="AA102" s="121">
        <f t="shared" si="21"/>
        <v>9.9</v>
      </c>
      <c r="AB102" s="121">
        <f t="shared" si="21"/>
        <v>9.9</v>
      </c>
      <c r="AC102" s="121">
        <f t="shared" si="21"/>
        <v>9.9</v>
      </c>
      <c r="AD102" s="121">
        <f t="shared" si="21"/>
        <v>9.9</v>
      </c>
      <c r="AE102" s="121">
        <f t="shared" si="21"/>
        <v>9.9</v>
      </c>
      <c r="AF102" s="121">
        <f t="shared" si="21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9"/>
        <v>9.6</v>
      </c>
      <c r="C103" s="124">
        <v>9.6</v>
      </c>
      <c r="D103" s="123">
        <f t="shared" si="20"/>
        <v>9.6</v>
      </c>
      <c r="E103" s="123">
        <f t="shared" si="20"/>
        <v>9.6</v>
      </c>
      <c r="F103" s="123">
        <f t="shared" si="20"/>
        <v>9.6</v>
      </c>
      <c r="G103" s="123">
        <f t="shared" si="20"/>
        <v>9.6</v>
      </c>
      <c r="H103" s="123">
        <f t="shared" si="20"/>
        <v>9.6</v>
      </c>
      <c r="I103" s="123">
        <f t="shared" si="20"/>
        <v>9.6</v>
      </c>
      <c r="J103" s="123">
        <f t="shared" si="20"/>
        <v>9.6</v>
      </c>
      <c r="K103" s="123">
        <f t="shared" si="20"/>
        <v>9.6</v>
      </c>
      <c r="L103" s="123">
        <f t="shared" si="20"/>
        <v>9.6</v>
      </c>
      <c r="M103" s="123">
        <f t="shared" si="20"/>
        <v>9.6</v>
      </c>
      <c r="N103" s="123">
        <f t="shared" si="20"/>
        <v>9.6</v>
      </c>
      <c r="O103" s="123">
        <f t="shared" si="20"/>
        <v>9.6</v>
      </c>
      <c r="P103" s="123">
        <f t="shared" si="20"/>
        <v>9.6</v>
      </c>
      <c r="Q103" s="123">
        <f t="shared" si="20"/>
        <v>9.6</v>
      </c>
      <c r="R103" s="123">
        <f t="shared" si="20"/>
        <v>9.6</v>
      </c>
      <c r="S103" s="123">
        <f t="shared" si="20"/>
        <v>9.6</v>
      </c>
      <c r="T103" s="123">
        <f t="shared" si="21"/>
        <v>9.6</v>
      </c>
      <c r="U103" s="123">
        <f t="shared" si="21"/>
        <v>9.6</v>
      </c>
      <c r="V103" s="123">
        <f t="shared" si="21"/>
        <v>9.6</v>
      </c>
      <c r="W103" s="123">
        <f t="shared" si="21"/>
        <v>9.6</v>
      </c>
      <c r="X103" s="123">
        <f t="shared" si="21"/>
        <v>9.6</v>
      </c>
      <c r="Y103" s="123">
        <f t="shared" si="21"/>
        <v>9.6</v>
      </c>
      <c r="Z103" s="123">
        <f t="shared" si="21"/>
        <v>9.6</v>
      </c>
      <c r="AA103" s="123">
        <f t="shared" si="21"/>
        <v>9.6</v>
      </c>
      <c r="AB103" s="123">
        <f t="shared" si="21"/>
        <v>9.6</v>
      </c>
      <c r="AC103" s="123">
        <f t="shared" si="21"/>
        <v>9.6</v>
      </c>
      <c r="AD103" s="123">
        <f t="shared" si="21"/>
        <v>9.6</v>
      </c>
      <c r="AE103" s="123">
        <f t="shared" si="21"/>
        <v>9.6</v>
      </c>
      <c r="AF103" s="123">
        <f t="shared" si="21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9"/>
        <v>9.98</v>
      </c>
      <c r="C104" s="124">
        <v>9.98</v>
      </c>
      <c r="D104" s="123">
        <f t="shared" si="20"/>
        <v>9.98</v>
      </c>
      <c r="E104" s="123">
        <f t="shared" si="20"/>
        <v>9.98</v>
      </c>
      <c r="F104" s="123">
        <f t="shared" si="20"/>
        <v>9.98</v>
      </c>
      <c r="G104" s="123">
        <f t="shared" si="20"/>
        <v>9.98</v>
      </c>
      <c r="H104" s="123">
        <f t="shared" si="20"/>
        <v>9.98</v>
      </c>
      <c r="I104" s="123">
        <f t="shared" si="20"/>
        <v>9.98</v>
      </c>
      <c r="J104" s="123">
        <f t="shared" si="20"/>
        <v>9.98</v>
      </c>
      <c r="K104" s="123">
        <f t="shared" si="20"/>
        <v>9.98</v>
      </c>
      <c r="L104" s="123">
        <f t="shared" si="20"/>
        <v>9.98</v>
      </c>
      <c r="M104" s="123">
        <f t="shared" si="20"/>
        <v>9.98</v>
      </c>
      <c r="N104" s="123">
        <f t="shared" si="20"/>
        <v>9.98</v>
      </c>
      <c r="O104" s="123">
        <f t="shared" si="20"/>
        <v>9.98</v>
      </c>
      <c r="P104" s="123">
        <f t="shared" si="20"/>
        <v>9.98</v>
      </c>
      <c r="Q104" s="123">
        <f t="shared" si="20"/>
        <v>9.98</v>
      </c>
      <c r="R104" s="123">
        <f t="shared" si="20"/>
        <v>9.98</v>
      </c>
      <c r="S104" s="123">
        <f t="shared" si="20"/>
        <v>9.98</v>
      </c>
      <c r="T104" s="123">
        <f t="shared" si="21"/>
        <v>9.98</v>
      </c>
      <c r="U104" s="123">
        <f t="shared" si="21"/>
        <v>9.98</v>
      </c>
      <c r="V104" s="123">
        <f t="shared" si="21"/>
        <v>9.98</v>
      </c>
      <c r="W104" s="123">
        <f t="shared" si="21"/>
        <v>9.98</v>
      </c>
      <c r="X104" s="123">
        <f t="shared" si="21"/>
        <v>9.98</v>
      </c>
      <c r="Y104" s="123">
        <f t="shared" si="21"/>
        <v>9.98</v>
      </c>
      <c r="Z104" s="123">
        <f t="shared" si="21"/>
        <v>9.98</v>
      </c>
      <c r="AA104" s="123">
        <f t="shared" si="21"/>
        <v>9.98</v>
      </c>
      <c r="AB104" s="123">
        <f t="shared" si="21"/>
        <v>9.98</v>
      </c>
      <c r="AC104" s="123">
        <f t="shared" si="21"/>
        <v>9.98</v>
      </c>
      <c r="AD104" s="123">
        <f t="shared" si="21"/>
        <v>9.98</v>
      </c>
      <c r="AE104" s="123">
        <f t="shared" si="21"/>
        <v>9.98</v>
      </c>
      <c r="AF104" s="123">
        <f t="shared" si="21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9"/>
        <v>9.1</v>
      </c>
      <c r="C105" s="124">
        <v>9.1</v>
      </c>
      <c r="D105" s="123">
        <f t="shared" si="20"/>
        <v>9.1</v>
      </c>
      <c r="E105" s="123">
        <f t="shared" si="20"/>
        <v>9.1</v>
      </c>
      <c r="F105" s="123">
        <f t="shared" si="20"/>
        <v>9.1</v>
      </c>
      <c r="G105" s="123">
        <f t="shared" si="20"/>
        <v>9.1</v>
      </c>
      <c r="H105" s="123">
        <f t="shared" si="20"/>
        <v>9.1</v>
      </c>
      <c r="I105" s="123">
        <f t="shared" si="20"/>
        <v>9.1</v>
      </c>
      <c r="J105" s="123">
        <f t="shared" si="20"/>
        <v>9.1</v>
      </c>
      <c r="K105" s="123">
        <f t="shared" si="20"/>
        <v>9.1</v>
      </c>
      <c r="L105" s="123">
        <f t="shared" si="20"/>
        <v>9.1</v>
      </c>
      <c r="M105" s="123">
        <f t="shared" si="20"/>
        <v>9.1</v>
      </c>
      <c r="N105" s="123">
        <f t="shared" si="20"/>
        <v>9.1</v>
      </c>
      <c r="O105" s="123">
        <f t="shared" si="20"/>
        <v>9.1</v>
      </c>
      <c r="P105" s="123">
        <f t="shared" si="20"/>
        <v>9.1</v>
      </c>
      <c r="Q105" s="123">
        <f t="shared" si="20"/>
        <v>9.1</v>
      </c>
      <c r="R105" s="123">
        <f t="shared" si="20"/>
        <v>9.1</v>
      </c>
      <c r="S105" s="123">
        <f t="shared" si="20"/>
        <v>9.1</v>
      </c>
      <c r="T105" s="123">
        <f t="shared" si="21"/>
        <v>9.1</v>
      </c>
      <c r="U105" s="123">
        <f t="shared" si="21"/>
        <v>9.1</v>
      </c>
      <c r="V105" s="123">
        <f t="shared" si="21"/>
        <v>9.1</v>
      </c>
      <c r="W105" s="123">
        <f t="shared" si="21"/>
        <v>9.1</v>
      </c>
      <c r="X105" s="123">
        <f t="shared" si="21"/>
        <v>9.1</v>
      </c>
      <c r="Y105" s="123">
        <f t="shared" si="21"/>
        <v>9.1</v>
      </c>
      <c r="Z105" s="123">
        <f t="shared" si="21"/>
        <v>9.1</v>
      </c>
      <c r="AA105" s="123">
        <f t="shared" si="21"/>
        <v>9.1</v>
      </c>
      <c r="AB105" s="123">
        <f t="shared" si="21"/>
        <v>9.1</v>
      </c>
      <c r="AC105" s="123">
        <f t="shared" si="21"/>
        <v>9.1</v>
      </c>
      <c r="AD105" s="123">
        <f t="shared" si="21"/>
        <v>9.1</v>
      </c>
      <c r="AE105" s="123">
        <f t="shared" si="21"/>
        <v>9.1</v>
      </c>
      <c r="AF105" s="123">
        <f t="shared" si="21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9"/>
        <v>9.18</v>
      </c>
      <c r="C106" s="124">
        <v>9.18</v>
      </c>
      <c r="D106" s="123">
        <f t="shared" si="20"/>
        <v>9.18</v>
      </c>
      <c r="E106" s="123">
        <f t="shared" si="20"/>
        <v>9.18</v>
      </c>
      <c r="F106" s="123">
        <f t="shared" si="20"/>
        <v>9.18</v>
      </c>
      <c r="G106" s="123">
        <f t="shared" si="20"/>
        <v>9.18</v>
      </c>
      <c r="H106" s="123">
        <f t="shared" si="20"/>
        <v>9.18</v>
      </c>
      <c r="I106" s="123">
        <f t="shared" si="20"/>
        <v>9.18</v>
      </c>
      <c r="J106" s="123">
        <f t="shared" si="20"/>
        <v>9.18</v>
      </c>
      <c r="K106" s="123">
        <f t="shared" si="20"/>
        <v>9.18</v>
      </c>
      <c r="L106" s="123">
        <f t="shared" si="20"/>
        <v>9.18</v>
      </c>
      <c r="M106" s="123">
        <f t="shared" si="20"/>
        <v>9.18</v>
      </c>
      <c r="N106" s="123">
        <f t="shared" si="20"/>
        <v>9.18</v>
      </c>
      <c r="O106" s="123">
        <f t="shared" si="20"/>
        <v>9.18</v>
      </c>
      <c r="P106" s="123">
        <f t="shared" si="20"/>
        <v>9.18</v>
      </c>
      <c r="Q106" s="123">
        <f t="shared" si="20"/>
        <v>9.18</v>
      </c>
      <c r="R106" s="123">
        <f t="shared" si="20"/>
        <v>9.18</v>
      </c>
      <c r="S106" s="123">
        <f t="shared" si="20"/>
        <v>9.18</v>
      </c>
      <c r="T106" s="123">
        <f t="shared" si="21"/>
        <v>9.18</v>
      </c>
      <c r="U106" s="123">
        <f t="shared" si="21"/>
        <v>9.18</v>
      </c>
      <c r="V106" s="123">
        <f t="shared" si="21"/>
        <v>9.18</v>
      </c>
      <c r="W106" s="123">
        <f t="shared" si="21"/>
        <v>9.18</v>
      </c>
      <c r="X106" s="123">
        <f t="shared" si="21"/>
        <v>9.18</v>
      </c>
      <c r="Y106" s="123">
        <f t="shared" si="21"/>
        <v>9.18</v>
      </c>
      <c r="Z106" s="123">
        <f t="shared" si="21"/>
        <v>9.18</v>
      </c>
      <c r="AA106" s="123">
        <f t="shared" si="21"/>
        <v>9.18</v>
      </c>
      <c r="AB106" s="123">
        <f t="shared" si="21"/>
        <v>9.18</v>
      </c>
      <c r="AC106" s="123">
        <f t="shared" si="21"/>
        <v>9.18</v>
      </c>
      <c r="AD106" s="123">
        <f t="shared" si="21"/>
        <v>9.18</v>
      </c>
      <c r="AE106" s="123">
        <f t="shared" si="21"/>
        <v>9.18</v>
      </c>
      <c r="AF106" s="123">
        <f t="shared" si="21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9"/>
        <v>7</v>
      </c>
      <c r="C107" s="124">
        <v>7</v>
      </c>
      <c r="D107" s="123">
        <f t="shared" si="20"/>
        <v>7</v>
      </c>
      <c r="E107" s="123">
        <f t="shared" si="20"/>
        <v>7</v>
      </c>
      <c r="F107" s="123">
        <f t="shared" si="20"/>
        <v>7</v>
      </c>
      <c r="G107" s="123">
        <f t="shared" si="20"/>
        <v>7</v>
      </c>
      <c r="H107" s="123">
        <f t="shared" si="20"/>
        <v>7</v>
      </c>
      <c r="I107" s="123">
        <f t="shared" si="20"/>
        <v>7</v>
      </c>
      <c r="J107" s="123">
        <f t="shared" si="20"/>
        <v>7</v>
      </c>
      <c r="K107" s="123">
        <f t="shared" si="20"/>
        <v>7</v>
      </c>
      <c r="L107" s="123">
        <f t="shared" si="20"/>
        <v>7</v>
      </c>
      <c r="M107" s="123">
        <f t="shared" si="20"/>
        <v>7</v>
      </c>
      <c r="N107" s="123">
        <f t="shared" si="20"/>
        <v>7</v>
      </c>
      <c r="O107" s="123">
        <f t="shared" si="20"/>
        <v>7</v>
      </c>
      <c r="P107" s="123">
        <f t="shared" si="20"/>
        <v>7</v>
      </c>
      <c r="Q107" s="123">
        <f t="shared" si="20"/>
        <v>7</v>
      </c>
      <c r="R107" s="123">
        <f t="shared" si="20"/>
        <v>7</v>
      </c>
      <c r="S107" s="123">
        <f t="shared" si="20"/>
        <v>7</v>
      </c>
      <c r="T107" s="123">
        <f t="shared" si="21"/>
        <v>7</v>
      </c>
      <c r="U107" s="123">
        <f t="shared" si="21"/>
        <v>7</v>
      </c>
      <c r="V107" s="123">
        <f t="shared" si="21"/>
        <v>7</v>
      </c>
      <c r="W107" s="123">
        <f t="shared" si="21"/>
        <v>7</v>
      </c>
      <c r="X107" s="123">
        <f t="shared" si="21"/>
        <v>7</v>
      </c>
      <c r="Y107" s="123">
        <f t="shared" si="21"/>
        <v>7</v>
      </c>
      <c r="Z107" s="123">
        <f t="shared" si="21"/>
        <v>7</v>
      </c>
      <c r="AA107" s="123">
        <f t="shared" si="21"/>
        <v>7</v>
      </c>
      <c r="AB107" s="123">
        <f t="shared" si="21"/>
        <v>7</v>
      </c>
      <c r="AC107" s="123">
        <f t="shared" si="21"/>
        <v>7</v>
      </c>
      <c r="AD107" s="123">
        <f t="shared" si="21"/>
        <v>7</v>
      </c>
      <c r="AE107" s="123">
        <f t="shared" si="21"/>
        <v>7</v>
      </c>
      <c r="AF107" s="123">
        <f t="shared" si="21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2">C109</f>
        <v>2.25</v>
      </c>
      <c r="E109" s="123">
        <f t="shared" si="22"/>
        <v>2.25</v>
      </c>
      <c r="F109" s="123">
        <f t="shared" si="22"/>
        <v>2.25</v>
      </c>
      <c r="G109" s="123">
        <f t="shared" si="22"/>
        <v>2.25</v>
      </c>
      <c r="H109" s="123">
        <f t="shared" si="22"/>
        <v>2.25</v>
      </c>
      <c r="I109" s="123">
        <f t="shared" si="22"/>
        <v>2.25</v>
      </c>
      <c r="J109" s="123">
        <f t="shared" si="22"/>
        <v>2.25</v>
      </c>
      <c r="K109" s="123">
        <f t="shared" si="22"/>
        <v>2.25</v>
      </c>
      <c r="L109" s="123">
        <f t="shared" si="22"/>
        <v>2.25</v>
      </c>
      <c r="M109" s="123">
        <f t="shared" si="22"/>
        <v>2.25</v>
      </c>
      <c r="N109" s="123">
        <f t="shared" si="22"/>
        <v>2.25</v>
      </c>
      <c r="O109" s="123">
        <f t="shared" si="22"/>
        <v>2.25</v>
      </c>
      <c r="P109" s="123">
        <f t="shared" si="22"/>
        <v>2.25</v>
      </c>
      <c r="Q109" s="123">
        <f t="shared" si="22"/>
        <v>2.25</v>
      </c>
      <c r="R109" s="123">
        <f t="shared" si="22"/>
        <v>2.25</v>
      </c>
      <c r="S109" s="123">
        <f t="shared" si="22"/>
        <v>2.25</v>
      </c>
      <c r="T109" s="123">
        <f t="shared" ref="T109:AF110" si="23">S109</f>
        <v>2.25</v>
      </c>
      <c r="U109" s="123">
        <f t="shared" si="23"/>
        <v>2.25</v>
      </c>
      <c r="V109" s="123">
        <f t="shared" si="23"/>
        <v>2.25</v>
      </c>
      <c r="W109" s="123">
        <f t="shared" si="23"/>
        <v>2.25</v>
      </c>
      <c r="X109" s="123">
        <f t="shared" si="23"/>
        <v>2.25</v>
      </c>
      <c r="Y109" s="123">
        <f t="shared" si="23"/>
        <v>2.25</v>
      </c>
      <c r="Z109" s="123">
        <f t="shared" si="23"/>
        <v>2.25</v>
      </c>
      <c r="AA109" s="123">
        <f t="shared" si="23"/>
        <v>2.25</v>
      </c>
      <c r="AB109" s="123">
        <f t="shared" si="23"/>
        <v>2.25</v>
      </c>
      <c r="AC109" s="123">
        <f t="shared" si="23"/>
        <v>2.25</v>
      </c>
      <c r="AD109" s="123">
        <f t="shared" si="23"/>
        <v>2.25</v>
      </c>
      <c r="AE109" s="123">
        <f t="shared" si="23"/>
        <v>2.25</v>
      </c>
      <c r="AF109" s="123">
        <f t="shared" si="23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2"/>
        <v>1.64</v>
      </c>
      <c r="E110" s="123">
        <f t="shared" si="22"/>
        <v>1.64</v>
      </c>
      <c r="F110" s="123">
        <f t="shared" si="22"/>
        <v>1.64</v>
      </c>
      <c r="G110" s="123">
        <f t="shared" si="22"/>
        <v>1.64</v>
      </c>
      <c r="H110" s="123">
        <f t="shared" si="22"/>
        <v>1.64</v>
      </c>
      <c r="I110" s="123">
        <f t="shared" si="22"/>
        <v>1.64</v>
      </c>
      <c r="J110" s="123">
        <f t="shared" si="22"/>
        <v>1.64</v>
      </c>
      <c r="K110" s="123">
        <f t="shared" si="22"/>
        <v>1.64</v>
      </c>
      <c r="L110" s="123">
        <f t="shared" si="22"/>
        <v>1.64</v>
      </c>
      <c r="M110" s="123">
        <f t="shared" si="22"/>
        <v>1.64</v>
      </c>
      <c r="N110" s="123">
        <f t="shared" si="22"/>
        <v>1.64</v>
      </c>
      <c r="O110" s="123">
        <f t="shared" si="22"/>
        <v>1.64</v>
      </c>
      <c r="P110" s="123">
        <f t="shared" si="22"/>
        <v>1.64</v>
      </c>
      <c r="Q110" s="123">
        <f t="shared" si="22"/>
        <v>1.64</v>
      </c>
      <c r="R110" s="123">
        <f t="shared" si="22"/>
        <v>1.64</v>
      </c>
      <c r="S110" s="123">
        <f t="shared" si="22"/>
        <v>1.64</v>
      </c>
      <c r="T110" s="123">
        <f t="shared" si="23"/>
        <v>1.64</v>
      </c>
      <c r="U110" s="123">
        <f t="shared" si="23"/>
        <v>1.64</v>
      </c>
      <c r="V110" s="123">
        <f t="shared" si="23"/>
        <v>1.64</v>
      </c>
      <c r="W110" s="123">
        <f t="shared" si="23"/>
        <v>1.64</v>
      </c>
      <c r="X110" s="123">
        <f t="shared" si="23"/>
        <v>1.64</v>
      </c>
      <c r="Y110" s="123">
        <f t="shared" si="23"/>
        <v>1.64</v>
      </c>
      <c r="Z110" s="123">
        <f t="shared" si="23"/>
        <v>1.64</v>
      </c>
      <c r="AA110" s="123">
        <f t="shared" si="23"/>
        <v>1.64</v>
      </c>
      <c r="AB110" s="123">
        <f t="shared" si="23"/>
        <v>1.64</v>
      </c>
      <c r="AC110" s="123">
        <f t="shared" si="23"/>
        <v>1.64</v>
      </c>
      <c r="AD110" s="123">
        <f t="shared" si="23"/>
        <v>1.64</v>
      </c>
      <c r="AE110" s="123">
        <f t="shared" si="23"/>
        <v>1.64</v>
      </c>
      <c r="AF110" s="123">
        <f t="shared" si="23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4">AF112</f>
        <v>1.62</v>
      </c>
      <c r="C112" s="124">
        <v>1.62</v>
      </c>
      <c r="D112" s="123">
        <f t="shared" ref="D112:S119" si="25">C112</f>
        <v>1.62</v>
      </c>
      <c r="E112" s="123">
        <f t="shared" si="25"/>
        <v>1.62</v>
      </c>
      <c r="F112" s="123">
        <f t="shared" si="25"/>
        <v>1.62</v>
      </c>
      <c r="G112" s="123">
        <f t="shared" si="25"/>
        <v>1.62</v>
      </c>
      <c r="H112" s="123">
        <f t="shared" si="25"/>
        <v>1.62</v>
      </c>
      <c r="I112" s="123">
        <f t="shared" si="25"/>
        <v>1.62</v>
      </c>
      <c r="J112" s="123">
        <f t="shared" si="25"/>
        <v>1.62</v>
      </c>
      <c r="K112" s="123">
        <f t="shared" si="25"/>
        <v>1.62</v>
      </c>
      <c r="L112" s="123">
        <f t="shared" si="25"/>
        <v>1.62</v>
      </c>
      <c r="M112" s="123">
        <f t="shared" si="25"/>
        <v>1.62</v>
      </c>
      <c r="N112" s="123">
        <f t="shared" si="25"/>
        <v>1.62</v>
      </c>
      <c r="O112" s="123">
        <f t="shared" si="25"/>
        <v>1.62</v>
      </c>
      <c r="P112" s="123">
        <f t="shared" si="25"/>
        <v>1.62</v>
      </c>
      <c r="Q112" s="123">
        <f t="shared" si="25"/>
        <v>1.62</v>
      </c>
      <c r="R112" s="123">
        <f t="shared" si="25"/>
        <v>1.62</v>
      </c>
      <c r="S112" s="123">
        <f t="shared" si="25"/>
        <v>1.62</v>
      </c>
      <c r="T112" s="123">
        <f t="shared" ref="T112:AF127" si="26">S112</f>
        <v>1.62</v>
      </c>
      <c r="U112" s="123">
        <f t="shared" si="26"/>
        <v>1.62</v>
      </c>
      <c r="V112" s="123">
        <f t="shared" si="26"/>
        <v>1.62</v>
      </c>
      <c r="W112" s="123">
        <f t="shared" si="26"/>
        <v>1.62</v>
      </c>
      <c r="X112" s="123">
        <f t="shared" si="26"/>
        <v>1.62</v>
      </c>
      <c r="Y112" s="123">
        <f t="shared" si="26"/>
        <v>1.62</v>
      </c>
      <c r="Z112" s="123">
        <f t="shared" si="26"/>
        <v>1.62</v>
      </c>
      <c r="AA112" s="123">
        <f t="shared" si="26"/>
        <v>1.62</v>
      </c>
      <c r="AB112" s="123">
        <f t="shared" si="26"/>
        <v>1.62</v>
      </c>
      <c r="AC112" s="123">
        <f t="shared" si="26"/>
        <v>1.62</v>
      </c>
      <c r="AD112" s="123">
        <f t="shared" si="26"/>
        <v>1.62</v>
      </c>
      <c r="AE112" s="123">
        <f t="shared" si="26"/>
        <v>1.62</v>
      </c>
      <c r="AF112" s="123">
        <f t="shared" si="26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4"/>
        <v>8.36</v>
      </c>
      <c r="C113" s="124">
        <v>8.36</v>
      </c>
      <c r="D113" s="123">
        <f t="shared" si="25"/>
        <v>8.36</v>
      </c>
      <c r="E113" s="123">
        <f t="shared" si="25"/>
        <v>8.36</v>
      </c>
      <c r="F113" s="123">
        <f t="shared" si="25"/>
        <v>8.36</v>
      </c>
      <c r="G113" s="123">
        <f t="shared" si="25"/>
        <v>8.36</v>
      </c>
      <c r="H113" s="123">
        <f t="shared" si="25"/>
        <v>8.36</v>
      </c>
      <c r="I113" s="123">
        <f t="shared" si="25"/>
        <v>8.36</v>
      </c>
      <c r="J113" s="123">
        <f t="shared" si="25"/>
        <v>8.36</v>
      </c>
      <c r="K113" s="123">
        <f t="shared" si="25"/>
        <v>8.36</v>
      </c>
      <c r="L113" s="123">
        <f t="shared" si="25"/>
        <v>8.36</v>
      </c>
      <c r="M113" s="123">
        <f t="shared" si="25"/>
        <v>8.36</v>
      </c>
      <c r="N113" s="123">
        <f t="shared" si="25"/>
        <v>8.36</v>
      </c>
      <c r="O113" s="123">
        <f t="shared" si="25"/>
        <v>8.36</v>
      </c>
      <c r="P113" s="123">
        <f t="shared" si="25"/>
        <v>8.36</v>
      </c>
      <c r="Q113" s="123">
        <f t="shared" si="25"/>
        <v>8.36</v>
      </c>
      <c r="R113" s="123">
        <f t="shared" si="25"/>
        <v>8.36</v>
      </c>
      <c r="S113" s="123">
        <f t="shared" si="25"/>
        <v>8.36</v>
      </c>
      <c r="T113" s="123">
        <f t="shared" si="26"/>
        <v>8.36</v>
      </c>
      <c r="U113" s="123">
        <f t="shared" si="26"/>
        <v>8.36</v>
      </c>
      <c r="V113" s="123">
        <f t="shared" si="26"/>
        <v>8.36</v>
      </c>
      <c r="W113" s="123">
        <f t="shared" si="26"/>
        <v>8.36</v>
      </c>
      <c r="X113" s="123">
        <f t="shared" si="26"/>
        <v>8.36</v>
      </c>
      <c r="Y113" s="123">
        <f t="shared" si="26"/>
        <v>8.36</v>
      </c>
      <c r="Z113" s="123">
        <f t="shared" si="26"/>
        <v>8.36</v>
      </c>
      <c r="AA113" s="123">
        <f t="shared" si="26"/>
        <v>8.36</v>
      </c>
      <c r="AB113" s="123">
        <f t="shared" si="26"/>
        <v>8.36</v>
      </c>
      <c r="AC113" s="123">
        <f t="shared" si="26"/>
        <v>8.36</v>
      </c>
      <c r="AD113" s="123">
        <f t="shared" si="26"/>
        <v>8.36</v>
      </c>
      <c r="AE113" s="123">
        <f t="shared" si="26"/>
        <v>8.36</v>
      </c>
      <c r="AF113" s="123">
        <f t="shared" si="26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4"/>
        <v>5.4</v>
      </c>
      <c r="C114" s="124">
        <v>8</v>
      </c>
      <c r="D114" s="123">
        <f t="shared" si="25"/>
        <v>8</v>
      </c>
      <c r="E114" s="123">
        <f t="shared" si="25"/>
        <v>8</v>
      </c>
      <c r="F114" s="123">
        <f t="shared" si="25"/>
        <v>8</v>
      </c>
      <c r="G114" s="123">
        <f t="shared" si="25"/>
        <v>8</v>
      </c>
      <c r="H114" s="123">
        <f t="shared" si="25"/>
        <v>8</v>
      </c>
      <c r="I114" s="123">
        <f t="shared" si="25"/>
        <v>8</v>
      </c>
      <c r="J114" s="123">
        <v>5.4</v>
      </c>
      <c r="K114" s="123">
        <f t="shared" si="25"/>
        <v>5.4</v>
      </c>
      <c r="L114" s="123">
        <f t="shared" si="25"/>
        <v>5.4</v>
      </c>
      <c r="M114" s="123">
        <f t="shared" si="25"/>
        <v>5.4</v>
      </c>
      <c r="N114" s="123">
        <f t="shared" si="25"/>
        <v>5.4</v>
      </c>
      <c r="O114" s="123">
        <f t="shared" si="25"/>
        <v>5.4</v>
      </c>
      <c r="P114" s="123">
        <f t="shared" si="25"/>
        <v>5.4</v>
      </c>
      <c r="Q114" s="123">
        <f t="shared" si="25"/>
        <v>5.4</v>
      </c>
      <c r="R114" s="123">
        <f t="shared" si="25"/>
        <v>5.4</v>
      </c>
      <c r="S114" s="123">
        <f t="shared" si="25"/>
        <v>5.4</v>
      </c>
      <c r="T114" s="123">
        <f t="shared" si="26"/>
        <v>5.4</v>
      </c>
      <c r="U114" s="123">
        <f t="shared" si="26"/>
        <v>5.4</v>
      </c>
      <c r="V114" s="123">
        <f t="shared" si="26"/>
        <v>5.4</v>
      </c>
      <c r="W114" s="123">
        <f t="shared" si="26"/>
        <v>5.4</v>
      </c>
      <c r="X114" s="123">
        <f t="shared" si="26"/>
        <v>5.4</v>
      </c>
      <c r="Y114" s="123">
        <f t="shared" si="26"/>
        <v>5.4</v>
      </c>
      <c r="Z114" s="123">
        <f t="shared" si="26"/>
        <v>5.4</v>
      </c>
      <c r="AA114" s="123">
        <f t="shared" si="26"/>
        <v>5.4</v>
      </c>
      <c r="AB114" s="123">
        <f t="shared" si="26"/>
        <v>5.4</v>
      </c>
      <c r="AC114" s="123">
        <f t="shared" si="26"/>
        <v>5.4</v>
      </c>
      <c r="AD114" s="123">
        <f t="shared" si="26"/>
        <v>5.4</v>
      </c>
      <c r="AE114" s="123">
        <f t="shared" si="26"/>
        <v>5.4</v>
      </c>
      <c r="AF114" s="123">
        <f t="shared" si="26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4"/>
        <v>6.57</v>
      </c>
      <c r="C115" s="124">
        <v>6.57</v>
      </c>
      <c r="D115" s="123">
        <f t="shared" si="25"/>
        <v>6.57</v>
      </c>
      <c r="E115" s="123">
        <f t="shared" si="25"/>
        <v>6.57</v>
      </c>
      <c r="F115" s="123">
        <f t="shared" si="25"/>
        <v>6.57</v>
      </c>
      <c r="G115" s="123">
        <f t="shared" si="25"/>
        <v>6.57</v>
      </c>
      <c r="H115" s="123">
        <f t="shared" si="25"/>
        <v>6.57</v>
      </c>
      <c r="I115" s="123">
        <f t="shared" si="25"/>
        <v>6.57</v>
      </c>
      <c r="J115" s="123">
        <f t="shared" si="25"/>
        <v>6.57</v>
      </c>
      <c r="K115" s="123">
        <f t="shared" si="25"/>
        <v>6.57</v>
      </c>
      <c r="L115" s="123">
        <f t="shared" si="25"/>
        <v>6.57</v>
      </c>
      <c r="M115" s="123">
        <f t="shared" si="25"/>
        <v>6.57</v>
      </c>
      <c r="N115" s="123">
        <f t="shared" si="25"/>
        <v>6.57</v>
      </c>
      <c r="O115" s="123">
        <f t="shared" si="25"/>
        <v>6.57</v>
      </c>
      <c r="P115" s="123">
        <f t="shared" si="25"/>
        <v>6.57</v>
      </c>
      <c r="Q115" s="123">
        <f t="shared" si="25"/>
        <v>6.57</v>
      </c>
      <c r="R115" s="123">
        <f t="shared" si="25"/>
        <v>6.57</v>
      </c>
      <c r="S115" s="123">
        <f t="shared" si="25"/>
        <v>6.57</v>
      </c>
      <c r="T115" s="123">
        <f t="shared" si="26"/>
        <v>6.57</v>
      </c>
      <c r="U115" s="123">
        <f t="shared" si="26"/>
        <v>6.57</v>
      </c>
      <c r="V115" s="123">
        <f t="shared" si="26"/>
        <v>6.57</v>
      </c>
      <c r="W115" s="123">
        <f t="shared" si="26"/>
        <v>6.57</v>
      </c>
      <c r="X115" s="123">
        <f t="shared" si="26"/>
        <v>6.57</v>
      </c>
      <c r="Y115" s="123">
        <f t="shared" si="26"/>
        <v>6.57</v>
      </c>
      <c r="Z115" s="123">
        <f t="shared" si="26"/>
        <v>6.57</v>
      </c>
      <c r="AA115" s="123">
        <f t="shared" si="26"/>
        <v>6.57</v>
      </c>
      <c r="AB115" s="123">
        <f t="shared" si="26"/>
        <v>6.57</v>
      </c>
      <c r="AC115" s="123">
        <f t="shared" si="26"/>
        <v>6.57</v>
      </c>
      <c r="AD115" s="123">
        <f t="shared" si="26"/>
        <v>6.57</v>
      </c>
      <c r="AE115" s="123">
        <f t="shared" si="26"/>
        <v>6.57</v>
      </c>
      <c r="AF115" s="123">
        <f t="shared" si="26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4"/>
        <v>3.43</v>
      </c>
      <c r="C116" s="124">
        <v>3.43</v>
      </c>
      <c r="D116" s="123">
        <f t="shared" si="25"/>
        <v>3.43</v>
      </c>
      <c r="E116" s="123">
        <f t="shared" si="25"/>
        <v>3.43</v>
      </c>
      <c r="F116" s="123">
        <f t="shared" si="25"/>
        <v>3.43</v>
      </c>
      <c r="G116" s="123">
        <f t="shared" si="25"/>
        <v>3.43</v>
      </c>
      <c r="H116" s="123">
        <f t="shared" si="25"/>
        <v>3.43</v>
      </c>
      <c r="I116" s="123">
        <f t="shared" si="25"/>
        <v>3.43</v>
      </c>
      <c r="J116" s="123">
        <f t="shared" si="25"/>
        <v>3.43</v>
      </c>
      <c r="K116" s="123">
        <f t="shared" si="25"/>
        <v>3.43</v>
      </c>
      <c r="L116" s="123">
        <f t="shared" si="25"/>
        <v>3.43</v>
      </c>
      <c r="M116" s="123">
        <f t="shared" si="25"/>
        <v>3.43</v>
      </c>
      <c r="N116" s="123">
        <f t="shared" si="25"/>
        <v>3.43</v>
      </c>
      <c r="O116" s="123">
        <f t="shared" si="25"/>
        <v>3.43</v>
      </c>
      <c r="P116" s="123">
        <f t="shared" si="25"/>
        <v>3.43</v>
      </c>
      <c r="Q116" s="123">
        <f t="shared" si="25"/>
        <v>3.43</v>
      </c>
      <c r="R116" s="123">
        <f t="shared" si="25"/>
        <v>3.43</v>
      </c>
      <c r="S116" s="123">
        <f t="shared" si="25"/>
        <v>3.43</v>
      </c>
      <c r="T116" s="123">
        <f t="shared" si="26"/>
        <v>3.43</v>
      </c>
      <c r="U116" s="123">
        <f t="shared" si="26"/>
        <v>3.43</v>
      </c>
      <c r="V116" s="123">
        <f t="shared" si="26"/>
        <v>3.43</v>
      </c>
      <c r="W116" s="123">
        <f t="shared" si="26"/>
        <v>3.43</v>
      </c>
      <c r="X116" s="123">
        <f t="shared" si="26"/>
        <v>3.43</v>
      </c>
      <c r="Y116" s="123">
        <f t="shared" si="26"/>
        <v>3.43</v>
      </c>
      <c r="Z116" s="123">
        <f t="shared" si="26"/>
        <v>3.43</v>
      </c>
      <c r="AA116" s="123">
        <f t="shared" si="26"/>
        <v>3.43</v>
      </c>
      <c r="AB116" s="123">
        <f t="shared" si="26"/>
        <v>3.43</v>
      </c>
      <c r="AC116" s="123">
        <f t="shared" si="26"/>
        <v>3.43</v>
      </c>
      <c r="AD116" s="123">
        <f t="shared" si="26"/>
        <v>3.43</v>
      </c>
      <c r="AE116" s="123">
        <f t="shared" si="26"/>
        <v>3.43</v>
      </c>
      <c r="AF116" s="123">
        <f t="shared" si="26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4"/>
        <v>2.96</v>
      </c>
      <c r="C117" s="124">
        <v>2.96</v>
      </c>
      <c r="D117" s="123">
        <f t="shared" si="25"/>
        <v>2.96</v>
      </c>
      <c r="E117" s="123">
        <f t="shared" si="25"/>
        <v>2.96</v>
      </c>
      <c r="F117" s="123">
        <f t="shared" si="25"/>
        <v>2.96</v>
      </c>
      <c r="G117" s="123">
        <f t="shared" si="25"/>
        <v>2.96</v>
      </c>
      <c r="H117" s="123">
        <f t="shared" si="25"/>
        <v>2.96</v>
      </c>
      <c r="I117" s="123">
        <f t="shared" si="25"/>
        <v>2.96</v>
      </c>
      <c r="J117" s="123">
        <f t="shared" si="25"/>
        <v>2.96</v>
      </c>
      <c r="K117" s="123">
        <f t="shared" si="25"/>
        <v>2.96</v>
      </c>
      <c r="L117" s="123">
        <f t="shared" si="25"/>
        <v>2.96</v>
      </c>
      <c r="M117" s="123">
        <f t="shared" si="25"/>
        <v>2.96</v>
      </c>
      <c r="N117" s="123">
        <f t="shared" si="25"/>
        <v>2.96</v>
      </c>
      <c r="O117" s="123">
        <f t="shared" si="25"/>
        <v>2.96</v>
      </c>
      <c r="P117" s="123">
        <f t="shared" si="25"/>
        <v>2.96</v>
      </c>
      <c r="Q117" s="123">
        <f t="shared" si="25"/>
        <v>2.96</v>
      </c>
      <c r="R117" s="123">
        <f t="shared" si="25"/>
        <v>2.96</v>
      </c>
      <c r="S117" s="123">
        <f t="shared" si="25"/>
        <v>2.96</v>
      </c>
      <c r="T117" s="123">
        <f t="shared" si="26"/>
        <v>2.96</v>
      </c>
      <c r="U117" s="123">
        <f t="shared" si="26"/>
        <v>2.96</v>
      </c>
      <c r="V117" s="123">
        <f t="shared" si="26"/>
        <v>2.96</v>
      </c>
      <c r="W117" s="123">
        <f t="shared" si="26"/>
        <v>2.96</v>
      </c>
      <c r="X117" s="123">
        <f t="shared" si="26"/>
        <v>2.96</v>
      </c>
      <c r="Y117" s="123">
        <f t="shared" si="26"/>
        <v>2.96</v>
      </c>
      <c r="Z117" s="123">
        <f t="shared" si="26"/>
        <v>2.96</v>
      </c>
      <c r="AA117" s="123">
        <f t="shared" si="26"/>
        <v>2.96</v>
      </c>
      <c r="AB117" s="123">
        <f t="shared" si="26"/>
        <v>2.96</v>
      </c>
      <c r="AC117" s="123">
        <f t="shared" si="26"/>
        <v>2.96</v>
      </c>
      <c r="AD117" s="123">
        <f t="shared" si="26"/>
        <v>2.96</v>
      </c>
      <c r="AE117" s="123">
        <f t="shared" si="26"/>
        <v>2.96</v>
      </c>
      <c r="AF117" s="123">
        <f t="shared" si="26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4"/>
        <v>8</v>
      </c>
      <c r="C118" s="124">
        <v>8</v>
      </c>
      <c r="D118" s="123">
        <f t="shared" si="25"/>
        <v>8</v>
      </c>
      <c r="E118" s="123">
        <f t="shared" si="25"/>
        <v>8</v>
      </c>
      <c r="F118" s="123">
        <f t="shared" si="25"/>
        <v>8</v>
      </c>
      <c r="G118" s="123">
        <f t="shared" si="25"/>
        <v>8</v>
      </c>
      <c r="H118" s="123">
        <f t="shared" si="25"/>
        <v>8</v>
      </c>
      <c r="I118" s="123">
        <f t="shared" si="25"/>
        <v>8</v>
      </c>
      <c r="J118" s="123">
        <f t="shared" si="25"/>
        <v>8</v>
      </c>
      <c r="K118" s="123">
        <f t="shared" si="25"/>
        <v>8</v>
      </c>
      <c r="L118" s="123">
        <f t="shared" si="25"/>
        <v>8</v>
      </c>
      <c r="M118" s="123">
        <f t="shared" si="25"/>
        <v>8</v>
      </c>
      <c r="N118" s="123">
        <f t="shared" si="25"/>
        <v>8</v>
      </c>
      <c r="O118" s="123">
        <f t="shared" si="25"/>
        <v>8</v>
      </c>
      <c r="P118" s="123">
        <f t="shared" si="25"/>
        <v>8</v>
      </c>
      <c r="Q118" s="123">
        <f t="shared" si="25"/>
        <v>8</v>
      </c>
      <c r="R118" s="123">
        <f t="shared" si="25"/>
        <v>8</v>
      </c>
      <c r="S118" s="123">
        <f t="shared" si="25"/>
        <v>8</v>
      </c>
      <c r="T118" s="123">
        <f t="shared" si="26"/>
        <v>8</v>
      </c>
      <c r="U118" s="123">
        <f t="shared" si="26"/>
        <v>8</v>
      </c>
      <c r="V118" s="123">
        <f t="shared" si="26"/>
        <v>8</v>
      </c>
      <c r="W118" s="123">
        <f t="shared" si="26"/>
        <v>8</v>
      </c>
      <c r="X118" s="123">
        <f t="shared" si="26"/>
        <v>8</v>
      </c>
      <c r="Y118" s="123">
        <f t="shared" si="26"/>
        <v>8</v>
      </c>
      <c r="Z118" s="123">
        <f t="shared" si="26"/>
        <v>8</v>
      </c>
      <c r="AA118" s="123">
        <f t="shared" si="26"/>
        <v>8</v>
      </c>
      <c r="AB118" s="123">
        <f t="shared" si="26"/>
        <v>8</v>
      </c>
      <c r="AC118" s="123">
        <f t="shared" si="26"/>
        <v>8</v>
      </c>
      <c r="AD118" s="123">
        <f t="shared" si="26"/>
        <v>8</v>
      </c>
      <c r="AE118" s="123">
        <f t="shared" si="26"/>
        <v>8</v>
      </c>
      <c r="AF118" s="123">
        <f t="shared" si="26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4"/>
        <v>7</v>
      </c>
      <c r="C119" s="124">
        <v>7</v>
      </c>
      <c r="D119" s="123">
        <f>C119</f>
        <v>7</v>
      </c>
      <c r="E119" s="123">
        <f t="shared" si="25"/>
        <v>7</v>
      </c>
      <c r="F119" s="123">
        <f t="shared" si="25"/>
        <v>7</v>
      </c>
      <c r="G119" s="123">
        <f t="shared" si="25"/>
        <v>7</v>
      </c>
      <c r="H119" s="123">
        <f t="shared" si="25"/>
        <v>7</v>
      </c>
      <c r="I119" s="123">
        <f t="shared" si="25"/>
        <v>7</v>
      </c>
      <c r="J119" s="123">
        <f t="shared" si="25"/>
        <v>7</v>
      </c>
      <c r="K119" s="123">
        <f t="shared" si="25"/>
        <v>7</v>
      </c>
      <c r="L119" s="123">
        <f t="shared" si="25"/>
        <v>7</v>
      </c>
      <c r="M119" s="123">
        <f t="shared" si="25"/>
        <v>7</v>
      </c>
      <c r="N119" s="123">
        <f t="shared" si="25"/>
        <v>7</v>
      </c>
      <c r="O119" s="123">
        <f t="shared" si="25"/>
        <v>7</v>
      </c>
      <c r="P119" s="123">
        <f t="shared" si="25"/>
        <v>7</v>
      </c>
      <c r="Q119" s="123">
        <f t="shared" si="25"/>
        <v>7</v>
      </c>
      <c r="R119" s="123">
        <f t="shared" si="25"/>
        <v>7</v>
      </c>
      <c r="S119" s="123">
        <f t="shared" si="25"/>
        <v>7</v>
      </c>
      <c r="T119" s="123">
        <f t="shared" si="26"/>
        <v>7</v>
      </c>
      <c r="U119" s="123">
        <f t="shared" si="26"/>
        <v>7</v>
      </c>
      <c r="V119" s="123">
        <f t="shared" si="26"/>
        <v>7</v>
      </c>
      <c r="W119" s="123">
        <f t="shared" si="26"/>
        <v>7</v>
      </c>
      <c r="X119" s="123">
        <f t="shared" si="26"/>
        <v>7</v>
      </c>
      <c r="Y119" s="123">
        <f t="shared" si="26"/>
        <v>7</v>
      </c>
      <c r="Z119" s="123">
        <f t="shared" si="26"/>
        <v>7</v>
      </c>
      <c r="AA119" s="123">
        <f t="shared" si="26"/>
        <v>7</v>
      </c>
      <c r="AB119" s="123">
        <f t="shared" si="26"/>
        <v>7</v>
      </c>
      <c r="AC119" s="123">
        <f t="shared" si="26"/>
        <v>7</v>
      </c>
      <c r="AD119" s="123">
        <f t="shared" si="26"/>
        <v>7</v>
      </c>
      <c r="AE119" s="123">
        <f t="shared" si="26"/>
        <v>7</v>
      </c>
      <c r="AF119" s="123">
        <f t="shared" si="26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4"/>
        <v>3.47</v>
      </c>
      <c r="C120" s="124">
        <v>3.47</v>
      </c>
      <c r="D120" s="123">
        <f t="shared" ref="D120:S129" si="27">C120</f>
        <v>3.47</v>
      </c>
      <c r="E120" s="123">
        <f t="shared" si="27"/>
        <v>3.47</v>
      </c>
      <c r="F120" s="123">
        <f t="shared" si="27"/>
        <v>3.47</v>
      </c>
      <c r="G120" s="123">
        <f t="shared" si="27"/>
        <v>3.47</v>
      </c>
      <c r="H120" s="123">
        <f t="shared" si="27"/>
        <v>3.47</v>
      </c>
      <c r="I120" s="123">
        <f t="shared" si="27"/>
        <v>3.47</v>
      </c>
      <c r="J120" s="123">
        <f t="shared" si="27"/>
        <v>3.47</v>
      </c>
      <c r="K120" s="123">
        <f t="shared" si="27"/>
        <v>3.47</v>
      </c>
      <c r="L120" s="123">
        <f t="shared" si="27"/>
        <v>3.47</v>
      </c>
      <c r="M120" s="123">
        <f t="shared" si="27"/>
        <v>3.47</v>
      </c>
      <c r="N120" s="123">
        <f t="shared" si="27"/>
        <v>3.47</v>
      </c>
      <c r="O120" s="123">
        <f t="shared" si="27"/>
        <v>3.47</v>
      </c>
      <c r="P120" s="123">
        <f t="shared" si="27"/>
        <v>3.47</v>
      </c>
      <c r="Q120" s="123">
        <f t="shared" si="27"/>
        <v>3.47</v>
      </c>
      <c r="R120" s="123">
        <f t="shared" si="27"/>
        <v>3.47</v>
      </c>
      <c r="S120" s="123">
        <f t="shared" si="27"/>
        <v>3.47</v>
      </c>
      <c r="T120" s="123">
        <f t="shared" si="26"/>
        <v>3.47</v>
      </c>
      <c r="U120" s="123">
        <f t="shared" si="26"/>
        <v>3.47</v>
      </c>
      <c r="V120" s="123">
        <f t="shared" si="26"/>
        <v>3.47</v>
      </c>
      <c r="W120" s="123">
        <f t="shared" si="26"/>
        <v>3.47</v>
      </c>
      <c r="X120" s="123">
        <f t="shared" si="26"/>
        <v>3.47</v>
      </c>
      <c r="Y120" s="123">
        <f t="shared" si="26"/>
        <v>3.47</v>
      </c>
      <c r="Z120" s="123">
        <f t="shared" si="26"/>
        <v>3.47</v>
      </c>
      <c r="AA120" s="123">
        <f t="shared" si="26"/>
        <v>3.47</v>
      </c>
      <c r="AB120" s="123">
        <f t="shared" si="26"/>
        <v>3.47</v>
      </c>
      <c r="AC120" s="123">
        <f t="shared" si="26"/>
        <v>3.47</v>
      </c>
      <c r="AD120" s="123">
        <f t="shared" si="26"/>
        <v>3.47</v>
      </c>
      <c r="AE120" s="123">
        <f t="shared" si="26"/>
        <v>3.47</v>
      </c>
      <c r="AF120" s="123">
        <f t="shared" si="26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4"/>
        <v>2.1</v>
      </c>
      <c r="C121" s="124">
        <v>2.1</v>
      </c>
      <c r="D121" s="123">
        <f t="shared" si="27"/>
        <v>2.1</v>
      </c>
      <c r="E121" s="123">
        <f t="shared" si="27"/>
        <v>2.1</v>
      </c>
      <c r="F121" s="123">
        <f t="shared" si="27"/>
        <v>2.1</v>
      </c>
      <c r="G121" s="123">
        <f t="shared" si="27"/>
        <v>2.1</v>
      </c>
      <c r="H121" s="123">
        <f t="shared" si="27"/>
        <v>2.1</v>
      </c>
      <c r="I121" s="123">
        <f t="shared" si="27"/>
        <v>2.1</v>
      </c>
      <c r="J121" s="123">
        <f t="shared" si="27"/>
        <v>2.1</v>
      </c>
      <c r="K121" s="123">
        <f t="shared" si="27"/>
        <v>2.1</v>
      </c>
      <c r="L121" s="123">
        <f t="shared" si="27"/>
        <v>2.1</v>
      </c>
      <c r="M121" s="123">
        <f t="shared" si="27"/>
        <v>2.1</v>
      </c>
      <c r="N121" s="123">
        <f t="shared" si="27"/>
        <v>2.1</v>
      </c>
      <c r="O121" s="123">
        <f t="shared" si="27"/>
        <v>2.1</v>
      </c>
      <c r="P121" s="123">
        <f t="shared" si="27"/>
        <v>2.1</v>
      </c>
      <c r="Q121" s="123">
        <f t="shared" si="27"/>
        <v>2.1</v>
      </c>
      <c r="R121" s="123">
        <f t="shared" si="27"/>
        <v>2.1</v>
      </c>
      <c r="S121" s="123">
        <f t="shared" si="27"/>
        <v>2.1</v>
      </c>
      <c r="T121" s="123">
        <f t="shared" si="26"/>
        <v>2.1</v>
      </c>
      <c r="U121" s="123">
        <f t="shared" si="26"/>
        <v>2.1</v>
      </c>
      <c r="V121" s="123">
        <f t="shared" si="26"/>
        <v>2.1</v>
      </c>
      <c r="W121" s="123">
        <f t="shared" si="26"/>
        <v>2.1</v>
      </c>
      <c r="X121" s="123">
        <f t="shared" si="26"/>
        <v>2.1</v>
      </c>
      <c r="Y121" s="123">
        <f t="shared" si="26"/>
        <v>2.1</v>
      </c>
      <c r="Z121" s="123">
        <f t="shared" si="26"/>
        <v>2.1</v>
      </c>
      <c r="AA121" s="123">
        <f t="shared" si="26"/>
        <v>2.1</v>
      </c>
      <c r="AB121" s="123">
        <f t="shared" si="26"/>
        <v>2.1</v>
      </c>
      <c r="AC121" s="123">
        <f t="shared" si="26"/>
        <v>2.1</v>
      </c>
      <c r="AD121" s="123">
        <f t="shared" si="26"/>
        <v>2.1</v>
      </c>
      <c r="AE121" s="123">
        <f t="shared" si="26"/>
        <v>2.1</v>
      </c>
      <c r="AF121" s="123">
        <f t="shared" si="26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4"/>
        <v>9.3000000000000007</v>
      </c>
      <c r="C122" s="124">
        <v>9.3000000000000007</v>
      </c>
      <c r="D122" s="123">
        <f t="shared" si="27"/>
        <v>9.3000000000000007</v>
      </c>
      <c r="E122" s="123">
        <f t="shared" si="27"/>
        <v>9.3000000000000007</v>
      </c>
      <c r="F122" s="123">
        <f t="shared" si="27"/>
        <v>9.3000000000000007</v>
      </c>
      <c r="G122" s="123">
        <f t="shared" si="27"/>
        <v>9.3000000000000007</v>
      </c>
      <c r="H122" s="123">
        <f t="shared" si="27"/>
        <v>9.3000000000000007</v>
      </c>
      <c r="I122" s="123">
        <f t="shared" si="27"/>
        <v>9.3000000000000007</v>
      </c>
      <c r="J122" s="123">
        <f t="shared" si="27"/>
        <v>9.3000000000000007</v>
      </c>
      <c r="K122" s="123">
        <f t="shared" si="27"/>
        <v>9.3000000000000007</v>
      </c>
      <c r="L122" s="123">
        <f t="shared" si="27"/>
        <v>9.3000000000000007</v>
      </c>
      <c r="M122" s="123">
        <f t="shared" si="27"/>
        <v>9.3000000000000007</v>
      </c>
      <c r="N122" s="123">
        <f t="shared" si="27"/>
        <v>9.3000000000000007</v>
      </c>
      <c r="O122" s="123">
        <f t="shared" si="27"/>
        <v>9.3000000000000007</v>
      </c>
      <c r="P122" s="123">
        <f t="shared" si="27"/>
        <v>9.3000000000000007</v>
      </c>
      <c r="Q122" s="123">
        <f t="shared" si="27"/>
        <v>9.3000000000000007</v>
      </c>
      <c r="R122" s="123">
        <f t="shared" si="27"/>
        <v>9.3000000000000007</v>
      </c>
      <c r="S122" s="123">
        <f t="shared" si="27"/>
        <v>9.3000000000000007</v>
      </c>
      <c r="T122" s="123">
        <f t="shared" si="26"/>
        <v>9.3000000000000007</v>
      </c>
      <c r="U122" s="123">
        <f t="shared" si="26"/>
        <v>9.3000000000000007</v>
      </c>
      <c r="V122" s="123">
        <f t="shared" si="26"/>
        <v>9.3000000000000007</v>
      </c>
      <c r="W122" s="123">
        <f t="shared" si="26"/>
        <v>9.3000000000000007</v>
      </c>
      <c r="X122" s="123">
        <f t="shared" si="26"/>
        <v>9.3000000000000007</v>
      </c>
      <c r="Y122" s="123">
        <f t="shared" si="26"/>
        <v>9.3000000000000007</v>
      </c>
      <c r="Z122" s="123">
        <f t="shared" si="26"/>
        <v>9.3000000000000007</v>
      </c>
      <c r="AA122" s="123">
        <f t="shared" si="26"/>
        <v>9.3000000000000007</v>
      </c>
      <c r="AB122" s="123">
        <f t="shared" si="26"/>
        <v>9.3000000000000007</v>
      </c>
      <c r="AC122" s="123">
        <f t="shared" si="26"/>
        <v>9.3000000000000007</v>
      </c>
      <c r="AD122" s="123">
        <f t="shared" si="26"/>
        <v>9.3000000000000007</v>
      </c>
      <c r="AE122" s="123">
        <f t="shared" si="26"/>
        <v>9.3000000000000007</v>
      </c>
      <c r="AF122" s="123">
        <f t="shared" si="26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4"/>
        <v>0</v>
      </c>
      <c r="C123" s="124">
        <v>0</v>
      </c>
      <c r="D123" s="123">
        <f t="shared" si="27"/>
        <v>0</v>
      </c>
      <c r="E123" s="123">
        <f t="shared" si="27"/>
        <v>0</v>
      </c>
      <c r="F123" s="123">
        <f t="shared" si="27"/>
        <v>0</v>
      </c>
      <c r="G123" s="123">
        <f t="shared" si="27"/>
        <v>0</v>
      </c>
      <c r="H123" s="123">
        <f t="shared" si="27"/>
        <v>0</v>
      </c>
      <c r="I123" s="123">
        <f t="shared" si="27"/>
        <v>0</v>
      </c>
      <c r="J123" s="123">
        <f t="shared" si="27"/>
        <v>0</v>
      </c>
      <c r="K123" s="123">
        <f t="shared" si="27"/>
        <v>0</v>
      </c>
      <c r="L123" s="123">
        <f t="shared" si="27"/>
        <v>0</v>
      </c>
      <c r="M123" s="123">
        <f t="shared" si="27"/>
        <v>0</v>
      </c>
      <c r="N123" s="123">
        <f t="shared" si="27"/>
        <v>0</v>
      </c>
      <c r="O123" s="123">
        <f t="shared" si="27"/>
        <v>0</v>
      </c>
      <c r="P123" s="123">
        <f t="shared" si="27"/>
        <v>0</v>
      </c>
      <c r="Q123" s="123">
        <f t="shared" si="27"/>
        <v>0</v>
      </c>
      <c r="R123" s="123">
        <f t="shared" si="27"/>
        <v>0</v>
      </c>
      <c r="S123" s="123">
        <f t="shared" si="27"/>
        <v>0</v>
      </c>
      <c r="T123" s="123">
        <f t="shared" si="26"/>
        <v>0</v>
      </c>
      <c r="U123" s="123">
        <f t="shared" si="26"/>
        <v>0</v>
      </c>
      <c r="V123" s="123">
        <f t="shared" si="26"/>
        <v>0</v>
      </c>
      <c r="W123" s="123">
        <f t="shared" si="26"/>
        <v>0</v>
      </c>
      <c r="X123" s="123">
        <f t="shared" si="26"/>
        <v>0</v>
      </c>
      <c r="Y123" s="123">
        <f t="shared" si="26"/>
        <v>0</v>
      </c>
      <c r="Z123" s="123">
        <f t="shared" si="26"/>
        <v>0</v>
      </c>
      <c r="AA123" s="123">
        <f t="shared" si="26"/>
        <v>0</v>
      </c>
      <c r="AB123" s="123">
        <f t="shared" si="26"/>
        <v>0</v>
      </c>
      <c r="AC123" s="123">
        <f t="shared" si="26"/>
        <v>0</v>
      </c>
      <c r="AD123" s="123">
        <f t="shared" si="26"/>
        <v>0</v>
      </c>
      <c r="AE123" s="123">
        <f t="shared" si="26"/>
        <v>0</v>
      </c>
      <c r="AF123" s="123">
        <f t="shared" si="26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4"/>
        <v>0</v>
      </c>
      <c r="C124" s="124">
        <v>0</v>
      </c>
      <c r="D124" s="123">
        <f t="shared" si="27"/>
        <v>0</v>
      </c>
      <c r="E124" s="123">
        <f t="shared" si="27"/>
        <v>0</v>
      </c>
      <c r="F124" s="123">
        <f t="shared" si="27"/>
        <v>0</v>
      </c>
      <c r="G124" s="123">
        <f t="shared" si="27"/>
        <v>0</v>
      </c>
      <c r="H124" s="123">
        <f t="shared" si="27"/>
        <v>0</v>
      </c>
      <c r="I124" s="123">
        <f t="shared" si="27"/>
        <v>0</v>
      </c>
      <c r="J124" s="123">
        <f t="shared" si="27"/>
        <v>0</v>
      </c>
      <c r="K124" s="123">
        <f t="shared" si="27"/>
        <v>0</v>
      </c>
      <c r="L124" s="123">
        <f t="shared" si="27"/>
        <v>0</v>
      </c>
      <c r="M124" s="123">
        <f t="shared" si="27"/>
        <v>0</v>
      </c>
      <c r="N124" s="123">
        <f t="shared" si="27"/>
        <v>0</v>
      </c>
      <c r="O124" s="123">
        <f t="shared" si="27"/>
        <v>0</v>
      </c>
      <c r="P124" s="123">
        <f t="shared" si="27"/>
        <v>0</v>
      </c>
      <c r="Q124" s="123">
        <f t="shared" si="27"/>
        <v>0</v>
      </c>
      <c r="R124" s="123">
        <f t="shared" si="27"/>
        <v>0</v>
      </c>
      <c r="S124" s="123">
        <f t="shared" si="27"/>
        <v>0</v>
      </c>
      <c r="T124" s="123">
        <f t="shared" si="26"/>
        <v>0</v>
      </c>
      <c r="U124" s="123">
        <f t="shared" si="26"/>
        <v>0</v>
      </c>
      <c r="V124" s="123">
        <f t="shared" si="26"/>
        <v>0</v>
      </c>
      <c r="W124" s="123">
        <f t="shared" si="26"/>
        <v>0</v>
      </c>
      <c r="X124" s="123">
        <f t="shared" si="26"/>
        <v>0</v>
      </c>
      <c r="Y124" s="123">
        <f t="shared" si="26"/>
        <v>0</v>
      </c>
      <c r="Z124" s="123">
        <f t="shared" si="26"/>
        <v>0</v>
      </c>
      <c r="AA124" s="123">
        <f t="shared" si="26"/>
        <v>0</v>
      </c>
      <c r="AB124" s="123">
        <f t="shared" si="26"/>
        <v>0</v>
      </c>
      <c r="AC124" s="123">
        <f t="shared" si="26"/>
        <v>0</v>
      </c>
      <c r="AD124" s="123">
        <f t="shared" si="26"/>
        <v>0</v>
      </c>
      <c r="AE124" s="123">
        <f t="shared" si="26"/>
        <v>0</v>
      </c>
      <c r="AF124" s="123">
        <f t="shared" si="26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4"/>
        <v>;/</v>
      </c>
      <c r="C125" s="124">
        <v>5</v>
      </c>
      <c r="D125" s="123">
        <f t="shared" si="27"/>
        <v>5</v>
      </c>
      <c r="E125" s="123">
        <f t="shared" si="27"/>
        <v>5</v>
      </c>
      <c r="F125" s="123">
        <f t="shared" si="27"/>
        <v>5</v>
      </c>
      <c r="G125" s="123">
        <f t="shared" si="27"/>
        <v>5</v>
      </c>
      <c r="H125" s="123">
        <f t="shared" si="27"/>
        <v>5</v>
      </c>
      <c r="I125" s="123" t="s">
        <v>131</v>
      </c>
      <c r="J125" s="123" t="str">
        <f t="shared" si="27"/>
        <v>;/</v>
      </c>
      <c r="K125" s="123" t="str">
        <f t="shared" si="27"/>
        <v>;/</v>
      </c>
      <c r="L125" s="123" t="str">
        <f t="shared" si="27"/>
        <v>;/</v>
      </c>
      <c r="M125" s="123" t="str">
        <f t="shared" si="27"/>
        <v>;/</v>
      </c>
      <c r="N125" s="123" t="str">
        <f t="shared" si="27"/>
        <v>;/</v>
      </c>
      <c r="O125" s="123" t="str">
        <f t="shared" si="27"/>
        <v>;/</v>
      </c>
      <c r="P125" s="123" t="str">
        <f t="shared" si="27"/>
        <v>;/</v>
      </c>
      <c r="Q125" s="123" t="str">
        <f t="shared" si="27"/>
        <v>;/</v>
      </c>
      <c r="R125" s="123" t="str">
        <f t="shared" si="27"/>
        <v>;/</v>
      </c>
      <c r="S125" s="123" t="str">
        <f t="shared" si="27"/>
        <v>;/</v>
      </c>
      <c r="T125" s="123" t="str">
        <f t="shared" si="26"/>
        <v>;/</v>
      </c>
      <c r="U125" s="123" t="str">
        <f t="shared" si="26"/>
        <v>;/</v>
      </c>
      <c r="V125" s="123" t="str">
        <f t="shared" si="26"/>
        <v>;/</v>
      </c>
      <c r="W125" s="123" t="str">
        <f t="shared" si="26"/>
        <v>;/</v>
      </c>
      <c r="X125" s="123" t="str">
        <f t="shared" si="26"/>
        <v>;/</v>
      </c>
      <c r="Y125" s="123" t="str">
        <f t="shared" si="26"/>
        <v>;/</v>
      </c>
      <c r="Z125" s="123" t="str">
        <f t="shared" si="26"/>
        <v>;/</v>
      </c>
      <c r="AA125" s="123" t="str">
        <f t="shared" si="26"/>
        <v>;/</v>
      </c>
      <c r="AB125" s="123" t="str">
        <f t="shared" si="26"/>
        <v>;/</v>
      </c>
      <c r="AC125" s="123" t="str">
        <f t="shared" si="26"/>
        <v>;/</v>
      </c>
      <c r="AD125" s="123" t="str">
        <f t="shared" si="26"/>
        <v>;/</v>
      </c>
      <c r="AE125" s="123" t="str">
        <f t="shared" si="26"/>
        <v>;/</v>
      </c>
      <c r="AF125" s="123" t="str">
        <f t="shared" si="26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4"/>
        <v>1</v>
      </c>
      <c r="C126" s="124">
        <v>1</v>
      </c>
      <c r="D126" s="123">
        <f t="shared" si="27"/>
        <v>1</v>
      </c>
      <c r="E126" s="123">
        <f t="shared" si="27"/>
        <v>1</v>
      </c>
      <c r="F126" s="123">
        <f t="shared" si="27"/>
        <v>1</v>
      </c>
      <c r="G126" s="123">
        <f t="shared" si="27"/>
        <v>1</v>
      </c>
      <c r="H126" s="123">
        <f t="shared" si="27"/>
        <v>1</v>
      </c>
      <c r="I126" s="123">
        <f t="shared" si="27"/>
        <v>1</v>
      </c>
      <c r="J126" s="123">
        <f t="shared" si="27"/>
        <v>1</v>
      </c>
      <c r="K126" s="123">
        <f t="shared" si="27"/>
        <v>1</v>
      </c>
      <c r="L126" s="123">
        <f t="shared" si="27"/>
        <v>1</v>
      </c>
      <c r="M126" s="123">
        <f t="shared" si="27"/>
        <v>1</v>
      </c>
      <c r="N126" s="123">
        <f t="shared" si="27"/>
        <v>1</v>
      </c>
      <c r="O126" s="123">
        <f t="shared" si="27"/>
        <v>1</v>
      </c>
      <c r="P126" s="123">
        <f t="shared" si="27"/>
        <v>1</v>
      </c>
      <c r="Q126" s="123">
        <f t="shared" si="27"/>
        <v>1</v>
      </c>
      <c r="R126" s="123">
        <f t="shared" si="27"/>
        <v>1</v>
      </c>
      <c r="S126" s="123">
        <f t="shared" si="27"/>
        <v>1</v>
      </c>
      <c r="T126" s="123">
        <f t="shared" si="26"/>
        <v>1</v>
      </c>
      <c r="U126" s="123">
        <f t="shared" si="26"/>
        <v>1</v>
      </c>
      <c r="V126" s="123">
        <f t="shared" si="26"/>
        <v>1</v>
      </c>
      <c r="W126" s="123">
        <f t="shared" si="26"/>
        <v>1</v>
      </c>
      <c r="X126" s="123">
        <f t="shared" si="26"/>
        <v>1</v>
      </c>
      <c r="Y126" s="123">
        <f t="shared" si="26"/>
        <v>1</v>
      </c>
      <c r="Z126" s="123">
        <f t="shared" si="26"/>
        <v>1</v>
      </c>
      <c r="AA126" s="123">
        <f t="shared" si="26"/>
        <v>1</v>
      </c>
      <c r="AB126" s="123">
        <f t="shared" si="26"/>
        <v>1</v>
      </c>
      <c r="AC126" s="123">
        <f t="shared" si="26"/>
        <v>1</v>
      </c>
      <c r="AD126" s="123">
        <f t="shared" si="26"/>
        <v>1</v>
      </c>
      <c r="AE126" s="123">
        <f t="shared" si="26"/>
        <v>1</v>
      </c>
      <c r="AF126" s="123">
        <f t="shared" si="26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4"/>
        <v>1.58</v>
      </c>
      <c r="C127" s="124">
        <v>1.58</v>
      </c>
      <c r="D127" s="123">
        <f t="shared" si="27"/>
        <v>1.58</v>
      </c>
      <c r="E127" s="123">
        <f t="shared" si="27"/>
        <v>1.58</v>
      </c>
      <c r="F127" s="123">
        <f t="shared" si="27"/>
        <v>1.58</v>
      </c>
      <c r="G127" s="123">
        <f t="shared" si="27"/>
        <v>1.58</v>
      </c>
      <c r="H127" s="123">
        <f t="shared" si="27"/>
        <v>1.58</v>
      </c>
      <c r="I127" s="123">
        <f t="shared" si="27"/>
        <v>1.58</v>
      </c>
      <c r="J127" s="123">
        <f t="shared" si="27"/>
        <v>1.58</v>
      </c>
      <c r="K127" s="123">
        <f t="shared" si="27"/>
        <v>1.58</v>
      </c>
      <c r="L127" s="123">
        <f t="shared" si="27"/>
        <v>1.58</v>
      </c>
      <c r="M127" s="123">
        <f t="shared" si="27"/>
        <v>1.58</v>
      </c>
      <c r="N127" s="123">
        <f t="shared" si="27"/>
        <v>1.58</v>
      </c>
      <c r="O127" s="123">
        <f t="shared" si="27"/>
        <v>1.58</v>
      </c>
      <c r="P127" s="123">
        <f t="shared" si="27"/>
        <v>1.58</v>
      </c>
      <c r="Q127" s="123">
        <f t="shared" si="27"/>
        <v>1.58</v>
      </c>
      <c r="R127" s="123">
        <f t="shared" si="27"/>
        <v>1.58</v>
      </c>
      <c r="S127" s="123">
        <f t="shared" si="27"/>
        <v>1.58</v>
      </c>
      <c r="T127" s="123">
        <f t="shared" si="26"/>
        <v>1.58</v>
      </c>
      <c r="U127" s="123">
        <f t="shared" si="26"/>
        <v>1.58</v>
      </c>
      <c r="V127" s="123">
        <f t="shared" si="26"/>
        <v>1.58</v>
      </c>
      <c r="W127" s="123">
        <f t="shared" si="26"/>
        <v>1.58</v>
      </c>
      <c r="X127" s="123">
        <f t="shared" si="26"/>
        <v>1.58</v>
      </c>
      <c r="Y127" s="123">
        <f t="shared" si="26"/>
        <v>1.58</v>
      </c>
      <c r="Z127" s="123">
        <f t="shared" si="26"/>
        <v>1.58</v>
      </c>
      <c r="AA127" s="123">
        <f t="shared" si="26"/>
        <v>1.58</v>
      </c>
      <c r="AB127" s="123">
        <f t="shared" si="26"/>
        <v>1.58</v>
      </c>
      <c r="AC127" s="123">
        <f t="shared" si="26"/>
        <v>1.58</v>
      </c>
      <c r="AD127" s="123">
        <f t="shared" si="26"/>
        <v>1.58</v>
      </c>
      <c r="AE127" s="123">
        <f t="shared" si="26"/>
        <v>1.58</v>
      </c>
      <c r="AF127" s="123">
        <f t="shared" si="26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4"/>
        <v>1.46</v>
      </c>
      <c r="C128" s="124">
        <v>1.46</v>
      </c>
      <c r="D128" s="123">
        <f t="shared" si="27"/>
        <v>1.46</v>
      </c>
      <c r="E128" s="123">
        <f t="shared" si="27"/>
        <v>1.46</v>
      </c>
      <c r="F128" s="123">
        <f t="shared" si="27"/>
        <v>1.46</v>
      </c>
      <c r="G128" s="123">
        <f t="shared" si="27"/>
        <v>1.46</v>
      </c>
      <c r="H128" s="123">
        <f t="shared" si="27"/>
        <v>1.46</v>
      </c>
      <c r="I128" s="123">
        <f t="shared" si="27"/>
        <v>1.46</v>
      </c>
      <c r="J128" s="123">
        <f t="shared" si="27"/>
        <v>1.46</v>
      </c>
      <c r="K128" s="123">
        <f t="shared" si="27"/>
        <v>1.46</v>
      </c>
      <c r="L128" s="123">
        <f t="shared" si="27"/>
        <v>1.46</v>
      </c>
      <c r="M128" s="123">
        <f t="shared" si="27"/>
        <v>1.46</v>
      </c>
      <c r="N128" s="123">
        <f t="shared" si="27"/>
        <v>1.46</v>
      </c>
      <c r="O128" s="123">
        <f t="shared" si="27"/>
        <v>1.46</v>
      </c>
      <c r="P128" s="123">
        <f t="shared" si="27"/>
        <v>1.46</v>
      </c>
      <c r="Q128" s="123">
        <f t="shared" si="27"/>
        <v>1.46</v>
      </c>
      <c r="R128" s="123">
        <f t="shared" si="27"/>
        <v>1.46</v>
      </c>
      <c r="S128" s="123">
        <f t="shared" si="27"/>
        <v>1.46</v>
      </c>
      <c r="T128" s="123">
        <f t="shared" ref="T128:AF129" si="28">S128</f>
        <v>1.46</v>
      </c>
      <c r="U128" s="123">
        <f t="shared" si="28"/>
        <v>1.46</v>
      </c>
      <c r="V128" s="123">
        <f t="shared" si="28"/>
        <v>1.46</v>
      </c>
      <c r="W128" s="123">
        <f t="shared" si="28"/>
        <v>1.46</v>
      </c>
      <c r="X128" s="123">
        <f t="shared" si="28"/>
        <v>1.46</v>
      </c>
      <c r="Y128" s="123">
        <f t="shared" si="28"/>
        <v>1.46</v>
      </c>
      <c r="Z128" s="123">
        <f t="shared" si="28"/>
        <v>1.46</v>
      </c>
      <c r="AA128" s="123">
        <f t="shared" si="28"/>
        <v>1.46</v>
      </c>
      <c r="AB128" s="123">
        <f t="shared" si="28"/>
        <v>1.46</v>
      </c>
      <c r="AC128" s="123">
        <f t="shared" si="28"/>
        <v>1.46</v>
      </c>
      <c r="AD128" s="123">
        <f t="shared" si="28"/>
        <v>1.46</v>
      </c>
      <c r="AE128" s="123">
        <f t="shared" si="28"/>
        <v>1.46</v>
      </c>
      <c r="AF128" s="123">
        <f t="shared" si="28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4"/>
        <v>1.48</v>
      </c>
      <c r="C129" s="124">
        <v>1.48</v>
      </c>
      <c r="D129" s="123">
        <f t="shared" si="27"/>
        <v>1.48</v>
      </c>
      <c r="E129" s="123">
        <f t="shared" si="27"/>
        <v>1.48</v>
      </c>
      <c r="F129" s="123">
        <f t="shared" si="27"/>
        <v>1.48</v>
      </c>
      <c r="G129" s="123">
        <f t="shared" si="27"/>
        <v>1.48</v>
      </c>
      <c r="H129" s="123">
        <f t="shared" si="27"/>
        <v>1.48</v>
      </c>
      <c r="I129" s="123">
        <f t="shared" si="27"/>
        <v>1.48</v>
      </c>
      <c r="J129" s="123">
        <f t="shared" si="27"/>
        <v>1.48</v>
      </c>
      <c r="K129" s="123">
        <f t="shared" si="27"/>
        <v>1.48</v>
      </c>
      <c r="L129" s="123">
        <f t="shared" si="27"/>
        <v>1.48</v>
      </c>
      <c r="M129" s="123">
        <f t="shared" si="27"/>
        <v>1.48</v>
      </c>
      <c r="N129" s="123">
        <f t="shared" si="27"/>
        <v>1.48</v>
      </c>
      <c r="O129" s="123">
        <f t="shared" si="27"/>
        <v>1.48</v>
      </c>
      <c r="P129" s="123">
        <f t="shared" si="27"/>
        <v>1.48</v>
      </c>
      <c r="Q129" s="123">
        <f t="shared" si="27"/>
        <v>1.48</v>
      </c>
      <c r="R129" s="123">
        <f t="shared" si="27"/>
        <v>1.48</v>
      </c>
      <c r="S129" s="123">
        <f t="shared" si="27"/>
        <v>1.48</v>
      </c>
      <c r="T129" s="123">
        <f t="shared" si="28"/>
        <v>1.48</v>
      </c>
      <c r="U129" s="123">
        <f t="shared" si="28"/>
        <v>1.48</v>
      </c>
      <c r="V129" s="123">
        <f t="shared" si="28"/>
        <v>1.48</v>
      </c>
      <c r="W129" s="123">
        <f t="shared" si="28"/>
        <v>1.48</v>
      </c>
      <c r="X129" s="123">
        <f t="shared" si="28"/>
        <v>1.48</v>
      </c>
      <c r="Y129" s="123">
        <f t="shared" si="28"/>
        <v>1.48</v>
      </c>
      <c r="Z129" s="123">
        <f t="shared" si="28"/>
        <v>1.48</v>
      </c>
      <c r="AA129" s="123">
        <f t="shared" si="28"/>
        <v>1.48</v>
      </c>
      <c r="AB129" s="123">
        <f t="shared" si="28"/>
        <v>1.48</v>
      </c>
      <c r="AC129" s="123">
        <f t="shared" si="28"/>
        <v>1.48</v>
      </c>
      <c r="AD129" s="123">
        <f t="shared" si="28"/>
        <v>1.48</v>
      </c>
      <c r="AE129" s="123">
        <f t="shared" si="28"/>
        <v>1.48</v>
      </c>
      <c r="AF129" s="123">
        <f t="shared" si="28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9">AF131</f>
        <v>2.2000000000000002</v>
      </c>
      <c r="C131" s="124">
        <v>2.2000000000000002</v>
      </c>
      <c r="D131" s="123">
        <f t="shared" ref="D131:S138" si="30">C131</f>
        <v>2.2000000000000002</v>
      </c>
      <c r="E131" s="123">
        <f t="shared" si="30"/>
        <v>2.2000000000000002</v>
      </c>
      <c r="F131" s="123">
        <f t="shared" si="30"/>
        <v>2.2000000000000002</v>
      </c>
      <c r="G131" s="123">
        <f t="shared" si="30"/>
        <v>2.2000000000000002</v>
      </c>
      <c r="H131" s="123">
        <f t="shared" si="30"/>
        <v>2.2000000000000002</v>
      </c>
      <c r="I131" s="123">
        <f t="shared" si="30"/>
        <v>2.2000000000000002</v>
      </c>
      <c r="J131" s="123">
        <f t="shared" si="30"/>
        <v>2.2000000000000002</v>
      </c>
      <c r="K131" s="123">
        <f t="shared" si="30"/>
        <v>2.2000000000000002</v>
      </c>
      <c r="L131" s="123">
        <f t="shared" si="30"/>
        <v>2.2000000000000002</v>
      </c>
      <c r="M131" s="123">
        <f t="shared" si="30"/>
        <v>2.2000000000000002</v>
      </c>
      <c r="N131" s="123">
        <f t="shared" si="30"/>
        <v>2.2000000000000002</v>
      </c>
      <c r="O131" s="123">
        <f t="shared" si="30"/>
        <v>2.2000000000000002</v>
      </c>
      <c r="P131" s="123">
        <f t="shared" si="30"/>
        <v>2.2000000000000002</v>
      </c>
      <c r="Q131" s="123">
        <f t="shared" si="30"/>
        <v>2.2000000000000002</v>
      </c>
      <c r="R131" s="123">
        <f t="shared" si="30"/>
        <v>2.2000000000000002</v>
      </c>
      <c r="S131" s="123">
        <f t="shared" si="30"/>
        <v>2.2000000000000002</v>
      </c>
      <c r="T131" s="123">
        <f t="shared" ref="T131:AF138" si="31">S131</f>
        <v>2.2000000000000002</v>
      </c>
      <c r="U131" s="123">
        <f t="shared" si="31"/>
        <v>2.2000000000000002</v>
      </c>
      <c r="V131" s="123">
        <f t="shared" si="31"/>
        <v>2.2000000000000002</v>
      </c>
      <c r="W131" s="123">
        <f t="shared" si="31"/>
        <v>2.2000000000000002</v>
      </c>
      <c r="X131" s="123">
        <f t="shared" si="31"/>
        <v>2.2000000000000002</v>
      </c>
      <c r="Y131" s="123">
        <f t="shared" si="31"/>
        <v>2.2000000000000002</v>
      </c>
      <c r="Z131" s="123">
        <f t="shared" si="31"/>
        <v>2.2000000000000002</v>
      </c>
      <c r="AA131" s="123">
        <f t="shared" si="31"/>
        <v>2.2000000000000002</v>
      </c>
      <c r="AB131" s="123">
        <f t="shared" si="31"/>
        <v>2.2000000000000002</v>
      </c>
      <c r="AC131" s="123">
        <f t="shared" si="31"/>
        <v>2.2000000000000002</v>
      </c>
      <c r="AD131" s="123">
        <f t="shared" si="31"/>
        <v>2.2000000000000002</v>
      </c>
      <c r="AE131" s="123">
        <f t="shared" si="31"/>
        <v>2.2000000000000002</v>
      </c>
      <c r="AF131" s="123">
        <f t="shared" si="31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9"/>
        <v>2</v>
      </c>
      <c r="C132" s="124">
        <v>2</v>
      </c>
      <c r="D132" s="123">
        <f t="shared" si="30"/>
        <v>2</v>
      </c>
      <c r="E132" s="123">
        <f t="shared" si="30"/>
        <v>2</v>
      </c>
      <c r="F132" s="123">
        <f t="shared" si="30"/>
        <v>2</v>
      </c>
      <c r="G132" s="123">
        <f t="shared" si="30"/>
        <v>2</v>
      </c>
      <c r="H132" s="123">
        <f t="shared" si="30"/>
        <v>2</v>
      </c>
      <c r="I132" s="123">
        <f t="shared" si="30"/>
        <v>2</v>
      </c>
      <c r="J132" s="123">
        <f t="shared" si="30"/>
        <v>2</v>
      </c>
      <c r="K132" s="123">
        <f t="shared" si="30"/>
        <v>2</v>
      </c>
      <c r="L132" s="123">
        <f t="shared" si="30"/>
        <v>2</v>
      </c>
      <c r="M132" s="123">
        <f t="shared" si="30"/>
        <v>2</v>
      </c>
      <c r="N132" s="123">
        <f t="shared" si="30"/>
        <v>2</v>
      </c>
      <c r="O132" s="123">
        <f t="shared" si="30"/>
        <v>2</v>
      </c>
      <c r="P132" s="123">
        <f t="shared" si="30"/>
        <v>2</v>
      </c>
      <c r="Q132" s="123">
        <f t="shared" si="30"/>
        <v>2</v>
      </c>
      <c r="R132" s="123">
        <f t="shared" si="30"/>
        <v>2</v>
      </c>
      <c r="S132" s="123">
        <f t="shared" si="30"/>
        <v>2</v>
      </c>
      <c r="T132" s="123">
        <f t="shared" si="31"/>
        <v>2</v>
      </c>
      <c r="U132" s="123">
        <f t="shared" si="31"/>
        <v>2</v>
      </c>
      <c r="V132" s="123">
        <f t="shared" si="31"/>
        <v>2</v>
      </c>
      <c r="W132" s="123">
        <f t="shared" si="31"/>
        <v>2</v>
      </c>
      <c r="X132" s="123">
        <f t="shared" si="31"/>
        <v>2</v>
      </c>
      <c r="Y132" s="123">
        <f t="shared" si="31"/>
        <v>2</v>
      </c>
      <c r="Z132" s="123">
        <f t="shared" si="31"/>
        <v>2</v>
      </c>
      <c r="AA132" s="123">
        <f t="shared" si="31"/>
        <v>2</v>
      </c>
      <c r="AB132" s="123">
        <f t="shared" si="31"/>
        <v>2</v>
      </c>
      <c r="AC132" s="123">
        <f t="shared" si="31"/>
        <v>2</v>
      </c>
      <c r="AD132" s="123">
        <f t="shared" si="31"/>
        <v>2</v>
      </c>
      <c r="AE132" s="123">
        <f t="shared" si="31"/>
        <v>2</v>
      </c>
      <c r="AF132" s="123">
        <f t="shared" si="31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9"/>
        <v>1.25</v>
      </c>
      <c r="C133" s="124">
        <v>1.25</v>
      </c>
      <c r="D133" s="123">
        <f t="shared" si="30"/>
        <v>1.25</v>
      </c>
      <c r="E133" s="123">
        <f t="shared" si="30"/>
        <v>1.25</v>
      </c>
      <c r="F133" s="123">
        <f t="shared" si="30"/>
        <v>1.25</v>
      </c>
      <c r="G133" s="123">
        <f t="shared" si="30"/>
        <v>1.25</v>
      </c>
      <c r="H133" s="123">
        <f t="shared" si="30"/>
        <v>1.25</v>
      </c>
      <c r="I133" s="123">
        <f t="shared" si="30"/>
        <v>1.25</v>
      </c>
      <c r="J133" s="123">
        <f t="shared" si="30"/>
        <v>1.25</v>
      </c>
      <c r="K133" s="123">
        <f t="shared" si="30"/>
        <v>1.25</v>
      </c>
      <c r="L133" s="123">
        <f t="shared" si="30"/>
        <v>1.25</v>
      </c>
      <c r="M133" s="123">
        <f t="shared" si="30"/>
        <v>1.25</v>
      </c>
      <c r="N133" s="123">
        <f t="shared" si="30"/>
        <v>1.25</v>
      </c>
      <c r="O133" s="123">
        <f t="shared" si="30"/>
        <v>1.25</v>
      </c>
      <c r="P133" s="123">
        <f t="shared" si="30"/>
        <v>1.25</v>
      </c>
      <c r="Q133" s="123">
        <f t="shared" si="30"/>
        <v>1.25</v>
      </c>
      <c r="R133" s="123">
        <f t="shared" si="30"/>
        <v>1.25</v>
      </c>
      <c r="S133" s="123">
        <f t="shared" si="30"/>
        <v>1.25</v>
      </c>
      <c r="T133" s="123">
        <f t="shared" si="31"/>
        <v>1.25</v>
      </c>
      <c r="U133" s="123">
        <f t="shared" si="31"/>
        <v>1.25</v>
      </c>
      <c r="V133" s="123">
        <f t="shared" si="31"/>
        <v>1.25</v>
      </c>
      <c r="W133" s="123">
        <f t="shared" si="31"/>
        <v>1.25</v>
      </c>
      <c r="X133" s="123">
        <f t="shared" si="31"/>
        <v>1.25</v>
      </c>
      <c r="Y133" s="123">
        <f t="shared" si="31"/>
        <v>1.25</v>
      </c>
      <c r="Z133" s="123">
        <f t="shared" si="31"/>
        <v>1.25</v>
      </c>
      <c r="AA133" s="123">
        <f t="shared" si="31"/>
        <v>1.25</v>
      </c>
      <c r="AB133" s="123">
        <f t="shared" si="31"/>
        <v>1.25</v>
      </c>
      <c r="AC133" s="123">
        <f t="shared" si="31"/>
        <v>1.25</v>
      </c>
      <c r="AD133" s="123">
        <f t="shared" si="31"/>
        <v>1.25</v>
      </c>
      <c r="AE133" s="123">
        <f t="shared" si="31"/>
        <v>1.25</v>
      </c>
      <c r="AF133" s="123">
        <f t="shared" si="31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9"/>
        <v>1.1499999999999999</v>
      </c>
      <c r="C134" s="124">
        <v>1.1499999999999999</v>
      </c>
      <c r="D134" s="123">
        <f t="shared" si="30"/>
        <v>1.1499999999999999</v>
      </c>
      <c r="E134" s="123">
        <f t="shared" si="30"/>
        <v>1.1499999999999999</v>
      </c>
      <c r="F134" s="123">
        <f t="shared" si="30"/>
        <v>1.1499999999999999</v>
      </c>
      <c r="G134" s="123">
        <f t="shared" si="30"/>
        <v>1.1499999999999999</v>
      </c>
      <c r="H134" s="123">
        <f t="shared" si="30"/>
        <v>1.1499999999999999</v>
      </c>
      <c r="I134" s="123">
        <f t="shared" si="30"/>
        <v>1.1499999999999999</v>
      </c>
      <c r="J134" s="123">
        <f t="shared" si="30"/>
        <v>1.1499999999999999</v>
      </c>
      <c r="K134" s="123">
        <f t="shared" si="30"/>
        <v>1.1499999999999999</v>
      </c>
      <c r="L134" s="123">
        <f t="shared" si="30"/>
        <v>1.1499999999999999</v>
      </c>
      <c r="M134" s="123">
        <f t="shared" si="30"/>
        <v>1.1499999999999999</v>
      </c>
      <c r="N134" s="123">
        <f t="shared" si="30"/>
        <v>1.1499999999999999</v>
      </c>
      <c r="O134" s="123">
        <f t="shared" si="30"/>
        <v>1.1499999999999999</v>
      </c>
      <c r="P134" s="123">
        <f t="shared" si="30"/>
        <v>1.1499999999999999</v>
      </c>
      <c r="Q134" s="123">
        <f t="shared" si="30"/>
        <v>1.1499999999999999</v>
      </c>
      <c r="R134" s="123">
        <f t="shared" si="30"/>
        <v>1.1499999999999999</v>
      </c>
      <c r="S134" s="123">
        <f t="shared" si="30"/>
        <v>1.1499999999999999</v>
      </c>
      <c r="T134" s="123">
        <f t="shared" si="31"/>
        <v>1.1499999999999999</v>
      </c>
      <c r="U134" s="123">
        <f t="shared" si="31"/>
        <v>1.1499999999999999</v>
      </c>
      <c r="V134" s="123">
        <f t="shared" si="31"/>
        <v>1.1499999999999999</v>
      </c>
      <c r="W134" s="123">
        <f t="shared" si="31"/>
        <v>1.1499999999999999</v>
      </c>
      <c r="X134" s="123">
        <f t="shared" si="31"/>
        <v>1.1499999999999999</v>
      </c>
      <c r="Y134" s="123">
        <f t="shared" si="31"/>
        <v>1.1499999999999999</v>
      </c>
      <c r="Z134" s="123">
        <f t="shared" si="31"/>
        <v>1.1499999999999999</v>
      </c>
      <c r="AA134" s="123">
        <f t="shared" si="31"/>
        <v>1.1499999999999999</v>
      </c>
      <c r="AB134" s="123">
        <f t="shared" si="31"/>
        <v>1.1499999999999999</v>
      </c>
      <c r="AC134" s="123">
        <f t="shared" si="31"/>
        <v>1.1499999999999999</v>
      </c>
      <c r="AD134" s="123">
        <f t="shared" si="31"/>
        <v>1.1499999999999999</v>
      </c>
      <c r="AE134" s="123">
        <f t="shared" si="31"/>
        <v>1.1499999999999999</v>
      </c>
      <c r="AF134" s="123">
        <f t="shared" si="31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9"/>
        <v>2.133</v>
      </c>
      <c r="C135" s="124">
        <v>2.133</v>
      </c>
      <c r="D135" s="123">
        <f t="shared" si="30"/>
        <v>2.133</v>
      </c>
      <c r="E135" s="123">
        <f t="shared" si="30"/>
        <v>2.133</v>
      </c>
      <c r="F135" s="123">
        <f t="shared" si="30"/>
        <v>2.133</v>
      </c>
      <c r="G135" s="123">
        <f t="shared" si="30"/>
        <v>2.133</v>
      </c>
      <c r="H135" s="123">
        <f t="shared" si="30"/>
        <v>2.133</v>
      </c>
      <c r="I135" s="123">
        <f t="shared" si="30"/>
        <v>2.133</v>
      </c>
      <c r="J135" s="123">
        <f t="shared" si="30"/>
        <v>2.133</v>
      </c>
      <c r="K135" s="123">
        <f t="shared" si="30"/>
        <v>2.133</v>
      </c>
      <c r="L135" s="123">
        <f t="shared" si="30"/>
        <v>2.133</v>
      </c>
      <c r="M135" s="123">
        <f t="shared" si="30"/>
        <v>2.133</v>
      </c>
      <c r="N135" s="123">
        <f t="shared" si="30"/>
        <v>2.133</v>
      </c>
      <c r="O135" s="123">
        <f t="shared" si="30"/>
        <v>2.133</v>
      </c>
      <c r="P135" s="123">
        <f t="shared" si="30"/>
        <v>2.133</v>
      </c>
      <c r="Q135" s="123">
        <f t="shared" si="30"/>
        <v>2.133</v>
      </c>
      <c r="R135" s="123">
        <f t="shared" si="30"/>
        <v>2.133</v>
      </c>
      <c r="S135" s="123">
        <f t="shared" si="30"/>
        <v>2.133</v>
      </c>
      <c r="T135" s="123">
        <f t="shared" si="31"/>
        <v>2.133</v>
      </c>
      <c r="U135" s="123">
        <f t="shared" si="31"/>
        <v>2.133</v>
      </c>
      <c r="V135" s="123">
        <f t="shared" si="31"/>
        <v>2.133</v>
      </c>
      <c r="W135" s="123">
        <f t="shared" si="31"/>
        <v>2.133</v>
      </c>
      <c r="X135" s="123">
        <f t="shared" si="31"/>
        <v>2.133</v>
      </c>
      <c r="Y135" s="123">
        <f t="shared" si="31"/>
        <v>2.133</v>
      </c>
      <c r="Z135" s="123">
        <f t="shared" si="31"/>
        <v>2.133</v>
      </c>
      <c r="AA135" s="123">
        <f t="shared" si="31"/>
        <v>2.133</v>
      </c>
      <c r="AB135" s="123">
        <f t="shared" si="31"/>
        <v>2.133</v>
      </c>
      <c r="AC135" s="123">
        <f t="shared" si="31"/>
        <v>2.133</v>
      </c>
      <c r="AD135" s="123">
        <f t="shared" si="31"/>
        <v>2.133</v>
      </c>
      <c r="AE135" s="123">
        <f t="shared" si="31"/>
        <v>2.133</v>
      </c>
      <c r="AF135" s="123">
        <f t="shared" si="31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9"/>
        <v>2.09</v>
      </c>
      <c r="C136" s="124">
        <v>2.09</v>
      </c>
      <c r="D136" s="123">
        <f t="shared" si="30"/>
        <v>2.09</v>
      </c>
      <c r="E136" s="123">
        <f t="shared" si="30"/>
        <v>2.09</v>
      </c>
      <c r="F136" s="123">
        <f t="shared" si="30"/>
        <v>2.09</v>
      </c>
      <c r="G136" s="123">
        <f t="shared" si="30"/>
        <v>2.09</v>
      </c>
      <c r="H136" s="123">
        <f t="shared" si="30"/>
        <v>2.09</v>
      </c>
      <c r="I136" s="123">
        <f t="shared" si="30"/>
        <v>2.09</v>
      </c>
      <c r="J136" s="123">
        <f t="shared" si="30"/>
        <v>2.09</v>
      </c>
      <c r="K136" s="123">
        <f t="shared" si="30"/>
        <v>2.09</v>
      </c>
      <c r="L136" s="123">
        <f t="shared" si="30"/>
        <v>2.09</v>
      </c>
      <c r="M136" s="123">
        <f t="shared" si="30"/>
        <v>2.09</v>
      </c>
      <c r="N136" s="123">
        <f t="shared" si="30"/>
        <v>2.09</v>
      </c>
      <c r="O136" s="123">
        <f t="shared" si="30"/>
        <v>2.09</v>
      </c>
      <c r="P136" s="123">
        <f t="shared" si="30"/>
        <v>2.09</v>
      </c>
      <c r="Q136" s="123">
        <f t="shared" si="30"/>
        <v>2.09</v>
      </c>
      <c r="R136" s="123">
        <f t="shared" si="30"/>
        <v>2.09</v>
      </c>
      <c r="S136" s="123">
        <f t="shared" si="30"/>
        <v>2.09</v>
      </c>
      <c r="T136" s="123">
        <f t="shared" si="31"/>
        <v>2.09</v>
      </c>
      <c r="U136" s="123">
        <f t="shared" si="31"/>
        <v>2.09</v>
      </c>
      <c r="V136" s="123">
        <f t="shared" si="31"/>
        <v>2.09</v>
      </c>
      <c r="W136" s="123">
        <f t="shared" si="31"/>
        <v>2.09</v>
      </c>
      <c r="X136" s="123">
        <f t="shared" si="31"/>
        <v>2.09</v>
      </c>
      <c r="Y136" s="123">
        <f t="shared" si="31"/>
        <v>2.09</v>
      </c>
      <c r="Z136" s="123">
        <f t="shared" si="31"/>
        <v>2.09</v>
      </c>
      <c r="AA136" s="123">
        <f t="shared" si="31"/>
        <v>2.09</v>
      </c>
      <c r="AB136" s="123">
        <f t="shared" si="31"/>
        <v>2.09</v>
      </c>
      <c r="AC136" s="123">
        <f t="shared" si="31"/>
        <v>2.09</v>
      </c>
      <c r="AD136" s="123">
        <f t="shared" si="31"/>
        <v>2.09</v>
      </c>
      <c r="AE136" s="123">
        <f t="shared" si="31"/>
        <v>2.09</v>
      </c>
      <c r="AF136" s="123">
        <f t="shared" si="31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9"/>
        <v>1.1399999999999999</v>
      </c>
      <c r="C137" s="124">
        <v>1.1399999999999999</v>
      </c>
      <c r="D137" s="123">
        <f t="shared" si="30"/>
        <v>1.1399999999999999</v>
      </c>
      <c r="E137" s="123">
        <f t="shared" si="30"/>
        <v>1.1399999999999999</v>
      </c>
      <c r="F137" s="123">
        <f t="shared" si="30"/>
        <v>1.1399999999999999</v>
      </c>
      <c r="G137" s="123">
        <f t="shared" si="30"/>
        <v>1.1399999999999999</v>
      </c>
      <c r="H137" s="123">
        <f t="shared" si="30"/>
        <v>1.1399999999999999</v>
      </c>
      <c r="I137" s="123">
        <f t="shared" si="30"/>
        <v>1.1399999999999999</v>
      </c>
      <c r="J137" s="123">
        <f t="shared" si="30"/>
        <v>1.1399999999999999</v>
      </c>
      <c r="K137" s="123">
        <f t="shared" si="30"/>
        <v>1.1399999999999999</v>
      </c>
      <c r="L137" s="123">
        <f t="shared" si="30"/>
        <v>1.1399999999999999</v>
      </c>
      <c r="M137" s="123">
        <f t="shared" si="30"/>
        <v>1.1399999999999999</v>
      </c>
      <c r="N137" s="123">
        <f t="shared" si="30"/>
        <v>1.1399999999999999</v>
      </c>
      <c r="O137" s="123">
        <f t="shared" si="30"/>
        <v>1.1399999999999999</v>
      </c>
      <c r="P137" s="123">
        <f t="shared" si="30"/>
        <v>1.1399999999999999</v>
      </c>
      <c r="Q137" s="123">
        <f t="shared" si="30"/>
        <v>1.1399999999999999</v>
      </c>
      <c r="R137" s="123">
        <f t="shared" si="30"/>
        <v>1.1399999999999999</v>
      </c>
      <c r="S137" s="123">
        <f t="shared" si="30"/>
        <v>1.1399999999999999</v>
      </c>
      <c r="T137" s="123">
        <f t="shared" si="31"/>
        <v>1.1399999999999999</v>
      </c>
      <c r="U137" s="123">
        <f t="shared" si="31"/>
        <v>1.1399999999999999</v>
      </c>
      <c r="V137" s="123">
        <f t="shared" si="31"/>
        <v>1.1399999999999999</v>
      </c>
      <c r="W137" s="123">
        <f t="shared" si="31"/>
        <v>1.1399999999999999</v>
      </c>
      <c r="X137" s="123">
        <f t="shared" si="31"/>
        <v>1.1399999999999999</v>
      </c>
      <c r="Y137" s="123">
        <f t="shared" si="31"/>
        <v>1.1399999999999999</v>
      </c>
      <c r="Z137" s="123">
        <f t="shared" si="31"/>
        <v>1.1399999999999999</v>
      </c>
      <c r="AA137" s="123">
        <f t="shared" si="31"/>
        <v>1.1399999999999999</v>
      </c>
      <c r="AB137" s="123">
        <f t="shared" si="31"/>
        <v>1.1399999999999999</v>
      </c>
      <c r="AC137" s="123">
        <f t="shared" si="31"/>
        <v>1.1399999999999999</v>
      </c>
      <c r="AD137" s="123">
        <f t="shared" si="31"/>
        <v>1.1399999999999999</v>
      </c>
      <c r="AE137" s="123">
        <f t="shared" si="31"/>
        <v>1.1399999999999999</v>
      </c>
      <c r="AF137" s="123">
        <f t="shared" si="31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9"/>
        <v>0.82</v>
      </c>
      <c r="C138" s="124">
        <v>0.82</v>
      </c>
      <c r="D138" s="123">
        <f t="shared" si="30"/>
        <v>0.82</v>
      </c>
      <c r="E138" s="123">
        <f t="shared" si="30"/>
        <v>0.82</v>
      </c>
      <c r="F138" s="123">
        <f t="shared" si="30"/>
        <v>0.82</v>
      </c>
      <c r="G138" s="123">
        <f t="shared" si="30"/>
        <v>0.82</v>
      </c>
      <c r="H138" s="123">
        <f t="shared" si="30"/>
        <v>0.82</v>
      </c>
      <c r="I138" s="123">
        <f t="shared" si="30"/>
        <v>0.82</v>
      </c>
      <c r="J138" s="123">
        <f t="shared" si="30"/>
        <v>0.82</v>
      </c>
      <c r="K138" s="123">
        <f t="shared" si="30"/>
        <v>0.82</v>
      </c>
      <c r="L138" s="123">
        <f t="shared" si="30"/>
        <v>0.82</v>
      </c>
      <c r="M138" s="123">
        <f t="shared" si="30"/>
        <v>0.82</v>
      </c>
      <c r="N138" s="123">
        <f t="shared" si="30"/>
        <v>0.82</v>
      </c>
      <c r="O138" s="123">
        <f t="shared" si="30"/>
        <v>0.82</v>
      </c>
      <c r="P138" s="123">
        <f t="shared" si="30"/>
        <v>0.82</v>
      </c>
      <c r="Q138" s="123">
        <f t="shared" si="30"/>
        <v>0.82</v>
      </c>
      <c r="R138" s="123">
        <f t="shared" si="30"/>
        <v>0.82</v>
      </c>
      <c r="S138" s="123">
        <f t="shared" si="30"/>
        <v>0.82</v>
      </c>
      <c r="T138" s="123">
        <f t="shared" si="31"/>
        <v>0.82</v>
      </c>
      <c r="U138" s="123">
        <f t="shared" si="31"/>
        <v>0.82</v>
      </c>
      <c r="V138" s="123">
        <f t="shared" si="31"/>
        <v>0.82</v>
      </c>
      <c r="W138" s="123">
        <f t="shared" si="31"/>
        <v>0.82</v>
      </c>
      <c r="X138" s="123">
        <f t="shared" si="31"/>
        <v>0.82</v>
      </c>
      <c r="Y138" s="123">
        <f t="shared" si="31"/>
        <v>0.82</v>
      </c>
      <c r="Z138" s="123">
        <f t="shared" si="31"/>
        <v>0.82</v>
      </c>
      <c r="AA138" s="123">
        <f t="shared" si="31"/>
        <v>0.82</v>
      </c>
      <c r="AB138" s="123">
        <f t="shared" si="31"/>
        <v>0.82</v>
      </c>
      <c r="AC138" s="123">
        <f t="shared" si="31"/>
        <v>0.82</v>
      </c>
      <c r="AD138" s="123">
        <f t="shared" si="31"/>
        <v>0.82</v>
      </c>
      <c r="AE138" s="123">
        <f t="shared" si="31"/>
        <v>0.82</v>
      </c>
      <c r="AF138" s="123">
        <f t="shared" si="31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2">AF140</f>
        <v>2</v>
      </c>
      <c r="C140" s="124">
        <v>2</v>
      </c>
      <c r="D140" s="123">
        <f t="shared" ref="D140:S146" si="33">C140</f>
        <v>2</v>
      </c>
      <c r="E140" s="123">
        <f t="shared" si="33"/>
        <v>2</v>
      </c>
      <c r="F140" s="123">
        <f t="shared" si="33"/>
        <v>2</v>
      </c>
      <c r="G140" s="123">
        <f t="shared" si="33"/>
        <v>2</v>
      </c>
      <c r="H140" s="123">
        <f t="shared" si="33"/>
        <v>2</v>
      </c>
      <c r="I140" s="123">
        <f t="shared" si="33"/>
        <v>2</v>
      </c>
      <c r="J140" s="123">
        <f t="shared" si="33"/>
        <v>2</v>
      </c>
      <c r="K140" s="123">
        <f t="shared" si="33"/>
        <v>2</v>
      </c>
      <c r="L140" s="123">
        <f t="shared" si="33"/>
        <v>2</v>
      </c>
      <c r="M140" s="123">
        <f t="shared" si="33"/>
        <v>2</v>
      </c>
      <c r="N140" s="123">
        <f t="shared" si="33"/>
        <v>2</v>
      </c>
      <c r="O140" s="123">
        <f t="shared" si="33"/>
        <v>2</v>
      </c>
      <c r="P140" s="123">
        <f t="shared" si="33"/>
        <v>2</v>
      </c>
      <c r="Q140" s="123">
        <f t="shared" si="33"/>
        <v>2</v>
      </c>
      <c r="R140" s="123">
        <f t="shared" si="33"/>
        <v>2</v>
      </c>
      <c r="S140" s="123">
        <f t="shared" si="33"/>
        <v>2</v>
      </c>
      <c r="T140" s="123">
        <f t="shared" ref="T140:AF146" si="34">S140</f>
        <v>2</v>
      </c>
      <c r="U140" s="123">
        <f t="shared" si="34"/>
        <v>2</v>
      </c>
      <c r="V140" s="123">
        <f t="shared" si="34"/>
        <v>2</v>
      </c>
      <c r="W140" s="123">
        <f t="shared" si="34"/>
        <v>2</v>
      </c>
      <c r="X140" s="123">
        <f t="shared" si="34"/>
        <v>2</v>
      </c>
      <c r="Y140" s="123">
        <f t="shared" si="34"/>
        <v>2</v>
      </c>
      <c r="Z140" s="123">
        <f t="shared" si="34"/>
        <v>2</v>
      </c>
      <c r="AA140" s="123">
        <f t="shared" si="34"/>
        <v>2</v>
      </c>
      <c r="AB140" s="123">
        <f t="shared" si="34"/>
        <v>2</v>
      </c>
      <c r="AC140" s="123">
        <f t="shared" si="34"/>
        <v>2</v>
      </c>
      <c r="AD140" s="123">
        <f t="shared" si="34"/>
        <v>2</v>
      </c>
      <c r="AE140" s="123">
        <f t="shared" si="34"/>
        <v>2</v>
      </c>
      <c r="AF140" s="123">
        <f t="shared" si="34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2"/>
        <v>5.61</v>
      </c>
      <c r="C141" s="124">
        <v>5.61</v>
      </c>
      <c r="D141" s="123">
        <f t="shared" si="33"/>
        <v>5.61</v>
      </c>
      <c r="E141" s="123">
        <f t="shared" si="33"/>
        <v>5.61</v>
      </c>
      <c r="F141" s="123">
        <f t="shared" si="33"/>
        <v>5.61</v>
      </c>
      <c r="G141" s="123">
        <f t="shared" si="33"/>
        <v>5.61</v>
      </c>
      <c r="H141" s="123">
        <f t="shared" si="33"/>
        <v>5.61</v>
      </c>
      <c r="I141" s="123">
        <f t="shared" si="33"/>
        <v>5.61</v>
      </c>
      <c r="J141" s="123">
        <f t="shared" si="33"/>
        <v>5.61</v>
      </c>
      <c r="K141" s="123">
        <f t="shared" si="33"/>
        <v>5.61</v>
      </c>
      <c r="L141" s="123">
        <f t="shared" si="33"/>
        <v>5.61</v>
      </c>
      <c r="M141" s="123">
        <f t="shared" si="33"/>
        <v>5.61</v>
      </c>
      <c r="N141" s="123">
        <f t="shared" si="33"/>
        <v>5.61</v>
      </c>
      <c r="O141" s="123">
        <f t="shared" si="33"/>
        <v>5.61</v>
      </c>
      <c r="P141" s="123">
        <f t="shared" si="33"/>
        <v>5.61</v>
      </c>
      <c r="Q141" s="123">
        <f t="shared" si="33"/>
        <v>5.61</v>
      </c>
      <c r="R141" s="123">
        <f t="shared" si="33"/>
        <v>5.61</v>
      </c>
      <c r="S141" s="123">
        <f t="shared" si="33"/>
        <v>5.61</v>
      </c>
      <c r="T141" s="123">
        <f t="shared" si="34"/>
        <v>5.61</v>
      </c>
      <c r="U141" s="123">
        <f t="shared" si="34"/>
        <v>5.61</v>
      </c>
      <c r="V141" s="123">
        <f t="shared" si="34"/>
        <v>5.61</v>
      </c>
      <c r="W141" s="123">
        <f t="shared" si="34"/>
        <v>5.61</v>
      </c>
      <c r="X141" s="123">
        <f t="shared" si="34"/>
        <v>5.61</v>
      </c>
      <c r="Y141" s="123">
        <f t="shared" si="34"/>
        <v>5.61</v>
      </c>
      <c r="Z141" s="123">
        <f t="shared" si="34"/>
        <v>5.61</v>
      </c>
      <c r="AA141" s="123">
        <f t="shared" si="34"/>
        <v>5.61</v>
      </c>
      <c r="AB141" s="123">
        <f t="shared" si="34"/>
        <v>5.61</v>
      </c>
      <c r="AC141" s="123">
        <f t="shared" si="34"/>
        <v>5.61</v>
      </c>
      <c r="AD141" s="123">
        <f t="shared" si="34"/>
        <v>5.61</v>
      </c>
      <c r="AE141" s="123">
        <f t="shared" si="34"/>
        <v>5.61</v>
      </c>
      <c r="AF141" s="123">
        <f t="shared" si="34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2"/>
        <v>1.25</v>
      </c>
      <c r="C142" s="124">
        <v>1.25</v>
      </c>
      <c r="D142" s="123">
        <f t="shared" si="33"/>
        <v>1.25</v>
      </c>
      <c r="E142" s="123">
        <f t="shared" si="33"/>
        <v>1.25</v>
      </c>
      <c r="F142" s="123">
        <f t="shared" si="33"/>
        <v>1.25</v>
      </c>
      <c r="G142" s="123">
        <f t="shared" si="33"/>
        <v>1.25</v>
      </c>
      <c r="H142" s="123">
        <f t="shared" si="33"/>
        <v>1.25</v>
      </c>
      <c r="I142" s="123">
        <f t="shared" si="33"/>
        <v>1.25</v>
      </c>
      <c r="J142" s="123">
        <f t="shared" si="33"/>
        <v>1.25</v>
      </c>
      <c r="K142" s="123">
        <f t="shared" si="33"/>
        <v>1.25</v>
      </c>
      <c r="L142" s="123">
        <f t="shared" si="33"/>
        <v>1.25</v>
      </c>
      <c r="M142" s="123">
        <f t="shared" si="33"/>
        <v>1.25</v>
      </c>
      <c r="N142" s="123">
        <f t="shared" si="33"/>
        <v>1.25</v>
      </c>
      <c r="O142" s="123">
        <f t="shared" si="33"/>
        <v>1.25</v>
      </c>
      <c r="P142" s="123">
        <f t="shared" si="33"/>
        <v>1.25</v>
      </c>
      <c r="Q142" s="123">
        <f t="shared" si="33"/>
        <v>1.25</v>
      </c>
      <c r="R142" s="123">
        <f t="shared" si="33"/>
        <v>1.25</v>
      </c>
      <c r="S142" s="123">
        <f t="shared" si="33"/>
        <v>1.25</v>
      </c>
      <c r="T142" s="123">
        <f t="shared" si="34"/>
        <v>1.25</v>
      </c>
      <c r="U142" s="123">
        <f t="shared" si="34"/>
        <v>1.25</v>
      </c>
      <c r="V142" s="123">
        <f t="shared" si="34"/>
        <v>1.25</v>
      </c>
      <c r="W142" s="123">
        <f t="shared" si="34"/>
        <v>1.25</v>
      </c>
      <c r="X142" s="123">
        <f t="shared" si="34"/>
        <v>1.25</v>
      </c>
      <c r="Y142" s="123">
        <f t="shared" si="34"/>
        <v>1.25</v>
      </c>
      <c r="Z142" s="123">
        <f t="shared" si="34"/>
        <v>1.25</v>
      </c>
      <c r="AA142" s="123">
        <f t="shared" si="34"/>
        <v>1.25</v>
      </c>
      <c r="AB142" s="123">
        <f t="shared" si="34"/>
        <v>1.25</v>
      </c>
      <c r="AC142" s="123">
        <f t="shared" si="34"/>
        <v>1.25</v>
      </c>
      <c r="AD142" s="123">
        <f t="shared" si="34"/>
        <v>1.25</v>
      </c>
      <c r="AE142" s="123">
        <f t="shared" si="34"/>
        <v>1.25</v>
      </c>
      <c r="AF142" s="123">
        <f t="shared" si="34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2"/>
        <v>1.25</v>
      </c>
      <c r="C143" s="124">
        <v>1.25</v>
      </c>
      <c r="D143" s="123">
        <f t="shared" si="33"/>
        <v>1.25</v>
      </c>
      <c r="E143" s="123">
        <f t="shared" si="33"/>
        <v>1.25</v>
      </c>
      <c r="F143" s="123">
        <f t="shared" si="33"/>
        <v>1.25</v>
      </c>
      <c r="G143" s="123">
        <f t="shared" si="33"/>
        <v>1.25</v>
      </c>
      <c r="H143" s="123">
        <f t="shared" si="33"/>
        <v>1.25</v>
      </c>
      <c r="I143" s="123">
        <f t="shared" si="33"/>
        <v>1.25</v>
      </c>
      <c r="J143" s="123">
        <f t="shared" si="33"/>
        <v>1.25</v>
      </c>
      <c r="K143" s="123">
        <f t="shared" si="33"/>
        <v>1.25</v>
      </c>
      <c r="L143" s="123">
        <f t="shared" si="33"/>
        <v>1.25</v>
      </c>
      <c r="M143" s="123">
        <f t="shared" si="33"/>
        <v>1.25</v>
      </c>
      <c r="N143" s="123">
        <f t="shared" si="33"/>
        <v>1.25</v>
      </c>
      <c r="O143" s="123">
        <f t="shared" si="33"/>
        <v>1.25</v>
      </c>
      <c r="P143" s="123">
        <f t="shared" si="33"/>
        <v>1.25</v>
      </c>
      <c r="Q143" s="123">
        <f t="shared" si="33"/>
        <v>1.25</v>
      </c>
      <c r="R143" s="123">
        <f t="shared" si="33"/>
        <v>1.25</v>
      </c>
      <c r="S143" s="123">
        <f t="shared" si="33"/>
        <v>1.25</v>
      </c>
      <c r="T143" s="123">
        <f t="shared" si="34"/>
        <v>1.25</v>
      </c>
      <c r="U143" s="123">
        <f t="shared" si="34"/>
        <v>1.25</v>
      </c>
      <c r="V143" s="123">
        <f t="shared" si="34"/>
        <v>1.25</v>
      </c>
      <c r="W143" s="123">
        <f t="shared" si="34"/>
        <v>1.25</v>
      </c>
      <c r="X143" s="123">
        <f t="shared" si="34"/>
        <v>1.25</v>
      </c>
      <c r="Y143" s="123">
        <f t="shared" si="34"/>
        <v>1.25</v>
      </c>
      <c r="Z143" s="123">
        <f t="shared" si="34"/>
        <v>1.25</v>
      </c>
      <c r="AA143" s="123">
        <f t="shared" si="34"/>
        <v>1.25</v>
      </c>
      <c r="AB143" s="123">
        <f t="shared" si="34"/>
        <v>1.25</v>
      </c>
      <c r="AC143" s="123">
        <f t="shared" si="34"/>
        <v>1.25</v>
      </c>
      <c r="AD143" s="123">
        <f t="shared" si="34"/>
        <v>1.25</v>
      </c>
      <c r="AE143" s="123">
        <f t="shared" si="34"/>
        <v>1.25</v>
      </c>
      <c r="AF143" s="123">
        <f t="shared" si="34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2"/>
        <v>1.46</v>
      </c>
      <c r="C144" s="124">
        <v>1.46</v>
      </c>
      <c r="D144" s="123">
        <f t="shared" si="33"/>
        <v>1.46</v>
      </c>
      <c r="E144" s="123">
        <f t="shared" si="33"/>
        <v>1.46</v>
      </c>
      <c r="F144" s="123">
        <f t="shared" si="33"/>
        <v>1.46</v>
      </c>
      <c r="G144" s="123">
        <f t="shared" si="33"/>
        <v>1.46</v>
      </c>
      <c r="H144" s="123">
        <f t="shared" si="33"/>
        <v>1.46</v>
      </c>
      <c r="I144" s="123">
        <f t="shared" si="33"/>
        <v>1.46</v>
      </c>
      <c r="J144" s="123">
        <f t="shared" si="33"/>
        <v>1.46</v>
      </c>
      <c r="K144" s="123">
        <f t="shared" si="33"/>
        <v>1.46</v>
      </c>
      <c r="L144" s="123">
        <f t="shared" si="33"/>
        <v>1.46</v>
      </c>
      <c r="M144" s="123">
        <f t="shared" si="33"/>
        <v>1.46</v>
      </c>
      <c r="N144" s="123">
        <f t="shared" si="33"/>
        <v>1.46</v>
      </c>
      <c r="O144" s="123">
        <f t="shared" si="33"/>
        <v>1.46</v>
      </c>
      <c r="P144" s="123">
        <f t="shared" si="33"/>
        <v>1.46</v>
      </c>
      <c r="Q144" s="123">
        <f t="shared" si="33"/>
        <v>1.46</v>
      </c>
      <c r="R144" s="123">
        <f t="shared" si="33"/>
        <v>1.46</v>
      </c>
      <c r="S144" s="123">
        <f t="shared" si="33"/>
        <v>1.46</v>
      </c>
      <c r="T144" s="123">
        <f t="shared" si="34"/>
        <v>1.46</v>
      </c>
      <c r="U144" s="123">
        <f t="shared" si="34"/>
        <v>1.46</v>
      </c>
      <c r="V144" s="123">
        <f t="shared" si="34"/>
        <v>1.46</v>
      </c>
      <c r="W144" s="123">
        <f t="shared" si="34"/>
        <v>1.46</v>
      </c>
      <c r="X144" s="123">
        <f t="shared" si="34"/>
        <v>1.46</v>
      </c>
      <c r="Y144" s="123">
        <f t="shared" si="34"/>
        <v>1.46</v>
      </c>
      <c r="Z144" s="123">
        <f t="shared" si="34"/>
        <v>1.46</v>
      </c>
      <c r="AA144" s="123">
        <f t="shared" si="34"/>
        <v>1.46</v>
      </c>
      <c r="AB144" s="123">
        <f t="shared" si="34"/>
        <v>1.46</v>
      </c>
      <c r="AC144" s="123">
        <f t="shared" si="34"/>
        <v>1.46</v>
      </c>
      <c r="AD144" s="123">
        <f t="shared" si="34"/>
        <v>1.46</v>
      </c>
      <c r="AE144" s="123">
        <f t="shared" si="34"/>
        <v>1.46</v>
      </c>
      <c r="AF144" s="123">
        <f t="shared" si="34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2"/>
        <v>3</v>
      </c>
      <c r="C145" s="124">
        <v>3</v>
      </c>
      <c r="D145" s="123">
        <f t="shared" si="33"/>
        <v>3</v>
      </c>
      <c r="E145" s="123">
        <f t="shared" si="33"/>
        <v>3</v>
      </c>
      <c r="F145" s="123">
        <f t="shared" si="33"/>
        <v>3</v>
      </c>
      <c r="G145" s="123">
        <f t="shared" si="33"/>
        <v>3</v>
      </c>
      <c r="H145" s="123">
        <f t="shared" si="33"/>
        <v>3</v>
      </c>
      <c r="I145" s="123">
        <f t="shared" si="33"/>
        <v>3</v>
      </c>
      <c r="J145" s="123">
        <f t="shared" si="33"/>
        <v>3</v>
      </c>
      <c r="K145" s="123">
        <f t="shared" si="33"/>
        <v>3</v>
      </c>
      <c r="L145" s="123">
        <f t="shared" si="33"/>
        <v>3</v>
      </c>
      <c r="M145" s="123">
        <f t="shared" si="33"/>
        <v>3</v>
      </c>
      <c r="N145" s="123">
        <f t="shared" si="33"/>
        <v>3</v>
      </c>
      <c r="O145" s="123">
        <f t="shared" si="33"/>
        <v>3</v>
      </c>
      <c r="P145" s="123">
        <f t="shared" si="33"/>
        <v>3</v>
      </c>
      <c r="Q145" s="123">
        <f t="shared" si="33"/>
        <v>3</v>
      </c>
      <c r="R145" s="123">
        <f t="shared" si="33"/>
        <v>3</v>
      </c>
      <c r="S145" s="123">
        <f t="shared" si="33"/>
        <v>3</v>
      </c>
      <c r="T145" s="123">
        <f t="shared" si="34"/>
        <v>3</v>
      </c>
      <c r="U145" s="123">
        <f t="shared" si="34"/>
        <v>3</v>
      </c>
      <c r="V145" s="123">
        <f t="shared" si="34"/>
        <v>3</v>
      </c>
      <c r="W145" s="123">
        <f t="shared" si="34"/>
        <v>3</v>
      </c>
      <c r="X145" s="123">
        <f t="shared" si="34"/>
        <v>3</v>
      </c>
      <c r="Y145" s="123">
        <f t="shared" si="34"/>
        <v>3</v>
      </c>
      <c r="Z145" s="123">
        <f t="shared" si="34"/>
        <v>3</v>
      </c>
      <c r="AA145" s="123">
        <f t="shared" si="34"/>
        <v>3</v>
      </c>
      <c r="AB145" s="123">
        <f t="shared" si="34"/>
        <v>3</v>
      </c>
      <c r="AC145" s="123">
        <f t="shared" si="34"/>
        <v>3</v>
      </c>
      <c r="AD145" s="123">
        <f t="shared" si="34"/>
        <v>3</v>
      </c>
      <c r="AE145" s="123">
        <f t="shared" si="34"/>
        <v>3</v>
      </c>
      <c r="AF145" s="123">
        <f t="shared" si="34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2"/>
        <v>3.3</v>
      </c>
      <c r="C146" s="124">
        <v>3.3</v>
      </c>
      <c r="D146" s="123">
        <f t="shared" si="33"/>
        <v>3.3</v>
      </c>
      <c r="E146" s="123">
        <f t="shared" si="33"/>
        <v>3.3</v>
      </c>
      <c r="F146" s="123">
        <f t="shared" si="33"/>
        <v>3.3</v>
      </c>
      <c r="G146" s="123">
        <f t="shared" si="33"/>
        <v>3.3</v>
      </c>
      <c r="H146" s="123">
        <f t="shared" si="33"/>
        <v>3.3</v>
      </c>
      <c r="I146" s="123">
        <f t="shared" si="33"/>
        <v>3.3</v>
      </c>
      <c r="J146" s="123">
        <f t="shared" si="33"/>
        <v>3.3</v>
      </c>
      <c r="K146" s="123">
        <f t="shared" si="33"/>
        <v>3.3</v>
      </c>
      <c r="L146" s="123">
        <f t="shared" si="33"/>
        <v>3.3</v>
      </c>
      <c r="M146" s="123">
        <f t="shared" si="33"/>
        <v>3.3</v>
      </c>
      <c r="N146" s="123">
        <f t="shared" si="33"/>
        <v>3.3</v>
      </c>
      <c r="O146" s="123">
        <f t="shared" si="33"/>
        <v>3.3</v>
      </c>
      <c r="P146" s="123">
        <f t="shared" si="33"/>
        <v>3.3</v>
      </c>
      <c r="Q146" s="123">
        <f t="shared" si="33"/>
        <v>3.3</v>
      </c>
      <c r="R146" s="123">
        <f t="shared" si="33"/>
        <v>3.3</v>
      </c>
      <c r="S146" s="123">
        <f t="shared" si="33"/>
        <v>3.3</v>
      </c>
      <c r="T146" s="123">
        <f t="shared" si="34"/>
        <v>3.3</v>
      </c>
      <c r="U146" s="123">
        <f t="shared" si="34"/>
        <v>3.3</v>
      </c>
      <c r="V146" s="123">
        <f t="shared" si="34"/>
        <v>3.3</v>
      </c>
      <c r="W146" s="123">
        <f t="shared" si="34"/>
        <v>3.3</v>
      </c>
      <c r="X146" s="123">
        <f t="shared" si="34"/>
        <v>3.3</v>
      </c>
      <c r="Y146" s="123">
        <f t="shared" si="34"/>
        <v>3.3</v>
      </c>
      <c r="Z146" s="123">
        <f t="shared" si="34"/>
        <v>3.3</v>
      </c>
      <c r="AA146" s="123">
        <f t="shared" si="34"/>
        <v>3.3</v>
      </c>
      <c r="AB146" s="123">
        <f t="shared" si="34"/>
        <v>3.3</v>
      </c>
      <c r="AC146" s="123">
        <f t="shared" si="34"/>
        <v>3.3</v>
      </c>
      <c r="AD146" s="123">
        <f t="shared" si="34"/>
        <v>3.3</v>
      </c>
      <c r="AE146" s="123">
        <f t="shared" si="34"/>
        <v>3.3</v>
      </c>
      <c r="AF146" s="123">
        <f t="shared" si="34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5">C148</f>
        <v>1.76</v>
      </c>
      <c r="E148" s="123">
        <f t="shared" si="35"/>
        <v>1.76</v>
      </c>
      <c r="F148" s="123">
        <f t="shared" si="35"/>
        <v>1.76</v>
      </c>
      <c r="G148" s="123">
        <f t="shared" si="35"/>
        <v>1.76</v>
      </c>
      <c r="H148" s="123">
        <f t="shared" si="35"/>
        <v>1.76</v>
      </c>
      <c r="I148" s="123">
        <f t="shared" si="35"/>
        <v>1.76</v>
      </c>
      <c r="J148" s="123">
        <f t="shared" si="35"/>
        <v>1.76</v>
      </c>
      <c r="K148" s="123">
        <f t="shared" si="35"/>
        <v>1.76</v>
      </c>
      <c r="L148" s="123">
        <f t="shared" si="35"/>
        <v>1.76</v>
      </c>
      <c r="M148" s="123">
        <f t="shared" si="35"/>
        <v>1.76</v>
      </c>
      <c r="N148" s="123">
        <f t="shared" si="35"/>
        <v>1.76</v>
      </c>
      <c r="O148" s="123">
        <f t="shared" si="35"/>
        <v>1.76</v>
      </c>
      <c r="P148" s="123">
        <f t="shared" si="35"/>
        <v>1.76</v>
      </c>
      <c r="Q148" s="123">
        <f t="shared" si="35"/>
        <v>1.76</v>
      </c>
      <c r="R148" s="123">
        <f t="shared" si="35"/>
        <v>1.76</v>
      </c>
      <c r="S148" s="123">
        <f t="shared" si="35"/>
        <v>1.76</v>
      </c>
      <c r="T148" s="123">
        <f t="shared" ref="T148:AF149" si="36">S148</f>
        <v>1.76</v>
      </c>
      <c r="U148" s="123">
        <f t="shared" si="36"/>
        <v>1.76</v>
      </c>
      <c r="V148" s="123">
        <f t="shared" si="36"/>
        <v>1.76</v>
      </c>
      <c r="W148" s="123">
        <f t="shared" si="36"/>
        <v>1.76</v>
      </c>
      <c r="X148" s="123">
        <f t="shared" si="36"/>
        <v>1.76</v>
      </c>
      <c r="Y148" s="123">
        <f t="shared" si="36"/>
        <v>1.76</v>
      </c>
      <c r="Z148" s="123">
        <f t="shared" si="36"/>
        <v>1.76</v>
      </c>
      <c r="AA148" s="123">
        <f t="shared" si="36"/>
        <v>1.76</v>
      </c>
      <c r="AB148" s="123">
        <f t="shared" si="36"/>
        <v>1.76</v>
      </c>
      <c r="AC148" s="123">
        <f t="shared" si="36"/>
        <v>1.76</v>
      </c>
      <c r="AD148" s="123">
        <f t="shared" si="36"/>
        <v>1.76</v>
      </c>
      <c r="AE148" s="123">
        <f t="shared" si="36"/>
        <v>1.76</v>
      </c>
      <c r="AF148" s="123">
        <f t="shared" si="36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5"/>
        <v>0</v>
      </c>
      <c r="E149" s="123">
        <f t="shared" si="35"/>
        <v>0</v>
      </c>
      <c r="F149" s="123">
        <f t="shared" si="35"/>
        <v>0</v>
      </c>
      <c r="G149" s="123">
        <f t="shared" si="35"/>
        <v>0</v>
      </c>
      <c r="H149" s="123">
        <f t="shared" si="35"/>
        <v>0</v>
      </c>
      <c r="I149" s="123">
        <f t="shared" si="35"/>
        <v>0</v>
      </c>
      <c r="J149" s="123">
        <f t="shared" si="35"/>
        <v>0</v>
      </c>
      <c r="K149" s="123">
        <f t="shared" si="35"/>
        <v>0</v>
      </c>
      <c r="L149" s="123">
        <f t="shared" si="35"/>
        <v>0</v>
      </c>
      <c r="M149" s="123">
        <f t="shared" si="35"/>
        <v>0</v>
      </c>
      <c r="N149" s="123">
        <f t="shared" si="35"/>
        <v>0</v>
      </c>
      <c r="O149" s="123">
        <f t="shared" si="35"/>
        <v>0</v>
      </c>
      <c r="P149" s="123">
        <f t="shared" si="35"/>
        <v>0</v>
      </c>
      <c r="Q149" s="123">
        <f t="shared" si="35"/>
        <v>0</v>
      </c>
      <c r="R149" s="123">
        <f t="shared" si="35"/>
        <v>0</v>
      </c>
      <c r="S149" s="123">
        <f t="shared" si="35"/>
        <v>0</v>
      </c>
      <c r="T149" s="123">
        <f t="shared" si="36"/>
        <v>0</v>
      </c>
      <c r="U149" s="123">
        <f t="shared" si="36"/>
        <v>0</v>
      </c>
      <c r="V149" s="123">
        <f t="shared" si="36"/>
        <v>0</v>
      </c>
      <c r="W149" s="123">
        <f t="shared" si="36"/>
        <v>0</v>
      </c>
      <c r="X149" s="123">
        <f t="shared" si="36"/>
        <v>0</v>
      </c>
      <c r="Y149" s="123">
        <f t="shared" si="36"/>
        <v>0</v>
      </c>
      <c r="Z149" s="123">
        <f t="shared" si="36"/>
        <v>0</v>
      </c>
      <c r="AA149" s="123">
        <f t="shared" si="36"/>
        <v>0</v>
      </c>
      <c r="AB149" s="123">
        <f t="shared" si="36"/>
        <v>0</v>
      </c>
      <c r="AC149" s="123">
        <f t="shared" si="36"/>
        <v>0</v>
      </c>
      <c r="AD149" s="123">
        <f t="shared" si="36"/>
        <v>0</v>
      </c>
      <c r="AE149" s="123">
        <f t="shared" si="36"/>
        <v>0</v>
      </c>
      <c r="AF149" s="123">
        <f t="shared" si="36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7">C151</f>
        <v>0.1</v>
      </c>
      <c r="E151" s="123">
        <f t="shared" si="37"/>
        <v>0.1</v>
      </c>
      <c r="F151" s="123">
        <f t="shared" si="37"/>
        <v>0.1</v>
      </c>
      <c r="G151" s="123">
        <f t="shared" si="37"/>
        <v>0.1</v>
      </c>
      <c r="H151" s="123">
        <f t="shared" si="37"/>
        <v>0.1</v>
      </c>
      <c r="I151" s="123">
        <f t="shared" si="37"/>
        <v>0.1</v>
      </c>
      <c r="J151" s="123">
        <f t="shared" si="37"/>
        <v>0.1</v>
      </c>
      <c r="K151" s="123">
        <f t="shared" si="37"/>
        <v>0.1</v>
      </c>
      <c r="L151" s="123">
        <f t="shared" si="37"/>
        <v>0.1</v>
      </c>
      <c r="M151" s="123">
        <f t="shared" si="37"/>
        <v>0.1</v>
      </c>
      <c r="N151" s="123">
        <f t="shared" si="37"/>
        <v>0.1</v>
      </c>
      <c r="O151" s="123">
        <f t="shared" si="37"/>
        <v>0.1</v>
      </c>
      <c r="P151" s="123">
        <f t="shared" si="37"/>
        <v>0.1</v>
      </c>
      <c r="Q151" s="123">
        <f t="shared" si="37"/>
        <v>0.1</v>
      </c>
      <c r="R151" s="123">
        <f t="shared" si="37"/>
        <v>0.1</v>
      </c>
      <c r="S151" s="123">
        <f t="shared" si="37"/>
        <v>0.1</v>
      </c>
      <c r="T151" s="123">
        <f t="shared" ref="T151:AF154" si="38">S151</f>
        <v>0.1</v>
      </c>
      <c r="U151" s="123">
        <f t="shared" si="38"/>
        <v>0.1</v>
      </c>
      <c r="V151" s="123">
        <f t="shared" si="38"/>
        <v>0.1</v>
      </c>
      <c r="W151" s="123">
        <f t="shared" si="38"/>
        <v>0.1</v>
      </c>
      <c r="X151" s="123">
        <f t="shared" si="38"/>
        <v>0.1</v>
      </c>
      <c r="Y151" s="123">
        <f t="shared" si="38"/>
        <v>0.1</v>
      </c>
      <c r="Z151" s="123">
        <f t="shared" si="38"/>
        <v>0.1</v>
      </c>
      <c r="AA151" s="123">
        <f t="shared" si="38"/>
        <v>0.1</v>
      </c>
      <c r="AB151" s="123">
        <f t="shared" si="38"/>
        <v>0.1</v>
      </c>
      <c r="AC151" s="123">
        <f t="shared" si="38"/>
        <v>0.1</v>
      </c>
      <c r="AD151" s="123">
        <f t="shared" si="38"/>
        <v>0.1</v>
      </c>
      <c r="AE151" s="123">
        <f t="shared" si="38"/>
        <v>0.1</v>
      </c>
      <c r="AF151" s="123">
        <f t="shared" si="38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7"/>
        <v>2.0499999999999998</v>
      </c>
      <c r="E152" s="123">
        <f t="shared" si="37"/>
        <v>2.0499999999999998</v>
      </c>
      <c r="F152" s="123">
        <f t="shared" si="37"/>
        <v>2.0499999999999998</v>
      </c>
      <c r="G152" s="123">
        <f t="shared" si="37"/>
        <v>2.0499999999999998</v>
      </c>
      <c r="H152" s="123">
        <f t="shared" si="37"/>
        <v>2.0499999999999998</v>
      </c>
      <c r="I152" s="123">
        <f t="shared" si="37"/>
        <v>2.0499999999999998</v>
      </c>
      <c r="J152" s="123">
        <f t="shared" si="37"/>
        <v>2.0499999999999998</v>
      </c>
      <c r="K152" s="123">
        <f t="shared" si="37"/>
        <v>2.0499999999999998</v>
      </c>
      <c r="L152" s="123">
        <f t="shared" si="37"/>
        <v>2.0499999999999998</v>
      </c>
      <c r="M152" s="123">
        <f t="shared" si="37"/>
        <v>2.0499999999999998</v>
      </c>
      <c r="N152" s="123">
        <f t="shared" si="37"/>
        <v>2.0499999999999998</v>
      </c>
      <c r="O152" s="123">
        <f t="shared" si="37"/>
        <v>2.0499999999999998</v>
      </c>
      <c r="P152" s="123">
        <f t="shared" si="37"/>
        <v>2.0499999999999998</v>
      </c>
      <c r="Q152" s="123">
        <f t="shared" si="37"/>
        <v>2.0499999999999998</v>
      </c>
      <c r="R152" s="123">
        <f t="shared" si="37"/>
        <v>2.0499999999999998</v>
      </c>
      <c r="S152" s="123">
        <f t="shared" si="37"/>
        <v>2.0499999999999998</v>
      </c>
      <c r="T152" s="123">
        <f t="shared" si="38"/>
        <v>2.0499999999999998</v>
      </c>
      <c r="U152" s="123">
        <f t="shared" si="38"/>
        <v>2.0499999999999998</v>
      </c>
      <c r="V152" s="123">
        <f t="shared" si="38"/>
        <v>2.0499999999999998</v>
      </c>
      <c r="W152" s="123">
        <f t="shared" si="38"/>
        <v>2.0499999999999998</v>
      </c>
      <c r="X152" s="123">
        <f t="shared" si="38"/>
        <v>2.0499999999999998</v>
      </c>
      <c r="Y152" s="123">
        <f t="shared" si="38"/>
        <v>2.0499999999999998</v>
      </c>
      <c r="Z152" s="123">
        <f t="shared" si="38"/>
        <v>2.0499999999999998</v>
      </c>
      <c r="AA152" s="123">
        <f t="shared" si="38"/>
        <v>2.0499999999999998</v>
      </c>
      <c r="AB152" s="123">
        <f t="shared" si="38"/>
        <v>2.0499999999999998</v>
      </c>
      <c r="AC152" s="123">
        <f t="shared" si="38"/>
        <v>2.0499999999999998</v>
      </c>
      <c r="AD152" s="123">
        <f t="shared" si="38"/>
        <v>2.0499999999999998</v>
      </c>
      <c r="AE152" s="123">
        <f t="shared" si="38"/>
        <v>2.0499999999999998</v>
      </c>
      <c r="AF152" s="123">
        <f t="shared" si="38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7"/>
        <v>2.7</v>
      </c>
      <c r="E153" s="123">
        <f t="shared" si="37"/>
        <v>2.7</v>
      </c>
      <c r="F153" s="123">
        <f t="shared" si="37"/>
        <v>2.7</v>
      </c>
      <c r="G153" s="123">
        <f t="shared" si="37"/>
        <v>2.7</v>
      </c>
      <c r="H153" s="123">
        <f t="shared" si="37"/>
        <v>2.7</v>
      </c>
      <c r="I153" s="123">
        <f t="shared" si="37"/>
        <v>2.7</v>
      </c>
      <c r="J153" s="123">
        <f t="shared" si="37"/>
        <v>2.7</v>
      </c>
      <c r="K153" s="123">
        <f t="shared" si="37"/>
        <v>2.7</v>
      </c>
      <c r="L153" s="123">
        <f t="shared" si="37"/>
        <v>2.7</v>
      </c>
      <c r="M153" s="123">
        <f t="shared" si="37"/>
        <v>2.7</v>
      </c>
      <c r="N153" s="123">
        <f t="shared" si="37"/>
        <v>2.7</v>
      </c>
      <c r="O153" s="123">
        <f t="shared" si="37"/>
        <v>2.7</v>
      </c>
      <c r="P153" s="123">
        <f t="shared" si="37"/>
        <v>2.7</v>
      </c>
      <c r="Q153" s="123">
        <f t="shared" si="37"/>
        <v>2.7</v>
      </c>
      <c r="R153" s="123">
        <f t="shared" si="37"/>
        <v>2.7</v>
      </c>
      <c r="S153" s="123">
        <f t="shared" si="37"/>
        <v>2.7</v>
      </c>
      <c r="T153" s="123">
        <f t="shared" si="38"/>
        <v>2.7</v>
      </c>
      <c r="U153" s="123">
        <f t="shared" si="38"/>
        <v>2.7</v>
      </c>
      <c r="V153" s="123">
        <f t="shared" si="38"/>
        <v>2.7</v>
      </c>
      <c r="W153" s="123">
        <f t="shared" si="38"/>
        <v>2.7</v>
      </c>
      <c r="X153" s="123">
        <f t="shared" si="38"/>
        <v>2.7</v>
      </c>
      <c r="Y153" s="123">
        <f t="shared" si="38"/>
        <v>2.7</v>
      </c>
      <c r="Z153" s="123">
        <f t="shared" si="38"/>
        <v>2.7</v>
      </c>
      <c r="AA153" s="123">
        <f t="shared" si="38"/>
        <v>2.7</v>
      </c>
      <c r="AB153" s="123">
        <f t="shared" si="38"/>
        <v>2.7</v>
      </c>
      <c r="AC153" s="123">
        <f t="shared" si="38"/>
        <v>2.7</v>
      </c>
      <c r="AD153" s="123">
        <f t="shared" si="38"/>
        <v>2.7</v>
      </c>
      <c r="AE153" s="123">
        <f t="shared" si="38"/>
        <v>2.7</v>
      </c>
      <c r="AF153" s="123">
        <f t="shared" si="38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7"/>
        <v>2.15</v>
      </c>
      <c r="E154" s="123">
        <f t="shared" si="37"/>
        <v>2.15</v>
      </c>
      <c r="F154" s="123">
        <f t="shared" si="37"/>
        <v>2.15</v>
      </c>
      <c r="G154" s="123">
        <f t="shared" si="37"/>
        <v>2.15</v>
      </c>
      <c r="H154" s="123">
        <f t="shared" si="37"/>
        <v>2.15</v>
      </c>
      <c r="I154" s="123">
        <f t="shared" si="37"/>
        <v>2.15</v>
      </c>
      <c r="J154" s="123">
        <f t="shared" si="37"/>
        <v>2.15</v>
      </c>
      <c r="K154" s="123">
        <f t="shared" si="37"/>
        <v>2.15</v>
      </c>
      <c r="L154" s="123">
        <f t="shared" si="37"/>
        <v>2.15</v>
      </c>
      <c r="M154" s="123">
        <f t="shared" si="37"/>
        <v>2.15</v>
      </c>
      <c r="N154" s="123">
        <f t="shared" si="37"/>
        <v>2.15</v>
      </c>
      <c r="O154" s="123">
        <f t="shared" si="37"/>
        <v>2.15</v>
      </c>
      <c r="P154" s="123">
        <f t="shared" si="37"/>
        <v>2.15</v>
      </c>
      <c r="Q154" s="123">
        <f t="shared" si="37"/>
        <v>2.15</v>
      </c>
      <c r="R154" s="123">
        <f t="shared" si="37"/>
        <v>2.15</v>
      </c>
      <c r="S154" s="123">
        <f t="shared" si="37"/>
        <v>2.15</v>
      </c>
      <c r="T154" s="123">
        <f t="shared" si="38"/>
        <v>2.15</v>
      </c>
      <c r="U154" s="123">
        <f t="shared" si="38"/>
        <v>2.15</v>
      </c>
      <c r="V154" s="123">
        <f t="shared" si="38"/>
        <v>2.15</v>
      </c>
      <c r="W154" s="123">
        <f t="shared" si="38"/>
        <v>2.15</v>
      </c>
      <c r="X154" s="123">
        <f t="shared" si="38"/>
        <v>2.15</v>
      </c>
      <c r="Y154" s="123">
        <f t="shared" si="38"/>
        <v>2.15</v>
      </c>
      <c r="Z154" s="123">
        <f t="shared" si="38"/>
        <v>2.15</v>
      </c>
      <c r="AA154" s="123">
        <f t="shared" si="38"/>
        <v>2.15</v>
      </c>
      <c r="AB154" s="123">
        <f t="shared" si="38"/>
        <v>2.15</v>
      </c>
      <c r="AC154" s="123">
        <f t="shared" si="38"/>
        <v>2.15</v>
      </c>
      <c r="AD154" s="123">
        <f t="shared" si="38"/>
        <v>2.15</v>
      </c>
      <c r="AE154" s="123">
        <f t="shared" si="38"/>
        <v>2.15</v>
      </c>
      <c r="AF154" s="123">
        <f t="shared" si="38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9">AF156</f>
        <v>0.9</v>
      </c>
      <c r="C156" s="124">
        <v>0.9</v>
      </c>
      <c r="D156" s="123">
        <f t="shared" ref="D156:S168" si="40">C156</f>
        <v>0.9</v>
      </c>
      <c r="E156" s="123">
        <f t="shared" si="40"/>
        <v>0.9</v>
      </c>
      <c r="F156" s="123">
        <f t="shared" si="40"/>
        <v>0.9</v>
      </c>
      <c r="G156" s="123">
        <f t="shared" si="40"/>
        <v>0.9</v>
      </c>
      <c r="H156" s="123">
        <f t="shared" si="40"/>
        <v>0.9</v>
      </c>
      <c r="I156" s="123">
        <f t="shared" si="40"/>
        <v>0.9</v>
      </c>
      <c r="J156" s="123">
        <f t="shared" si="40"/>
        <v>0.9</v>
      </c>
      <c r="K156" s="123">
        <f t="shared" si="40"/>
        <v>0.9</v>
      </c>
      <c r="L156" s="123">
        <f t="shared" si="40"/>
        <v>0.9</v>
      </c>
      <c r="M156" s="123">
        <f t="shared" si="40"/>
        <v>0.9</v>
      </c>
      <c r="N156" s="123">
        <f t="shared" si="40"/>
        <v>0.9</v>
      </c>
      <c r="O156" s="123">
        <f t="shared" si="40"/>
        <v>0.9</v>
      </c>
      <c r="P156" s="123">
        <f t="shared" si="40"/>
        <v>0.9</v>
      </c>
      <c r="Q156" s="123">
        <f t="shared" si="40"/>
        <v>0.9</v>
      </c>
      <c r="R156" s="123">
        <f t="shared" si="40"/>
        <v>0.9</v>
      </c>
      <c r="S156" s="123">
        <f t="shared" si="40"/>
        <v>0.9</v>
      </c>
      <c r="T156" s="123">
        <f t="shared" ref="S156:AF168" si="41">S156</f>
        <v>0.9</v>
      </c>
      <c r="U156" s="123">
        <f t="shared" si="41"/>
        <v>0.9</v>
      </c>
      <c r="V156" s="123">
        <f t="shared" si="41"/>
        <v>0.9</v>
      </c>
      <c r="W156" s="123">
        <f t="shared" si="41"/>
        <v>0.9</v>
      </c>
      <c r="X156" s="123">
        <f t="shared" si="41"/>
        <v>0.9</v>
      </c>
      <c r="Y156" s="123">
        <f t="shared" si="41"/>
        <v>0.9</v>
      </c>
      <c r="Z156" s="123">
        <f t="shared" si="41"/>
        <v>0.9</v>
      </c>
      <c r="AA156" s="123">
        <f t="shared" si="41"/>
        <v>0.9</v>
      </c>
      <c r="AB156" s="123">
        <f t="shared" si="41"/>
        <v>0.9</v>
      </c>
      <c r="AC156" s="123">
        <f t="shared" si="41"/>
        <v>0.9</v>
      </c>
      <c r="AD156" s="123">
        <f t="shared" si="41"/>
        <v>0.9</v>
      </c>
      <c r="AE156" s="123">
        <f t="shared" si="41"/>
        <v>0.9</v>
      </c>
      <c r="AF156" s="123">
        <f t="shared" si="41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9"/>
        <v>1.08</v>
      </c>
      <c r="C157" s="124">
        <v>1.08</v>
      </c>
      <c r="D157" s="123">
        <f t="shared" si="40"/>
        <v>1.08</v>
      </c>
      <c r="E157" s="123">
        <f t="shared" si="40"/>
        <v>1.08</v>
      </c>
      <c r="F157" s="123">
        <f t="shared" si="40"/>
        <v>1.08</v>
      </c>
      <c r="G157" s="123">
        <f t="shared" si="40"/>
        <v>1.08</v>
      </c>
      <c r="H157" s="123">
        <f t="shared" si="40"/>
        <v>1.08</v>
      </c>
      <c r="I157" s="123">
        <f t="shared" si="40"/>
        <v>1.08</v>
      </c>
      <c r="J157" s="123">
        <f t="shared" si="40"/>
        <v>1.08</v>
      </c>
      <c r="K157" s="123">
        <f t="shared" si="40"/>
        <v>1.08</v>
      </c>
      <c r="L157" s="123">
        <f t="shared" si="40"/>
        <v>1.08</v>
      </c>
      <c r="M157" s="123">
        <f t="shared" si="40"/>
        <v>1.08</v>
      </c>
      <c r="N157" s="123">
        <f t="shared" si="40"/>
        <v>1.08</v>
      </c>
      <c r="O157" s="123">
        <f t="shared" si="40"/>
        <v>1.08</v>
      </c>
      <c r="P157" s="123">
        <f t="shared" si="40"/>
        <v>1.08</v>
      </c>
      <c r="Q157" s="123">
        <f t="shared" si="40"/>
        <v>1.08</v>
      </c>
      <c r="R157" s="123">
        <f t="shared" si="40"/>
        <v>1.08</v>
      </c>
      <c r="S157" s="123">
        <f t="shared" si="40"/>
        <v>1.08</v>
      </c>
      <c r="T157" s="123">
        <f t="shared" si="41"/>
        <v>1.08</v>
      </c>
      <c r="U157" s="123">
        <f t="shared" si="41"/>
        <v>1.08</v>
      </c>
      <c r="V157" s="123">
        <f t="shared" si="41"/>
        <v>1.08</v>
      </c>
      <c r="W157" s="123">
        <f t="shared" si="41"/>
        <v>1.08</v>
      </c>
      <c r="X157" s="123">
        <f t="shared" si="41"/>
        <v>1.08</v>
      </c>
      <c r="Y157" s="123">
        <f t="shared" si="41"/>
        <v>1.08</v>
      </c>
      <c r="Z157" s="123">
        <f t="shared" si="41"/>
        <v>1.08</v>
      </c>
      <c r="AA157" s="123">
        <f t="shared" si="41"/>
        <v>1.08</v>
      </c>
      <c r="AB157" s="123">
        <f t="shared" si="41"/>
        <v>1.08</v>
      </c>
      <c r="AC157" s="123">
        <f t="shared" si="41"/>
        <v>1.08</v>
      </c>
      <c r="AD157" s="123">
        <f t="shared" si="41"/>
        <v>1.08</v>
      </c>
      <c r="AE157" s="123">
        <f t="shared" si="41"/>
        <v>1.08</v>
      </c>
      <c r="AF157" s="123">
        <f t="shared" si="41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9"/>
        <v>2.37</v>
      </c>
      <c r="C158" s="124">
        <v>2.37</v>
      </c>
      <c r="D158" s="123">
        <f t="shared" si="40"/>
        <v>2.37</v>
      </c>
      <c r="E158" s="123">
        <f t="shared" si="40"/>
        <v>2.37</v>
      </c>
      <c r="F158" s="123">
        <f t="shared" si="40"/>
        <v>2.37</v>
      </c>
      <c r="G158" s="123">
        <f t="shared" si="40"/>
        <v>2.37</v>
      </c>
      <c r="H158" s="123">
        <f t="shared" si="40"/>
        <v>2.37</v>
      </c>
      <c r="I158" s="123">
        <f t="shared" si="40"/>
        <v>2.37</v>
      </c>
      <c r="J158" s="123">
        <f t="shared" si="40"/>
        <v>2.37</v>
      </c>
      <c r="K158" s="123">
        <f t="shared" si="40"/>
        <v>2.37</v>
      </c>
      <c r="L158" s="123">
        <f t="shared" si="40"/>
        <v>2.37</v>
      </c>
      <c r="M158" s="123">
        <f t="shared" si="40"/>
        <v>2.37</v>
      </c>
      <c r="N158" s="123">
        <f t="shared" si="40"/>
        <v>2.37</v>
      </c>
      <c r="O158" s="123">
        <f t="shared" si="40"/>
        <v>2.37</v>
      </c>
      <c r="P158" s="123">
        <f t="shared" si="40"/>
        <v>2.37</v>
      </c>
      <c r="Q158" s="123">
        <f t="shared" si="40"/>
        <v>2.37</v>
      </c>
      <c r="R158" s="123">
        <f t="shared" si="40"/>
        <v>2.37</v>
      </c>
      <c r="S158" s="123">
        <f t="shared" si="40"/>
        <v>2.37</v>
      </c>
      <c r="T158" s="123">
        <f t="shared" si="41"/>
        <v>2.37</v>
      </c>
      <c r="U158" s="123">
        <f t="shared" si="41"/>
        <v>2.37</v>
      </c>
      <c r="V158" s="123">
        <f t="shared" si="41"/>
        <v>2.37</v>
      </c>
      <c r="W158" s="123">
        <f t="shared" si="41"/>
        <v>2.37</v>
      </c>
      <c r="X158" s="123">
        <f t="shared" si="41"/>
        <v>2.37</v>
      </c>
      <c r="Y158" s="123">
        <f t="shared" si="41"/>
        <v>2.37</v>
      </c>
      <c r="Z158" s="123">
        <f t="shared" si="41"/>
        <v>2.37</v>
      </c>
      <c r="AA158" s="123">
        <f t="shared" si="41"/>
        <v>2.37</v>
      </c>
      <c r="AB158" s="123">
        <f t="shared" si="41"/>
        <v>2.37</v>
      </c>
      <c r="AC158" s="123">
        <f t="shared" si="41"/>
        <v>2.37</v>
      </c>
      <c r="AD158" s="123">
        <f t="shared" si="41"/>
        <v>2.37</v>
      </c>
      <c r="AE158" s="123">
        <f t="shared" si="41"/>
        <v>2.37</v>
      </c>
      <c r="AF158" s="123">
        <f t="shared" si="41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9"/>
        <v>1.81</v>
      </c>
      <c r="C159" s="124">
        <v>1.81</v>
      </c>
      <c r="D159" s="123">
        <f t="shared" si="40"/>
        <v>1.81</v>
      </c>
      <c r="E159" s="123">
        <f t="shared" si="40"/>
        <v>1.81</v>
      </c>
      <c r="F159" s="123">
        <f t="shared" si="40"/>
        <v>1.81</v>
      </c>
      <c r="G159" s="123">
        <f t="shared" si="40"/>
        <v>1.81</v>
      </c>
      <c r="H159" s="123">
        <f t="shared" si="40"/>
        <v>1.81</v>
      </c>
      <c r="I159" s="123">
        <f t="shared" si="40"/>
        <v>1.81</v>
      </c>
      <c r="J159" s="123">
        <f t="shared" si="40"/>
        <v>1.81</v>
      </c>
      <c r="K159" s="123">
        <f t="shared" si="40"/>
        <v>1.81</v>
      </c>
      <c r="L159" s="123">
        <f t="shared" si="40"/>
        <v>1.81</v>
      </c>
      <c r="M159" s="123">
        <f t="shared" si="40"/>
        <v>1.81</v>
      </c>
      <c r="N159" s="123">
        <f t="shared" si="40"/>
        <v>1.81</v>
      </c>
      <c r="O159" s="123">
        <f t="shared" si="40"/>
        <v>1.81</v>
      </c>
      <c r="P159" s="123">
        <f t="shared" si="40"/>
        <v>1.81</v>
      </c>
      <c r="Q159" s="123">
        <f t="shared" si="40"/>
        <v>1.81</v>
      </c>
      <c r="R159" s="123">
        <f t="shared" si="40"/>
        <v>1.81</v>
      </c>
      <c r="S159" s="123">
        <f t="shared" si="40"/>
        <v>1.81</v>
      </c>
      <c r="T159" s="123">
        <f t="shared" si="41"/>
        <v>1.81</v>
      </c>
      <c r="U159" s="123">
        <f t="shared" si="41"/>
        <v>1.81</v>
      </c>
      <c r="V159" s="123">
        <f t="shared" si="41"/>
        <v>1.81</v>
      </c>
      <c r="W159" s="123">
        <f t="shared" si="41"/>
        <v>1.81</v>
      </c>
      <c r="X159" s="123">
        <f t="shared" si="41"/>
        <v>1.81</v>
      </c>
      <c r="Y159" s="123">
        <f t="shared" si="41"/>
        <v>1.81</v>
      </c>
      <c r="Z159" s="123">
        <f t="shared" si="41"/>
        <v>1.81</v>
      </c>
      <c r="AA159" s="123">
        <f t="shared" si="41"/>
        <v>1.81</v>
      </c>
      <c r="AB159" s="123">
        <f t="shared" si="41"/>
        <v>1.81</v>
      </c>
      <c r="AC159" s="123">
        <f t="shared" si="41"/>
        <v>1.81</v>
      </c>
      <c r="AD159" s="123">
        <f t="shared" si="41"/>
        <v>1.81</v>
      </c>
      <c r="AE159" s="123">
        <f t="shared" si="41"/>
        <v>1.81</v>
      </c>
      <c r="AF159" s="123">
        <f t="shared" si="41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9"/>
        <v>1.0900000000000001</v>
      </c>
      <c r="C160" s="124">
        <v>1.0900000000000001</v>
      </c>
      <c r="D160" s="123">
        <f t="shared" si="40"/>
        <v>1.0900000000000001</v>
      </c>
      <c r="E160" s="123">
        <f t="shared" si="40"/>
        <v>1.0900000000000001</v>
      </c>
      <c r="F160" s="123">
        <f t="shared" si="40"/>
        <v>1.0900000000000001</v>
      </c>
      <c r="G160" s="123">
        <f t="shared" si="40"/>
        <v>1.0900000000000001</v>
      </c>
      <c r="H160" s="123">
        <f t="shared" si="40"/>
        <v>1.0900000000000001</v>
      </c>
      <c r="I160" s="123">
        <f t="shared" si="40"/>
        <v>1.0900000000000001</v>
      </c>
      <c r="J160" s="123">
        <f t="shared" si="40"/>
        <v>1.0900000000000001</v>
      </c>
      <c r="K160" s="123">
        <f t="shared" si="40"/>
        <v>1.0900000000000001</v>
      </c>
      <c r="L160" s="123">
        <f t="shared" si="40"/>
        <v>1.0900000000000001</v>
      </c>
      <c r="M160" s="123">
        <f t="shared" si="40"/>
        <v>1.0900000000000001</v>
      </c>
      <c r="N160" s="123">
        <f t="shared" si="40"/>
        <v>1.0900000000000001</v>
      </c>
      <c r="O160" s="123">
        <f t="shared" si="40"/>
        <v>1.0900000000000001</v>
      </c>
      <c r="P160" s="123">
        <f t="shared" si="40"/>
        <v>1.0900000000000001</v>
      </c>
      <c r="Q160" s="123">
        <f t="shared" si="40"/>
        <v>1.0900000000000001</v>
      </c>
      <c r="R160" s="123">
        <f t="shared" si="40"/>
        <v>1.0900000000000001</v>
      </c>
      <c r="S160" s="123">
        <f t="shared" si="40"/>
        <v>1.0900000000000001</v>
      </c>
      <c r="T160" s="123">
        <f t="shared" si="41"/>
        <v>1.0900000000000001</v>
      </c>
      <c r="U160" s="123">
        <f t="shared" si="41"/>
        <v>1.0900000000000001</v>
      </c>
      <c r="V160" s="123">
        <f t="shared" si="41"/>
        <v>1.0900000000000001</v>
      </c>
      <c r="W160" s="123">
        <f t="shared" si="41"/>
        <v>1.0900000000000001</v>
      </c>
      <c r="X160" s="123">
        <f t="shared" si="41"/>
        <v>1.0900000000000001</v>
      </c>
      <c r="Y160" s="123">
        <f t="shared" si="41"/>
        <v>1.0900000000000001</v>
      </c>
      <c r="Z160" s="123">
        <f t="shared" si="41"/>
        <v>1.0900000000000001</v>
      </c>
      <c r="AA160" s="123">
        <f t="shared" si="41"/>
        <v>1.0900000000000001</v>
      </c>
      <c r="AB160" s="123">
        <f t="shared" si="41"/>
        <v>1.0900000000000001</v>
      </c>
      <c r="AC160" s="123">
        <f t="shared" si="41"/>
        <v>1.0900000000000001</v>
      </c>
      <c r="AD160" s="123">
        <f t="shared" si="41"/>
        <v>1.0900000000000001</v>
      </c>
      <c r="AE160" s="123">
        <f t="shared" si="41"/>
        <v>1.0900000000000001</v>
      </c>
      <c r="AF160" s="123">
        <f t="shared" si="41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9"/>
        <v>1.58</v>
      </c>
      <c r="C161" s="124">
        <v>1.58</v>
      </c>
      <c r="D161" s="123">
        <f t="shared" si="40"/>
        <v>1.58</v>
      </c>
      <c r="E161" s="123">
        <f t="shared" si="40"/>
        <v>1.58</v>
      </c>
      <c r="F161" s="123">
        <f t="shared" si="40"/>
        <v>1.58</v>
      </c>
      <c r="G161" s="123">
        <f t="shared" si="40"/>
        <v>1.58</v>
      </c>
      <c r="H161" s="123">
        <f t="shared" si="40"/>
        <v>1.58</v>
      </c>
      <c r="I161" s="123">
        <f t="shared" si="40"/>
        <v>1.58</v>
      </c>
      <c r="J161" s="123">
        <f t="shared" si="40"/>
        <v>1.58</v>
      </c>
      <c r="K161" s="123">
        <f t="shared" si="40"/>
        <v>1.58</v>
      </c>
      <c r="L161" s="123">
        <f t="shared" si="40"/>
        <v>1.58</v>
      </c>
      <c r="M161" s="123">
        <f t="shared" si="40"/>
        <v>1.58</v>
      </c>
      <c r="N161" s="123">
        <f t="shared" si="40"/>
        <v>1.58</v>
      </c>
      <c r="O161" s="123">
        <f t="shared" si="40"/>
        <v>1.58</v>
      </c>
      <c r="P161" s="123">
        <f t="shared" si="40"/>
        <v>1.58</v>
      </c>
      <c r="Q161" s="123">
        <f t="shared" si="40"/>
        <v>1.58</v>
      </c>
      <c r="R161" s="123">
        <f t="shared" si="40"/>
        <v>1.58</v>
      </c>
      <c r="S161" s="123">
        <f t="shared" si="40"/>
        <v>1.58</v>
      </c>
      <c r="T161" s="123">
        <f t="shared" si="41"/>
        <v>1.58</v>
      </c>
      <c r="U161" s="123">
        <f t="shared" si="41"/>
        <v>1.58</v>
      </c>
      <c r="V161" s="123">
        <f t="shared" si="41"/>
        <v>1.58</v>
      </c>
      <c r="W161" s="123">
        <f t="shared" si="41"/>
        <v>1.58</v>
      </c>
      <c r="X161" s="123">
        <f t="shared" si="41"/>
        <v>1.58</v>
      </c>
      <c r="Y161" s="123">
        <f t="shared" si="41"/>
        <v>1.58</v>
      </c>
      <c r="Z161" s="123">
        <f t="shared" si="41"/>
        <v>1.58</v>
      </c>
      <c r="AA161" s="123">
        <f t="shared" si="41"/>
        <v>1.58</v>
      </c>
      <c r="AB161" s="123">
        <f t="shared" si="41"/>
        <v>1.58</v>
      </c>
      <c r="AC161" s="123">
        <f t="shared" si="41"/>
        <v>1.58</v>
      </c>
      <c r="AD161" s="123">
        <f t="shared" si="41"/>
        <v>1.58</v>
      </c>
      <c r="AE161" s="123">
        <f t="shared" si="41"/>
        <v>1.58</v>
      </c>
      <c r="AF161" s="123">
        <f t="shared" si="41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9"/>
        <v>2</v>
      </c>
      <c r="C162" s="124">
        <v>2</v>
      </c>
      <c r="D162" s="123">
        <f t="shared" si="40"/>
        <v>2</v>
      </c>
      <c r="E162" s="123">
        <f t="shared" si="40"/>
        <v>2</v>
      </c>
      <c r="F162" s="123">
        <f t="shared" si="40"/>
        <v>2</v>
      </c>
      <c r="G162" s="123">
        <f t="shared" si="40"/>
        <v>2</v>
      </c>
      <c r="H162" s="123">
        <f t="shared" si="40"/>
        <v>2</v>
      </c>
      <c r="I162" s="123">
        <f t="shared" si="40"/>
        <v>2</v>
      </c>
      <c r="J162" s="123">
        <f t="shared" si="40"/>
        <v>2</v>
      </c>
      <c r="K162" s="123">
        <f t="shared" si="40"/>
        <v>2</v>
      </c>
      <c r="L162" s="123">
        <f t="shared" si="40"/>
        <v>2</v>
      </c>
      <c r="M162" s="123">
        <f t="shared" si="40"/>
        <v>2</v>
      </c>
      <c r="N162" s="123">
        <f t="shared" si="40"/>
        <v>2</v>
      </c>
      <c r="O162" s="123">
        <f t="shared" si="40"/>
        <v>2</v>
      </c>
      <c r="P162" s="123">
        <f t="shared" si="40"/>
        <v>2</v>
      </c>
      <c r="Q162" s="123">
        <f t="shared" si="40"/>
        <v>2</v>
      </c>
      <c r="R162" s="123">
        <f t="shared" si="40"/>
        <v>2</v>
      </c>
      <c r="S162" s="123">
        <f t="shared" si="40"/>
        <v>2</v>
      </c>
      <c r="T162" s="123">
        <f t="shared" si="41"/>
        <v>2</v>
      </c>
      <c r="U162" s="123">
        <f t="shared" si="41"/>
        <v>2</v>
      </c>
      <c r="V162" s="123">
        <f t="shared" si="41"/>
        <v>2</v>
      </c>
      <c r="W162" s="123">
        <f t="shared" si="41"/>
        <v>2</v>
      </c>
      <c r="X162" s="123">
        <f t="shared" si="41"/>
        <v>2</v>
      </c>
      <c r="Y162" s="123">
        <f t="shared" si="41"/>
        <v>2</v>
      </c>
      <c r="Z162" s="123">
        <f t="shared" si="41"/>
        <v>2</v>
      </c>
      <c r="AA162" s="123">
        <f t="shared" si="41"/>
        <v>2</v>
      </c>
      <c r="AB162" s="123">
        <f t="shared" si="41"/>
        <v>2</v>
      </c>
      <c r="AC162" s="123">
        <f t="shared" si="41"/>
        <v>2</v>
      </c>
      <c r="AD162" s="123">
        <f t="shared" si="41"/>
        <v>2</v>
      </c>
      <c r="AE162" s="123">
        <f t="shared" si="41"/>
        <v>2</v>
      </c>
      <c r="AF162" s="123">
        <f t="shared" si="41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9"/>
        <v>0.47</v>
      </c>
      <c r="C163" s="124">
        <v>0.47</v>
      </c>
      <c r="D163" s="123">
        <f t="shared" si="40"/>
        <v>0.47</v>
      </c>
      <c r="E163" s="123">
        <f t="shared" si="40"/>
        <v>0.47</v>
      </c>
      <c r="F163" s="123">
        <f t="shared" si="40"/>
        <v>0.47</v>
      </c>
      <c r="G163" s="123">
        <f t="shared" si="40"/>
        <v>0.47</v>
      </c>
      <c r="H163" s="123">
        <f t="shared" si="40"/>
        <v>0.47</v>
      </c>
      <c r="I163" s="123">
        <f t="shared" si="40"/>
        <v>0.47</v>
      </c>
      <c r="J163" s="123">
        <f t="shared" si="40"/>
        <v>0.47</v>
      </c>
      <c r="K163" s="123">
        <f t="shared" si="40"/>
        <v>0.47</v>
      </c>
      <c r="L163" s="123">
        <f t="shared" si="40"/>
        <v>0.47</v>
      </c>
      <c r="M163" s="123">
        <f t="shared" si="40"/>
        <v>0.47</v>
      </c>
      <c r="N163" s="123">
        <f t="shared" si="40"/>
        <v>0.47</v>
      </c>
      <c r="O163" s="123">
        <f t="shared" si="40"/>
        <v>0.47</v>
      </c>
      <c r="P163" s="123">
        <f t="shared" si="40"/>
        <v>0.47</v>
      </c>
      <c r="Q163" s="123">
        <f t="shared" si="40"/>
        <v>0.47</v>
      </c>
      <c r="R163" s="123">
        <f t="shared" si="40"/>
        <v>0.47</v>
      </c>
      <c r="S163" s="123">
        <f t="shared" si="40"/>
        <v>0.47</v>
      </c>
      <c r="T163" s="123">
        <f t="shared" si="41"/>
        <v>0.47</v>
      </c>
      <c r="U163" s="123">
        <f t="shared" si="41"/>
        <v>0.47</v>
      </c>
      <c r="V163" s="123">
        <f t="shared" si="41"/>
        <v>0.47</v>
      </c>
      <c r="W163" s="123">
        <f t="shared" si="41"/>
        <v>0.47</v>
      </c>
      <c r="X163" s="123">
        <f t="shared" si="41"/>
        <v>0.47</v>
      </c>
      <c r="Y163" s="123">
        <f t="shared" si="41"/>
        <v>0.47</v>
      </c>
      <c r="Z163" s="123">
        <f t="shared" si="41"/>
        <v>0.47</v>
      </c>
      <c r="AA163" s="123">
        <f t="shared" si="41"/>
        <v>0.47</v>
      </c>
      <c r="AB163" s="123">
        <f t="shared" si="41"/>
        <v>0.47</v>
      </c>
      <c r="AC163" s="123">
        <f t="shared" si="41"/>
        <v>0.47</v>
      </c>
      <c r="AD163" s="123">
        <f t="shared" si="41"/>
        <v>0.47</v>
      </c>
      <c r="AE163" s="123">
        <f t="shared" si="41"/>
        <v>0.47</v>
      </c>
      <c r="AF163" s="123">
        <f t="shared" si="41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9"/>
        <v>0</v>
      </c>
      <c r="C164" s="124">
        <v>0</v>
      </c>
      <c r="D164" s="123">
        <f t="shared" si="40"/>
        <v>0</v>
      </c>
      <c r="E164" s="123">
        <f t="shared" si="40"/>
        <v>0</v>
      </c>
      <c r="F164" s="123">
        <f t="shared" si="40"/>
        <v>0</v>
      </c>
      <c r="G164" s="123">
        <f t="shared" si="40"/>
        <v>0</v>
      </c>
      <c r="H164" s="123">
        <f t="shared" si="40"/>
        <v>0</v>
      </c>
      <c r="I164" s="123">
        <f t="shared" si="40"/>
        <v>0</v>
      </c>
      <c r="J164" s="123">
        <f t="shared" si="40"/>
        <v>0</v>
      </c>
      <c r="K164" s="123">
        <f t="shared" si="40"/>
        <v>0</v>
      </c>
      <c r="L164" s="123">
        <f t="shared" si="40"/>
        <v>0</v>
      </c>
      <c r="M164" s="123">
        <f t="shared" si="40"/>
        <v>0</v>
      </c>
      <c r="N164" s="123">
        <f t="shared" si="40"/>
        <v>0</v>
      </c>
      <c r="O164" s="123">
        <f t="shared" si="40"/>
        <v>0</v>
      </c>
      <c r="P164" s="123">
        <f t="shared" si="40"/>
        <v>0</v>
      </c>
      <c r="Q164" s="123">
        <f t="shared" si="40"/>
        <v>0</v>
      </c>
      <c r="R164" s="123">
        <f t="shared" si="40"/>
        <v>0</v>
      </c>
      <c r="S164" s="123">
        <f t="shared" si="40"/>
        <v>0</v>
      </c>
      <c r="T164" s="123">
        <f t="shared" si="41"/>
        <v>0</v>
      </c>
      <c r="U164" s="123">
        <f t="shared" si="41"/>
        <v>0</v>
      </c>
      <c r="V164" s="123">
        <f t="shared" si="41"/>
        <v>0</v>
      </c>
      <c r="W164" s="123">
        <f t="shared" si="41"/>
        <v>0</v>
      </c>
      <c r="X164" s="123">
        <f t="shared" si="41"/>
        <v>0</v>
      </c>
      <c r="Y164" s="123">
        <f t="shared" si="41"/>
        <v>0</v>
      </c>
      <c r="Z164" s="123">
        <f t="shared" si="41"/>
        <v>0</v>
      </c>
      <c r="AA164" s="123">
        <f t="shared" si="41"/>
        <v>0</v>
      </c>
      <c r="AB164" s="123">
        <f t="shared" si="41"/>
        <v>0</v>
      </c>
      <c r="AC164" s="123">
        <f t="shared" si="41"/>
        <v>0</v>
      </c>
      <c r="AD164" s="123">
        <f t="shared" si="41"/>
        <v>0</v>
      </c>
      <c r="AE164" s="123">
        <f t="shared" si="41"/>
        <v>0</v>
      </c>
      <c r="AF164" s="123">
        <f t="shared" si="41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9"/>
        <v>0</v>
      </c>
      <c r="C165" s="124">
        <v>0</v>
      </c>
      <c r="D165" s="123">
        <f t="shared" si="40"/>
        <v>0</v>
      </c>
      <c r="E165" s="123">
        <f t="shared" si="40"/>
        <v>0</v>
      </c>
      <c r="F165" s="123">
        <f t="shared" si="40"/>
        <v>0</v>
      </c>
      <c r="G165" s="123">
        <f t="shared" si="40"/>
        <v>0</v>
      </c>
      <c r="H165" s="123">
        <f t="shared" si="40"/>
        <v>0</v>
      </c>
      <c r="I165" s="123">
        <f t="shared" si="40"/>
        <v>0</v>
      </c>
      <c r="J165" s="123">
        <f t="shared" si="40"/>
        <v>0</v>
      </c>
      <c r="K165" s="123">
        <f t="shared" si="40"/>
        <v>0</v>
      </c>
      <c r="L165" s="123">
        <f t="shared" si="40"/>
        <v>0</v>
      </c>
      <c r="M165" s="123">
        <f t="shared" si="40"/>
        <v>0</v>
      </c>
      <c r="N165" s="123">
        <f t="shared" si="40"/>
        <v>0</v>
      </c>
      <c r="O165" s="123">
        <f t="shared" si="40"/>
        <v>0</v>
      </c>
      <c r="P165" s="123">
        <f t="shared" si="40"/>
        <v>0</v>
      </c>
      <c r="Q165" s="123">
        <f t="shared" si="40"/>
        <v>0</v>
      </c>
      <c r="R165" s="123">
        <f t="shared" si="40"/>
        <v>0</v>
      </c>
      <c r="S165" s="123">
        <f t="shared" si="41"/>
        <v>0</v>
      </c>
      <c r="T165" s="123">
        <f t="shared" si="41"/>
        <v>0</v>
      </c>
      <c r="U165" s="123">
        <f t="shared" si="41"/>
        <v>0</v>
      </c>
      <c r="V165" s="123">
        <f t="shared" si="41"/>
        <v>0</v>
      </c>
      <c r="W165" s="123">
        <f t="shared" si="41"/>
        <v>0</v>
      </c>
      <c r="X165" s="123">
        <f t="shared" si="41"/>
        <v>0</v>
      </c>
      <c r="Y165" s="123">
        <f t="shared" si="41"/>
        <v>0</v>
      </c>
      <c r="Z165" s="123">
        <f t="shared" si="41"/>
        <v>0</v>
      </c>
      <c r="AA165" s="123">
        <f t="shared" si="41"/>
        <v>0</v>
      </c>
      <c r="AB165" s="123">
        <f t="shared" si="41"/>
        <v>0</v>
      </c>
      <c r="AC165" s="123">
        <f t="shared" si="41"/>
        <v>0</v>
      </c>
      <c r="AD165" s="123">
        <f t="shared" si="41"/>
        <v>0</v>
      </c>
      <c r="AE165" s="123">
        <f t="shared" si="41"/>
        <v>0</v>
      </c>
      <c r="AF165" s="123">
        <f t="shared" si="41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9"/>
        <v>0.8</v>
      </c>
      <c r="C166" s="124">
        <v>0.8</v>
      </c>
      <c r="D166" s="123">
        <f t="shared" si="40"/>
        <v>0.8</v>
      </c>
      <c r="E166" s="123">
        <f t="shared" si="40"/>
        <v>0.8</v>
      </c>
      <c r="F166" s="123">
        <f t="shared" si="40"/>
        <v>0.8</v>
      </c>
      <c r="G166" s="123">
        <f t="shared" si="40"/>
        <v>0.8</v>
      </c>
      <c r="H166" s="123">
        <f t="shared" si="40"/>
        <v>0.8</v>
      </c>
      <c r="I166" s="123">
        <f t="shared" si="40"/>
        <v>0.8</v>
      </c>
      <c r="J166" s="123">
        <f t="shared" si="40"/>
        <v>0.8</v>
      </c>
      <c r="K166" s="123">
        <f t="shared" si="40"/>
        <v>0.8</v>
      </c>
      <c r="L166" s="123">
        <f t="shared" si="40"/>
        <v>0.8</v>
      </c>
      <c r="M166" s="123">
        <f t="shared" si="40"/>
        <v>0.8</v>
      </c>
      <c r="N166" s="123">
        <f t="shared" si="40"/>
        <v>0.8</v>
      </c>
      <c r="O166" s="123">
        <f t="shared" si="40"/>
        <v>0.8</v>
      </c>
      <c r="P166" s="123">
        <f t="shared" si="40"/>
        <v>0.8</v>
      </c>
      <c r="Q166" s="123">
        <f t="shared" si="40"/>
        <v>0.8</v>
      </c>
      <c r="R166" s="123">
        <f t="shared" si="40"/>
        <v>0.8</v>
      </c>
      <c r="S166" s="123">
        <f t="shared" si="41"/>
        <v>0.8</v>
      </c>
      <c r="T166" s="123">
        <f t="shared" si="41"/>
        <v>0.8</v>
      </c>
      <c r="U166" s="123">
        <f t="shared" si="41"/>
        <v>0.8</v>
      </c>
      <c r="V166" s="123">
        <f t="shared" si="41"/>
        <v>0.8</v>
      </c>
      <c r="W166" s="123">
        <f t="shared" si="41"/>
        <v>0.8</v>
      </c>
      <c r="X166" s="123">
        <f t="shared" si="41"/>
        <v>0.8</v>
      </c>
      <c r="Y166" s="123">
        <f t="shared" si="41"/>
        <v>0.8</v>
      </c>
      <c r="Z166" s="123">
        <f t="shared" si="41"/>
        <v>0.8</v>
      </c>
      <c r="AA166" s="123">
        <f t="shared" si="41"/>
        <v>0.8</v>
      </c>
      <c r="AB166" s="123">
        <f t="shared" si="41"/>
        <v>0.8</v>
      </c>
      <c r="AC166" s="123">
        <f t="shared" si="41"/>
        <v>0.8</v>
      </c>
      <c r="AD166" s="123">
        <f t="shared" si="41"/>
        <v>0.8</v>
      </c>
      <c r="AE166" s="123">
        <f t="shared" si="41"/>
        <v>0.8</v>
      </c>
      <c r="AF166" s="123">
        <f t="shared" si="41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9"/>
        <v>1.5</v>
      </c>
      <c r="C167" s="124">
        <v>1.5</v>
      </c>
      <c r="D167" s="123">
        <f t="shared" si="40"/>
        <v>1.5</v>
      </c>
      <c r="E167" s="123">
        <f t="shared" si="40"/>
        <v>1.5</v>
      </c>
      <c r="F167" s="123">
        <f t="shared" si="40"/>
        <v>1.5</v>
      </c>
      <c r="G167" s="123">
        <f t="shared" si="40"/>
        <v>1.5</v>
      </c>
      <c r="H167" s="123">
        <f t="shared" si="40"/>
        <v>1.5</v>
      </c>
      <c r="I167" s="123">
        <f t="shared" si="40"/>
        <v>1.5</v>
      </c>
      <c r="J167" s="123">
        <f t="shared" si="40"/>
        <v>1.5</v>
      </c>
      <c r="K167" s="123">
        <f t="shared" si="40"/>
        <v>1.5</v>
      </c>
      <c r="L167" s="123">
        <f t="shared" si="40"/>
        <v>1.5</v>
      </c>
      <c r="M167" s="123">
        <f t="shared" si="40"/>
        <v>1.5</v>
      </c>
      <c r="N167" s="123">
        <f t="shared" si="40"/>
        <v>1.5</v>
      </c>
      <c r="O167" s="123">
        <f t="shared" si="40"/>
        <v>1.5</v>
      </c>
      <c r="P167" s="123">
        <f t="shared" si="40"/>
        <v>1.5</v>
      </c>
      <c r="Q167" s="123">
        <f t="shared" si="40"/>
        <v>1.5</v>
      </c>
      <c r="R167" s="123">
        <f t="shared" si="40"/>
        <v>1.5</v>
      </c>
      <c r="S167" s="123">
        <f t="shared" si="41"/>
        <v>1.5</v>
      </c>
      <c r="T167" s="123">
        <f t="shared" si="41"/>
        <v>1.5</v>
      </c>
      <c r="U167" s="123">
        <f t="shared" si="41"/>
        <v>1.5</v>
      </c>
      <c r="V167" s="123">
        <f t="shared" si="41"/>
        <v>1.5</v>
      </c>
      <c r="W167" s="123">
        <f t="shared" si="41"/>
        <v>1.5</v>
      </c>
      <c r="X167" s="123">
        <f t="shared" si="41"/>
        <v>1.5</v>
      </c>
      <c r="Y167" s="123">
        <f t="shared" si="41"/>
        <v>1.5</v>
      </c>
      <c r="Z167" s="123">
        <f t="shared" si="41"/>
        <v>1.5</v>
      </c>
      <c r="AA167" s="123">
        <f t="shared" si="41"/>
        <v>1.5</v>
      </c>
      <c r="AB167" s="123">
        <f t="shared" si="41"/>
        <v>1.5</v>
      </c>
      <c r="AC167" s="123">
        <f t="shared" si="41"/>
        <v>1.5</v>
      </c>
      <c r="AD167" s="123">
        <f t="shared" si="41"/>
        <v>1.5</v>
      </c>
      <c r="AE167" s="123">
        <f t="shared" si="41"/>
        <v>1.5</v>
      </c>
      <c r="AF167" s="123">
        <f t="shared" si="41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9"/>
        <v>1</v>
      </c>
      <c r="C168" s="124">
        <v>1</v>
      </c>
      <c r="D168" s="123">
        <f t="shared" si="40"/>
        <v>1</v>
      </c>
      <c r="E168" s="123">
        <f t="shared" si="40"/>
        <v>1</v>
      </c>
      <c r="F168" s="123">
        <f t="shared" si="40"/>
        <v>1</v>
      </c>
      <c r="G168" s="123">
        <f t="shared" si="40"/>
        <v>1</v>
      </c>
      <c r="H168" s="123">
        <f t="shared" si="40"/>
        <v>1</v>
      </c>
      <c r="I168" s="123">
        <f t="shared" si="40"/>
        <v>1</v>
      </c>
      <c r="J168" s="123">
        <f t="shared" si="40"/>
        <v>1</v>
      </c>
      <c r="K168" s="123">
        <f t="shared" si="40"/>
        <v>1</v>
      </c>
      <c r="L168" s="123">
        <f t="shared" si="40"/>
        <v>1</v>
      </c>
      <c r="M168" s="123">
        <f t="shared" si="40"/>
        <v>1</v>
      </c>
      <c r="N168" s="123">
        <f t="shared" si="40"/>
        <v>1</v>
      </c>
      <c r="O168" s="123">
        <f t="shared" si="40"/>
        <v>1</v>
      </c>
      <c r="P168" s="123">
        <f t="shared" si="40"/>
        <v>1</v>
      </c>
      <c r="Q168" s="123">
        <f t="shared" si="40"/>
        <v>1</v>
      </c>
      <c r="R168" s="123">
        <f t="shared" si="40"/>
        <v>1</v>
      </c>
      <c r="S168" s="123">
        <f t="shared" si="41"/>
        <v>1</v>
      </c>
      <c r="T168" s="123">
        <f t="shared" si="41"/>
        <v>1</v>
      </c>
      <c r="U168" s="123">
        <f t="shared" si="41"/>
        <v>1</v>
      </c>
      <c r="V168" s="123">
        <f t="shared" si="41"/>
        <v>1</v>
      </c>
      <c r="W168" s="123">
        <f t="shared" si="41"/>
        <v>1</v>
      </c>
      <c r="X168" s="123">
        <f t="shared" si="41"/>
        <v>1</v>
      </c>
      <c r="Y168" s="123">
        <f t="shared" si="41"/>
        <v>1</v>
      </c>
      <c r="Z168" s="123">
        <f t="shared" si="41"/>
        <v>1</v>
      </c>
      <c r="AA168" s="123">
        <f t="shared" si="41"/>
        <v>1</v>
      </c>
      <c r="AB168" s="123">
        <f t="shared" si="41"/>
        <v>1</v>
      </c>
      <c r="AC168" s="123">
        <f t="shared" si="41"/>
        <v>1</v>
      </c>
      <c r="AD168" s="123">
        <f t="shared" si="41"/>
        <v>1</v>
      </c>
      <c r="AE168" s="123">
        <f t="shared" si="41"/>
        <v>1</v>
      </c>
      <c r="AF168" s="123">
        <f t="shared" si="41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2">AF170</f>
        <v>1</v>
      </c>
      <c r="C170" s="124">
        <v>1</v>
      </c>
      <c r="D170" s="123">
        <f t="shared" ref="D170:S177" si="43">C170</f>
        <v>1</v>
      </c>
      <c r="E170" s="123">
        <f t="shared" si="43"/>
        <v>1</v>
      </c>
      <c r="F170" s="123">
        <f t="shared" si="43"/>
        <v>1</v>
      </c>
      <c r="G170" s="123">
        <f t="shared" si="43"/>
        <v>1</v>
      </c>
      <c r="H170" s="123">
        <f t="shared" si="43"/>
        <v>1</v>
      </c>
      <c r="I170" s="123">
        <f t="shared" si="43"/>
        <v>1</v>
      </c>
      <c r="J170" s="123">
        <f t="shared" si="43"/>
        <v>1</v>
      </c>
      <c r="K170" s="123">
        <f t="shared" si="43"/>
        <v>1</v>
      </c>
      <c r="L170" s="123">
        <f t="shared" si="43"/>
        <v>1</v>
      </c>
      <c r="M170" s="123">
        <f t="shared" si="43"/>
        <v>1</v>
      </c>
      <c r="N170" s="123">
        <f t="shared" si="43"/>
        <v>1</v>
      </c>
      <c r="O170" s="123">
        <f t="shared" si="43"/>
        <v>1</v>
      </c>
      <c r="P170" s="123">
        <f t="shared" si="43"/>
        <v>1</v>
      </c>
      <c r="Q170" s="123">
        <f t="shared" si="43"/>
        <v>1</v>
      </c>
      <c r="R170" s="123">
        <f t="shared" si="43"/>
        <v>1</v>
      </c>
      <c r="S170" s="123">
        <f t="shared" si="43"/>
        <v>1</v>
      </c>
      <c r="T170" s="123">
        <f t="shared" ref="S170:AF177" si="44">S170</f>
        <v>1</v>
      </c>
      <c r="U170" s="123">
        <f t="shared" si="44"/>
        <v>1</v>
      </c>
      <c r="V170" s="123">
        <f t="shared" si="44"/>
        <v>1</v>
      </c>
      <c r="W170" s="123">
        <f t="shared" si="44"/>
        <v>1</v>
      </c>
      <c r="X170" s="123">
        <f t="shared" si="44"/>
        <v>1</v>
      </c>
      <c r="Y170" s="123">
        <f t="shared" si="44"/>
        <v>1</v>
      </c>
      <c r="Z170" s="123">
        <f t="shared" si="44"/>
        <v>1</v>
      </c>
      <c r="AA170" s="123">
        <f t="shared" si="44"/>
        <v>1</v>
      </c>
      <c r="AB170" s="123">
        <f t="shared" si="44"/>
        <v>1</v>
      </c>
      <c r="AC170" s="123">
        <f t="shared" si="44"/>
        <v>1</v>
      </c>
      <c r="AD170" s="123">
        <f t="shared" si="44"/>
        <v>1</v>
      </c>
      <c r="AE170" s="123">
        <f t="shared" si="44"/>
        <v>1</v>
      </c>
      <c r="AF170" s="123">
        <f t="shared" si="44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2"/>
        <v>0.42</v>
      </c>
      <c r="C171" s="124">
        <v>0.42</v>
      </c>
      <c r="D171" s="123">
        <f t="shared" si="43"/>
        <v>0.42</v>
      </c>
      <c r="E171" s="123">
        <f t="shared" si="43"/>
        <v>0.42</v>
      </c>
      <c r="F171" s="123">
        <f t="shared" si="43"/>
        <v>0.42</v>
      </c>
      <c r="G171" s="123">
        <f t="shared" si="43"/>
        <v>0.42</v>
      </c>
      <c r="H171" s="123">
        <f t="shared" si="43"/>
        <v>0.42</v>
      </c>
      <c r="I171" s="123">
        <f t="shared" si="43"/>
        <v>0.42</v>
      </c>
      <c r="J171" s="123">
        <f t="shared" si="43"/>
        <v>0.42</v>
      </c>
      <c r="K171" s="123">
        <f t="shared" si="43"/>
        <v>0.42</v>
      </c>
      <c r="L171" s="123">
        <f t="shared" si="43"/>
        <v>0.42</v>
      </c>
      <c r="M171" s="123">
        <f t="shared" si="43"/>
        <v>0.42</v>
      </c>
      <c r="N171" s="123">
        <f t="shared" si="43"/>
        <v>0.42</v>
      </c>
      <c r="O171" s="123">
        <f t="shared" si="43"/>
        <v>0.42</v>
      </c>
      <c r="P171" s="123">
        <f t="shared" si="43"/>
        <v>0.42</v>
      </c>
      <c r="Q171" s="123">
        <f t="shared" si="43"/>
        <v>0.42</v>
      </c>
      <c r="R171" s="123">
        <f t="shared" si="43"/>
        <v>0.42</v>
      </c>
      <c r="S171" s="123">
        <f t="shared" si="44"/>
        <v>0.42</v>
      </c>
      <c r="T171" s="123">
        <f t="shared" si="44"/>
        <v>0.42</v>
      </c>
      <c r="U171" s="123">
        <f t="shared" si="44"/>
        <v>0.42</v>
      </c>
      <c r="V171" s="123">
        <f t="shared" si="44"/>
        <v>0.42</v>
      </c>
      <c r="W171" s="123">
        <f t="shared" si="44"/>
        <v>0.42</v>
      </c>
      <c r="X171" s="123">
        <f t="shared" si="44"/>
        <v>0.42</v>
      </c>
      <c r="Y171" s="123">
        <f t="shared" si="44"/>
        <v>0.42</v>
      </c>
      <c r="Z171" s="123">
        <f t="shared" si="44"/>
        <v>0.42</v>
      </c>
      <c r="AA171" s="123">
        <f t="shared" si="44"/>
        <v>0.42</v>
      </c>
      <c r="AB171" s="123">
        <f t="shared" si="44"/>
        <v>0.42</v>
      </c>
      <c r="AC171" s="123">
        <f t="shared" si="44"/>
        <v>0.42</v>
      </c>
      <c r="AD171" s="123">
        <f t="shared" si="44"/>
        <v>0.42</v>
      </c>
      <c r="AE171" s="123">
        <f t="shared" si="44"/>
        <v>0.42</v>
      </c>
      <c r="AF171" s="123">
        <f t="shared" si="44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2"/>
        <v>0.46</v>
      </c>
      <c r="C172" s="124">
        <v>0.46</v>
      </c>
      <c r="D172" s="123">
        <f t="shared" si="43"/>
        <v>0.46</v>
      </c>
      <c r="E172" s="123">
        <f t="shared" si="43"/>
        <v>0.46</v>
      </c>
      <c r="F172" s="123">
        <f t="shared" si="43"/>
        <v>0.46</v>
      </c>
      <c r="G172" s="123">
        <f t="shared" si="43"/>
        <v>0.46</v>
      </c>
      <c r="H172" s="123">
        <f t="shared" si="43"/>
        <v>0.46</v>
      </c>
      <c r="I172" s="123">
        <f t="shared" si="43"/>
        <v>0.46</v>
      </c>
      <c r="J172" s="123">
        <f t="shared" si="43"/>
        <v>0.46</v>
      </c>
      <c r="K172" s="123">
        <f t="shared" si="43"/>
        <v>0.46</v>
      </c>
      <c r="L172" s="123">
        <f t="shared" si="43"/>
        <v>0.46</v>
      </c>
      <c r="M172" s="123">
        <f t="shared" si="43"/>
        <v>0.46</v>
      </c>
      <c r="N172" s="123">
        <f t="shared" si="43"/>
        <v>0.46</v>
      </c>
      <c r="O172" s="123">
        <f t="shared" si="43"/>
        <v>0.46</v>
      </c>
      <c r="P172" s="123">
        <f t="shared" si="43"/>
        <v>0.46</v>
      </c>
      <c r="Q172" s="123">
        <f t="shared" si="43"/>
        <v>0.46</v>
      </c>
      <c r="R172" s="123">
        <f t="shared" si="43"/>
        <v>0.46</v>
      </c>
      <c r="S172" s="123">
        <f t="shared" si="44"/>
        <v>0.46</v>
      </c>
      <c r="T172" s="123">
        <f t="shared" si="44"/>
        <v>0.46</v>
      </c>
      <c r="U172" s="123">
        <f t="shared" si="44"/>
        <v>0.46</v>
      </c>
      <c r="V172" s="123">
        <f t="shared" si="44"/>
        <v>0.46</v>
      </c>
      <c r="W172" s="123">
        <f t="shared" si="44"/>
        <v>0.46</v>
      </c>
      <c r="X172" s="123">
        <f t="shared" si="44"/>
        <v>0.46</v>
      </c>
      <c r="Y172" s="123">
        <f t="shared" si="44"/>
        <v>0.46</v>
      </c>
      <c r="Z172" s="123">
        <f t="shared" si="44"/>
        <v>0.46</v>
      </c>
      <c r="AA172" s="123">
        <f t="shared" si="44"/>
        <v>0.46</v>
      </c>
      <c r="AB172" s="123">
        <f t="shared" si="44"/>
        <v>0.46</v>
      </c>
      <c r="AC172" s="123">
        <f t="shared" si="44"/>
        <v>0.46</v>
      </c>
      <c r="AD172" s="123">
        <f t="shared" si="44"/>
        <v>0.46</v>
      </c>
      <c r="AE172" s="123">
        <f t="shared" si="44"/>
        <v>0.46</v>
      </c>
      <c r="AF172" s="123">
        <f t="shared" si="44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2"/>
        <v>0.85</v>
      </c>
      <c r="C173" s="124">
        <v>0.85</v>
      </c>
      <c r="D173" s="123">
        <f t="shared" si="43"/>
        <v>0.85</v>
      </c>
      <c r="E173" s="123">
        <f t="shared" si="43"/>
        <v>0.85</v>
      </c>
      <c r="F173" s="123">
        <f t="shared" si="43"/>
        <v>0.85</v>
      </c>
      <c r="G173" s="123">
        <f t="shared" si="43"/>
        <v>0.85</v>
      </c>
      <c r="H173" s="123">
        <f t="shared" si="43"/>
        <v>0.85</v>
      </c>
      <c r="I173" s="123">
        <f t="shared" si="43"/>
        <v>0.85</v>
      </c>
      <c r="J173" s="123">
        <f t="shared" si="43"/>
        <v>0.85</v>
      </c>
      <c r="K173" s="123">
        <f t="shared" si="43"/>
        <v>0.85</v>
      </c>
      <c r="L173" s="123">
        <f t="shared" si="43"/>
        <v>0.85</v>
      </c>
      <c r="M173" s="123">
        <f t="shared" si="43"/>
        <v>0.85</v>
      </c>
      <c r="N173" s="123">
        <f t="shared" si="43"/>
        <v>0.85</v>
      </c>
      <c r="O173" s="123">
        <f t="shared" si="43"/>
        <v>0.85</v>
      </c>
      <c r="P173" s="123">
        <f t="shared" si="43"/>
        <v>0.85</v>
      </c>
      <c r="Q173" s="123">
        <f t="shared" si="43"/>
        <v>0.85</v>
      </c>
      <c r="R173" s="123">
        <f t="shared" si="43"/>
        <v>0.85</v>
      </c>
      <c r="S173" s="123">
        <f t="shared" si="44"/>
        <v>0.85</v>
      </c>
      <c r="T173" s="123">
        <f t="shared" si="44"/>
        <v>0.85</v>
      </c>
      <c r="U173" s="123">
        <f t="shared" si="44"/>
        <v>0.85</v>
      </c>
      <c r="V173" s="123">
        <f t="shared" si="44"/>
        <v>0.85</v>
      </c>
      <c r="W173" s="123">
        <f t="shared" si="44"/>
        <v>0.85</v>
      </c>
      <c r="X173" s="123">
        <f t="shared" si="44"/>
        <v>0.85</v>
      </c>
      <c r="Y173" s="123">
        <f t="shared" si="44"/>
        <v>0.85</v>
      </c>
      <c r="Z173" s="123">
        <f t="shared" si="44"/>
        <v>0.85</v>
      </c>
      <c r="AA173" s="123">
        <f t="shared" si="44"/>
        <v>0.85</v>
      </c>
      <c r="AB173" s="123">
        <f t="shared" si="44"/>
        <v>0.85</v>
      </c>
      <c r="AC173" s="123">
        <f t="shared" si="44"/>
        <v>0.85</v>
      </c>
      <c r="AD173" s="123">
        <f t="shared" si="44"/>
        <v>0.85</v>
      </c>
      <c r="AE173" s="123">
        <f t="shared" si="44"/>
        <v>0.85</v>
      </c>
      <c r="AF173" s="123">
        <f t="shared" si="44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2"/>
        <v>0.9</v>
      </c>
      <c r="C174" s="124">
        <v>0.9</v>
      </c>
      <c r="D174" s="123">
        <f t="shared" si="43"/>
        <v>0.9</v>
      </c>
      <c r="E174" s="123">
        <f t="shared" si="43"/>
        <v>0.9</v>
      </c>
      <c r="F174" s="123">
        <f t="shared" si="43"/>
        <v>0.9</v>
      </c>
      <c r="G174" s="123">
        <f t="shared" si="43"/>
        <v>0.9</v>
      </c>
      <c r="H174" s="123">
        <f t="shared" si="43"/>
        <v>0.9</v>
      </c>
      <c r="I174" s="123">
        <f t="shared" si="43"/>
        <v>0.9</v>
      </c>
      <c r="J174" s="123">
        <f t="shared" si="43"/>
        <v>0.9</v>
      </c>
      <c r="K174" s="123">
        <f t="shared" si="43"/>
        <v>0.9</v>
      </c>
      <c r="L174" s="123">
        <f t="shared" si="43"/>
        <v>0.9</v>
      </c>
      <c r="M174" s="123">
        <f t="shared" si="43"/>
        <v>0.9</v>
      </c>
      <c r="N174" s="123">
        <f t="shared" si="43"/>
        <v>0.9</v>
      </c>
      <c r="O174" s="123">
        <f t="shared" si="43"/>
        <v>0.9</v>
      </c>
      <c r="P174" s="123">
        <f t="shared" si="43"/>
        <v>0.9</v>
      </c>
      <c r="Q174" s="123">
        <f t="shared" si="43"/>
        <v>0.9</v>
      </c>
      <c r="R174" s="123">
        <f t="shared" si="43"/>
        <v>0.9</v>
      </c>
      <c r="S174" s="123">
        <f t="shared" si="44"/>
        <v>0.9</v>
      </c>
      <c r="T174" s="123">
        <f t="shared" si="44"/>
        <v>0.9</v>
      </c>
      <c r="U174" s="123">
        <f t="shared" si="44"/>
        <v>0.9</v>
      </c>
      <c r="V174" s="123">
        <f t="shared" si="44"/>
        <v>0.9</v>
      </c>
      <c r="W174" s="123">
        <f t="shared" si="44"/>
        <v>0.9</v>
      </c>
      <c r="X174" s="123">
        <f t="shared" si="44"/>
        <v>0.9</v>
      </c>
      <c r="Y174" s="123">
        <f t="shared" si="44"/>
        <v>0.9</v>
      </c>
      <c r="Z174" s="123">
        <f t="shared" si="44"/>
        <v>0.9</v>
      </c>
      <c r="AA174" s="123">
        <f t="shared" si="44"/>
        <v>0.9</v>
      </c>
      <c r="AB174" s="123">
        <f t="shared" si="44"/>
        <v>0.9</v>
      </c>
      <c r="AC174" s="123">
        <f t="shared" si="44"/>
        <v>0.9</v>
      </c>
      <c r="AD174" s="123">
        <f t="shared" si="44"/>
        <v>0.9</v>
      </c>
      <c r="AE174" s="123">
        <f t="shared" si="44"/>
        <v>0.9</v>
      </c>
      <c r="AF174" s="123">
        <f t="shared" si="44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2"/>
        <v>0.44</v>
      </c>
      <c r="C175" s="124">
        <v>0.44</v>
      </c>
      <c r="D175" s="123">
        <f t="shared" si="43"/>
        <v>0.44</v>
      </c>
      <c r="E175" s="123">
        <f t="shared" si="43"/>
        <v>0.44</v>
      </c>
      <c r="F175" s="123">
        <f t="shared" si="43"/>
        <v>0.44</v>
      </c>
      <c r="G175" s="123">
        <f t="shared" si="43"/>
        <v>0.44</v>
      </c>
      <c r="H175" s="123">
        <f t="shared" si="43"/>
        <v>0.44</v>
      </c>
      <c r="I175" s="123">
        <f t="shared" si="43"/>
        <v>0.44</v>
      </c>
      <c r="J175" s="123">
        <f t="shared" si="43"/>
        <v>0.44</v>
      </c>
      <c r="K175" s="123">
        <f t="shared" si="43"/>
        <v>0.44</v>
      </c>
      <c r="L175" s="123">
        <f t="shared" si="43"/>
        <v>0.44</v>
      </c>
      <c r="M175" s="123">
        <f t="shared" si="43"/>
        <v>0.44</v>
      </c>
      <c r="N175" s="123">
        <f t="shared" si="43"/>
        <v>0.44</v>
      </c>
      <c r="O175" s="123">
        <f t="shared" si="43"/>
        <v>0.44</v>
      </c>
      <c r="P175" s="123">
        <f t="shared" si="43"/>
        <v>0.44</v>
      </c>
      <c r="Q175" s="123">
        <f t="shared" si="43"/>
        <v>0.44</v>
      </c>
      <c r="R175" s="123">
        <f t="shared" si="43"/>
        <v>0.44</v>
      </c>
      <c r="S175" s="123">
        <f t="shared" si="44"/>
        <v>0.44</v>
      </c>
      <c r="T175" s="123">
        <f t="shared" si="44"/>
        <v>0.44</v>
      </c>
      <c r="U175" s="123">
        <f t="shared" si="44"/>
        <v>0.44</v>
      </c>
      <c r="V175" s="123">
        <f t="shared" si="44"/>
        <v>0.44</v>
      </c>
      <c r="W175" s="123">
        <f t="shared" si="44"/>
        <v>0.44</v>
      </c>
      <c r="X175" s="123">
        <f t="shared" si="44"/>
        <v>0.44</v>
      </c>
      <c r="Y175" s="123">
        <f t="shared" si="44"/>
        <v>0.44</v>
      </c>
      <c r="Z175" s="123">
        <f t="shared" si="44"/>
        <v>0.44</v>
      </c>
      <c r="AA175" s="123">
        <f t="shared" si="44"/>
        <v>0.44</v>
      </c>
      <c r="AB175" s="123">
        <f t="shared" si="44"/>
        <v>0.44</v>
      </c>
      <c r="AC175" s="123">
        <f t="shared" si="44"/>
        <v>0.44</v>
      </c>
      <c r="AD175" s="123">
        <f t="shared" si="44"/>
        <v>0.44</v>
      </c>
      <c r="AE175" s="123">
        <f t="shared" si="44"/>
        <v>0.44</v>
      </c>
      <c r="AF175" s="123">
        <f t="shared" si="44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2"/>
        <v>2.1</v>
      </c>
      <c r="C176" s="124">
        <v>2.1</v>
      </c>
      <c r="D176" s="123">
        <f t="shared" si="43"/>
        <v>2.1</v>
      </c>
      <c r="E176" s="123">
        <f t="shared" si="43"/>
        <v>2.1</v>
      </c>
      <c r="F176" s="123">
        <f t="shared" si="43"/>
        <v>2.1</v>
      </c>
      <c r="G176" s="123">
        <f t="shared" si="43"/>
        <v>2.1</v>
      </c>
      <c r="H176" s="123">
        <f t="shared" si="43"/>
        <v>2.1</v>
      </c>
      <c r="I176" s="123">
        <f t="shared" si="43"/>
        <v>2.1</v>
      </c>
      <c r="J176" s="123">
        <f t="shared" si="43"/>
        <v>2.1</v>
      </c>
      <c r="K176" s="123">
        <f t="shared" si="43"/>
        <v>2.1</v>
      </c>
      <c r="L176" s="123">
        <f t="shared" si="43"/>
        <v>2.1</v>
      </c>
      <c r="M176" s="123">
        <f t="shared" si="43"/>
        <v>2.1</v>
      </c>
      <c r="N176" s="123">
        <f t="shared" si="43"/>
        <v>2.1</v>
      </c>
      <c r="O176" s="123">
        <f t="shared" si="43"/>
        <v>2.1</v>
      </c>
      <c r="P176" s="123">
        <f t="shared" si="43"/>
        <v>2.1</v>
      </c>
      <c r="Q176" s="123">
        <f t="shared" si="43"/>
        <v>2.1</v>
      </c>
      <c r="R176" s="123">
        <f t="shared" si="43"/>
        <v>2.1</v>
      </c>
      <c r="S176" s="123">
        <f t="shared" si="44"/>
        <v>2.1</v>
      </c>
      <c r="T176" s="123">
        <f t="shared" si="44"/>
        <v>2.1</v>
      </c>
      <c r="U176" s="123">
        <f t="shared" si="44"/>
        <v>2.1</v>
      </c>
      <c r="V176" s="123">
        <f t="shared" si="44"/>
        <v>2.1</v>
      </c>
      <c r="W176" s="123">
        <f t="shared" si="44"/>
        <v>2.1</v>
      </c>
      <c r="X176" s="123">
        <f t="shared" si="44"/>
        <v>2.1</v>
      </c>
      <c r="Y176" s="123">
        <f t="shared" si="44"/>
        <v>2.1</v>
      </c>
      <c r="Z176" s="123">
        <f t="shared" si="44"/>
        <v>2.1</v>
      </c>
      <c r="AA176" s="123">
        <f t="shared" si="44"/>
        <v>2.1</v>
      </c>
      <c r="AB176" s="123">
        <f t="shared" si="44"/>
        <v>2.1</v>
      </c>
      <c r="AC176" s="123">
        <f t="shared" si="44"/>
        <v>2.1</v>
      </c>
      <c r="AD176" s="123">
        <f t="shared" si="44"/>
        <v>2.1</v>
      </c>
      <c r="AE176" s="123">
        <f t="shared" si="44"/>
        <v>2.1</v>
      </c>
      <c r="AF176" s="123">
        <f t="shared" si="44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2"/>
        <v>0.9</v>
      </c>
      <c r="C177" s="124">
        <v>0.9</v>
      </c>
      <c r="D177" s="123">
        <f t="shared" si="43"/>
        <v>0.9</v>
      </c>
      <c r="E177" s="123">
        <f t="shared" si="43"/>
        <v>0.9</v>
      </c>
      <c r="F177" s="123">
        <f t="shared" si="43"/>
        <v>0.9</v>
      </c>
      <c r="G177" s="123">
        <f t="shared" si="43"/>
        <v>0.9</v>
      </c>
      <c r="H177" s="123">
        <f t="shared" si="43"/>
        <v>0.9</v>
      </c>
      <c r="I177" s="123">
        <f t="shared" si="43"/>
        <v>0.9</v>
      </c>
      <c r="J177" s="123">
        <f t="shared" si="43"/>
        <v>0.9</v>
      </c>
      <c r="K177" s="123">
        <f t="shared" si="43"/>
        <v>0.9</v>
      </c>
      <c r="L177" s="123">
        <f t="shared" si="43"/>
        <v>0.9</v>
      </c>
      <c r="M177" s="123">
        <f t="shared" si="43"/>
        <v>0.9</v>
      </c>
      <c r="N177" s="123">
        <f t="shared" si="43"/>
        <v>0.9</v>
      </c>
      <c r="O177" s="123">
        <f t="shared" si="43"/>
        <v>0.9</v>
      </c>
      <c r="P177" s="123">
        <f t="shared" si="43"/>
        <v>0.9</v>
      </c>
      <c r="Q177" s="123">
        <f t="shared" si="43"/>
        <v>0.9</v>
      </c>
      <c r="R177" s="123">
        <f t="shared" si="43"/>
        <v>0.9</v>
      </c>
      <c r="S177" s="123">
        <f t="shared" si="44"/>
        <v>0.9</v>
      </c>
      <c r="T177" s="123">
        <f t="shared" si="44"/>
        <v>0.9</v>
      </c>
      <c r="U177" s="123">
        <f t="shared" si="44"/>
        <v>0.9</v>
      </c>
      <c r="V177" s="123">
        <f t="shared" si="44"/>
        <v>0.9</v>
      </c>
      <c r="W177" s="123">
        <f t="shared" si="44"/>
        <v>0.9</v>
      </c>
      <c r="X177" s="123">
        <f t="shared" si="44"/>
        <v>0.9</v>
      </c>
      <c r="Y177" s="123">
        <f t="shared" si="44"/>
        <v>0.9</v>
      </c>
      <c r="Z177" s="123">
        <f t="shared" si="44"/>
        <v>0.9</v>
      </c>
      <c r="AA177" s="123">
        <f t="shared" si="44"/>
        <v>0.9</v>
      </c>
      <c r="AB177" s="123">
        <f t="shared" si="44"/>
        <v>0.9</v>
      </c>
      <c r="AC177" s="123">
        <f t="shared" si="44"/>
        <v>0.9</v>
      </c>
      <c r="AD177" s="123">
        <f t="shared" si="44"/>
        <v>0.9</v>
      </c>
      <c r="AE177" s="123">
        <f t="shared" si="44"/>
        <v>0.9</v>
      </c>
      <c r="AF177" s="123">
        <f t="shared" si="44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5">AF179</f>
        <v>0.57999999999999996</v>
      </c>
      <c r="C179" s="124">
        <v>0.57999999999999996</v>
      </c>
      <c r="D179" s="123">
        <f t="shared" ref="D179:S191" si="46">C179</f>
        <v>0.57999999999999996</v>
      </c>
      <c r="E179" s="123">
        <f t="shared" si="46"/>
        <v>0.57999999999999996</v>
      </c>
      <c r="F179" s="123">
        <f t="shared" si="46"/>
        <v>0.57999999999999996</v>
      </c>
      <c r="G179" s="123">
        <f t="shared" si="46"/>
        <v>0.57999999999999996</v>
      </c>
      <c r="H179" s="123">
        <f t="shared" si="46"/>
        <v>0.57999999999999996</v>
      </c>
      <c r="I179" s="123">
        <f t="shared" si="46"/>
        <v>0.57999999999999996</v>
      </c>
      <c r="J179" s="123">
        <f t="shared" si="46"/>
        <v>0.57999999999999996</v>
      </c>
      <c r="K179" s="123">
        <f t="shared" si="46"/>
        <v>0.57999999999999996</v>
      </c>
      <c r="L179" s="123">
        <f t="shared" si="46"/>
        <v>0.57999999999999996</v>
      </c>
      <c r="M179" s="123">
        <f t="shared" si="46"/>
        <v>0.57999999999999996</v>
      </c>
      <c r="N179" s="123">
        <f t="shared" si="46"/>
        <v>0.57999999999999996</v>
      </c>
      <c r="O179" s="123">
        <f t="shared" si="46"/>
        <v>0.57999999999999996</v>
      </c>
      <c r="P179" s="123">
        <f t="shared" si="46"/>
        <v>0.57999999999999996</v>
      </c>
      <c r="Q179" s="123">
        <f t="shared" si="46"/>
        <v>0.57999999999999996</v>
      </c>
      <c r="R179" s="123">
        <f t="shared" si="46"/>
        <v>0.57999999999999996</v>
      </c>
      <c r="S179" s="123">
        <f t="shared" si="46"/>
        <v>0.57999999999999996</v>
      </c>
      <c r="T179" s="123">
        <f t="shared" ref="S179:AF191" si="47">S179</f>
        <v>0.57999999999999996</v>
      </c>
      <c r="U179" s="123">
        <f t="shared" si="47"/>
        <v>0.57999999999999996</v>
      </c>
      <c r="V179" s="123">
        <f t="shared" si="47"/>
        <v>0.57999999999999996</v>
      </c>
      <c r="W179" s="123">
        <f t="shared" si="47"/>
        <v>0.57999999999999996</v>
      </c>
      <c r="X179" s="123">
        <f t="shared" si="47"/>
        <v>0.57999999999999996</v>
      </c>
      <c r="Y179" s="123">
        <f t="shared" si="47"/>
        <v>0.57999999999999996</v>
      </c>
      <c r="Z179" s="123">
        <f t="shared" si="47"/>
        <v>0.57999999999999996</v>
      </c>
      <c r="AA179" s="123">
        <f t="shared" si="47"/>
        <v>0.57999999999999996</v>
      </c>
      <c r="AB179" s="123">
        <f t="shared" si="47"/>
        <v>0.57999999999999996</v>
      </c>
      <c r="AC179" s="123">
        <f t="shared" si="47"/>
        <v>0.57999999999999996</v>
      </c>
      <c r="AD179" s="123">
        <f t="shared" si="47"/>
        <v>0.57999999999999996</v>
      </c>
      <c r="AE179" s="123">
        <f t="shared" si="47"/>
        <v>0.57999999999999996</v>
      </c>
      <c r="AF179" s="123">
        <f t="shared" si="47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5"/>
        <v>0.8</v>
      </c>
      <c r="C180" s="124">
        <v>0.8</v>
      </c>
      <c r="D180" s="123">
        <f t="shared" si="46"/>
        <v>0.8</v>
      </c>
      <c r="E180" s="123">
        <f t="shared" si="46"/>
        <v>0.8</v>
      </c>
      <c r="F180" s="123">
        <f t="shared" si="46"/>
        <v>0.8</v>
      </c>
      <c r="G180" s="123">
        <f t="shared" si="46"/>
        <v>0.8</v>
      </c>
      <c r="H180" s="123">
        <f t="shared" si="46"/>
        <v>0.8</v>
      </c>
      <c r="I180" s="123">
        <f t="shared" si="46"/>
        <v>0.8</v>
      </c>
      <c r="J180" s="123">
        <f t="shared" si="46"/>
        <v>0.8</v>
      </c>
      <c r="K180" s="123">
        <f t="shared" si="46"/>
        <v>0.8</v>
      </c>
      <c r="L180" s="123">
        <f t="shared" si="46"/>
        <v>0.8</v>
      </c>
      <c r="M180" s="123">
        <f t="shared" si="46"/>
        <v>0.8</v>
      </c>
      <c r="N180" s="123">
        <f t="shared" si="46"/>
        <v>0.8</v>
      </c>
      <c r="O180" s="123">
        <f t="shared" si="46"/>
        <v>0.8</v>
      </c>
      <c r="P180" s="123">
        <f t="shared" si="46"/>
        <v>0.8</v>
      </c>
      <c r="Q180" s="123">
        <f t="shared" si="46"/>
        <v>0.8</v>
      </c>
      <c r="R180" s="123">
        <f t="shared" si="46"/>
        <v>0.8</v>
      </c>
      <c r="S180" s="123">
        <f t="shared" si="46"/>
        <v>0.8</v>
      </c>
      <c r="T180" s="123">
        <f t="shared" si="47"/>
        <v>0.8</v>
      </c>
      <c r="U180" s="123">
        <f t="shared" si="47"/>
        <v>0.8</v>
      </c>
      <c r="V180" s="123">
        <f t="shared" si="47"/>
        <v>0.8</v>
      </c>
      <c r="W180" s="123">
        <f t="shared" si="47"/>
        <v>0.8</v>
      </c>
      <c r="X180" s="123">
        <f t="shared" si="47"/>
        <v>0.8</v>
      </c>
      <c r="Y180" s="123">
        <f t="shared" si="47"/>
        <v>0.8</v>
      </c>
      <c r="Z180" s="123">
        <f t="shared" si="47"/>
        <v>0.8</v>
      </c>
      <c r="AA180" s="123">
        <f t="shared" si="47"/>
        <v>0.8</v>
      </c>
      <c r="AB180" s="123">
        <f t="shared" si="47"/>
        <v>0.8</v>
      </c>
      <c r="AC180" s="123">
        <f t="shared" si="47"/>
        <v>0.8</v>
      </c>
      <c r="AD180" s="123">
        <f t="shared" si="47"/>
        <v>0.8</v>
      </c>
      <c r="AE180" s="123">
        <f t="shared" si="47"/>
        <v>0.8</v>
      </c>
      <c r="AF180" s="123">
        <f t="shared" si="47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5"/>
        <v>0</v>
      </c>
      <c r="C181" s="124">
        <v>0</v>
      </c>
      <c r="D181" s="123">
        <f t="shared" si="46"/>
        <v>0</v>
      </c>
      <c r="E181" s="123">
        <f t="shared" si="46"/>
        <v>0</v>
      </c>
      <c r="F181" s="123">
        <f t="shared" si="46"/>
        <v>0</v>
      </c>
      <c r="G181" s="123">
        <f t="shared" si="46"/>
        <v>0</v>
      </c>
      <c r="H181" s="123">
        <f t="shared" si="46"/>
        <v>0</v>
      </c>
      <c r="I181" s="123">
        <f t="shared" si="46"/>
        <v>0</v>
      </c>
      <c r="J181" s="123">
        <f t="shared" si="46"/>
        <v>0</v>
      </c>
      <c r="K181" s="123">
        <f t="shared" si="46"/>
        <v>0</v>
      </c>
      <c r="L181" s="123">
        <f t="shared" si="46"/>
        <v>0</v>
      </c>
      <c r="M181" s="123">
        <f t="shared" si="46"/>
        <v>0</v>
      </c>
      <c r="N181" s="123">
        <f t="shared" si="46"/>
        <v>0</v>
      </c>
      <c r="O181" s="123">
        <f t="shared" si="46"/>
        <v>0</v>
      </c>
      <c r="P181" s="123">
        <f t="shared" si="46"/>
        <v>0</v>
      </c>
      <c r="Q181" s="123">
        <f t="shared" si="46"/>
        <v>0</v>
      </c>
      <c r="R181" s="123">
        <f t="shared" si="46"/>
        <v>0</v>
      </c>
      <c r="S181" s="123">
        <f t="shared" si="46"/>
        <v>0</v>
      </c>
      <c r="T181" s="123">
        <f t="shared" si="47"/>
        <v>0</v>
      </c>
      <c r="U181" s="123">
        <f t="shared" si="47"/>
        <v>0</v>
      </c>
      <c r="V181" s="123">
        <f t="shared" si="47"/>
        <v>0</v>
      </c>
      <c r="W181" s="123">
        <f t="shared" si="47"/>
        <v>0</v>
      </c>
      <c r="X181" s="123">
        <f t="shared" si="47"/>
        <v>0</v>
      </c>
      <c r="Y181" s="123">
        <f t="shared" si="47"/>
        <v>0</v>
      </c>
      <c r="Z181" s="123">
        <f t="shared" si="47"/>
        <v>0</v>
      </c>
      <c r="AA181" s="123">
        <f t="shared" si="47"/>
        <v>0</v>
      </c>
      <c r="AB181" s="123">
        <f t="shared" si="47"/>
        <v>0</v>
      </c>
      <c r="AC181" s="123">
        <f t="shared" si="47"/>
        <v>0</v>
      </c>
      <c r="AD181" s="123">
        <f t="shared" si="47"/>
        <v>0</v>
      </c>
      <c r="AE181" s="123">
        <f t="shared" si="47"/>
        <v>0</v>
      </c>
      <c r="AF181" s="123">
        <f t="shared" si="47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5"/>
        <v>0.6</v>
      </c>
      <c r="C182" s="124">
        <v>0.6</v>
      </c>
      <c r="D182" s="123">
        <f t="shared" si="46"/>
        <v>0.6</v>
      </c>
      <c r="E182" s="123">
        <f t="shared" si="46"/>
        <v>0.6</v>
      </c>
      <c r="F182" s="123">
        <f t="shared" si="46"/>
        <v>0.6</v>
      </c>
      <c r="G182" s="123">
        <f t="shared" si="46"/>
        <v>0.6</v>
      </c>
      <c r="H182" s="123">
        <f t="shared" si="46"/>
        <v>0.6</v>
      </c>
      <c r="I182" s="123">
        <f t="shared" si="46"/>
        <v>0.6</v>
      </c>
      <c r="J182" s="123">
        <f t="shared" si="46"/>
        <v>0.6</v>
      </c>
      <c r="K182" s="123">
        <f t="shared" si="46"/>
        <v>0.6</v>
      </c>
      <c r="L182" s="123">
        <f t="shared" si="46"/>
        <v>0.6</v>
      </c>
      <c r="M182" s="123">
        <f t="shared" si="46"/>
        <v>0.6</v>
      </c>
      <c r="N182" s="123">
        <f t="shared" si="46"/>
        <v>0.6</v>
      </c>
      <c r="O182" s="123">
        <f t="shared" si="46"/>
        <v>0.6</v>
      </c>
      <c r="P182" s="123">
        <f t="shared" si="46"/>
        <v>0.6</v>
      </c>
      <c r="Q182" s="123">
        <f t="shared" si="46"/>
        <v>0.6</v>
      </c>
      <c r="R182" s="123">
        <f t="shared" si="46"/>
        <v>0.6</v>
      </c>
      <c r="S182" s="123">
        <f t="shared" si="46"/>
        <v>0.6</v>
      </c>
      <c r="T182" s="123">
        <f t="shared" si="47"/>
        <v>0.6</v>
      </c>
      <c r="U182" s="123">
        <f t="shared" si="47"/>
        <v>0.6</v>
      </c>
      <c r="V182" s="123">
        <f t="shared" si="47"/>
        <v>0.6</v>
      </c>
      <c r="W182" s="123">
        <f t="shared" si="47"/>
        <v>0.6</v>
      </c>
      <c r="X182" s="123">
        <f t="shared" si="47"/>
        <v>0.6</v>
      </c>
      <c r="Y182" s="123">
        <f t="shared" si="47"/>
        <v>0.6</v>
      </c>
      <c r="Z182" s="123">
        <f t="shared" si="47"/>
        <v>0.6</v>
      </c>
      <c r="AA182" s="123">
        <f t="shared" si="47"/>
        <v>0.6</v>
      </c>
      <c r="AB182" s="123">
        <f t="shared" si="47"/>
        <v>0.6</v>
      </c>
      <c r="AC182" s="123">
        <f t="shared" si="47"/>
        <v>0.6</v>
      </c>
      <c r="AD182" s="123">
        <f t="shared" si="47"/>
        <v>0.6</v>
      </c>
      <c r="AE182" s="123">
        <f t="shared" si="47"/>
        <v>0.6</v>
      </c>
      <c r="AF182" s="123">
        <f t="shared" si="47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5"/>
        <v>0.6</v>
      </c>
      <c r="C183" s="124">
        <v>0.6</v>
      </c>
      <c r="D183" s="123">
        <f t="shared" si="46"/>
        <v>0.6</v>
      </c>
      <c r="E183" s="123">
        <f t="shared" si="46"/>
        <v>0.6</v>
      </c>
      <c r="F183" s="123">
        <f t="shared" si="46"/>
        <v>0.6</v>
      </c>
      <c r="G183" s="123">
        <f t="shared" si="46"/>
        <v>0.6</v>
      </c>
      <c r="H183" s="123">
        <f t="shared" si="46"/>
        <v>0.6</v>
      </c>
      <c r="I183" s="123">
        <f t="shared" si="46"/>
        <v>0.6</v>
      </c>
      <c r="J183" s="123">
        <f t="shared" si="46"/>
        <v>0.6</v>
      </c>
      <c r="K183" s="123">
        <f t="shared" si="46"/>
        <v>0.6</v>
      </c>
      <c r="L183" s="123">
        <f t="shared" si="46"/>
        <v>0.6</v>
      </c>
      <c r="M183" s="123">
        <f t="shared" si="46"/>
        <v>0.6</v>
      </c>
      <c r="N183" s="123">
        <f t="shared" si="46"/>
        <v>0.6</v>
      </c>
      <c r="O183" s="123">
        <f t="shared" si="46"/>
        <v>0.6</v>
      </c>
      <c r="P183" s="123">
        <f t="shared" si="46"/>
        <v>0.6</v>
      </c>
      <c r="Q183" s="123">
        <f t="shared" si="46"/>
        <v>0.6</v>
      </c>
      <c r="R183" s="123">
        <f t="shared" si="46"/>
        <v>0.6</v>
      </c>
      <c r="S183" s="123">
        <f t="shared" si="46"/>
        <v>0.6</v>
      </c>
      <c r="T183" s="123">
        <f t="shared" si="47"/>
        <v>0.6</v>
      </c>
      <c r="U183" s="123">
        <f t="shared" si="47"/>
        <v>0.6</v>
      </c>
      <c r="V183" s="123">
        <f t="shared" si="47"/>
        <v>0.6</v>
      </c>
      <c r="W183" s="123">
        <f t="shared" si="47"/>
        <v>0.6</v>
      </c>
      <c r="X183" s="123">
        <f t="shared" si="47"/>
        <v>0.6</v>
      </c>
      <c r="Y183" s="123">
        <f t="shared" si="47"/>
        <v>0.6</v>
      </c>
      <c r="Z183" s="123">
        <f t="shared" si="47"/>
        <v>0.6</v>
      </c>
      <c r="AA183" s="123">
        <f t="shared" si="47"/>
        <v>0.6</v>
      </c>
      <c r="AB183" s="123">
        <f t="shared" si="47"/>
        <v>0.6</v>
      </c>
      <c r="AC183" s="123">
        <f t="shared" si="47"/>
        <v>0.6</v>
      </c>
      <c r="AD183" s="123">
        <f t="shared" si="47"/>
        <v>0.6</v>
      </c>
      <c r="AE183" s="123">
        <f t="shared" si="47"/>
        <v>0.6</v>
      </c>
      <c r="AF183" s="123">
        <f t="shared" si="47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5"/>
        <v>0.35</v>
      </c>
      <c r="C184" s="124">
        <v>0.35</v>
      </c>
      <c r="D184" s="123">
        <f t="shared" si="46"/>
        <v>0.35</v>
      </c>
      <c r="E184" s="123">
        <f t="shared" si="46"/>
        <v>0.35</v>
      </c>
      <c r="F184" s="123">
        <f t="shared" si="46"/>
        <v>0.35</v>
      </c>
      <c r="G184" s="123">
        <f t="shared" si="46"/>
        <v>0.35</v>
      </c>
      <c r="H184" s="123">
        <f t="shared" si="46"/>
        <v>0.35</v>
      </c>
      <c r="I184" s="123">
        <f t="shared" si="46"/>
        <v>0.35</v>
      </c>
      <c r="J184" s="123">
        <f t="shared" si="46"/>
        <v>0.35</v>
      </c>
      <c r="K184" s="123">
        <f t="shared" si="46"/>
        <v>0.35</v>
      </c>
      <c r="L184" s="123">
        <f t="shared" si="46"/>
        <v>0.35</v>
      </c>
      <c r="M184" s="123">
        <f t="shared" si="46"/>
        <v>0.35</v>
      </c>
      <c r="N184" s="123">
        <f t="shared" si="46"/>
        <v>0.35</v>
      </c>
      <c r="O184" s="123">
        <f t="shared" si="46"/>
        <v>0.35</v>
      </c>
      <c r="P184" s="123">
        <f t="shared" si="46"/>
        <v>0.35</v>
      </c>
      <c r="Q184" s="123">
        <f t="shared" si="46"/>
        <v>0.35</v>
      </c>
      <c r="R184" s="123">
        <f t="shared" si="46"/>
        <v>0.35</v>
      </c>
      <c r="S184" s="123">
        <f t="shared" si="46"/>
        <v>0.35</v>
      </c>
      <c r="T184" s="123">
        <f t="shared" si="47"/>
        <v>0.35</v>
      </c>
      <c r="U184" s="123">
        <f t="shared" si="47"/>
        <v>0.35</v>
      </c>
      <c r="V184" s="123">
        <f t="shared" si="47"/>
        <v>0.35</v>
      </c>
      <c r="W184" s="123">
        <f t="shared" si="47"/>
        <v>0.35</v>
      </c>
      <c r="X184" s="123">
        <f t="shared" si="47"/>
        <v>0.35</v>
      </c>
      <c r="Y184" s="123">
        <f t="shared" si="47"/>
        <v>0.35</v>
      </c>
      <c r="Z184" s="123">
        <f t="shared" si="47"/>
        <v>0.35</v>
      </c>
      <c r="AA184" s="123">
        <f t="shared" si="47"/>
        <v>0.35</v>
      </c>
      <c r="AB184" s="123">
        <f t="shared" si="47"/>
        <v>0.35</v>
      </c>
      <c r="AC184" s="123">
        <f t="shared" si="47"/>
        <v>0.35</v>
      </c>
      <c r="AD184" s="123">
        <f t="shared" si="47"/>
        <v>0.35</v>
      </c>
      <c r="AE184" s="123">
        <f t="shared" si="47"/>
        <v>0.35</v>
      </c>
      <c r="AF184" s="123">
        <f t="shared" si="47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5"/>
        <v>0.28999999999999998</v>
      </c>
      <c r="C185" s="124">
        <v>0.28999999999999998</v>
      </c>
      <c r="D185" s="123">
        <f t="shared" si="46"/>
        <v>0.28999999999999998</v>
      </c>
      <c r="E185" s="123">
        <f t="shared" si="46"/>
        <v>0.28999999999999998</v>
      </c>
      <c r="F185" s="123">
        <f t="shared" si="46"/>
        <v>0.28999999999999998</v>
      </c>
      <c r="G185" s="123">
        <f t="shared" si="46"/>
        <v>0.28999999999999998</v>
      </c>
      <c r="H185" s="123">
        <f t="shared" si="46"/>
        <v>0.28999999999999998</v>
      </c>
      <c r="I185" s="123">
        <f t="shared" si="46"/>
        <v>0.28999999999999998</v>
      </c>
      <c r="J185" s="123">
        <f t="shared" si="46"/>
        <v>0.28999999999999998</v>
      </c>
      <c r="K185" s="123">
        <f t="shared" si="46"/>
        <v>0.28999999999999998</v>
      </c>
      <c r="L185" s="123">
        <f t="shared" si="46"/>
        <v>0.28999999999999998</v>
      </c>
      <c r="M185" s="123">
        <f t="shared" si="46"/>
        <v>0.28999999999999998</v>
      </c>
      <c r="N185" s="123">
        <f t="shared" si="46"/>
        <v>0.28999999999999998</v>
      </c>
      <c r="O185" s="123">
        <f t="shared" si="46"/>
        <v>0.28999999999999998</v>
      </c>
      <c r="P185" s="123">
        <f t="shared" si="46"/>
        <v>0.28999999999999998</v>
      </c>
      <c r="Q185" s="123">
        <f t="shared" si="46"/>
        <v>0.28999999999999998</v>
      </c>
      <c r="R185" s="123">
        <f t="shared" si="46"/>
        <v>0.28999999999999998</v>
      </c>
      <c r="S185" s="123">
        <f t="shared" si="46"/>
        <v>0.28999999999999998</v>
      </c>
      <c r="T185" s="123">
        <f t="shared" si="47"/>
        <v>0.28999999999999998</v>
      </c>
      <c r="U185" s="123">
        <f t="shared" si="47"/>
        <v>0.28999999999999998</v>
      </c>
      <c r="V185" s="123">
        <f t="shared" si="47"/>
        <v>0.28999999999999998</v>
      </c>
      <c r="W185" s="123">
        <f t="shared" si="47"/>
        <v>0.28999999999999998</v>
      </c>
      <c r="X185" s="123">
        <f t="shared" si="47"/>
        <v>0.28999999999999998</v>
      </c>
      <c r="Y185" s="123">
        <f t="shared" si="47"/>
        <v>0.28999999999999998</v>
      </c>
      <c r="Z185" s="123">
        <f t="shared" si="47"/>
        <v>0.28999999999999998</v>
      </c>
      <c r="AA185" s="123">
        <f t="shared" si="47"/>
        <v>0.28999999999999998</v>
      </c>
      <c r="AB185" s="123">
        <f t="shared" si="47"/>
        <v>0.28999999999999998</v>
      </c>
      <c r="AC185" s="123">
        <f t="shared" si="47"/>
        <v>0.28999999999999998</v>
      </c>
      <c r="AD185" s="123">
        <f t="shared" si="47"/>
        <v>0.28999999999999998</v>
      </c>
      <c r="AE185" s="123">
        <f t="shared" si="47"/>
        <v>0.28999999999999998</v>
      </c>
      <c r="AF185" s="123">
        <f t="shared" si="47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5"/>
        <v>0.06</v>
      </c>
      <c r="C186" s="124">
        <v>0.06</v>
      </c>
      <c r="D186" s="123">
        <f t="shared" si="46"/>
        <v>0.06</v>
      </c>
      <c r="E186" s="123">
        <f t="shared" si="46"/>
        <v>0.06</v>
      </c>
      <c r="F186" s="123">
        <f t="shared" si="46"/>
        <v>0.06</v>
      </c>
      <c r="G186" s="123">
        <f t="shared" si="46"/>
        <v>0.06</v>
      </c>
      <c r="H186" s="123">
        <f t="shared" si="46"/>
        <v>0.06</v>
      </c>
      <c r="I186" s="123">
        <f t="shared" si="46"/>
        <v>0.06</v>
      </c>
      <c r="J186" s="123">
        <f t="shared" si="46"/>
        <v>0.06</v>
      </c>
      <c r="K186" s="123">
        <f t="shared" si="46"/>
        <v>0.06</v>
      </c>
      <c r="L186" s="123">
        <f t="shared" si="46"/>
        <v>0.06</v>
      </c>
      <c r="M186" s="123">
        <f t="shared" si="46"/>
        <v>0.06</v>
      </c>
      <c r="N186" s="123">
        <f t="shared" si="46"/>
        <v>0.06</v>
      </c>
      <c r="O186" s="123">
        <f t="shared" si="46"/>
        <v>0.06</v>
      </c>
      <c r="P186" s="123">
        <f t="shared" si="46"/>
        <v>0.06</v>
      </c>
      <c r="Q186" s="123">
        <f t="shared" si="46"/>
        <v>0.06</v>
      </c>
      <c r="R186" s="123">
        <f t="shared" si="46"/>
        <v>0.06</v>
      </c>
      <c r="S186" s="123">
        <f t="shared" si="46"/>
        <v>0.06</v>
      </c>
      <c r="T186" s="123">
        <f t="shared" si="47"/>
        <v>0.06</v>
      </c>
      <c r="U186" s="123">
        <f t="shared" si="47"/>
        <v>0.06</v>
      </c>
      <c r="V186" s="123">
        <f t="shared" si="47"/>
        <v>0.06</v>
      </c>
      <c r="W186" s="123">
        <f t="shared" si="47"/>
        <v>0.06</v>
      </c>
      <c r="X186" s="123">
        <f t="shared" si="47"/>
        <v>0.06</v>
      </c>
      <c r="Y186" s="123">
        <f t="shared" si="47"/>
        <v>0.06</v>
      </c>
      <c r="Z186" s="123">
        <f t="shared" si="47"/>
        <v>0.06</v>
      </c>
      <c r="AA186" s="123">
        <f t="shared" si="47"/>
        <v>0.06</v>
      </c>
      <c r="AB186" s="123">
        <f t="shared" si="47"/>
        <v>0.06</v>
      </c>
      <c r="AC186" s="123">
        <f t="shared" si="47"/>
        <v>0.06</v>
      </c>
      <c r="AD186" s="123">
        <f t="shared" si="47"/>
        <v>0.06</v>
      </c>
      <c r="AE186" s="123">
        <f t="shared" si="47"/>
        <v>0.06</v>
      </c>
      <c r="AF186" s="123">
        <f t="shared" si="47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5"/>
        <v>0.11</v>
      </c>
      <c r="C187" s="124">
        <v>0.11</v>
      </c>
      <c r="D187" s="123">
        <f t="shared" si="46"/>
        <v>0.11</v>
      </c>
      <c r="E187" s="123">
        <f t="shared" si="46"/>
        <v>0.11</v>
      </c>
      <c r="F187" s="123">
        <f t="shared" si="46"/>
        <v>0.11</v>
      </c>
      <c r="G187" s="123">
        <f t="shared" si="46"/>
        <v>0.11</v>
      </c>
      <c r="H187" s="123">
        <f t="shared" si="46"/>
        <v>0.11</v>
      </c>
      <c r="I187" s="123">
        <f t="shared" si="46"/>
        <v>0.11</v>
      </c>
      <c r="J187" s="123">
        <f t="shared" si="46"/>
        <v>0.11</v>
      </c>
      <c r="K187" s="123">
        <f t="shared" si="46"/>
        <v>0.11</v>
      </c>
      <c r="L187" s="123">
        <f t="shared" si="46"/>
        <v>0.11</v>
      </c>
      <c r="M187" s="123">
        <f t="shared" si="46"/>
        <v>0.11</v>
      </c>
      <c r="N187" s="123">
        <f t="shared" si="46"/>
        <v>0.11</v>
      </c>
      <c r="O187" s="123">
        <f t="shared" si="46"/>
        <v>0.11</v>
      </c>
      <c r="P187" s="123">
        <f t="shared" si="46"/>
        <v>0.11</v>
      </c>
      <c r="Q187" s="123">
        <f t="shared" si="46"/>
        <v>0.11</v>
      </c>
      <c r="R187" s="123">
        <f t="shared" si="46"/>
        <v>0.11</v>
      </c>
      <c r="S187" s="123">
        <f t="shared" si="46"/>
        <v>0.11</v>
      </c>
      <c r="T187" s="123">
        <f t="shared" si="47"/>
        <v>0.11</v>
      </c>
      <c r="U187" s="123">
        <f t="shared" si="47"/>
        <v>0.11</v>
      </c>
      <c r="V187" s="123">
        <f t="shared" si="47"/>
        <v>0.11</v>
      </c>
      <c r="W187" s="123">
        <f t="shared" si="47"/>
        <v>0.11</v>
      </c>
      <c r="X187" s="123">
        <f t="shared" si="47"/>
        <v>0.11</v>
      </c>
      <c r="Y187" s="123">
        <f t="shared" si="47"/>
        <v>0.11</v>
      </c>
      <c r="Z187" s="123">
        <f t="shared" si="47"/>
        <v>0.11</v>
      </c>
      <c r="AA187" s="123">
        <f t="shared" si="47"/>
        <v>0.11</v>
      </c>
      <c r="AB187" s="123">
        <f t="shared" si="47"/>
        <v>0.11</v>
      </c>
      <c r="AC187" s="123">
        <f t="shared" si="47"/>
        <v>0.11</v>
      </c>
      <c r="AD187" s="123">
        <f t="shared" si="47"/>
        <v>0.11</v>
      </c>
      <c r="AE187" s="123">
        <f t="shared" si="47"/>
        <v>0.11</v>
      </c>
      <c r="AF187" s="123">
        <f t="shared" si="47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5"/>
        <v>0.1</v>
      </c>
      <c r="C188" s="124">
        <v>0.1</v>
      </c>
      <c r="D188" s="123">
        <f t="shared" si="46"/>
        <v>0.1</v>
      </c>
      <c r="E188" s="123">
        <f t="shared" si="46"/>
        <v>0.1</v>
      </c>
      <c r="F188" s="123">
        <f t="shared" si="46"/>
        <v>0.1</v>
      </c>
      <c r="G188" s="123">
        <f t="shared" si="46"/>
        <v>0.1</v>
      </c>
      <c r="H188" s="123">
        <f t="shared" si="46"/>
        <v>0.1</v>
      </c>
      <c r="I188" s="123">
        <f t="shared" si="46"/>
        <v>0.1</v>
      </c>
      <c r="J188" s="123">
        <f t="shared" si="46"/>
        <v>0.1</v>
      </c>
      <c r="K188" s="123">
        <f t="shared" si="46"/>
        <v>0.1</v>
      </c>
      <c r="L188" s="123">
        <f t="shared" si="46"/>
        <v>0.1</v>
      </c>
      <c r="M188" s="123">
        <f t="shared" si="46"/>
        <v>0.1</v>
      </c>
      <c r="N188" s="123">
        <f t="shared" si="46"/>
        <v>0.1</v>
      </c>
      <c r="O188" s="123">
        <f t="shared" si="46"/>
        <v>0.1</v>
      </c>
      <c r="P188" s="123">
        <f t="shared" si="46"/>
        <v>0.1</v>
      </c>
      <c r="Q188" s="123">
        <f t="shared" si="46"/>
        <v>0.1</v>
      </c>
      <c r="R188" s="123">
        <f t="shared" si="46"/>
        <v>0.1</v>
      </c>
      <c r="S188" s="123">
        <f t="shared" si="47"/>
        <v>0.1</v>
      </c>
      <c r="T188" s="123">
        <f t="shared" si="47"/>
        <v>0.1</v>
      </c>
      <c r="U188" s="123">
        <f t="shared" si="47"/>
        <v>0.1</v>
      </c>
      <c r="V188" s="123">
        <f t="shared" si="47"/>
        <v>0.1</v>
      </c>
      <c r="W188" s="123">
        <f t="shared" si="47"/>
        <v>0.1</v>
      </c>
      <c r="X188" s="123">
        <f t="shared" si="47"/>
        <v>0.1</v>
      </c>
      <c r="Y188" s="123">
        <f t="shared" si="47"/>
        <v>0.1</v>
      </c>
      <c r="Z188" s="123">
        <f t="shared" si="47"/>
        <v>0.1</v>
      </c>
      <c r="AA188" s="123">
        <f t="shared" si="47"/>
        <v>0.1</v>
      </c>
      <c r="AB188" s="123">
        <f t="shared" si="47"/>
        <v>0.1</v>
      </c>
      <c r="AC188" s="123">
        <f t="shared" si="47"/>
        <v>0.1</v>
      </c>
      <c r="AD188" s="123">
        <f t="shared" si="47"/>
        <v>0.1</v>
      </c>
      <c r="AE188" s="123">
        <f t="shared" si="47"/>
        <v>0.1</v>
      </c>
      <c r="AF188" s="123">
        <f t="shared" si="47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5"/>
        <v>0.09</v>
      </c>
      <c r="C189" s="124">
        <v>0.09</v>
      </c>
      <c r="D189" s="123">
        <f t="shared" si="46"/>
        <v>0.09</v>
      </c>
      <c r="E189" s="123">
        <f t="shared" si="46"/>
        <v>0.09</v>
      </c>
      <c r="F189" s="123">
        <f t="shared" si="46"/>
        <v>0.09</v>
      </c>
      <c r="G189" s="123">
        <f t="shared" si="46"/>
        <v>0.09</v>
      </c>
      <c r="H189" s="123">
        <f t="shared" si="46"/>
        <v>0.09</v>
      </c>
      <c r="I189" s="123">
        <f t="shared" si="46"/>
        <v>0.09</v>
      </c>
      <c r="J189" s="123">
        <f t="shared" si="46"/>
        <v>0.09</v>
      </c>
      <c r="K189" s="123">
        <f t="shared" si="46"/>
        <v>0.09</v>
      </c>
      <c r="L189" s="123">
        <f t="shared" si="46"/>
        <v>0.09</v>
      </c>
      <c r="M189" s="123">
        <f t="shared" si="46"/>
        <v>0.09</v>
      </c>
      <c r="N189" s="123">
        <f t="shared" si="46"/>
        <v>0.09</v>
      </c>
      <c r="O189" s="123">
        <f t="shared" si="46"/>
        <v>0.09</v>
      </c>
      <c r="P189" s="123">
        <f t="shared" si="46"/>
        <v>0.09</v>
      </c>
      <c r="Q189" s="123">
        <f t="shared" si="46"/>
        <v>0.09</v>
      </c>
      <c r="R189" s="123">
        <f t="shared" si="46"/>
        <v>0.09</v>
      </c>
      <c r="S189" s="123">
        <f t="shared" si="47"/>
        <v>0.09</v>
      </c>
      <c r="T189" s="123">
        <f t="shared" si="47"/>
        <v>0.09</v>
      </c>
      <c r="U189" s="123">
        <f t="shared" si="47"/>
        <v>0.09</v>
      </c>
      <c r="V189" s="123">
        <f t="shared" si="47"/>
        <v>0.09</v>
      </c>
      <c r="W189" s="123">
        <f t="shared" si="47"/>
        <v>0.09</v>
      </c>
      <c r="X189" s="123">
        <f t="shared" si="47"/>
        <v>0.09</v>
      </c>
      <c r="Y189" s="123">
        <f t="shared" si="47"/>
        <v>0.09</v>
      </c>
      <c r="Z189" s="123">
        <f t="shared" si="47"/>
        <v>0.09</v>
      </c>
      <c r="AA189" s="123">
        <f t="shared" si="47"/>
        <v>0.09</v>
      </c>
      <c r="AB189" s="123">
        <f t="shared" si="47"/>
        <v>0.09</v>
      </c>
      <c r="AC189" s="123">
        <f t="shared" si="47"/>
        <v>0.09</v>
      </c>
      <c r="AD189" s="123">
        <f t="shared" si="47"/>
        <v>0.09</v>
      </c>
      <c r="AE189" s="123">
        <f t="shared" si="47"/>
        <v>0.09</v>
      </c>
      <c r="AF189" s="123">
        <f t="shared" si="47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5"/>
        <v>0.04</v>
      </c>
      <c r="C190" s="53">
        <v>0.04</v>
      </c>
      <c r="D190" s="123">
        <f t="shared" si="46"/>
        <v>0.04</v>
      </c>
      <c r="E190" s="123">
        <f t="shared" si="46"/>
        <v>0.04</v>
      </c>
      <c r="F190" s="123">
        <f t="shared" si="46"/>
        <v>0.04</v>
      </c>
      <c r="G190" s="123">
        <f t="shared" si="46"/>
        <v>0.04</v>
      </c>
      <c r="H190" s="123">
        <f t="shared" si="46"/>
        <v>0.04</v>
      </c>
      <c r="I190" s="123">
        <f t="shared" si="46"/>
        <v>0.04</v>
      </c>
      <c r="J190" s="123">
        <f t="shared" si="46"/>
        <v>0.04</v>
      </c>
      <c r="K190" s="123">
        <f t="shared" si="46"/>
        <v>0.04</v>
      </c>
      <c r="L190" s="123">
        <f t="shared" si="46"/>
        <v>0.04</v>
      </c>
      <c r="M190" s="123">
        <f t="shared" si="46"/>
        <v>0.04</v>
      </c>
      <c r="N190" s="123">
        <f t="shared" si="46"/>
        <v>0.04</v>
      </c>
      <c r="O190" s="123">
        <f t="shared" si="46"/>
        <v>0.04</v>
      </c>
      <c r="P190" s="123">
        <f t="shared" si="46"/>
        <v>0.04</v>
      </c>
      <c r="Q190" s="123">
        <f t="shared" si="46"/>
        <v>0.04</v>
      </c>
      <c r="R190" s="123">
        <f t="shared" si="46"/>
        <v>0.04</v>
      </c>
      <c r="S190" s="123">
        <f t="shared" si="47"/>
        <v>0.04</v>
      </c>
      <c r="T190" s="123">
        <f t="shared" si="47"/>
        <v>0.04</v>
      </c>
      <c r="U190" s="123">
        <f t="shared" si="47"/>
        <v>0.04</v>
      </c>
      <c r="V190" s="123">
        <f t="shared" si="47"/>
        <v>0.04</v>
      </c>
      <c r="W190" s="123">
        <f t="shared" si="47"/>
        <v>0.04</v>
      </c>
      <c r="X190" s="123">
        <f t="shared" si="47"/>
        <v>0.04</v>
      </c>
      <c r="Y190" s="123">
        <f t="shared" si="47"/>
        <v>0.04</v>
      </c>
      <c r="Z190" s="123">
        <f t="shared" si="47"/>
        <v>0.04</v>
      </c>
      <c r="AA190" s="123">
        <f t="shared" si="47"/>
        <v>0.04</v>
      </c>
      <c r="AB190" s="123">
        <f t="shared" si="47"/>
        <v>0.04</v>
      </c>
      <c r="AC190" s="123">
        <f t="shared" si="47"/>
        <v>0.04</v>
      </c>
      <c r="AD190" s="123">
        <f t="shared" si="47"/>
        <v>0.04</v>
      </c>
      <c r="AE190" s="123">
        <f t="shared" si="47"/>
        <v>0.04</v>
      </c>
      <c r="AF190" s="123">
        <f t="shared" si="47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5"/>
        <v>2.3E-2</v>
      </c>
      <c r="C191" s="53">
        <v>2.3E-2</v>
      </c>
      <c r="D191" s="123">
        <f>C191</f>
        <v>2.3E-2</v>
      </c>
      <c r="E191" s="123">
        <f t="shared" si="46"/>
        <v>2.3E-2</v>
      </c>
      <c r="F191" s="123">
        <f t="shared" si="46"/>
        <v>2.3E-2</v>
      </c>
      <c r="G191" s="123">
        <f t="shared" si="46"/>
        <v>2.3E-2</v>
      </c>
      <c r="H191" s="123">
        <f t="shared" si="46"/>
        <v>2.3E-2</v>
      </c>
      <c r="I191" s="123">
        <f t="shared" si="46"/>
        <v>2.3E-2</v>
      </c>
      <c r="J191" s="123">
        <f t="shared" si="46"/>
        <v>2.3E-2</v>
      </c>
      <c r="K191" s="123">
        <f t="shared" si="46"/>
        <v>2.3E-2</v>
      </c>
      <c r="L191" s="123">
        <f t="shared" si="46"/>
        <v>2.3E-2</v>
      </c>
      <c r="M191" s="123">
        <f t="shared" si="46"/>
        <v>2.3E-2</v>
      </c>
      <c r="N191" s="123">
        <f t="shared" si="46"/>
        <v>2.3E-2</v>
      </c>
      <c r="O191" s="123">
        <f t="shared" si="46"/>
        <v>2.3E-2</v>
      </c>
      <c r="P191" s="123">
        <f t="shared" si="46"/>
        <v>2.3E-2</v>
      </c>
      <c r="Q191" s="123">
        <f t="shared" si="46"/>
        <v>2.3E-2</v>
      </c>
      <c r="R191" s="123">
        <f t="shared" si="46"/>
        <v>2.3E-2</v>
      </c>
      <c r="S191" s="123">
        <f t="shared" si="47"/>
        <v>2.3E-2</v>
      </c>
      <c r="T191" s="123">
        <f t="shared" si="47"/>
        <v>2.3E-2</v>
      </c>
      <c r="U191" s="123">
        <f t="shared" si="47"/>
        <v>2.3E-2</v>
      </c>
      <c r="V191" s="123">
        <f t="shared" si="47"/>
        <v>2.3E-2</v>
      </c>
      <c r="W191" s="123">
        <f t="shared" si="47"/>
        <v>2.3E-2</v>
      </c>
      <c r="X191" s="123">
        <f t="shared" si="47"/>
        <v>2.3E-2</v>
      </c>
      <c r="Y191" s="123">
        <f t="shared" si="47"/>
        <v>2.3E-2</v>
      </c>
      <c r="Z191" s="123">
        <f t="shared" si="47"/>
        <v>2.3E-2</v>
      </c>
      <c r="AA191" s="123">
        <f t="shared" si="47"/>
        <v>2.3E-2</v>
      </c>
      <c r="AB191" s="123">
        <f t="shared" si="47"/>
        <v>2.3E-2</v>
      </c>
      <c r="AC191" s="123">
        <f t="shared" si="47"/>
        <v>2.3E-2</v>
      </c>
      <c r="AD191" s="123">
        <f t="shared" si="47"/>
        <v>2.3E-2</v>
      </c>
      <c r="AE191" s="123">
        <f t="shared" si="47"/>
        <v>2.3E-2</v>
      </c>
      <c r="AF191" s="123">
        <f t="shared" si="47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8">SUM(C102:C191)</f>
        <v>194.70600000000002</v>
      </c>
      <c r="D192" s="128">
        <f t="shared" si="48"/>
        <v>194.70600000000002</v>
      </c>
      <c r="E192" s="128">
        <f t="shared" si="48"/>
        <v>194.70600000000002</v>
      </c>
      <c r="F192" s="128">
        <f t="shared" si="48"/>
        <v>194.70600000000002</v>
      </c>
      <c r="G192" s="128">
        <f t="shared" si="48"/>
        <v>194.70600000000002</v>
      </c>
      <c r="H192" s="128">
        <f t="shared" si="48"/>
        <v>194.70600000000002</v>
      </c>
      <c r="I192" s="128">
        <f t="shared" si="48"/>
        <v>189.70600000000005</v>
      </c>
      <c r="J192" s="128">
        <f t="shared" si="48"/>
        <v>187.10600000000005</v>
      </c>
      <c r="K192" s="128">
        <f t="shared" si="48"/>
        <v>187.10600000000005</v>
      </c>
      <c r="L192" s="128">
        <f t="shared" si="48"/>
        <v>187.10600000000005</v>
      </c>
      <c r="M192" s="128">
        <f t="shared" si="48"/>
        <v>187.10600000000005</v>
      </c>
      <c r="N192" s="128">
        <f t="shared" si="48"/>
        <v>187.10600000000005</v>
      </c>
      <c r="O192" s="128">
        <f t="shared" si="48"/>
        <v>187.10600000000005</v>
      </c>
      <c r="P192" s="128">
        <f t="shared" si="48"/>
        <v>187.10600000000005</v>
      </c>
      <c r="Q192" s="128">
        <f t="shared" si="48"/>
        <v>187.10600000000005</v>
      </c>
      <c r="R192" s="128">
        <f t="shared" si="48"/>
        <v>187.10600000000005</v>
      </c>
      <c r="S192" s="128">
        <f t="shared" si="48"/>
        <v>187.10600000000005</v>
      </c>
      <c r="T192" s="128">
        <f t="shared" si="48"/>
        <v>187.10600000000005</v>
      </c>
      <c r="U192" s="128">
        <f t="shared" si="48"/>
        <v>187.10600000000005</v>
      </c>
      <c r="V192" s="128">
        <f t="shared" si="48"/>
        <v>187.10600000000005</v>
      </c>
      <c r="W192" s="128">
        <f t="shared" si="48"/>
        <v>187.10600000000005</v>
      </c>
      <c r="X192" s="128">
        <f t="shared" si="48"/>
        <v>187.10600000000005</v>
      </c>
      <c r="Y192" s="128">
        <f t="shared" si="48"/>
        <v>187.10600000000005</v>
      </c>
      <c r="Z192" s="128">
        <f t="shared" si="48"/>
        <v>187.10600000000005</v>
      </c>
      <c r="AA192" s="128">
        <f t="shared" si="48"/>
        <v>187.10600000000005</v>
      </c>
      <c r="AB192" s="128">
        <f t="shared" si="48"/>
        <v>187.10600000000005</v>
      </c>
      <c r="AC192" s="128">
        <f t="shared" si="48"/>
        <v>187.10600000000005</v>
      </c>
      <c r="AD192" s="128">
        <f t="shared" si="48"/>
        <v>187.10600000000005</v>
      </c>
      <c r="AE192" s="128">
        <f t="shared" si="48"/>
        <v>187.10600000000005</v>
      </c>
      <c r="AF192" s="128">
        <f t="shared" si="48"/>
        <v>187.10600000000005</v>
      </c>
      <c r="AG192" s="129">
        <f t="shared" si="4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9">AF194</f>
        <v>0.3</v>
      </c>
      <c r="C194" s="130">
        <v>0.3</v>
      </c>
      <c r="D194" s="130">
        <f t="shared" ref="D194:S199" si="50">C194</f>
        <v>0.3</v>
      </c>
      <c r="E194" s="130">
        <f t="shared" si="50"/>
        <v>0.3</v>
      </c>
      <c r="F194" s="130">
        <f t="shared" si="50"/>
        <v>0.3</v>
      </c>
      <c r="G194" s="130">
        <f t="shared" si="50"/>
        <v>0.3</v>
      </c>
      <c r="H194" s="130">
        <f t="shared" si="50"/>
        <v>0.3</v>
      </c>
      <c r="I194" s="130">
        <f t="shared" si="50"/>
        <v>0.3</v>
      </c>
      <c r="J194" s="130">
        <f t="shared" si="50"/>
        <v>0.3</v>
      </c>
      <c r="K194" s="130">
        <f t="shared" si="50"/>
        <v>0.3</v>
      </c>
      <c r="L194" s="130">
        <f t="shared" si="50"/>
        <v>0.3</v>
      </c>
      <c r="M194" s="130">
        <f t="shared" si="50"/>
        <v>0.3</v>
      </c>
      <c r="N194" s="130">
        <f t="shared" si="50"/>
        <v>0.3</v>
      </c>
      <c r="O194" s="130">
        <f t="shared" si="50"/>
        <v>0.3</v>
      </c>
      <c r="P194" s="130">
        <f t="shared" si="50"/>
        <v>0.3</v>
      </c>
      <c r="Q194" s="130">
        <f t="shared" si="50"/>
        <v>0.3</v>
      </c>
      <c r="R194" s="130">
        <f t="shared" si="50"/>
        <v>0.3</v>
      </c>
      <c r="S194" s="130">
        <f t="shared" si="50"/>
        <v>0.3</v>
      </c>
      <c r="T194" s="130">
        <f t="shared" ref="T194:AF199" si="51">S194</f>
        <v>0.3</v>
      </c>
      <c r="U194" s="130">
        <f t="shared" si="51"/>
        <v>0.3</v>
      </c>
      <c r="V194" s="130">
        <f t="shared" si="51"/>
        <v>0.3</v>
      </c>
      <c r="W194" s="130">
        <f t="shared" si="51"/>
        <v>0.3</v>
      </c>
      <c r="X194" s="130">
        <f t="shared" si="51"/>
        <v>0.3</v>
      </c>
      <c r="Y194" s="130">
        <f t="shared" si="51"/>
        <v>0.3</v>
      </c>
      <c r="Z194" s="130">
        <f t="shared" si="51"/>
        <v>0.3</v>
      </c>
      <c r="AA194" s="130">
        <f t="shared" si="51"/>
        <v>0.3</v>
      </c>
      <c r="AB194" s="130">
        <f t="shared" si="51"/>
        <v>0.3</v>
      </c>
      <c r="AC194" s="130">
        <f t="shared" si="51"/>
        <v>0.3</v>
      </c>
      <c r="AD194" s="130">
        <f t="shared" si="51"/>
        <v>0.3</v>
      </c>
      <c r="AE194" s="130">
        <f t="shared" si="51"/>
        <v>0.3</v>
      </c>
      <c r="AF194" s="130">
        <f t="shared" si="51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9"/>
        <v>0.4</v>
      </c>
      <c r="C195" s="123">
        <v>0.4</v>
      </c>
      <c r="D195" s="123">
        <f t="shared" si="50"/>
        <v>0.4</v>
      </c>
      <c r="E195" s="123">
        <f t="shared" si="50"/>
        <v>0.4</v>
      </c>
      <c r="F195" s="123">
        <f t="shared" si="50"/>
        <v>0.4</v>
      </c>
      <c r="G195" s="123">
        <f t="shared" si="50"/>
        <v>0.4</v>
      </c>
      <c r="H195" s="123">
        <f t="shared" si="50"/>
        <v>0.4</v>
      </c>
      <c r="I195" s="123">
        <f t="shared" si="50"/>
        <v>0.4</v>
      </c>
      <c r="J195" s="123">
        <f t="shared" si="50"/>
        <v>0.4</v>
      </c>
      <c r="K195" s="123">
        <f t="shared" si="50"/>
        <v>0.4</v>
      </c>
      <c r="L195" s="123">
        <f t="shared" si="50"/>
        <v>0.4</v>
      </c>
      <c r="M195" s="123">
        <f t="shared" si="50"/>
        <v>0.4</v>
      </c>
      <c r="N195" s="123">
        <f t="shared" si="50"/>
        <v>0.4</v>
      </c>
      <c r="O195" s="123">
        <f t="shared" si="50"/>
        <v>0.4</v>
      </c>
      <c r="P195" s="123">
        <f t="shared" si="50"/>
        <v>0.4</v>
      </c>
      <c r="Q195" s="123">
        <f t="shared" si="50"/>
        <v>0.4</v>
      </c>
      <c r="R195" s="123">
        <f t="shared" si="50"/>
        <v>0.4</v>
      </c>
      <c r="S195" s="123">
        <f t="shared" si="50"/>
        <v>0.4</v>
      </c>
      <c r="T195" s="123">
        <f t="shared" si="51"/>
        <v>0.4</v>
      </c>
      <c r="U195" s="123">
        <f t="shared" si="51"/>
        <v>0.4</v>
      </c>
      <c r="V195" s="123">
        <f t="shared" si="51"/>
        <v>0.4</v>
      </c>
      <c r="W195" s="123">
        <f>V195</f>
        <v>0.4</v>
      </c>
      <c r="X195" s="123">
        <f>W195</f>
        <v>0.4</v>
      </c>
      <c r="Y195" s="123">
        <f t="shared" si="51"/>
        <v>0.4</v>
      </c>
      <c r="Z195" s="123">
        <f t="shared" si="51"/>
        <v>0.4</v>
      </c>
      <c r="AA195" s="123">
        <f t="shared" si="51"/>
        <v>0.4</v>
      </c>
      <c r="AB195" s="123">
        <f t="shared" si="51"/>
        <v>0.4</v>
      </c>
      <c r="AC195" s="123">
        <f t="shared" si="51"/>
        <v>0.4</v>
      </c>
      <c r="AD195" s="123">
        <f t="shared" si="51"/>
        <v>0.4</v>
      </c>
      <c r="AE195" s="123">
        <f t="shared" si="51"/>
        <v>0.4</v>
      </c>
      <c r="AF195" s="123">
        <f t="shared" si="51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9"/>
        <v>1.5</v>
      </c>
      <c r="C196" s="123">
        <v>1.5</v>
      </c>
      <c r="D196" s="123">
        <f t="shared" si="50"/>
        <v>1.5</v>
      </c>
      <c r="E196" s="123">
        <f t="shared" si="50"/>
        <v>1.5</v>
      </c>
      <c r="F196" s="123">
        <f t="shared" si="50"/>
        <v>1.5</v>
      </c>
      <c r="G196" s="123">
        <f t="shared" si="50"/>
        <v>1.5</v>
      </c>
      <c r="H196" s="123">
        <f t="shared" si="50"/>
        <v>1.5</v>
      </c>
      <c r="I196" s="123">
        <f t="shared" si="50"/>
        <v>1.5</v>
      </c>
      <c r="J196" s="123">
        <f t="shared" si="50"/>
        <v>1.5</v>
      </c>
      <c r="K196" s="123">
        <f t="shared" si="50"/>
        <v>1.5</v>
      </c>
      <c r="L196" s="123">
        <f t="shared" si="50"/>
        <v>1.5</v>
      </c>
      <c r="M196" s="123">
        <f t="shared" si="50"/>
        <v>1.5</v>
      </c>
      <c r="N196" s="123">
        <f t="shared" si="50"/>
        <v>1.5</v>
      </c>
      <c r="O196" s="123">
        <f t="shared" si="50"/>
        <v>1.5</v>
      </c>
      <c r="P196" s="123">
        <f t="shared" si="50"/>
        <v>1.5</v>
      </c>
      <c r="Q196" s="123">
        <f t="shared" si="50"/>
        <v>1.5</v>
      </c>
      <c r="R196" s="123">
        <f t="shared" si="50"/>
        <v>1.5</v>
      </c>
      <c r="S196" s="123">
        <f t="shared" si="50"/>
        <v>1.5</v>
      </c>
      <c r="T196" s="123">
        <f t="shared" si="51"/>
        <v>1.5</v>
      </c>
      <c r="U196" s="123">
        <f t="shared" si="51"/>
        <v>1.5</v>
      </c>
      <c r="V196" s="123">
        <f t="shared" si="51"/>
        <v>1.5</v>
      </c>
      <c r="W196" s="123">
        <f t="shared" si="51"/>
        <v>1.5</v>
      </c>
      <c r="X196" s="123">
        <f t="shared" si="51"/>
        <v>1.5</v>
      </c>
      <c r="Y196" s="123">
        <f t="shared" si="51"/>
        <v>1.5</v>
      </c>
      <c r="Z196" s="123">
        <f t="shared" si="51"/>
        <v>1.5</v>
      </c>
      <c r="AA196" s="123">
        <f t="shared" si="51"/>
        <v>1.5</v>
      </c>
      <c r="AB196" s="123">
        <f t="shared" si="51"/>
        <v>1.5</v>
      </c>
      <c r="AC196" s="123">
        <f t="shared" si="51"/>
        <v>1.5</v>
      </c>
      <c r="AD196" s="123">
        <f t="shared" si="51"/>
        <v>1.5</v>
      </c>
      <c r="AE196" s="123">
        <f t="shared" si="51"/>
        <v>1.5</v>
      </c>
      <c r="AF196" s="123">
        <f t="shared" si="51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9"/>
        <v>0.3</v>
      </c>
      <c r="C197" s="123">
        <v>0.3</v>
      </c>
      <c r="D197" s="123">
        <f t="shared" si="50"/>
        <v>0.3</v>
      </c>
      <c r="E197" s="123">
        <f t="shared" si="50"/>
        <v>0.3</v>
      </c>
      <c r="F197" s="123">
        <f t="shared" si="50"/>
        <v>0.3</v>
      </c>
      <c r="G197" s="123">
        <f t="shared" si="50"/>
        <v>0.3</v>
      </c>
      <c r="H197" s="123">
        <f t="shared" si="50"/>
        <v>0.3</v>
      </c>
      <c r="I197" s="123">
        <f t="shared" si="50"/>
        <v>0.3</v>
      </c>
      <c r="J197" s="123">
        <f t="shared" si="50"/>
        <v>0.3</v>
      </c>
      <c r="K197" s="123">
        <f t="shared" si="50"/>
        <v>0.3</v>
      </c>
      <c r="L197" s="123">
        <f t="shared" si="50"/>
        <v>0.3</v>
      </c>
      <c r="M197" s="123">
        <f t="shared" si="50"/>
        <v>0.3</v>
      </c>
      <c r="N197" s="123">
        <f t="shared" si="50"/>
        <v>0.3</v>
      </c>
      <c r="O197" s="123">
        <f t="shared" si="50"/>
        <v>0.3</v>
      </c>
      <c r="P197" s="123">
        <f t="shared" si="50"/>
        <v>0.3</v>
      </c>
      <c r="Q197" s="123">
        <f t="shared" si="50"/>
        <v>0.3</v>
      </c>
      <c r="R197" s="123">
        <f t="shared" si="50"/>
        <v>0.3</v>
      </c>
      <c r="S197" s="123">
        <f t="shared" si="50"/>
        <v>0.3</v>
      </c>
      <c r="T197" s="123">
        <f t="shared" si="51"/>
        <v>0.3</v>
      </c>
      <c r="U197" s="123">
        <f t="shared" si="51"/>
        <v>0.3</v>
      </c>
      <c r="V197" s="123">
        <f t="shared" si="51"/>
        <v>0.3</v>
      </c>
      <c r="W197" s="123">
        <f t="shared" si="51"/>
        <v>0.3</v>
      </c>
      <c r="X197" s="123">
        <f t="shared" si="51"/>
        <v>0.3</v>
      </c>
      <c r="Y197" s="123">
        <f t="shared" si="51"/>
        <v>0.3</v>
      </c>
      <c r="Z197" s="123">
        <f t="shared" si="51"/>
        <v>0.3</v>
      </c>
      <c r="AA197" s="123">
        <f t="shared" si="51"/>
        <v>0.3</v>
      </c>
      <c r="AB197" s="123">
        <f t="shared" si="51"/>
        <v>0.3</v>
      </c>
      <c r="AC197" s="123">
        <f t="shared" si="51"/>
        <v>0.3</v>
      </c>
      <c r="AD197" s="123">
        <f t="shared" si="51"/>
        <v>0.3</v>
      </c>
      <c r="AE197" s="123">
        <f t="shared" si="51"/>
        <v>0.3</v>
      </c>
      <c r="AF197" s="123">
        <f t="shared" si="51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9"/>
        <v>0.4</v>
      </c>
      <c r="C198" s="123">
        <v>0.4</v>
      </c>
      <c r="D198" s="123">
        <f t="shared" si="50"/>
        <v>0.4</v>
      </c>
      <c r="E198" s="123">
        <f t="shared" si="50"/>
        <v>0.4</v>
      </c>
      <c r="F198" s="123">
        <f t="shared" si="50"/>
        <v>0.4</v>
      </c>
      <c r="G198" s="123">
        <f t="shared" si="50"/>
        <v>0.4</v>
      </c>
      <c r="H198" s="123">
        <f t="shared" si="50"/>
        <v>0.4</v>
      </c>
      <c r="I198" s="123">
        <f t="shared" si="50"/>
        <v>0.4</v>
      </c>
      <c r="J198" s="123">
        <f t="shared" si="50"/>
        <v>0.4</v>
      </c>
      <c r="K198" s="123">
        <f t="shared" si="50"/>
        <v>0.4</v>
      </c>
      <c r="L198" s="123">
        <f t="shared" si="50"/>
        <v>0.4</v>
      </c>
      <c r="M198" s="123">
        <f t="shared" si="50"/>
        <v>0.4</v>
      </c>
      <c r="N198" s="123">
        <f t="shared" si="50"/>
        <v>0.4</v>
      </c>
      <c r="O198" s="123">
        <f t="shared" si="50"/>
        <v>0.4</v>
      </c>
      <c r="P198" s="123">
        <f t="shared" si="50"/>
        <v>0.4</v>
      </c>
      <c r="Q198" s="123">
        <f t="shared" si="50"/>
        <v>0.4</v>
      </c>
      <c r="R198" s="123">
        <f t="shared" si="50"/>
        <v>0.4</v>
      </c>
      <c r="S198" s="123">
        <f t="shared" si="50"/>
        <v>0.4</v>
      </c>
      <c r="T198" s="123">
        <f t="shared" si="51"/>
        <v>0.4</v>
      </c>
      <c r="U198" s="123">
        <f t="shared" si="51"/>
        <v>0.4</v>
      </c>
      <c r="V198" s="123">
        <f t="shared" si="51"/>
        <v>0.4</v>
      </c>
      <c r="W198" s="123">
        <f t="shared" si="51"/>
        <v>0.4</v>
      </c>
      <c r="X198" s="123">
        <f t="shared" si="51"/>
        <v>0.4</v>
      </c>
      <c r="Y198" s="123">
        <f t="shared" si="51"/>
        <v>0.4</v>
      </c>
      <c r="Z198" s="123">
        <f t="shared" si="51"/>
        <v>0.4</v>
      </c>
      <c r="AA198" s="123">
        <f t="shared" si="51"/>
        <v>0.4</v>
      </c>
      <c r="AB198" s="123">
        <f t="shared" si="51"/>
        <v>0.4</v>
      </c>
      <c r="AC198" s="123">
        <f t="shared" si="51"/>
        <v>0.4</v>
      </c>
      <c r="AD198" s="123">
        <f t="shared" si="51"/>
        <v>0.4</v>
      </c>
      <c r="AE198" s="123">
        <f t="shared" si="51"/>
        <v>0.4</v>
      </c>
      <c r="AF198" s="123">
        <f t="shared" si="51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9"/>
        <v>0.64</v>
      </c>
      <c r="C199" s="133">
        <v>0.64</v>
      </c>
      <c r="D199" s="133">
        <f t="shared" si="50"/>
        <v>0.64</v>
      </c>
      <c r="E199" s="133">
        <f t="shared" si="50"/>
        <v>0.64</v>
      </c>
      <c r="F199" s="133">
        <f t="shared" si="50"/>
        <v>0.64</v>
      </c>
      <c r="G199" s="133">
        <f t="shared" si="50"/>
        <v>0.64</v>
      </c>
      <c r="H199" s="133">
        <f t="shared" si="50"/>
        <v>0.64</v>
      </c>
      <c r="I199" s="133">
        <f t="shared" si="50"/>
        <v>0.64</v>
      </c>
      <c r="J199" s="133">
        <f t="shared" si="50"/>
        <v>0.64</v>
      </c>
      <c r="K199" s="133">
        <f t="shared" si="50"/>
        <v>0.64</v>
      </c>
      <c r="L199" s="133">
        <f t="shared" si="50"/>
        <v>0.64</v>
      </c>
      <c r="M199" s="133">
        <f t="shared" si="50"/>
        <v>0.64</v>
      </c>
      <c r="N199" s="133">
        <f t="shared" si="50"/>
        <v>0.64</v>
      </c>
      <c r="O199" s="133">
        <f t="shared" si="50"/>
        <v>0.64</v>
      </c>
      <c r="P199" s="133">
        <f t="shared" si="50"/>
        <v>0.64</v>
      </c>
      <c r="Q199" s="133">
        <f t="shared" si="50"/>
        <v>0.64</v>
      </c>
      <c r="R199" s="133">
        <f t="shared" si="50"/>
        <v>0.64</v>
      </c>
      <c r="S199" s="133">
        <f t="shared" si="50"/>
        <v>0.64</v>
      </c>
      <c r="T199" s="133">
        <f t="shared" si="51"/>
        <v>0.64</v>
      </c>
      <c r="U199" s="133">
        <f t="shared" si="51"/>
        <v>0.64</v>
      </c>
      <c r="V199" s="133">
        <f t="shared" si="51"/>
        <v>0.64</v>
      </c>
      <c r="W199" s="133">
        <f t="shared" si="51"/>
        <v>0.64</v>
      </c>
      <c r="X199" s="133">
        <f t="shared" si="51"/>
        <v>0.64</v>
      </c>
      <c r="Y199" s="133">
        <f t="shared" si="51"/>
        <v>0.64</v>
      </c>
      <c r="Z199" s="133">
        <f t="shared" si="51"/>
        <v>0.64</v>
      </c>
      <c r="AA199" s="133">
        <f t="shared" si="51"/>
        <v>0.64</v>
      </c>
      <c r="AB199" s="133">
        <f t="shared" si="51"/>
        <v>0.64</v>
      </c>
      <c r="AC199" s="133">
        <f t="shared" si="51"/>
        <v>0.64</v>
      </c>
      <c r="AD199" s="133">
        <f t="shared" si="51"/>
        <v>0.64</v>
      </c>
      <c r="AE199" s="133">
        <f t="shared" si="51"/>
        <v>0.64</v>
      </c>
      <c r="AF199" s="133">
        <f t="shared" si="51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2">SUM(D194:D199)</f>
        <v>3.54</v>
      </c>
      <c r="E200" s="136">
        <f t="shared" si="52"/>
        <v>3.54</v>
      </c>
      <c r="F200" s="136">
        <f t="shared" si="52"/>
        <v>3.54</v>
      </c>
      <c r="G200" s="136">
        <f t="shared" si="52"/>
        <v>3.54</v>
      </c>
      <c r="H200" s="136">
        <f t="shared" si="52"/>
        <v>3.54</v>
      </c>
      <c r="I200" s="136">
        <f t="shared" si="52"/>
        <v>3.54</v>
      </c>
      <c r="J200" s="136">
        <f t="shared" si="52"/>
        <v>3.54</v>
      </c>
      <c r="K200" s="136">
        <f t="shared" si="52"/>
        <v>3.54</v>
      </c>
      <c r="L200" s="136">
        <f t="shared" si="52"/>
        <v>3.54</v>
      </c>
      <c r="M200" s="136">
        <f>SUM(M194:M199)</f>
        <v>3.54</v>
      </c>
      <c r="N200" s="136">
        <f t="shared" ref="N200:S200" si="53">SUM(N194:N199)</f>
        <v>3.54</v>
      </c>
      <c r="O200" s="136">
        <f t="shared" si="53"/>
        <v>3.54</v>
      </c>
      <c r="P200" s="136">
        <f t="shared" si="53"/>
        <v>3.54</v>
      </c>
      <c r="Q200" s="136">
        <f t="shared" si="53"/>
        <v>3.54</v>
      </c>
      <c r="R200" s="136">
        <f t="shared" si="53"/>
        <v>3.54</v>
      </c>
      <c r="S200" s="136">
        <f t="shared" si="53"/>
        <v>3.54</v>
      </c>
      <c r="T200" s="136">
        <f>SUM(T194:T199)</f>
        <v>3.54</v>
      </c>
      <c r="U200" s="136">
        <f t="shared" ref="U200:AG200" si="54">SUM(U194:U199)</f>
        <v>3.54</v>
      </c>
      <c r="V200" s="136">
        <f t="shared" si="54"/>
        <v>3.54</v>
      </c>
      <c r="W200" s="136">
        <f t="shared" si="54"/>
        <v>3.54</v>
      </c>
      <c r="X200" s="136">
        <f t="shared" si="54"/>
        <v>3.54</v>
      </c>
      <c r="Y200" s="136">
        <f t="shared" si="54"/>
        <v>3.54</v>
      </c>
      <c r="Z200" s="136">
        <f t="shared" si="54"/>
        <v>3.54</v>
      </c>
      <c r="AA200" s="136">
        <f t="shared" si="54"/>
        <v>3.54</v>
      </c>
      <c r="AB200" s="136">
        <f t="shared" si="54"/>
        <v>3.54</v>
      </c>
      <c r="AC200" s="136">
        <f t="shared" si="54"/>
        <v>3.54</v>
      </c>
      <c r="AD200" s="136">
        <f t="shared" si="54"/>
        <v>3.54</v>
      </c>
      <c r="AE200" s="136">
        <f t="shared" si="54"/>
        <v>3.54</v>
      </c>
      <c r="AF200" s="136">
        <f t="shared" si="54"/>
        <v>3.54</v>
      </c>
      <c r="AG200" s="137">
        <f t="shared" si="5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1471.87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4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2079/02/4)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2079/02/4)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5">B75</f>
        <v>1317.8400000000001</v>
      </c>
      <c r="U214" s="161">
        <f t="shared" si="55"/>
        <v>1315.1399999999999</v>
      </c>
      <c r="V214" s="161">
        <f t="shared" si="55"/>
        <v>1262.94</v>
      </c>
      <c r="W214" s="161">
        <f t="shared" si="55"/>
        <v>1250.74</v>
      </c>
      <c r="X214" s="161">
        <f t="shared" si="55"/>
        <v>1237.74</v>
      </c>
      <c r="Y214" s="161">
        <f t="shared" si="55"/>
        <v>1242.04</v>
      </c>
      <c r="Z214" s="161">
        <f t="shared" si="55"/>
        <v>1257.04</v>
      </c>
      <c r="AA214" s="161">
        <f t="shared" si="55"/>
        <v>1281.54</v>
      </c>
      <c r="AB214" s="161">
        <f t="shared" si="55"/>
        <v>1333.3400000000001</v>
      </c>
      <c r="AC214" s="161">
        <f t="shared" si="55"/>
        <v>1402.22</v>
      </c>
      <c r="AD214" s="161">
        <f t="shared" si="55"/>
        <v>1426.44</v>
      </c>
      <c r="AE214" s="161">
        <f t="shared" si="55"/>
        <v>1471.87</v>
      </c>
      <c r="AF214" s="161">
        <f t="shared" si="55"/>
        <v>1454.46</v>
      </c>
      <c r="AG214" s="161">
        <f t="shared" si="55"/>
        <v>1490.37</v>
      </c>
      <c r="AH214" s="161">
        <f t="shared" si="55"/>
        <v>1507.5499999999997</v>
      </c>
      <c r="AI214" s="161">
        <f t="shared" si="55"/>
        <v>1514.2400000000002</v>
      </c>
      <c r="AJ214" s="161">
        <f t="shared" si="55"/>
        <v>1545.2400000000002</v>
      </c>
      <c r="AK214" s="161">
        <f t="shared" si="55"/>
        <v>1561.69</v>
      </c>
      <c r="AL214" s="161">
        <f t="shared" si="55"/>
        <v>1486.94</v>
      </c>
      <c r="AM214" s="161">
        <f t="shared" si="55"/>
        <v>1527.2400000000002</v>
      </c>
      <c r="AN214" s="161">
        <f t="shared" si="55"/>
        <v>1511.74</v>
      </c>
      <c r="AO214" s="161">
        <f t="shared" si="55"/>
        <v>1440.04</v>
      </c>
      <c r="AP214" s="161">
        <f t="shared" si="55"/>
        <v>1467.8400000000001</v>
      </c>
      <c r="AQ214" s="161">
        <f t="shared" si="55"/>
        <v>1509.54</v>
      </c>
      <c r="AR214" s="161">
        <f t="shared" si="55"/>
        <v>1528.7400000000002</v>
      </c>
      <c r="AS214" s="161">
        <f t="shared" si="55"/>
        <v>1566.7200000000003</v>
      </c>
      <c r="AT214" s="161">
        <f t="shared" si="55"/>
        <v>1496.14</v>
      </c>
      <c r="AU214" s="161">
        <f t="shared" si="55"/>
        <v>1515.6399999999999</v>
      </c>
      <c r="AV214" s="161">
        <f t="shared" si="55"/>
        <v>1480.94</v>
      </c>
      <c r="AW214" s="161">
        <f t="shared" si="55"/>
        <v>1467.64</v>
      </c>
      <c r="AX214" s="161">
        <f t="shared" si="55"/>
        <v>1436.44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6">C199</f>
        <v>0.64</v>
      </c>
      <c r="C235" s="164">
        <f t="shared" si="56"/>
        <v>0.64</v>
      </c>
      <c r="D235" s="164">
        <f t="shared" si="56"/>
        <v>0.64</v>
      </c>
      <c r="E235" s="164">
        <f t="shared" si="56"/>
        <v>0.64</v>
      </c>
      <c r="F235" s="164">
        <f t="shared" si="56"/>
        <v>0.64</v>
      </c>
      <c r="G235" s="164">
        <f t="shared" si="56"/>
        <v>0.64</v>
      </c>
      <c r="H235" s="164">
        <f t="shared" si="56"/>
        <v>0.64</v>
      </c>
      <c r="I235" s="164">
        <f t="shared" si="56"/>
        <v>0.64</v>
      </c>
      <c r="J235" s="164">
        <f t="shared" si="56"/>
        <v>0.64</v>
      </c>
      <c r="K235" s="164">
        <f t="shared" si="56"/>
        <v>0.64</v>
      </c>
      <c r="L235" s="164">
        <f t="shared" si="56"/>
        <v>0.64</v>
      </c>
      <c r="M235" s="164">
        <f t="shared" si="56"/>
        <v>0.64</v>
      </c>
      <c r="N235" s="164">
        <f t="shared" si="56"/>
        <v>0.64</v>
      </c>
      <c r="O235" s="164">
        <f t="shared" si="56"/>
        <v>0.64</v>
      </c>
      <c r="P235" s="164">
        <f t="shared" si="56"/>
        <v>0.64</v>
      </c>
      <c r="Q235" s="164">
        <f t="shared" si="56"/>
        <v>0.64</v>
      </c>
      <c r="R235" s="164">
        <f t="shared" si="56"/>
        <v>0.64</v>
      </c>
      <c r="S235" s="164">
        <f t="shared" si="56"/>
        <v>0.64</v>
      </c>
      <c r="T235" s="164">
        <f t="shared" si="56"/>
        <v>0.64</v>
      </c>
      <c r="U235" s="164">
        <f t="shared" si="56"/>
        <v>0.64</v>
      </c>
      <c r="V235" s="164">
        <f t="shared" si="56"/>
        <v>0.64</v>
      </c>
      <c r="W235" s="164">
        <f t="shared" si="56"/>
        <v>0.64</v>
      </c>
      <c r="X235" s="164">
        <f t="shared" si="56"/>
        <v>0.64</v>
      </c>
      <c r="Y235" s="164">
        <f t="shared" si="56"/>
        <v>0.64</v>
      </c>
      <c r="Z235" s="164">
        <f t="shared" si="56"/>
        <v>0.64</v>
      </c>
      <c r="AA235" s="164">
        <f t="shared" si="56"/>
        <v>0.64</v>
      </c>
      <c r="AB235" s="164">
        <f t="shared" si="56"/>
        <v>0.64</v>
      </c>
      <c r="AC235" s="164">
        <f t="shared" si="56"/>
        <v>0.64</v>
      </c>
      <c r="AD235" s="164">
        <f t="shared" si="56"/>
        <v>0.64</v>
      </c>
      <c r="AE235" s="164">
        <f t="shared" si="56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7">IF(C203&lt;100,"",C203-520)</f>
        <v/>
      </c>
      <c r="D236" s="107" t="str">
        <f t="shared" si="57"/>
        <v/>
      </c>
      <c r="E236" s="107" t="str">
        <f t="shared" si="57"/>
        <v/>
      </c>
      <c r="F236" s="107" t="str">
        <f t="shared" si="57"/>
        <v/>
      </c>
      <c r="G236" s="107" t="str">
        <f t="shared" si="57"/>
        <v/>
      </c>
      <c r="H236" s="107" t="str">
        <f t="shared" si="57"/>
        <v/>
      </c>
      <c r="I236" s="107" t="str">
        <f t="shared" si="57"/>
        <v/>
      </c>
      <c r="J236" s="107" t="str">
        <f t="shared" si="57"/>
        <v/>
      </c>
      <c r="K236" s="107" t="str">
        <f t="shared" si="57"/>
        <v/>
      </c>
      <c r="L236" s="107" t="str">
        <f t="shared" si="57"/>
        <v/>
      </c>
      <c r="M236" s="107" t="str">
        <f t="shared" si="57"/>
        <v/>
      </c>
      <c r="N236" s="107" t="str">
        <f t="shared" si="57"/>
        <v/>
      </c>
      <c r="O236" s="107" t="str">
        <f t="shared" si="57"/>
        <v/>
      </c>
      <c r="P236" s="107" t="str">
        <f t="shared" si="57"/>
        <v/>
      </c>
      <c r="Q236" s="107" t="str">
        <f t="shared" si="57"/>
        <v/>
      </c>
      <c r="R236" s="107" t="str">
        <f t="shared" si="57"/>
        <v/>
      </c>
      <c r="S236" s="107" t="str">
        <f t="shared" si="57"/>
        <v/>
      </c>
      <c r="T236" s="107" t="str">
        <f t="shared" si="57"/>
        <v/>
      </c>
      <c r="U236" s="107" t="str">
        <f t="shared" si="57"/>
        <v/>
      </c>
      <c r="V236" s="107" t="str">
        <f t="shared" si="57"/>
        <v/>
      </c>
      <c r="W236" s="107" t="str">
        <f t="shared" si="57"/>
        <v/>
      </c>
      <c r="X236" s="107" t="str">
        <f t="shared" si="57"/>
        <v/>
      </c>
      <c r="Y236" s="107" t="str">
        <f t="shared" si="57"/>
        <v/>
      </c>
      <c r="Z236" s="107" t="str">
        <f t="shared" si="57"/>
        <v/>
      </c>
      <c r="AA236" s="107" t="str">
        <f t="shared" si="57"/>
        <v/>
      </c>
      <c r="AB236" s="107" t="str">
        <f t="shared" si="57"/>
        <v/>
      </c>
      <c r="AC236" s="107" t="str">
        <f t="shared" si="57"/>
        <v/>
      </c>
      <c r="AD236" s="107" t="str">
        <f t="shared" si="57"/>
        <v/>
      </c>
      <c r="AE236" s="107" t="str">
        <f t="shared" si="57"/>
        <v/>
      </c>
      <c r="AF236" s="107" t="str">
        <f t="shared" si="57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8">IF(B204&lt;100,"",B204-620)</f>
        <v/>
      </c>
      <c r="C237" s="107" t="str">
        <f t="shared" si="58"/>
        <v/>
      </c>
      <c r="D237" s="107" t="str">
        <f t="shared" si="58"/>
        <v/>
      </c>
      <c r="E237" s="107" t="str">
        <f t="shared" si="58"/>
        <v/>
      </c>
      <c r="F237" s="107" t="str">
        <f t="shared" si="58"/>
        <v/>
      </c>
      <c r="G237" s="107" t="str">
        <f t="shared" si="58"/>
        <v/>
      </c>
      <c r="H237" s="107" t="str">
        <f t="shared" si="58"/>
        <v/>
      </c>
      <c r="I237" s="107" t="str">
        <f t="shared" si="58"/>
        <v/>
      </c>
      <c r="J237" s="107" t="str">
        <f t="shared" si="58"/>
        <v/>
      </c>
      <c r="K237" s="107" t="str">
        <f t="shared" si="58"/>
        <v/>
      </c>
      <c r="L237" s="107" t="str">
        <f t="shared" si="58"/>
        <v/>
      </c>
      <c r="M237" s="107" t="str">
        <f t="shared" si="58"/>
        <v/>
      </c>
      <c r="N237" s="107" t="str">
        <f t="shared" si="58"/>
        <v/>
      </c>
      <c r="O237" s="107" t="str">
        <f t="shared" si="58"/>
        <v/>
      </c>
      <c r="P237" s="107" t="str">
        <f t="shared" si="58"/>
        <v/>
      </c>
      <c r="Q237" s="107" t="str">
        <f t="shared" si="58"/>
        <v/>
      </c>
      <c r="R237" s="107" t="str">
        <f t="shared" si="58"/>
        <v/>
      </c>
      <c r="S237" s="107" t="str">
        <f t="shared" si="58"/>
        <v/>
      </c>
      <c r="T237" s="107" t="str">
        <f t="shared" si="58"/>
        <v/>
      </c>
      <c r="U237" s="107" t="str">
        <f t="shared" si="58"/>
        <v/>
      </c>
      <c r="V237" s="107" t="str">
        <f t="shared" si="58"/>
        <v/>
      </c>
      <c r="W237" s="107" t="str">
        <f t="shared" si="58"/>
        <v/>
      </c>
      <c r="X237" s="107" t="str">
        <f t="shared" si="58"/>
        <v/>
      </c>
      <c r="Y237" s="107" t="str">
        <f t="shared" si="58"/>
        <v/>
      </c>
      <c r="Z237" s="107" t="str">
        <f t="shared" si="58"/>
        <v/>
      </c>
      <c r="AA237" s="107" t="str">
        <f t="shared" si="58"/>
        <v/>
      </c>
      <c r="AB237" s="107" t="str">
        <f t="shared" si="58"/>
        <v/>
      </c>
      <c r="AC237" s="107" t="str">
        <f t="shared" si="58"/>
        <v/>
      </c>
      <c r="AD237" s="107" t="str">
        <f t="shared" si="58"/>
        <v/>
      </c>
      <c r="AE237" s="107" t="str">
        <f t="shared" si="58"/>
        <v/>
      </c>
      <c r="AF237" s="107" t="str">
        <f t="shared" si="58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9">IF(B205&lt;100,"",B205-330)</f>
        <v/>
      </c>
      <c r="C238" s="107" t="str">
        <f t="shared" si="59"/>
        <v/>
      </c>
      <c r="D238" s="107" t="str">
        <f t="shared" si="59"/>
        <v/>
      </c>
      <c r="E238" s="107" t="str">
        <f t="shared" si="59"/>
        <v/>
      </c>
      <c r="F238" s="107" t="str">
        <f t="shared" si="59"/>
        <v/>
      </c>
      <c r="G238" s="107" t="str">
        <f t="shared" si="59"/>
        <v/>
      </c>
      <c r="H238" s="107" t="str">
        <f t="shared" si="59"/>
        <v/>
      </c>
      <c r="I238" s="107" t="str">
        <f t="shared" si="59"/>
        <v/>
      </c>
      <c r="J238" s="107" t="str">
        <f t="shared" si="59"/>
        <v/>
      </c>
      <c r="K238" s="107" t="str">
        <f t="shared" si="59"/>
        <v/>
      </c>
      <c r="L238" s="107" t="str">
        <f t="shared" si="59"/>
        <v/>
      </c>
      <c r="M238" s="107" t="str">
        <f t="shared" si="59"/>
        <v/>
      </c>
      <c r="N238" s="107" t="str">
        <f t="shared" si="59"/>
        <v/>
      </c>
      <c r="O238" s="107" t="str">
        <f t="shared" si="59"/>
        <v/>
      </c>
      <c r="P238" s="107" t="str">
        <f t="shared" si="59"/>
        <v/>
      </c>
      <c r="Q238" s="107" t="str">
        <f t="shared" si="59"/>
        <v/>
      </c>
      <c r="R238" s="107" t="str">
        <f t="shared" si="59"/>
        <v/>
      </c>
      <c r="S238" s="107" t="str">
        <f t="shared" si="59"/>
        <v/>
      </c>
      <c r="T238" s="107" t="str">
        <f t="shared" si="59"/>
        <v/>
      </c>
      <c r="U238" s="107" t="str">
        <f t="shared" si="59"/>
        <v/>
      </c>
      <c r="V238" s="107" t="str">
        <f t="shared" si="59"/>
        <v/>
      </c>
      <c r="W238" s="107" t="str">
        <f t="shared" si="59"/>
        <v/>
      </c>
      <c r="X238" s="107" t="str">
        <f t="shared" si="59"/>
        <v/>
      </c>
      <c r="Y238" s="107" t="str">
        <f t="shared" si="59"/>
        <v/>
      </c>
      <c r="Z238" s="107" t="str">
        <f t="shared" si="59"/>
        <v/>
      </c>
      <c r="AA238" s="107" t="str">
        <f t="shared" si="59"/>
        <v/>
      </c>
      <c r="AB238" s="107" t="str">
        <f t="shared" si="59"/>
        <v/>
      </c>
      <c r="AC238" s="107" t="str">
        <f t="shared" si="59"/>
        <v/>
      </c>
      <c r="AD238" s="107" t="str">
        <f t="shared" si="59"/>
        <v/>
      </c>
      <c r="AE238" s="107" t="str">
        <f t="shared" si="59"/>
        <v/>
      </c>
      <c r="AF238" s="107" t="str">
        <f t="shared" si="59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0">IF(C206&lt;100,"",C206-1500)</f>
        <v/>
      </c>
      <c r="D239" s="107" t="str">
        <f t="shared" si="60"/>
        <v/>
      </c>
      <c r="E239" s="107" t="str">
        <f t="shared" si="60"/>
        <v/>
      </c>
      <c r="F239" s="107" t="str">
        <f t="shared" si="60"/>
        <v/>
      </c>
      <c r="G239" s="107" t="str">
        <f t="shared" si="60"/>
        <v/>
      </c>
      <c r="H239" s="107" t="str">
        <f t="shared" si="60"/>
        <v/>
      </c>
      <c r="I239" s="107" t="str">
        <f t="shared" si="60"/>
        <v/>
      </c>
      <c r="J239" s="107" t="str">
        <f t="shared" si="60"/>
        <v/>
      </c>
      <c r="K239" s="107" t="str">
        <f t="shared" si="60"/>
        <v/>
      </c>
      <c r="L239" s="107" t="str">
        <f t="shared" si="60"/>
        <v/>
      </c>
      <c r="M239" s="107" t="str">
        <f t="shared" si="60"/>
        <v/>
      </c>
      <c r="N239" s="107" t="str">
        <f t="shared" si="60"/>
        <v/>
      </c>
      <c r="O239" s="107" t="str">
        <f t="shared" si="60"/>
        <v/>
      </c>
      <c r="P239" s="107" t="str">
        <f t="shared" si="60"/>
        <v/>
      </c>
      <c r="Q239" s="107" t="str">
        <f t="shared" si="60"/>
        <v/>
      </c>
      <c r="R239" s="107" t="str">
        <f t="shared" si="60"/>
        <v/>
      </c>
      <c r="S239" s="107" t="str">
        <f t="shared" si="60"/>
        <v/>
      </c>
      <c r="T239" s="107" t="str">
        <f t="shared" si="60"/>
        <v/>
      </c>
      <c r="U239" s="107" t="str">
        <f t="shared" si="60"/>
        <v/>
      </c>
      <c r="V239" s="107" t="str">
        <f t="shared" si="60"/>
        <v/>
      </c>
      <c r="W239" s="107" t="str">
        <f t="shared" si="60"/>
        <v/>
      </c>
      <c r="X239" s="107" t="str">
        <f t="shared" si="60"/>
        <v/>
      </c>
      <c r="Y239" s="107" t="str">
        <f t="shared" si="60"/>
        <v/>
      </c>
      <c r="Z239" s="107" t="str">
        <f t="shared" si="60"/>
        <v/>
      </c>
      <c r="AA239" s="107" t="str">
        <f t="shared" si="60"/>
        <v/>
      </c>
      <c r="AB239" s="107" t="str">
        <f t="shared" si="60"/>
        <v/>
      </c>
      <c r="AC239" s="107" t="str">
        <f t="shared" si="60"/>
        <v/>
      </c>
      <c r="AD239" s="107" t="str">
        <f t="shared" si="60"/>
        <v/>
      </c>
      <c r="AE239" s="107" t="str">
        <f t="shared" si="60"/>
        <v/>
      </c>
      <c r="AF239" s="107" t="str">
        <f t="shared" si="6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D94:AF100 X11:AF11">
    <cfRule type="expression" dxfId="5365" priority="202">
      <formula>B$9&gt;=20/24</formula>
    </cfRule>
    <cfRule type="expression" dxfId="5364" priority="203">
      <formula>AND(B$9&gt;=14/24,B$9&lt;20/24)</formula>
    </cfRule>
    <cfRule type="expression" dxfId="5363" priority="204">
      <formula>AND(B$9&gt;=8/24,B$9&lt;14/24)</formula>
    </cfRule>
    <cfRule type="expression" dxfId="5362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5361" priority="197">
      <formula>AA$9&gt;=20/24</formula>
    </cfRule>
    <cfRule type="expression" dxfId="5360" priority="198">
      <formula>AND(AA$9&gt;=14/24,AA$9&lt;20/24)</formula>
    </cfRule>
    <cfRule type="expression" dxfId="5359" priority="199">
      <formula>AND(AA$9&gt;=8/24,AA$9&lt;14/24)</formula>
    </cfRule>
    <cfRule type="expression" dxfId="5358" priority="200">
      <formula>AA$9&lt;8/24</formula>
    </cfRule>
  </conditionalFormatting>
  <conditionalFormatting sqref="AG51 AA37:AF37 L11:AF11">
    <cfRule type="expression" dxfId="5357" priority="196">
      <formula>L11&gt;$AG11</formula>
    </cfRule>
  </conditionalFormatting>
  <conditionalFormatting sqref="A101:A157 A84:A97 A11:A14 A16:A32 A45:A72 A80:A82 A74:A78 A35:A43 A170:A200">
    <cfRule type="expression" dxfId="5356" priority="195">
      <formula>$AH11=0</formula>
    </cfRule>
  </conditionalFormatting>
  <conditionalFormatting sqref="A98">
    <cfRule type="expression" dxfId="5355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354" priority="192">
      <formula>$AH34=0</formula>
    </cfRule>
  </conditionalFormatting>
  <conditionalFormatting sqref="A83">
    <cfRule type="expression" dxfId="5353" priority="191">
      <formula>$AH83=0</formula>
    </cfRule>
  </conditionalFormatting>
  <conditionalFormatting sqref="A15">
    <cfRule type="expression" dxfId="5352" priority="190">
      <formula>$AH15=0</formula>
    </cfRule>
  </conditionalFormatting>
  <conditionalFormatting sqref="A164:A169">
    <cfRule type="expression" dxfId="5351" priority="189">
      <formula>$AH164=0</formula>
    </cfRule>
  </conditionalFormatting>
  <conditionalFormatting sqref="A158:A163">
    <cfRule type="expression" dxfId="5350" priority="188">
      <formula>$AH158=0</formula>
    </cfRule>
  </conditionalFormatting>
  <conditionalFormatting sqref="A44">
    <cfRule type="expression" dxfId="5349" priority="187">
      <formula>$AH44=0</formula>
    </cfRule>
  </conditionalFormatting>
  <conditionalFormatting sqref="A79">
    <cfRule type="expression" dxfId="5348" priority="186">
      <formula>$AH79=0</formula>
    </cfRule>
  </conditionalFormatting>
  <conditionalFormatting sqref="A73">
    <cfRule type="expression" dxfId="5347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346" priority="181">
      <formula>C$9&gt;=20/24</formula>
    </cfRule>
    <cfRule type="expression" dxfId="5345" priority="182">
      <formula>AND(C$9&gt;=14/24,C$9&lt;20/24)</formula>
    </cfRule>
    <cfRule type="expression" dxfId="5344" priority="183">
      <formula>AND(C$9&gt;=8/24,C$9&lt;14/24)</formula>
    </cfRule>
    <cfRule type="expression" dxfId="5343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342" priority="209">
      <formula>C$9&gt;=20/24</formula>
    </cfRule>
    <cfRule type="expression" dxfId="5341" priority="210">
      <formula>AND(C$9&gt;=14/24,C$9&lt;20/24)</formula>
    </cfRule>
    <cfRule type="expression" dxfId="5340" priority="211">
      <formula>AND(C$9&gt;=8/24,C$9&lt;14/24)</formula>
    </cfRule>
    <cfRule type="expression" dxfId="5339" priority="212">
      <formula>C$9&lt;8/24</formula>
    </cfRule>
  </conditionalFormatting>
  <conditionalFormatting sqref="A201">
    <cfRule type="expression" dxfId="5338" priority="213">
      <formula>$AH201=0</formula>
    </cfRule>
  </conditionalFormatting>
  <conditionalFormatting sqref="AG213">
    <cfRule type="expression" dxfId="5337" priority="214">
      <formula>B$9&gt;=20/24</formula>
    </cfRule>
    <cfRule type="expression" dxfId="5336" priority="215">
      <formula>AND(B$9&gt;=14/24,B$9&lt;20/24)</formula>
    </cfRule>
    <cfRule type="expression" dxfId="5335" priority="216">
      <formula>AND(B$9&gt;=8/24,B$9&lt;14/24)</formula>
    </cfRule>
    <cfRule type="expression" dxfId="5334" priority="217">
      <formula>B$9&lt;8/24</formula>
    </cfRule>
  </conditionalFormatting>
  <conditionalFormatting sqref="S8">
    <cfRule type="expression" dxfId="5333" priority="175">
      <formula>U$9&gt;=20/24</formula>
    </cfRule>
    <cfRule type="expression" dxfId="5332" priority="176">
      <formula>AND(U$9&gt;=14/24,U$9&lt;20/24)</formula>
    </cfRule>
    <cfRule type="expression" dxfId="5331" priority="177">
      <formula>AND(U$9&gt;=8/24,U$9&lt;14/24)</formula>
    </cfRule>
    <cfRule type="expression" dxfId="5330" priority="178">
      <formula>U$9&lt;8/24</formula>
    </cfRule>
  </conditionalFormatting>
  <conditionalFormatting sqref="AB8">
    <cfRule type="expression" dxfId="5329" priority="171">
      <formula>AD$9&gt;=20/24</formula>
    </cfRule>
    <cfRule type="expression" dxfId="5328" priority="172">
      <formula>AND(AD$9&gt;=14/24,AD$9&lt;20/24)</formula>
    </cfRule>
    <cfRule type="expression" dxfId="5327" priority="173">
      <formula>AND(AD$9&gt;=8/24,AD$9&lt;14/24)</formula>
    </cfRule>
    <cfRule type="expression" dxfId="5326" priority="174">
      <formula>AD$9&lt;8/24</formula>
    </cfRule>
  </conditionalFormatting>
  <conditionalFormatting sqref="AH213:AX213">
    <cfRule type="expression" dxfId="5325" priority="218">
      <formula>AG$9&gt;=20/24</formula>
    </cfRule>
    <cfRule type="expression" dxfId="5324" priority="219">
      <formula>AND(AG$9&gt;=14/24,AG$9&lt;20/24)</formula>
    </cfRule>
    <cfRule type="expression" dxfId="5323" priority="220">
      <formula>AND(AG$9&gt;=8/24,AG$9&lt;14/24)</formula>
    </cfRule>
    <cfRule type="expression" dxfId="5322" priority="221">
      <formula>AG$9&lt;8/24</formula>
    </cfRule>
  </conditionalFormatting>
  <conditionalFormatting sqref="T213">
    <cfRule type="expression" dxfId="5321" priority="222">
      <formula>AX$9&gt;=20/24</formula>
    </cfRule>
    <cfRule type="expression" dxfId="5320" priority="223">
      <formula>AND(AX$9&gt;=14/24,AX$9&lt;20/24)</formula>
    </cfRule>
    <cfRule type="expression" dxfId="5319" priority="224">
      <formula>AND(AX$9&gt;=8/24,AX$9&lt;14/24)</formula>
    </cfRule>
    <cfRule type="expression" dxfId="5318" priority="225">
      <formula>AX$9&lt;8/24</formula>
    </cfRule>
  </conditionalFormatting>
  <conditionalFormatting sqref="A99:A100">
    <cfRule type="expression" dxfId="5317" priority="170">
      <formula>$AH99=0</formula>
    </cfRule>
  </conditionalFormatting>
  <conditionalFormatting sqref="L40:L41 E11:K11 C57:AF57 Y40:AF41 AA36:AF36">
    <cfRule type="expression" dxfId="5316" priority="166">
      <formula>C$9&gt;=20/24</formula>
    </cfRule>
    <cfRule type="expression" dxfId="5315" priority="167">
      <formula>AND(C$9&gt;=14/24,C$9&lt;20/24)</formula>
    </cfRule>
    <cfRule type="expression" dxfId="5314" priority="168">
      <formula>AND(C$9&gt;=8/24,C$9&lt;14/24)</formula>
    </cfRule>
    <cfRule type="expression" dxfId="5313" priority="169">
      <formula>C$9&lt;8/24</formula>
    </cfRule>
  </conditionalFormatting>
  <conditionalFormatting sqref="L39 Y39:AF39">
    <cfRule type="expression" dxfId="5312" priority="162">
      <formula>L$9&gt;=20/24</formula>
    </cfRule>
    <cfRule type="expression" dxfId="5311" priority="163">
      <formula>AND(L$9&gt;=14/24,L$9&lt;20/24)</formula>
    </cfRule>
    <cfRule type="expression" dxfId="5310" priority="164">
      <formula>AND(L$9&gt;=8/24,L$9&lt;14/24)</formula>
    </cfRule>
    <cfRule type="expression" dxfId="5309" priority="165">
      <formula>L$9&lt;8/24</formula>
    </cfRule>
  </conditionalFormatting>
  <conditionalFormatting sqref="L39:L41 E11:K11 Y39:AF41 AA36:AF36">
    <cfRule type="expression" dxfId="5308" priority="161">
      <formula>E11&gt;$AG11</formula>
    </cfRule>
  </conditionalFormatting>
  <conditionalFormatting sqref="M11:P11 C83:AF83 C75:AF81 C58:F59 C68:AF73 E62:E63 C56:AF56 C60:E61 C85:D89 F60:F63 L58:T59 G58:K63 E85:AF91 E67:L67 L60:L63 E12:P14 M60:T67 D53:AF55 Q11:W14 X12:AF14 AA16:AF16 AA28:AF31 AA18:AF22 AA24:AF26 U58:AF67">
    <cfRule type="expression" dxfId="5307" priority="157">
      <formula>C$9&gt;=20/24</formula>
    </cfRule>
    <cfRule type="expression" dxfId="5306" priority="158">
      <formula>AND(C$9&gt;=14/24,C$9&lt;20/24)</formula>
    </cfRule>
    <cfRule type="expression" dxfId="5305" priority="159">
      <formula>AND(C$9&gt;=8/24,C$9&lt;14/24)</formula>
    </cfRule>
    <cfRule type="expression" dxfId="5304" priority="160">
      <formula>C$9&lt;8/24</formula>
    </cfRule>
  </conditionalFormatting>
  <conditionalFormatting sqref="AA32:AF32">
    <cfRule type="expression" dxfId="5303" priority="153">
      <formula>AA$9&gt;=20/24</formula>
    </cfRule>
    <cfRule type="expression" dxfId="5302" priority="154">
      <formula>AND(AA$9&gt;=14/24,AA$9&lt;20/24)</formula>
    </cfRule>
    <cfRule type="expression" dxfId="5301" priority="155">
      <formula>AND(AA$9&gt;=8/24,AA$9&lt;14/24)</formula>
    </cfRule>
    <cfRule type="expression" dxfId="5300" priority="156">
      <formula>AA$9&lt;8/24</formula>
    </cfRule>
  </conditionalFormatting>
  <conditionalFormatting sqref="AA35:AF35">
    <cfRule type="expression" dxfId="5299" priority="149">
      <formula>AA$9&gt;=20/24</formula>
    </cfRule>
    <cfRule type="expression" dxfId="5298" priority="150">
      <formula>AND(AA$9&gt;=14/24,AA$9&lt;20/24)</formula>
    </cfRule>
    <cfRule type="expression" dxfId="5297" priority="151">
      <formula>AND(AA$9&gt;=8/24,AA$9&lt;14/24)</formula>
    </cfRule>
    <cfRule type="expression" dxfId="5296" priority="152">
      <formula>AA$9&lt;8/24</formula>
    </cfRule>
  </conditionalFormatting>
  <conditionalFormatting sqref="M11:P11 C38:AF38 L42:L44 AB42:AF43 C51:AF52 C56:AF56 E12:M13 L15 E14:L14 M14:M15 N12:P15 D53:AF55 Q11:W15 E37:Z37 X12:AD14 AA16:AC16 X15:AC15 AD15:AD16 AA34:AF35 AA18:AF22 AA24:AF32 AE12:AF16">
    <cfRule type="expression" dxfId="5295" priority="148">
      <formula>C11&gt;$AG11</formula>
    </cfRule>
  </conditionalFormatting>
  <conditionalFormatting sqref="AA34:AF34">
    <cfRule type="expression" dxfId="5294" priority="144">
      <formula>AA$9&gt;=20/24</formula>
    </cfRule>
    <cfRule type="expression" dxfId="5293" priority="145">
      <formula>AND(AA$9&gt;=14/24,AA$9&lt;20/24)</formula>
    </cfRule>
    <cfRule type="expression" dxfId="5292" priority="146">
      <formula>AND(AA$9&gt;=8/24,AA$9&lt;14/24)</formula>
    </cfRule>
    <cfRule type="expression" dxfId="5291" priority="147">
      <formula>AA$9&lt;8/24</formula>
    </cfRule>
  </conditionalFormatting>
  <conditionalFormatting sqref="L15:AF15">
    <cfRule type="expression" dxfId="5290" priority="140">
      <formula>L$9&gt;=20/24</formula>
    </cfRule>
    <cfRule type="expression" dxfId="5289" priority="141">
      <formula>AND(L$9&gt;=14/24,L$9&lt;20/24)</formula>
    </cfRule>
    <cfRule type="expression" dxfId="5288" priority="142">
      <formula>AND(L$9&gt;=8/24,L$9&lt;14/24)</formula>
    </cfRule>
    <cfRule type="expression" dxfId="5287" priority="143">
      <formula>L$9&lt;8/24</formula>
    </cfRule>
  </conditionalFormatting>
  <conditionalFormatting sqref="AA33:AF33">
    <cfRule type="expression" dxfId="5286" priority="136">
      <formula>AA$9&gt;=20/24</formula>
    </cfRule>
    <cfRule type="expression" dxfId="5285" priority="137">
      <formula>AND(AA$9&gt;=14/24,AA$9&lt;20/24)</formula>
    </cfRule>
    <cfRule type="expression" dxfId="5284" priority="138">
      <formula>AND(AA$9&gt;=8/24,AA$9&lt;14/24)</formula>
    </cfRule>
    <cfRule type="expression" dxfId="5283" priority="139">
      <formula>AA$9&lt;8/24</formula>
    </cfRule>
  </conditionalFormatting>
  <conditionalFormatting sqref="AA33:AF33">
    <cfRule type="expression" dxfId="5282" priority="135">
      <formula>AA33&gt;$AG33</formula>
    </cfRule>
  </conditionalFormatting>
  <conditionalFormatting sqref="X42:AA43 AC45:AF45">
    <cfRule type="expression" dxfId="5281" priority="127">
      <formula>X$9&gt;=20/24</formula>
    </cfRule>
    <cfRule type="expression" dxfId="5280" priority="128">
      <formula>AND(X$9&gt;=14/24,X$9&lt;20/24)</formula>
    </cfRule>
    <cfRule type="expression" dxfId="5279" priority="129">
      <formula>AND(X$9&gt;=8/24,X$9&lt;14/24)</formula>
    </cfRule>
    <cfRule type="expression" dxfId="5278" priority="130">
      <formula>X$9&lt;8/24</formula>
    </cfRule>
  </conditionalFormatting>
  <conditionalFormatting sqref="X42:AA43 AC45:AF45">
    <cfRule type="expression" dxfId="5277" priority="126">
      <formula>X42&gt;$AG42</formula>
    </cfRule>
  </conditionalFormatting>
  <conditionalFormatting sqref="M39:W50 X44:AB50 AC44:AF44 AC46:AF50">
    <cfRule type="expression" dxfId="5276" priority="122">
      <formula>M$9&gt;=20/24</formula>
    </cfRule>
    <cfRule type="expression" dxfId="5275" priority="123">
      <formula>AND(M$9&gt;=14/24,M$9&lt;20/24)</formula>
    </cfRule>
    <cfRule type="expression" dxfId="5274" priority="124">
      <formula>AND(M$9&gt;=8/24,M$9&lt;14/24)</formula>
    </cfRule>
    <cfRule type="expression" dxfId="5273" priority="125">
      <formula>M$9&lt;8/24</formula>
    </cfRule>
  </conditionalFormatting>
  <conditionalFormatting sqref="M39:W50 X44:AB50 AC44:AF44 AC46:AF50">
    <cfRule type="expression" dxfId="5272" priority="121">
      <formula>M39&gt;$AG39</formula>
    </cfRule>
  </conditionalFormatting>
  <conditionalFormatting sqref="AA27:AF27">
    <cfRule type="expression" dxfId="5271" priority="117">
      <formula>AA$9&gt;=20/24</formula>
    </cfRule>
    <cfRule type="expression" dxfId="5270" priority="118">
      <formula>AND(AA$9&gt;=14/24,AA$9&lt;20/24)</formula>
    </cfRule>
    <cfRule type="expression" dxfId="5269" priority="119">
      <formula>AND(AA$9&gt;=8/24,AA$9&lt;14/24)</formula>
    </cfRule>
    <cfRule type="expression" dxfId="5268" priority="120">
      <formula>AA$9&lt;8/24</formula>
    </cfRule>
  </conditionalFormatting>
  <conditionalFormatting sqref="C74:I74 E16:Z16 AA17:AF17 AA23:AF23">
    <cfRule type="expression" dxfId="5267" priority="113">
      <formula>C$9&gt;=20/24</formula>
    </cfRule>
    <cfRule type="expression" dxfId="5266" priority="114">
      <formula>AND(C$9&gt;=14/24,C$9&lt;20/24)</formula>
    </cfRule>
    <cfRule type="expression" dxfId="5265" priority="115">
      <formula>AND(C$9&gt;=8/24,C$9&lt;14/24)</formula>
    </cfRule>
    <cfRule type="expression" dxfId="5264" priority="116">
      <formula>C$9&lt;8/24</formula>
    </cfRule>
  </conditionalFormatting>
  <conditionalFormatting sqref="E16:Z16 AA17:AF17 AA23:AF23">
    <cfRule type="expression" dxfId="5263" priority="104">
      <formula>E16&gt;$AG16</formula>
    </cfRule>
  </conditionalFormatting>
  <conditionalFormatting sqref="C40:K41">
    <cfRule type="expression" dxfId="5262" priority="87">
      <formula>C$9&gt;=20/24</formula>
    </cfRule>
    <cfRule type="expression" dxfId="5261" priority="88">
      <formula>AND(C$9&gt;=14/24,C$9&lt;20/24)</formula>
    </cfRule>
    <cfRule type="expression" dxfId="5260" priority="89">
      <formula>AND(C$9&gt;=8/24,C$9&lt;14/24)</formula>
    </cfRule>
    <cfRule type="expression" dxfId="5259" priority="90">
      <formula>C$9&lt;8/24</formula>
    </cfRule>
  </conditionalFormatting>
  <conditionalFormatting sqref="C39:K39">
    <cfRule type="expression" dxfId="5258" priority="83">
      <formula>C$9&gt;=20/24</formula>
    </cfRule>
    <cfRule type="expression" dxfId="5257" priority="84">
      <formula>AND(C$9&gt;=14/24,C$9&lt;20/24)</formula>
    </cfRule>
    <cfRule type="expression" dxfId="5256" priority="85">
      <formula>AND(C$9&gt;=8/24,C$9&lt;14/24)</formula>
    </cfRule>
    <cfRule type="expression" dxfId="5255" priority="86">
      <formula>C$9&lt;8/24</formula>
    </cfRule>
  </conditionalFormatting>
  <conditionalFormatting sqref="C39:K41">
    <cfRule type="expression" dxfId="5254" priority="82">
      <formula>C39&gt;$AG39</formula>
    </cfRule>
  </conditionalFormatting>
  <conditionalFormatting sqref="E64:L66">
    <cfRule type="expression" dxfId="5253" priority="78">
      <formula>E$9&gt;=20/24</formula>
    </cfRule>
    <cfRule type="expression" dxfId="5252" priority="79">
      <formula>AND(E$9&gt;=14/24,E$9&lt;20/24)</formula>
    </cfRule>
    <cfRule type="expression" dxfId="5251" priority="80">
      <formula>AND(E$9&gt;=8/24,E$9&lt;14/24)</formula>
    </cfRule>
    <cfRule type="expression" dxfId="5250" priority="81">
      <formula>E$9&lt;8/24</formula>
    </cfRule>
  </conditionalFormatting>
  <conditionalFormatting sqref="C42:K43">
    <cfRule type="expression" dxfId="5249" priority="77">
      <formula>C42&gt;$AG42</formula>
    </cfRule>
  </conditionalFormatting>
  <conditionalFormatting sqref="X40:X41">
    <cfRule type="expression" dxfId="5248" priority="68">
      <formula>X$9&gt;=20/24</formula>
    </cfRule>
    <cfRule type="expression" dxfId="5247" priority="69">
      <formula>AND(X$9&gt;=14/24,X$9&lt;20/24)</formula>
    </cfRule>
    <cfRule type="expression" dxfId="5246" priority="70">
      <formula>AND(X$9&gt;=8/24,X$9&lt;14/24)</formula>
    </cfRule>
    <cfRule type="expression" dxfId="5245" priority="71">
      <formula>X$9&lt;8/24</formula>
    </cfRule>
  </conditionalFormatting>
  <conditionalFormatting sqref="X39">
    <cfRule type="expression" dxfId="5244" priority="64">
      <formula>X$9&gt;=20/24</formula>
    </cfRule>
    <cfRule type="expression" dxfId="5243" priority="65">
      <formula>AND(X$9&gt;=14/24,X$9&lt;20/24)</formula>
    </cfRule>
    <cfRule type="expression" dxfId="5242" priority="66">
      <formula>AND(X$9&gt;=8/24,X$9&lt;14/24)</formula>
    </cfRule>
    <cfRule type="expression" dxfId="5241" priority="67">
      <formula>X$9&lt;8/24</formula>
    </cfRule>
  </conditionalFormatting>
  <conditionalFormatting sqref="X39:X41">
    <cfRule type="expression" dxfId="5240" priority="63">
      <formula>X39&gt;$AG39</formula>
    </cfRule>
  </conditionalFormatting>
  <conditionalFormatting sqref="B82 B74 B94:C100 B11:D11">
    <cfRule type="expression" dxfId="5239" priority="59">
      <formula>B$9&gt;=20/24</formula>
    </cfRule>
    <cfRule type="expression" dxfId="5238" priority="60">
      <formula>AND(B$9&gt;=14/24,B$9&lt;20/24)</formula>
    </cfRule>
    <cfRule type="expression" dxfId="5237" priority="61">
      <formula>AND(B$9&gt;=8/24,B$9&lt;14/24)</formula>
    </cfRule>
    <cfRule type="expression" dxfId="5236" priority="62">
      <formula>B$9&lt;8/24</formula>
    </cfRule>
  </conditionalFormatting>
  <conditionalFormatting sqref="B37:D37">
    <cfRule type="expression" dxfId="5235" priority="55">
      <formula>B$9&gt;=20/24</formula>
    </cfRule>
    <cfRule type="expression" dxfId="5234" priority="56">
      <formula>AND(B$9&gt;=14/24,B$9&lt;20/24)</formula>
    </cfRule>
    <cfRule type="expression" dxfId="5233" priority="57">
      <formula>AND(B$9&gt;=8/24,B$9&lt;14/24)</formula>
    </cfRule>
    <cfRule type="expression" dxfId="5232" priority="58">
      <formula>B$9&lt;8/24</formula>
    </cfRule>
  </conditionalFormatting>
  <conditionalFormatting sqref="B37:D37 B11:D11">
    <cfRule type="expression" dxfId="5231" priority="54">
      <formula>B11&gt;$AG11</formula>
    </cfRule>
  </conditionalFormatting>
  <conditionalFormatting sqref="B84">
    <cfRule type="expression" dxfId="5230" priority="50">
      <formula>B$9&gt;=20/24</formula>
    </cfRule>
    <cfRule type="expression" dxfId="5229" priority="51">
      <formula>AND(B$9&gt;=14/24,B$9&lt;20/24)</formula>
    </cfRule>
    <cfRule type="expression" dxfId="5228" priority="52">
      <formula>AND(B$9&gt;=8/24,B$9&lt;14/24)</formula>
    </cfRule>
    <cfRule type="expression" dxfId="5227" priority="53">
      <formula>B$9&lt;8/24</formula>
    </cfRule>
  </conditionalFormatting>
  <conditionalFormatting sqref="B40:B41 B57 B36:Z36">
    <cfRule type="expression" dxfId="5226" priority="46">
      <formula>B$9&gt;=20/24</formula>
    </cfRule>
    <cfRule type="expression" dxfId="5225" priority="47">
      <formula>AND(B$9&gt;=14/24,B$9&lt;20/24)</formula>
    </cfRule>
    <cfRule type="expression" dxfId="5224" priority="48">
      <formula>AND(B$9&gt;=8/24,B$9&lt;14/24)</formula>
    </cfRule>
    <cfRule type="expression" dxfId="5223" priority="49">
      <formula>B$9&lt;8/24</formula>
    </cfRule>
  </conditionalFormatting>
  <conditionalFormatting sqref="B39">
    <cfRule type="expression" dxfId="5222" priority="42">
      <formula>B$9&gt;=20/24</formula>
    </cfRule>
    <cfRule type="expression" dxfId="5221" priority="43">
      <formula>AND(B$9&gt;=14/24,B$9&lt;20/24)</formula>
    </cfRule>
    <cfRule type="expression" dxfId="5220" priority="44">
      <formula>AND(B$9&gt;=8/24,B$9&lt;14/24)</formula>
    </cfRule>
    <cfRule type="expression" dxfId="5219" priority="45">
      <formula>B$9&lt;8/24</formula>
    </cfRule>
  </conditionalFormatting>
  <conditionalFormatting sqref="B39:B41 B36:Z36">
    <cfRule type="expression" dxfId="5218" priority="41">
      <formula>B36&gt;$AG36</formula>
    </cfRule>
  </conditionalFormatting>
  <conditionalFormatting sqref="B83 B75:B81 B85:B91 B53:B56 B58:B73 C53:C55 B12:D14 B16:D16 C62:D67 C90:D91 B28:Z31 B18:Z22 B24:Z26">
    <cfRule type="expression" dxfId="5217" priority="37">
      <formula>B$9&gt;=20/24</formula>
    </cfRule>
    <cfRule type="expression" dxfId="5216" priority="38">
      <formula>AND(B$9&gt;=14/24,B$9&lt;20/24)</formula>
    </cfRule>
    <cfRule type="expression" dxfId="5215" priority="39">
      <formula>AND(B$9&gt;=8/24,B$9&lt;14/24)</formula>
    </cfRule>
    <cfRule type="expression" dxfId="5214" priority="40">
      <formula>B$9&lt;8/24</formula>
    </cfRule>
  </conditionalFormatting>
  <conditionalFormatting sqref="B32:Z32">
    <cfRule type="expression" dxfId="5213" priority="33">
      <formula>B$9&gt;=20/24</formula>
    </cfRule>
    <cfRule type="expression" dxfId="5212" priority="34">
      <formula>AND(B$9&gt;=14/24,B$9&lt;20/24)</formula>
    </cfRule>
    <cfRule type="expression" dxfId="5211" priority="35">
      <formula>AND(B$9&gt;=8/24,B$9&lt;14/24)</formula>
    </cfRule>
    <cfRule type="expression" dxfId="5210" priority="36">
      <formula>B$9&lt;8/24</formula>
    </cfRule>
  </conditionalFormatting>
  <conditionalFormatting sqref="B35:Z35">
    <cfRule type="expression" dxfId="5209" priority="29">
      <formula>B$9&gt;=20/24</formula>
    </cfRule>
    <cfRule type="expression" dxfId="5208" priority="30">
      <formula>AND(B$9&gt;=14/24,B$9&lt;20/24)</formula>
    </cfRule>
    <cfRule type="expression" dxfId="5207" priority="31">
      <formula>AND(B$9&gt;=8/24,B$9&lt;14/24)</formula>
    </cfRule>
    <cfRule type="expression" dxfId="5206" priority="32">
      <formula>B$9&lt;8/24</formula>
    </cfRule>
  </conditionalFormatting>
  <conditionalFormatting sqref="B38 B42:B43 B51:B56 C53:C55 B12:D16 E15:K15 B34:Z35 B18:Z22 B24:Z32">
    <cfRule type="expression" dxfId="5205" priority="28">
      <formula>B12&gt;$AG12</formula>
    </cfRule>
  </conditionalFormatting>
  <conditionalFormatting sqref="B34:Z34">
    <cfRule type="expression" dxfId="5204" priority="24">
      <formula>B$9&gt;=20/24</formula>
    </cfRule>
    <cfRule type="expression" dxfId="5203" priority="25">
      <formula>AND(B$9&gt;=14/24,B$9&lt;20/24)</formula>
    </cfRule>
    <cfRule type="expression" dxfId="5202" priority="26">
      <formula>AND(B$9&gt;=8/24,B$9&lt;14/24)</formula>
    </cfRule>
    <cfRule type="expression" dxfId="5201" priority="27">
      <formula>B$9&lt;8/24</formula>
    </cfRule>
  </conditionalFormatting>
  <conditionalFormatting sqref="B15:K15">
    <cfRule type="expression" dxfId="5200" priority="20">
      <formula>B$9&gt;=20/24</formula>
    </cfRule>
    <cfRule type="expression" dxfId="5199" priority="21">
      <formula>AND(B$9&gt;=14/24,B$9&lt;20/24)</formula>
    </cfRule>
    <cfRule type="expression" dxfId="5198" priority="22">
      <formula>AND(B$9&gt;=8/24,B$9&lt;14/24)</formula>
    </cfRule>
    <cfRule type="expression" dxfId="5197" priority="23">
      <formula>B$9&lt;8/24</formula>
    </cfRule>
  </conditionalFormatting>
  <conditionalFormatting sqref="B33:Z33">
    <cfRule type="expression" dxfId="5196" priority="16">
      <formula>B$9&gt;=20/24</formula>
    </cfRule>
    <cfRule type="expression" dxfId="5195" priority="17">
      <formula>AND(B$9&gt;=14/24,B$9&lt;20/24)</formula>
    </cfRule>
    <cfRule type="expression" dxfId="5194" priority="18">
      <formula>AND(B$9&gt;=8/24,B$9&lt;14/24)</formula>
    </cfRule>
    <cfRule type="expression" dxfId="5193" priority="19">
      <formula>B$9&lt;8/24</formula>
    </cfRule>
  </conditionalFormatting>
  <conditionalFormatting sqref="B33:Z33">
    <cfRule type="expression" dxfId="5192" priority="15">
      <formula>B33&gt;$AG33</formula>
    </cfRule>
  </conditionalFormatting>
  <conditionalFormatting sqref="B44:K50 L45:L50">
    <cfRule type="expression" dxfId="5191" priority="11">
      <formula>B$9&gt;=20/24</formula>
    </cfRule>
    <cfRule type="expression" dxfId="5190" priority="12">
      <formula>AND(B$9&gt;=14/24,B$9&lt;20/24)</formula>
    </cfRule>
    <cfRule type="expression" dxfId="5189" priority="13">
      <formula>AND(B$9&gt;=8/24,B$9&lt;14/24)</formula>
    </cfRule>
    <cfRule type="expression" dxfId="5188" priority="14">
      <formula>B$9&lt;8/24</formula>
    </cfRule>
  </conditionalFormatting>
  <conditionalFormatting sqref="B44:K50 L45:L50">
    <cfRule type="expression" dxfId="5187" priority="10">
      <formula>B44&gt;$AG44</formula>
    </cfRule>
  </conditionalFormatting>
  <conditionalFormatting sqref="B27:Z27">
    <cfRule type="expression" dxfId="5186" priority="6">
      <formula>B$9&gt;=20/24</formula>
    </cfRule>
    <cfRule type="expression" dxfId="5185" priority="7">
      <formula>AND(B$9&gt;=14/24,B$9&lt;20/24)</formula>
    </cfRule>
    <cfRule type="expression" dxfId="5184" priority="8">
      <formula>AND(B$9&gt;=8/24,B$9&lt;14/24)</formula>
    </cfRule>
    <cfRule type="expression" dxfId="5183" priority="9">
      <formula>B$9&lt;8/24</formula>
    </cfRule>
  </conditionalFormatting>
  <conditionalFormatting sqref="B17:Z17 B23:Z23">
    <cfRule type="expression" dxfId="5182" priority="2">
      <formula>B$9&gt;=20/24</formula>
    </cfRule>
    <cfRule type="expression" dxfId="5181" priority="3">
      <formula>AND(B$9&gt;=14/24,B$9&lt;20/24)</formula>
    </cfRule>
    <cfRule type="expression" dxfId="5180" priority="4">
      <formula>AND(B$9&gt;=8/24,B$9&lt;14/24)</formula>
    </cfRule>
    <cfRule type="expression" dxfId="5179" priority="5">
      <formula>B$9&lt;8/24</formula>
    </cfRule>
  </conditionalFormatting>
  <conditionalFormatting sqref="B17:Z17 B23:Z23">
    <cfRule type="expression" dxfId="5178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A09D09C8-D5AD-44C6-AEED-9FE5E7E7B0F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E7" sqref="E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2079/02/5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198</v>
      </c>
      <c r="C5" s="32">
        <f t="shared" si="0"/>
        <v>204.8</v>
      </c>
      <c r="D5" s="32">
        <f t="shared" si="0"/>
        <v>178.09999999999997</v>
      </c>
      <c r="E5" s="32">
        <f t="shared" si="0"/>
        <v>188</v>
      </c>
      <c r="F5" s="32">
        <f t="shared" si="0"/>
        <v>160.30000000000001</v>
      </c>
      <c r="G5" s="32">
        <f t="shared" si="0"/>
        <v>180</v>
      </c>
      <c r="H5" s="32">
        <f t="shared" si="0"/>
        <v>244.1</v>
      </c>
      <c r="I5" s="32">
        <f t="shared" si="0"/>
        <v>255.6</v>
      </c>
      <c r="J5" s="32">
        <f t="shared" si="0"/>
        <v>288.5</v>
      </c>
      <c r="K5" s="32">
        <f t="shared" si="0"/>
        <v>283</v>
      </c>
      <c r="L5" s="32">
        <f t="shared" si="0"/>
        <v>258.40000000000003</v>
      </c>
      <c r="M5" s="32">
        <f t="shared" si="0"/>
        <v>266.3</v>
      </c>
      <c r="N5" s="32">
        <f t="shared" si="0"/>
        <v>226</v>
      </c>
      <c r="O5" s="32">
        <f t="shared" si="0"/>
        <v>271.60000000000002</v>
      </c>
      <c r="P5" s="32">
        <f t="shared" si="0"/>
        <v>271.3</v>
      </c>
      <c r="Q5" s="32">
        <f t="shared" si="0"/>
        <v>274.90000000000003</v>
      </c>
      <c r="R5" s="32">
        <f t="shared" si="0"/>
        <v>302.60000000000002</v>
      </c>
      <c r="S5" s="32">
        <f t="shared" si="0"/>
        <v>226.6</v>
      </c>
      <c r="T5" s="32">
        <f t="shared" si="0"/>
        <v>263.10000000000002</v>
      </c>
      <c r="U5" s="32">
        <f t="shared" si="0"/>
        <v>227.71</v>
      </c>
      <c r="V5" s="32">
        <f t="shared" si="0"/>
        <v>149.30000000000001</v>
      </c>
      <c r="W5" s="32">
        <f t="shared" si="0"/>
        <v>119.2</v>
      </c>
      <c r="X5" s="32">
        <f t="shared" si="0"/>
        <v>150</v>
      </c>
      <c r="Y5" s="32">
        <f t="shared" si="0"/>
        <v>135.30000000000001</v>
      </c>
      <c r="Z5" s="32">
        <f t="shared" si="0"/>
        <v>8</v>
      </c>
      <c r="AA5" s="32">
        <f t="shared" si="0"/>
        <v>129.6</v>
      </c>
      <c r="AB5" s="32">
        <f t="shared" si="0"/>
        <v>135.6</v>
      </c>
      <c r="AC5" s="32">
        <f t="shared" si="0"/>
        <v>123.8</v>
      </c>
      <c r="AD5" s="32">
        <f t="shared" si="0"/>
        <v>106.3</v>
      </c>
      <c r="AE5" s="32">
        <f t="shared" si="0"/>
        <v>98</v>
      </c>
      <c r="AF5" s="32">
        <f>B68</f>
        <v>203.5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1501MW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Load=543</v>
      </c>
      <c r="B7" s="37">
        <f>B75</f>
        <v>1426.6999999999998</v>
      </c>
      <c r="C7" s="37">
        <f t="shared" ref="C7:AF7" si="1">C75</f>
        <v>1409.74</v>
      </c>
      <c r="D7" s="37">
        <f t="shared" si="1"/>
        <v>1385.79</v>
      </c>
      <c r="E7" s="37">
        <f t="shared" si="1"/>
        <v>1337.19</v>
      </c>
      <c r="F7" s="37">
        <f t="shared" si="1"/>
        <v>1373.5400000000002</v>
      </c>
      <c r="G7" s="37">
        <f t="shared" si="1"/>
        <v>1341.8400000000001</v>
      </c>
      <c r="H7" s="37">
        <f t="shared" si="1"/>
        <v>1349.54</v>
      </c>
      <c r="I7" s="37">
        <f t="shared" si="1"/>
        <v>1411.6399999999999</v>
      </c>
      <c r="J7" s="37">
        <f t="shared" si="1"/>
        <v>1417.54</v>
      </c>
      <c r="K7" s="37">
        <f t="shared" si="1"/>
        <v>1467.04</v>
      </c>
      <c r="L7" s="37">
        <f t="shared" si="1"/>
        <v>1500.74</v>
      </c>
      <c r="M7" s="37">
        <f t="shared" si="1"/>
        <v>1455.6399999999999</v>
      </c>
      <c r="N7" s="37">
        <f t="shared" si="1"/>
        <v>1494.1400000000003</v>
      </c>
      <c r="O7" s="37">
        <f t="shared" si="1"/>
        <v>1526.64</v>
      </c>
      <c r="P7" s="37">
        <f t="shared" si="1"/>
        <v>1548.64</v>
      </c>
      <c r="Q7" s="37">
        <f t="shared" si="1"/>
        <v>1541.1399999999999</v>
      </c>
      <c r="R7" s="37">
        <f t="shared" si="1"/>
        <v>1540.04</v>
      </c>
      <c r="S7" s="37">
        <f t="shared" si="1"/>
        <v>1572.04</v>
      </c>
      <c r="T7" s="37">
        <f t="shared" si="1"/>
        <v>1456.04</v>
      </c>
      <c r="U7" s="37">
        <f t="shared" si="1"/>
        <v>1467.8400000000001</v>
      </c>
      <c r="V7" s="37">
        <f t="shared" si="1"/>
        <v>1446.3500000000001</v>
      </c>
      <c r="W7" s="37">
        <f t="shared" si="1"/>
        <v>1350.8400000000001</v>
      </c>
      <c r="X7" s="37">
        <f t="shared" si="1"/>
        <v>1268.74</v>
      </c>
      <c r="Y7" s="37">
        <f t="shared" si="1"/>
        <v>1380.3400000000001</v>
      </c>
      <c r="Z7" s="37">
        <f t="shared" si="1"/>
        <v>1416.94</v>
      </c>
      <c r="AA7" s="37">
        <f t="shared" si="1"/>
        <v>543.14</v>
      </c>
      <c r="AB7" s="37">
        <f t="shared" si="1"/>
        <v>1517.8400000000001</v>
      </c>
      <c r="AC7" s="37">
        <f t="shared" si="1"/>
        <v>1518.94</v>
      </c>
      <c r="AD7" s="37">
        <f t="shared" si="1"/>
        <v>1512.14</v>
      </c>
      <c r="AE7" s="37">
        <f t="shared" si="1"/>
        <v>1409.64</v>
      </c>
      <c r="AF7" s="37">
        <f t="shared" si="1"/>
        <v>1346.3400000000001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185</v>
      </c>
      <c r="C11" s="50">
        <v>200</v>
      </c>
      <c r="D11" s="50">
        <v>185</v>
      </c>
      <c r="E11" s="51">
        <v>185</v>
      </c>
      <c r="F11" s="51">
        <v>210</v>
      </c>
      <c r="G11" s="51">
        <v>210</v>
      </c>
      <c r="H11" s="51">
        <v>200</v>
      </c>
      <c r="I11" s="51">
        <v>200</v>
      </c>
      <c r="J11" s="51">
        <v>200</v>
      </c>
      <c r="K11" s="51">
        <v>200</v>
      </c>
      <c r="L11" s="52">
        <v>240</v>
      </c>
      <c r="M11" s="52">
        <v>230</v>
      </c>
      <c r="N11" s="51">
        <v>260</v>
      </c>
      <c r="O11" s="51">
        <v>300</v>
      </c>
      <c r="P11" s="51">
        <v>240</v>
      </c>
      <c r="Q11" s="51">
        <v>250</v>
      </c>
      <c r="R11" s="51">
        <v>260</v>
      </c>
      <c r="S11" s="51">
        <v>240</v>
      </c>
      <c r="T11" s="49">
        <v>200</v>
      </c>
      <c r="U11" s="49">
        <v>180</v>
      </c>
      <c r="V11" s="49">
        <v>200</v>
      </c>
      <c r="W11" s="49">
        <v>180</v>
      </c>
      <c r="X11" s="49">
        <v>130</v>
      </c>
      <c r="Y11" s="49">
        <v>100</v>
      </c>
      <c r="Z11" s="49">
        <v>150</v>
      </c>
      <c r="AA11" s="49"/>
      <c r="AB11" s="49">
        <v>270</v>
      </c>
      <c r="AC11" s="49">
        <v>270</v>
      </c>
      <c r="AD11" s="49">
        <v>270</v>
      </c>
      <c r="AE11" s="49">
        <v>240</v>
      </c>
      <c r="AF11" s="49">
        <v>220</v>
      </c>
      <c r="AG11" s="53">
        <v>456</v>
      </c>
      <c r="AH11" s="54">
        <f>MAX(B11:AF11)</f>
        <v>300</v>
      </c>
      <c r="AI11" s="55">
        <f>MIN(B11:AF11)</f>
        <v>100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43</v>
      </c>
      <c r="C12" s="51">
        <v>43</v>
      </c>
      <c r="D12" s="51">
        <v>43</v>
      </c>
      <c r="E12" s="51">
        <v>43</v>
      </c>
      <c r="F12" s="51">
        <v>43</v>
      </c>
      <c r="G12" s="51">
        <v>43</v>
      </c>
      <c r="H12" s="51">
        <v>43</v>
      </c>
      <c r="I12" s="51">
        <v>43</v>
      </c>
      <c r="J12" s="51">
        <v>43</v>
      </c>
      <c r="K12" s="51">
        <v>43</v>
      </c>
      <c r="L12" s="51">
        <v>43</v>
      </c>
      <c r="M12" s="51">
        <v>32</v>
      </c>
      <c r="N12" s="51">
        <v>32</v>
      </c>
      <c r="O12" s="51">
        <v>32</v>
      </c>
      <c r="P12" s="51">
        <v>32</v>
      </c>
      <c r="Q12" s="51">
        <v>32</v>
      </c>
      <c r="R12" s="51">
        <v>32</v>
      </c>
      <c r="S12" s="51">
        <v>32</v>
      </c>
      <c r="T12" s="51">
        <v>32</v>
      </c>
      <c r="U12" s="51">
        <v>32</v>
      </c>
      <c r="V12" s="51">
        <v>32</v>
      </c>
      <c r="W12" s="51">
        <v>30</v>
      </c>
      <c r="X12" s="51">
        <v>30</v>
      </c>
      <c r="Y12" s="51">
        <v>30</v>
      </c>
      <c r="Z12" s="51">
        <v>30</v>
      </c>
      <c r="AA12" s="51">
        <v>30</v>
      </c>
      <c r="AB12" s="51">
        <v>30</v>
      </c>
      <c r="AC12" s="51">
        <v>30</v>
      </c>
      <c r="AD12" s="51">
        <v>30</v>
      </c>
      <c r="AE12" s="51">
        <v>30</v>
      </c>
      <c r="AF12" s="51">
        <v>30</v>
      </c>
      <c r="AG12" s="58">
        <v>60</v>
      </c>
      <c r="AH12" s="54">
        <f t="shared" ref="AH12:AH75" si="2">MAX(B12:AF12)</f>
        <v>43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19.100000000000001</v>
      </c>
      <c r="C13" s="51">
        <v>21.9</v>
      </c>
      <c r="D13" s="51">
        <v>23</v>
      </c>
      <c r="E13" s="51">
        <v>21</v>
      </c>
      <c r="F13" s="51">
        <v>21</v>
      </c>
      <c r="G13" s="51">
        <v>21</v>
      </c>
      <c r="H13" s="51">
        <v>21</v>
      </c>
      <c r="I13" s="51">
        <v>21</v>
      </c>
      <c r="J13" s="51">
        <v>21</v>
      </c>
      <c r="K13" s="51">
        <v>20.5</v>
      </c>
      <c r="L13" s="51">
        <v>20.5</v>
      </c>
      <c r="M13" s="51">
        <v>20.2</v>
      </c>
      <c r="N13" s="51">
        <v>20.2</v>
      </c>
      <c r="O13" s="51">
        <v>20.2</v>
      </c>
      <c r="P13" s="51">
        <v>20.2</v>
      </c>
      <c r="Q13" s="51">
        <v>18.899999999999999</v>
      </c>
      <c r="R13" s="51">
        <v>18.899999999999999</v>
      </c>
      <c r="S13" s="51">
        <v>18.899999999999999</v>
      </c>
      <c r="T13" s="51">
        <v>18.899999999999999</v>
      </c>
      <c r="U13" s="51">
        <v>18.899999999999999</v>
      </c>
      <c r="V13" s="51">
        <v>18.899999999999999</v>
      </c>
      <c r="W13" s="51">
        <v>18.899999999999999</v>
      </c>
      <c r="X13" s="51">
        <v>18.899999999999999</v>
      </c>
      <c r="Y13" s="51">
        <v>18.899999999999999</v>
      </c>
      <c r="Z13" s="51">
        <v>18.899999999999999</v>
      </c>
      <c r="AA13" s="51">
        <v>18.899999999999999</v>
      </c>
      <c r="AB13" s="51">
        <v>19.3</v>
      </c>
      <c r="AC13" s="51">
        <v>19.3</v>
      </c>
      <c r="AD13" s="51">
        <v>19.3</v>
      </c>
      <c r="AE13" s="51">
        <v>19.3</v>
      </c>
      <c r="AF13" s="51">
        <v>19.3</v>
      </c>
      <c r="AG13" s="58">
        <v>52.4</v>
      </c>
      <c r="AH13" s="54">
        <f t="shared" si="2"/>
        <v>23</v>
      </c>
      <c r="AI13" s="55">
        <f t="shared" si="3"/>
        <v>18.899999999999999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50.5</v>
      </c>
      <c r="C14" s="51">
        <v>50.2</v>
      </c>
      <c r="D14" s="51">
        <v>50.8</v>
      </c>
      <c r="E14" s="51">
        <v>50.4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50.1</v>
      </c>
      <c r="N14" s="51">
        <v>50.1</v>
      </c>
      <c r="O14" s="51">
        <v>50.1</v>
      </c>
      <c r="P14" s="51">
        <v>50.1</v>
      </c>
      <c r="Q14" s="51">
        <v>50.4</v>
      </c>
      <c r="R14" s="51">
        <v>50.3</v>
      </c>
      <c r="S14" s="51">
        <v>50.3</v>
      </c>
      <c r="T14" s="51">
        <v>50.3</v>
      </c>
      <c r="U14" s="51">
        <v>50.3</v>
      </c>
      <c r="V14" s="51">
        <v>50.3</v>
      </c>
      <c r="W14" s="51">
        <v>50.3</v>
      </c>
      <c r="X14" s="51">
        <v>50.3</v>
      </c>
      <c r="Y14" s="51">
        <v>50.3</v>
      </c>
      <c r="Z14" s="51">
        <v>50.3</v>
      </c>
      <c r="AA14" s="51">
        <v>50.3</v>
      </c>
      <c r="AB14" s="51">
        <v>50.3</v>
      </c>
      <c r="AC14" s="51">
        <v>50.3</v>
      </c>
      <c r="AD14" s="51">
        <v>50.3</v>
      </c>
      <c r="AE14" s="51">
        <v>50.3</v>
      </c>
      <c r="AF14" s="51">
        <v>50.3</v>
      </c>
      <c r="AG14" s="58">
        <v>50</v>
      </c>
      <c r="AH14" s="54">
        <f t="shared" si="2"/>
        <v>50.8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23.9</v>
      </c>
      <c r="C15" s="51">
        <v>24.2</v>
      </c>
      <c r="D15" s="51">
        <v>24.2</v>
      </c>
      <c r="E15" s="51">
        <v>24.2</v>
      </c>
      <c r="F15" s="51">
        <v>24.2</v>
      </c>
      <c r="G15" s="51">
        <v>24.2</v>
      </c>
      <c r="H15" s="51">
        <v>24.2</v>
      </c>
      <c r="I15" s="51">
        <v>24.2</v>
      </c>
      <c r="J15" s="51">
        <v>24.2</v>
      </c>
      <c r="K15" s="51">
        <v>24.2</v>
      </c>
      <c r="L15" s="51">
        <v>24.2</v>
      </c>
      <c r="M15" s="51">
        <v>24.2</v>
      </c>
      <c r="N15" s="51">
        <v>24.2</v>
      </c>
      <c r="O15" s="51">
        <v>24.2</v>
      </c>
      <c r="P15" s="51">
        <v>24.2</v>
      </c>
      <c r="Q15" s="51">
        <v>23.9</v>
      </c>
      <c r="R15" s="51">
        <v>23.8</v>
      </c>
      <c r="S15" s="51">
        <v>23.8</v>
      </c>
      <c r="T15" s="51">
        <v>23.8</v>
      </c>
      <c r="U15" s="51">
        <v>23.8</v>
      </c>
      <c r="V15" s="51">
        <v>23.8</v>
      </c>
      <c r="W15" s="51">
        <v>23.8</v>
      </c>
      <c r="X15" s="51">
        <v>23.8</v>
      </c>
      <c r="Y15" s="51">
        <v>23.8</v>
      </c>
      <c r="Z15" s="51">
        <v>23.8</v>
      </c>
      <c r="AA15" s="51">
        <v>23.8</v>
      </c>
      <c r="AB15" s="51">
        <v>24.3</v>
      </c>
      <c r="AC15" s="51">
        <v>24.3</v>
      </c>
      <c r="AD15" s="51">
        <v>24.3</v>
      </c>
      <c r="AE15" s="51">
        <v>24.3</v>
      </c>
      <c r="AF15" s="51">
        <v>24.3</v>
      </c>
      <c r="AG15" s="59">
        <v>45</v>
      </c>
      <c r="AH15" s="54">
        <f t="shared" si="2"/>
        <v>24.3</v>
      </c>
      <c r="AI15" s="55">
        <f t="shared" si="3"/>
        <v>23.8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26</v>
      </c>
      <c r="C16" s="51">
        <v>26</v>
      </c>
      <c r="D16" s="51">
        <v>26</v>
      </c>
      <c r="E16" s="51">
        <v>26</v>
      </c>
      <c r="F16" s="51">
        <v>26</v>
      </c>
      <c r="G16" s="51">
        <v>26</v>
      </c>
      <c r="H16" s="51">
        <v>26</v>
      </c>
      <c r="I16" s="51">
        <v>26</v>
      </c>
      <c r="J16" s="51">
        <v>26</v>
      </c>
      <c r="K16" s="51">
        <v>26</v>
      </c>
      <c r="L16" s="51">
        <v>26</v>
      </c>
      <c r="M16" s="51">
        <v>26</v>
      </c>
      <c r="N16" s="51">
        <v>26</v>
      </c>
      <c r="O16" s="51">
        <v>26</v>
      </c>
      <c r="P16" s="51">
        <v>26</v>
      </c>
      <c r="Q16" s="51">
        <v>26</v>
      </c>
      <c r="R16" s="51">
        <v>26</v>
      </c>
      <c r="S16" s="51">
        <v>26</v>
      </c>
      <c r="T16" s="51">
        <v>26</v>
      </c>
      <c r="U16" s="51">
        <v>26</v>
      </c>
      <c r="V16" s="51">
        <v>26</v>
      </c>
      <c r="W16" s="51">
        <v>26</v>
      </c>
      <c r="X16" s="51">
        <v>26</v>
      </c>
      <c r="Y16" s="51">
        <v>26</v>
      </c>
      <c r="Z16" s="51">
        <v>26</v>
      </c>
      <c r="AA16" s="51">
        <v>26</v>
      </c>
      <c r="AB16" s="51">
        <v>26</v>
      </c>
      <c r="AC16" s="51">
        <v>26</v>
      </c>
      <c r="AD16" s="51">
        <v>26</v>
      </c>
      <c r="AE16" s="51">
        <v>21</v>
      </c>
      <c r="AF16" s="51">
        <v>21</v>
      </c>
      <c r="AG16" s="58">
        <v>45</v>
      </c>
      <c r="AH16" s="54">
        <f t="shared" si="2"/>
        <v>26</v>
      </c>
      <c r="AI16" s="55">
        <f t="shared" si="3"/>
        <v>21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21</v>
      </c>
      <c r="C17" s="51">
        <v>21</v>
      </c>
      <c r="D17" s="51">
        <v>21</v>
      </c>
      <c r="E17" s="51">
        <v>21</v>
      </c>
      <c r="F17" s="51">
        <v>21</v>
      </c>
      <c r="G17" s="51">
        <v>21</v>
      </c>
      <c r="H17" s="51">
        <v>21</v>
      </c>
      <c r="I17" s="51">
        <v>21</v>
      </c>
      <c r="J17" s="51">
        <v>21</v>
      </c>
      <c r="K17" s="51">
        <v>21</v>
      </c>
      <c r="L17" s="51">
        <v>21</v>
      </c>
      <c r="M17" s="51">
        <v>21</v>
      </c>
      <c r="N17" s="51">
        <v>21</v>
      </c>
      <c r="O17" s="51">
        <v>21</v>
      </c>
      <c r="P17" s="51">
        <v>21</v>
      </c>
      <c r="Q17" s="51">
        <v>21</v>
      </c>
      <c r="R17" s="51">
        <v>21</v>
      </c>
      <c r="S17" s="51">
        <v>21</v>
      </c>
      <c r="T17" s="51">
        <v>21</v>
      </c>
      <c r="U17" s="51">
        <v>21</v>
      </c>
      <c r="V17" s="51">
        <v>21</v>
      </c>
      <c r="W17" s="51">
        <v>21</v>
      </c>
      <c r="X17" s="51">
        <v>21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8">
        <v>42</v>
      </c>
      <c r="AH17" s="54">
        <f t="shared" si="2"/>
        <v>21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13.2</v>
      </c>
      <c r="N18" s="51">
        <v>13.2</v>
      </c>
      <c r="O18" s="51">
        <v>13.2</v>
      </c>
      <c r="P18" s="51">
        <v>13.2</v>
      </c>
      <c r="Q18" s="51">
        <v>13.2</v>
      </c>
      <c r="R18" s="51">
        <v>13.2</v>
      </c>
      <c r="S18" s="51">
        <v>13.2</v>
      </c>
      <c r="T18" s="51">
        <v>13.2</v>
      </c>
      <c r="U18" s="51">
        <v>13.2</v>
      </c>
      <c r="V18" s="51">
        <v>13.2</v>
      </c>
      <c r="W18" s="51">
        <v>13.2</v>
      </c>
      <c r="X18" s="51">
        <v>13.2</v>
      </c>
      <c r="Y18" s="51">
        <v>13.2</v>
      </c>
      <c r="Z18" s="51">
        <v>13.2</v>
      </c>
      <c r="AA18" s="51">
        <v>13.2</v>
      </c>
      <c r="AB18" s="51">
        <v>13.2</v>
      </c>
      <c r="AC18" s="51">
        <v>13.2</v>
      </c>
      <c r="AD18" s="51">
        <v>13.2</v>
      </c>
      <c r="AE18" s="51">
        <v>13.2</v>
      </c>
      <c r="AF18" s="51">
        <v>13.2</v>
      </c>
      <c r="AG18" s="58">
        <v>36</v>
      </c>
      <c r="AH18" s="54">
        <f t="shared" si="2"/>
        <v>13.2</v>
      </c>
      <c r="AI18" s="55">
        <f t="shared" si="3"/>
        <v>13.2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19.100000000000001</v>
      </c>
      <c r="C19" s="51">
        <v>19.100000000000001</v>
      </c>
      <c r="D19" s="51">
        <v>19.100000000000001</v>
      </c>
      <c r="E19" s="51">
        <v>19.100000000000001</v>
      </c>
      <c r="F19" s="51">
        <v>20.5</v>
      </c>
      <c r="G19" s="51">
        <v>20.5</v>
      </c>
      <c r="H19" s="51">
        <v>20.5</v>
      </c>
      <c r="I19" s="51">
        <v>20.5</v>
      </c>
      <c r="J19" s="51">
        <v>20.5</v>
      </c>
      <c r="K19" s="51">
        <v>20.5</v>
      </c>
      <c r="L19" s="51">
        <v>20.5</v>
      </c>
      <c r="M19" s="51">
        <v>17</v>
      </c>
      <c r="N19" s="51">
        <v>17</v>
      </c>
      <c r="O19" s="51">
        <v>17</v>
      </c>
      <c r="P19" s="51">
        <v>17</v>
      </c>
      <c r="Q19" s="51">
        <v>13.3</v>
      </c>
      <c r="R19" s="51">
        <v>13.2</v>
      </c>
      <c r="S19" s="51">
        <v>13.2</v>
      </c>
      <c r="T19" s="51">
        <v>13.2</v>
      </c>
      <c r="U19" s="51">
        <v>13.2</v>
      </c>
      <c r="V19" s="51">
        <v>13.2</v>
      </c>
      <c r="W19" s="51">
        <v>13.2</v>
      </c>
      <c r="X19" s="51">
        <v>13.2</v>
      </c>
      <c r="Y19" s="51">
        <v>13.2</v>
      </c>
      <c r="Z19" s="51">
        <v>13.2</v>
      </c>
      <c r="AA19" s="51">
        <v>13.2</v>
      </c>
      <c r="AB19" s="51">
        <v>19</v>
      </c>
      <c r="AC19" s="51">
        <v>19</v>
      </c>
      <c r="AD19" s="51">
        <v>19</v>
      </c>
      <c r="AE19" s="51">
        <v>19</v>
      </c>
      <c r="AF19" s="51">
        <v>19</v>
      </c>
      <c r="AG19" s="58">
        <v>30</v>
      </c>
      <c r="AH19" s="54">
        <f t="shared" si="2"/>
        <v>20.5</v>
      </c>
      <c r="AI19" s="55">
        <f t="shared" si="3"/>
        <v>13.2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12</v>
      </c>
      <c r="C20" s="51">
        <v>12</v>
      </c>
      <c r="D20" s="51">
        <v>12</v>
      </c>
      <c r="E20" s="51">
        <v>12</v>
      </c>
      <c r="F20" s="51">
        <v>12</v>
      </c>
      <c r="G20" s="51">
        <v>12</v>
      </c>
      <c r="H20" s="51">
        <v>12</v>
      </c>
      <c r="I20" s="51">
        <v>12</v>
      </c>
      <c r="J20" s="51">
        <v>12</v>
      </c>
      <c r="K20" s="51">
        <v>12</v>
      </c>
      <c r="L20" s="51">
        <v>12</v>
      </c>
      <c r="M20" s="51">
        <v>12</v>
      </c>
      <c r="N20" s="51">
        <v>12</v>
      </c>
      <c r="O20" s="51">
        <v>12</v>
      </c>
      <c r="P20" s="51">
        <v>12</v>
      </c>
      <c r="Q20" s="51">
        <v>12</v>
      </c>
      <c r="R20" s="51">
        <v>12</v>
      </c>
      <c r="S20" s="51">
        <v>12</v>
      </c>
      <c r="T20" s="51">
        <v>12</v>
      </c>
      <c r="U20" s="51">
        <v>12</v>
      </c>
      <c r="V20" s="51">
        <v>12</v>
      </c>
      <c r="W20" s="51">
        <v>12</v>
      </c>
      <c r="X20" s="51">
        <v>12</v>
      </c>
      <c r="Y20" s="51">
        <v>12</v>
      </c>
      <c r="Z20" s="51">
        <v>12</v>
      </c>
      <c r="AA20" s="51">
        <v>12</v>
      </c>
      <c r="AB20" s="51">
        <v>12</v>
      </c>
      <c r="AC20" s="51">
        <v>12</v>
      </c>
      <c r="AD20" s="51">
        <v>12</v>
      </c>
      <c r="AE20" s="51">
        <v>12</v>
      </c>
      <c r="AF20" s="51">
        <v>12</v>
      </c>
      <c r="AG20" s="58">
        <v>27</v>
      </c>
      <c r="AH20" s="54">
        <f t="shared" si="2"/>
        <v>12</v>
      </c>
      <c r="AI20" s="55">
        <f t="shared" si="3"/>
        <v>12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12</v>
      </c>
      <c r="R22" s="51">
        <v>19</v>
      </c>
      <c r="S22" s="51">
        <v>19</v>
      </c>
      <c r="T22" s="51">
        <v>19</v>
      </c>
      <c r="U22" s="51">
        <v>19</v>
      </c>
      <c r="V22" s="51">
        <v>19</v>
      </c>
      <c r="W22" s="51">
        <v>19</v>
      </c>
      <c r="X22" s="51">
        <v>19</v>
      </c>
      <c r="Y22" s="51">
        <v>19</v>
      </c>
      <c r="Z22" s="51">
        <v>19</v>
      </c>
      <c r="AA22" s="51">
        <v>19</v>
      </c>
      <c r="AB22" s="51">
        <v>19</v>
      </c>
      <c r="AC22" s="51">
        <v>19</v>
      </c>
      <c r="AD22" s="51">
        <v>19</v>
      </c>
      <c r="AE22" s="51">
        <v>19</v>
      </c>
      <c r="AF22" s="51">
        <v>19</v>
      </c>
      <c r="AG22" s="58">
        <v>25</v>
      </c>
      <c r="AH22" s="54">
        <f t="shared" si="2"/>
        <v>22</v>
      </c>
      <c r="AI22" s="55">
        <f t="shared" si="3"/>
        <v>12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15.76</v>
      </c>
      <c r="C24" s="51">
        <v>20.7</v>
      </c>
      <c r="D24" s="51">
        <v>20.75</v>
      </c>
      <c r="E24" s="51">
        <v>20.75</v>
      </c>
      <c r="F24" s="51">
        <v>22</v>
      </c>
      <c r="G24" s="51">
        <v>22</v>
      </c>
      <c r="H24" s="51">
        <v>22</v>
      </c>
      <c r="I24" s="51">
        <v>19.399999999999999</v>
      </c>
      <c r="J24" s="51">
        <v>19.399999999999999</v>
      </c>
      <c r="K24" s="51">
        <v>16.600000000000001</v>
      </c>
      <c r="L24" s="51">
        <v>14.6</v>
      </c>
      <c r="M24" s="51">
        <v>14.9</v>
      </c>
      <c r="N24" s="51">
        <v>14.9</v>
      </c>
      <c r="O24" s="51">
        <v>14.9</v>
      </c>
      <c r="P24" s="51">
        <v>14.9</v>
      </c>
      <c r="Q24" s="51">
        <v>11.6</v>
      </c>
      <c r="R24" s="51">
        <v>12.1</v>
      </c>
      <c r="S24" s="51">
        <v>12.1</v>
      </c>
      <c r="T24" s="51">
        <v>12.1</v>
      </c>
      <c r="U24" s="51">
        <v>12.1</v>
      </c>
      <c r="V24" s="51">
        <v>12.1</v>
      </c>
      <c r="W24" s="51">
        <v>12.1</v>
      </c>
      <c r="X24" s="51">
        <v>12.1</v>
      </c>
      <c r="Y24" s="51">
        <v>12.1</v>
      </c>
      <c r="Z24" s="51">
        <v>12.1</v>
      </c>
      <c r="AA24" s="51">
        <v>12.1</v>
      </c>
      <c r="AB24" s="51">
        <v>12.1</v>
      </c>
      <c r="AC24" s="51">
        <v>12.1</v>
      </c>
      <c r="AD24" s="51">
        <v>12.1</v>
      </c>
      <c r="AE24" s="51">
        <v>12.1</v>
      </c>
      <c r="AF24" s="51">
        <v>12.1</v>
      </c>
      <c r="AG24" s="58">
        <v>25</v>
      </c>
      <c r="AH24" s="54">
        <f t="shared" si="2"/>
        <v>22</v>
      </c>
      <c r="AI24" s="55">
        <f t="shared" si="3"/>
        <v>11.6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8</v>
      </c>
      <c r="C26" s="51">
        <v>8</v>
      </c>
      <c r="D26" s="51">
        <v>8</v>
      </c>
      <c r="E26" s="51">
        <v>8</v>
      </c>
      <c r="F26" s="51">
        <v>8</v>
      </c>
      <c r="G26" s="51">
        <v>8</v>
      </c>
      <c r="H26" s="51">
        <v>8</v>
      </c>
      <c r="I26" s="51">
        <v>8</v>
      </c>
      <c r="J26" s="51">
        <v>8</v>
      </c>
      <c r="K26" s="51">
        <v>8</v>
      </c>
      <c r="L26" s="51">
        <v>8</v>
      </c>
      <c r="M26" s="51">
        <v>8</v>
      </c>
      <c r="N26" s="51">
        <v>8</v>
      </c>
      <c r="O26" s="51">
        <v>8</v>
      </c>
      <c r="P26" s="51">
        <v>8</v>
      </c>
      <c r="Q26" s="51">
        <v>8</v>
      </c>
      <c r="R26" s="51">
        <v>8</v>
      </c>
      <c r="S26" s="51">
        <v>8</v>
      </c>
      <c r="T26" s="51">
        <v>8</v>
      </c>
      <c r="U26" s="51">
        <v>8</v>
      </c>
      <c r="V26" s="51">
        <v>8</v>
      </c>
      <c r="W26" s="51">
        <v>8</v>
      </c>
      <c r="X26" s="51">
        <v>8</v>
      </c>
      <c r="Y26" s="51">
        <v>8</v>
      </c>
      <c r="Z26" s="51">
        <v>8</v>
      </c>
      <c r="AA26" s="51">
        <v>8</v>
      </c>
      <c r="AB26" s="51">
        <v>8</v>
      </c>
      <c r="AC26" s="51">
        <v>8</v>
      </c>
      <c r="AD26" s="51">
        <v>8</v>
      </c>
      <c r="AE26" s="51">
        <v>8</v>
      </c>
      <c r="AF26" s="51">
        <v>8</v>
      </c>
      <c r="AG26" s="58">
        <v>20</v>
      </c>
      <c r="AH26" s="54">
        <f t="shared" si="2"/>
        <v>8</v>
      </c>
      <c r="AI26" s="55">
        <f t="shared" si="3"/>
        <v>8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6</v>
      </c>
      <c r="C29" s="51">
        <v>6</v>
      </c>
      <c r="D29" s="51">
        <v>6</v>
      </c>
      <c r="E29" s="51">
        <v>6</v>
      </c>
      <c r="F29" s="51">
        <v>6</v>
      </c>
      <c r="G29" s="51">
        <v>6</v>
      </c>
      <c r="H29" s="51">
        <v>6</v>
      </c>
      <c r="I29" s="51">
        <v>6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6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8">
        <v>22.1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5</v>
      </c>
      <c r="C32" s="51">
        <v>5</v>
      </c>
      <c r="D32" s="51">
        <v>5</v>
      </c>
      <c r="E32" s="51">
        <v>5</v>
      </c>
      <c r="F32" s="51">
        <v>5</v>
      </c>
      <c r="G32" s="51">
        <v>5</v>
      </c>
      <c r="H32" s="51">
        <v>5</v>
      </c>
      <c r="I32" s="51">
        <v>5</v>
      </c>
      <c r="J32" s="51">
        <v>5</v>
      </c>
      <c r="K32" s="51">
        <v>5</v>
      </c>
      <c r="L32" s="51">
        <v>5</v>
      </c>
      <c r="M32" s="51">
        <v>5</v>
      </c>
      <c r="N32" s="51">
        <v>5</v>
      </c>
      <c r="O32" s="51">
        <v>5</v>
      </c>
      <c r="P32" s="51">
        <v>5</v>
      </c>
      <c r="Q32" s="51">
        <v>5</v>
      </c>
      <c r="R32" s="51">
        <v>5</v>
      </c>
      <c r="S32" s="51">
        <v>5</v>
      </c>
      <c r="T32" s="51">
        <v>5</v>
      </c>
      <c r="U32" s="51">
        <v>5</v>
      </c>
      <c r="V32" s="51">
        <v>5</v>
      </c>
      <c r="W32" s="51">
        <v>5</v>
      </c>
      <c r="X32" s="51">
        <v>5</v>
      </c>
      <c r="Y32" s="51">
        <v>5</v>
      </c>
      <c r="Z32" s="51">
        <v>5</v>
      </c>
      <c r="AA32" s="51">
        <v>5</v>
      </c>
      <c r="AB32" s="51">
        <v>5</v>
      </c>
      <c r="AC32" s="51">
        <v>5</v>
      </c>
      <c r="AD32" s="51">
        <v>5</v>
      </c>
      <c r="AE32" s="51">
        <v>5</v>
      </c>
      <c r="AF32" s="51">
        <v>5</v>
      </c>
      <c r="AG32" s="63">
        <v>22</v>
      </c>
      <c r="AH32" s="54">
        <f t="shared" si="2"/>
        <v>5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4</v>
      </c>
      <c r="C34" s="51">
        <v>4</v>
      </c>
      <c r="D34" s="51">
        <v>4</v>
      </c>
      <c r="E34" s="51">
        <v>4</v>
      </c>
      <c r="F34" s="51">
        <v>4</v>
      </c>
      <c r="G34" s="51">
        <v>4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4</v>
      </c>
      <c r="N34" s="51">
        <v>4</v>
      </c>
      <c r="O34" s="51">
        <v>4</v>
      </c>
      <c r="P34" s="51">
        <v>4</v>
      </c>
      <c r="Q34" s="51">
        <v>4</v>
      </c>
      <c r="R34" s="51">
        <v>4</v>
      </c>
      <c r="S34" s="51">
        <v>4</v>
      </c>
      <c r="T34" s="51">
        <v>4</v>
      </c>
      <c r="U34" s="51">
        <v>4</v>
      </c>
      <c r="V34" s="51">
        <v>4</v>
      </c>
      <c r="W34" s="51">
        <v>4</v>
      </c>
      <c r="X34" s="51">
        <v>4</v>
      </c>
      <c r="Y34" s="51">
        <v>4</v>
      </c>
      <c r="Z34" s="51">
        <v>4</v>
      </c>
      <c r="AA34" s="51">
        <v>4</v>
      </c>
      <c r="AB34" s="51">
        <v>4</v>
      </c>
      <c r="AC34" s="51">
        <v>4</v>
      </c>
      <c r="AD34" s="51">
        <v>4</v>
      </c>
      <c r="AE34" s="51">
        <v>4</v>
      </c>
      <c r="AF34" s="51">
        <v>4</v>
      </c>
      <c r="AG34" s="63">
        <v>20</v>
      </c>
      <c r="AH34" s="54">
        <f t="shared" si="2"/>
        <v>4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71.8</v>
      </c>
      <c r="C37" s="65">
        <v>80.5</v>
      </c>
      <c r="D37" s="65">
        <v>86.3</v>
      </c>
      <c r="E37" s="65">
        <v>85.6</v>
      </c>
      <c r="F37" s="65">
        <f>44.1+40.7</f>
        <v>84.800000000000011</v>
      </c>
      <c r="G37" s="65">
        <f>39.6+42</f>
        <v>81.599999999999994</v>
      </c>
      <c r="H37" s="65">
        <f>39+41.5</f>
        <v>80.5</v>
      </c>
      <c r="I37" s="65">
        <f>37.9+39</f>
        <v>76.900000000000006</v>
      </c>
      <c r="J37" s="65">
        <f>37.3+39.4</f>
        <v>76.699999999999989</v>
      </c>
      <c r="K37" s="65">
        <f>35.9+38.2</f>
        <v>74.099999999999994</v>
      </c>
      <c r="L37" s="65">
        <f>35.6+38.4</f>
        <v>74</v>
      </c>
      <c r="M37" s="65">
        <f>39.7+34.6</f>
        <v>74.300000000000011</v>
      </c>
      <c r="N37" s="65">
        <f>41.8+31.6</f>
        <v>73.400000000000006</v>
      </c>
      <c r="O37" s="65">
        <f>40.3+32.7</f>
        <v>73</v>
      </c>
      <c r="P37" s="65">
        <f>39.6+30.7</f>
        <v>70.3</v>
      </c>
      <c r="Q37" s="65">
        <f>36.3+30.3</f>
        <v>66.599999999999994</v>
      </c>
      <c r="R37" s="65">
        <f>36.4+30.4</f>
        <v>66.8</v>
      </c>
      <c r="S37" s="67">
        <v>64</v>
      </c>
      <c r="T37" s="67">
        <v>67</v>
      </c>
      <c r="U37" s="67">
        <v>60</v>
      </c>
      <c r="V37" s="67">
        <v>36.5</v>
      </c>
      <c r="W37" s="67">
        <f>38.4+26.3</f>
        <v>64.7</v>
      </c>
      <c r="X37" s="67">
        <v>63</v>
      </c>
      <c r="Y37" s="67">
        <v>43</v>
      </c>
      <c r="Z37" s="67">
        <v>87</v>
      </c>
      <c r="AA37" s="67">
        <v>87</v>
      </c>
      <c r="AB37" s="67">
        <v>96</v>
      </c>
      <c r="AC37" s="67">
        <v>98</v>
      </c>
      <c r="AD37" s="67">
        <v>98</v>
      </c>
      <c r="AE37" s="67">
        <v>98</v>
      </c>
      <c r="AF37" s="67">
        <v>98</v>
      </c>
      <c r="AG37" s="63">
        <v>240</v>
      </c>
      <c r="AH37" s="54">
        <f t="shared" si="2"/>
        <v>98</v>
      </c>
      <c r="AI37" s="55">
        <f t="shared" si="3"/>
        <v>36.5</v>
      </c>
      <c r="AK37" s="56"/>
    </row>
    <row r="38" spans="1:88" ht="15.75" thickBot="1" x14ac:dyDescent="0.3">
      <c r="A38" s="68" t="s">
        <v>46</v>
      </c>
      <c r="B38" s="69">
        <f t="shared" ref="B38" si="4">SUM(B11:B36)</f>
        <v>723.06</v>
      </c>
      <c r="C38" s="69">
        <f t="shared" ref="C38:AF38" si="5">SUM(C11:C36)</f>
        <v>745.8</v>
      </c>
      <c r="D38" s="69">
        <f t="shared" si="5"/>
        <v>732.55</v>
      </c>
      <c r="E38" s="69">
        <f t="shared" si="5"/>
        <v>730.15</v>
      </c>
      <c r="F38" s="69">
        <f t="shared" si="5"/>
        <v>757.7</v>
      </c>
      <c r="G38" s="69">
        <f t="shared" si="5"/>
        <v>757.7</v>
      </c>
      <c r="H38" s="69">
        <f t="shared" si="5"/>
        <v>747.7</v>
      </c>
      <c r="I38" s="69">
        <f t="shared" si="5"/>
        <v>745.09999999999991</v>
      </c>
      <c r="J38" s="69">
        <f t="shared" si="5"/>
        <v>739.09999999999991</v>
      </c>
      <c r="K38" s="69">
        <f t="shared" si="5"/>
        <v>735.8</v>
      </c>
      <c r="L38" s="69">
        <f t="shared" si="5"/>
        <v>773.8</v>
      </c>
      <c r="M38" s="69">
        <f t="shared" si="5"/>
        <v>749.09999999999991</v>
      </c>
      <c r="N38" s="69">
        <f t="shared" si="5"/>
        <v>779.1</v>
      </c>
      <c r="O38" s="69">
        <f t="shared" si="5"/>
        <v>819.1</v>
      </c>
      <c r="P38" s="69">
        <f t="shared" si="5"/>
        <v>759.09999999999991</v>
      </c>
      <c r="Q38" s="69">
        <f t="shared" si="5"/>
        <v>750.8</v>
      </c>
      <c r="R38" s="69">
        <f t="shared" si="5"/>
        <v>768</v>
      </c>
      <c r="S38" s="69">
        <f t="shared" si="5"/>
        <v>748</v>
      </c>
      <c r="T38" s="69">
        <f t="shared" si="5"/>
        <v>708</v>
      </c>
      <c r="U38" s="69">
        <f t="shared" si="5"/>
        <v>688</v>
      </c>
      <c r="V38" s="69">
        <f t="shared" si="5"/>
        <v>708</v>
      </c>
      <c r="W38" s="69">
        <f t="shared" si="5"/>
        <v>686</v>
      </c>
      <c r="X38" s="69">
        <f t="shared" si="5"/>
        <v>636</v>
      </c>
      <c r="Y38" s="69">
        <f t="shared" si="5"/>
        <v>585</v>
      </c>
      <c r="Z38" s="69">
        <f t="shared" si="5"/>
        <v>635</v>
      </c>
      <c r="AA38" s="69">
        <f t="shared" si="5"/>
        <v>485</v>
      </c>
      <c r="AB38" s="69">
        <f t="shared" si="5"/>
        <v>761.7</v>
      </c>
      <c r="AC38" s="69">
        <f t="shared" si="5"/>
        <v>761.7</v>
      </c>
      <c r="AD38" s="69">
        <f t="shared" si="5"/>
        <v>761.7</v>
      </c>
      <c r="AE38" s="69">
        <f t="shared" si="5"/>
        <v>726.7</v>
      </c>
      <c r="AF38" s="69">
        <f t="shared" si="5"/>
        <v>706.7</v>
      </c>
      <c r="AG38" s="63">
        <f>SUM(AG11:AG37)</f>
        <v>1492.8299999999997</v>
      </c>
      <c r="AH38" s="54">
        <f t="shared" si="2"/>
        <v>819.1</v>
      </c>
      <c r="AI38" s="55">
        <f t="shared" si="3"/>
        <v>485</v>
      </c>
      <c r="AK38" s="56"/>
    </row>
    <row r="39" spans="1:88" x14ac:dyDescent="0.25">
      <c r="A39" s="57" t="s">
        <v>47</v>
      </c>
      <c r="B39" s="51">
        <v>145.5</v>
      </c>
      <c r="C39" s="51">
        <v>145.69999999999999</v>
      </c>
      <c r="D39" s="51">
        <v>145.4</v>
      </c>
      <c r="E39" s="51">
        <v>145.4</v>
      </c>
      <c r="F39" s="51">
        <v>145.30000000000001</v>
      </c>
      <c r="G39" s="51">
        <v>145.30000000000001</v>
      </c>
      <c r="H39" s="51">
        <v>145.30000000000001</v>
      </c>
      <c r="I39" s="51">
        <v>145.5</v>
      </c>
      <c r="J39" s="51">
        <v>145.1</v>
      </c>
      <c r="K39" s="51">
        <v>145.4</v>
      </c>
      <c r="L39" s="51">
        <v>145.4</v>
      </c>
      <c r="M39" s="51">
        <v>145.5</v>
      </c>
      <c r="N39" s="51">
        <v>145.5</v>
      </c>
      <c r="O39" s="51">
        <v>145.5</v>
      </c>
      <c r="P39" s="51">
        <v>145.5</v>
      </c>
      <c r="Q39" s="51">
        <v>145.1</v>
      </c>
      <c r="R39" s="51">
        <v>145.6</v>
      </c>
      <c r="S39" s="51">
        <v>145.6</v>
      </c>
      <c r="T39" s="51">
        <v>145.6</v>
      </c>
      <c r="U39" s="51">
        <v>138.9</v>
      </c>
      <c r="V39" s="51">
        <v>138.9</v>
      </c>
      <c r="W39" s="51">
        <v>145.80000000000001</v>
      </c>
      <c r="X39" s="51">
        <v>145.80000000000001</v>
      </c>
      <c r="Y39" s="51">
        <v>147.6</v>
      </c>
      <c r="Z39" s="51">
        <v>147.6</v>
      </c>
      <c r="AA39" s="51"/>
      <c r="AB39" s="51">
        <v>145</v>
      </c>
      <c r="AC39" s="51">
        <v>145</v>
      </c>
      <c r="AD39" s="51">
        <v>145</v>
      </c>
      <c r="AE39" s="51">
        <v>145</v>
      </c>
      <c r="AF39" s="51">
        <v>145</v>
      </c>
      <c r="AG39" s="59">
        <v>144</v>
      </c>
      <c r="AH39" s="54">
        <f t="shared" si="2"/>
        <v>147.6</v>
      </c>
      <c r="AI39" s="55">
        <f t="shared" si="3"/>
        <v>138.9</v>
      </c>
      <c r="AK39" s="56"/>
    </row>
    <row r="40" spans="1:88" x14ac:dyDescent="0.25">
      <c r="A40" s="62" t="s">
        <v>48</v>
      </c>
      <c r="B40" s="70">
        <v>70.900000000000006</v>
      </c>
      <c r="C40" s="70">
        <v>70.400000000000006</v>
      </c>
      <c r="D40" s="70">
        <v>70.099999999999994</v>
      </c>
      <c r="E40" s="70">
        <v>71.3</v>
      </c>
      <c r="F40" s="70">
        <v>69.8</v>
      </c>
      <c r="G40" s="70">
        <v>72.3</v>
      </c>
      <c r="H40" s="70">
        <v>70.2</v>
      </c>
      <c r="I40" s="70">
        <v>70.2</v>
      </c>
      <c r="J40" s="70">
        <v>70.099999999999994</v>
      </c>
      <c r="K40" s="70">
        <v>71.599999999999994</v>
      </c>
      <c r="L40" s="70">
        <v>72.8</v>
      </c>
      <c r="M40" s="51">
        <v>72.099999999999994</v>
      </c>
      <c r="N40" s="51">
        <v>72.8</v>
      </c>
      <c r="O40" s="51">
        <v>35.4</v>
      </c>
      <c r="P40" s="51">
        <v>70.8</v>
      </c>
      <c r="Q40" s="51">
        <v>71.8</v>
      </c>
      <c r="R40" s="51">
        <v>71</v>
      </c>
      <c r="S40" s="51">
        <v>71</v>
      </c>
      <c r="T40" s="51">
        <v>71</v>
      </c>
      <c r="U40" s="51">
        <v>71</v>
      </c>
      <c r="V40" s="51">
        <v>71</v>
      </c>
      <c r="W40" s="70">
        <v>69.8</v>
      </c>
      <c r="X40" s="70">
        <v>69.8</v>
      </c>
      <c r="Y40" s="70">
        <v>69.8</v>
      </c>
      <c r="Z40" s="70">
        <v>69.8</v>
      </c>
      <c r="AA40" s="70"/>
      <c r="AB40" s="70">
        <v>70.8</v>
      </c>
      <c r="AC40" s="70">
        <v>70.900000000000006</v>
      </c>
      <c r="AD40" s="70">
        <v>70.900000000000006</v>
      </c>
      <c r="AE40" s="70">
        <v>70.900000000000006</v>
      </c>
      <c r="AF40" s="70">
        <v>70.900000000000006</v>
      </c>
      <c r="AG40" s="63">
        <v>70</v>
      </c>
      <c r="AH40" s="54">
        <f t="shared" si="2"/>
        <v>72.8</v>
      </c>
      <c r="AI40" s="55">
        <f t="shared" si="3"/>
        <v>35.4</v>
      </c>
      <c r="AK40" s="56"/>
    </row>
    <row r="41" spans="1:88" x14ac:dyDescent="0.25">
      <c r="A41" s="62" t="s">
        <v>49</v>
      </c>
      <c r="B41" s="70">
        <v>69</v>
      </c>
      <c r="C41" s="70">
        <v>68.5</v>
      </c>
      <c r="D41" s="70">
        <v>68.7</v>
      </c>
      <c r="E41" s="70">
        <v>68</v>
      </c>
      <c r="F41" s="70">
        <v>68.599999999999994</v>
      </c>
      <c r="G41" s="70">
        <v>68.400000000000006</v>
      </c>
      <c r="H41" s="70">
        <v>68.400000000000006</v>
      </c>
      <c r="I41" s="70">
        <v>67.7</v>
      </c>
      <c r="J41" s="70">
        <v>68.599999999999994</v>
      </c>
      <c r="K41" s="70">
        <v>68.8</v>
      </c>
      <c r="L41" s="70">
        <v>68.900000000000006</v>
      </c>
      <c r="M41" s="51">
        <v>69.099999999999994</v>
      </c>
      <c r="N41" s="51">
        <v>68.900000000000006</v>
      </c>
      <c r="O41" s="51">
        <v>68.900000000000006</v>
      </c>
      <c r="P41" s="51">
        <v>68.900000000000006</v>
      </c>
      <c r="Q41" s="51">
        <v>68.599999999999994</v>
      </c>
      <c r="R41" s="51">
        <v>68.5</v>
      </c>
      <c r="S41" s="51">
        <v>68.5</v>
      </c>
      <c r="T41" s="51">
        <v>68.5</v>
      </c>
      <c r="U41" s="51">
        <v>68.5</v>
      </c>
      <c r="V41" s="51">
        <v>62.4</v>
      </c>
      <c r="W41" s="70">
        <v>61.5</v>
      </c>
      <c r="X41" s="70">
        <v>61.5</v>
      </c>
      <c r="Y41" s="70">
        <v>61.5</v>
      </c>
      <c r="Z41" s="70">
        <v>66.8</v>
      </c>
      <c r="AA41" s="70"/>
      <c r="AB41" s="70">
        <v>65.5</v>
      </c>
      <c r="AC41" s="70">
        <v>65.5</v>
      </c>
      <c r="AD41" s="70">
        <v>65.5</v>
      </c>
      <c r="AE41" s="70">
        <v>65.5</v>
      </c>
      <c r="AF41" s="70">
        <v>65.5</v>
      </c>
      <c r="AG41" s="63">
        <v>69</v>
      </c>
      <c r="AH41" s="54">
        <f t="shared" si="2"/>
        <v>69.099999999999994</v>
      </c>
      <c r="AI41" s="55">
        <f t="shared" si="3"/>
        <v>61.5</v>
      </c>
      <c r="AK41" s="56"/>
    </row>
    <row r="42" spans="1:88" x14ac:dyDescent="0.25">
      <c r="A42" s="62" t="s">
        <v>50</v>
      </c>
      <c r="B42" s="65">
        <v>60.7</v>
      </c>
      <c r="C42" s="65">
        <v>60.7</v>
      </c>
      <c r="D42" s="65">
        <v>60.7</v>
      </c>
      <c r="E42" s="65">
        <v>60.7</v>
      </c>
      <c r="F42" s="65">
        <v>60.7</v>
      </c>
      <c r="G42" s="65">
        <v>60.7</v>
      </c>
      <c r="H42" s="65">
        <v>60.7</v>
      </c>
      <c r="I42" s="65">
        <v>60.7</v>
      </c>
      <c r="J42" s="65">
        <v>60.7</v>
      </c>
      <c r="K42" s="65">
        <v>60.7</v>
      </c>
      <c r="L42" s="65">
        <v>60.7</v>
      </c>
      <c r="M42" s="51">
        <v>60.7</v>
      </c>
      <c r="N42" s="51">
        <v>60.7</v>
      </c>
      <c r="O42" s="51">
        <v>60.7</v>
      </c>
      <c r="P42" s="51">
        <v>60.7</v>
      </c>
      <c r="Q42" s="51">
        <v>60.9</v>
      </c>
      <c r="R42" s="51">
        <v>61.2</v>
      </c>
      <c r="S42" s="51">
        <v>61.2</v>
      </c>
      <c r="T42" s="51">
        <v>61.2</v>
      </c>
      <c r="U42" s="51">
        <v>61.2</v>
      </c>
      <c r="V42" s="51">
        <v>61.2</v>
      </c>
      <c r="W42" s="70">
        <v>61.2</v>
      </c>
      <c r="X42" s="70">
        <v>61.2</v>
      </c>
      <c r="Y42" s="70">
        <v>61.2</v>
      </c>
      <c r="Z42" s="70">
        <v>61.2</v>
      </c>
      <c r="AA42" s="70"/>
      <c r="AB42" s="65">
        <v>60.9</v>
      </c>
      <c r="AC42" s="65">
        <v>60.9</v>
      </c>
      <c r="AD42" s="65">
        <v>60.9</v>
      </c>
      <c r="AE42" s="65">
        <v>60.9</v>
      </c>
      <c r="AF42" s="65">
        <v>60.9</v>
      </c>
      <c r="AG42" s="63">
        <v>60</v>
      </c>
      <c r="AH42" s="54">
        <f t="shared" si="2"/>
        <v>61.2</v>
      </c>
      <c r="AI42" s="55">
        <f t="shared" si="3"/>
        <v>60.7</v>
      </c>
      <c r="AK42" s="56"/>
    </row>
    <row r="43" spans="1:88" x14ac:dyDescent="0.25">
      <c r="A43" s="62" t="s">
        <v>51</v>
      </c>
      <c r="B43" s="65">
        <v>20</v>
      </c>
      <c r="C43" s="65">
        <v>16</v>
      </c>
      <c r="D43" s="65">
        <v>15</v>
      </c>
      <c r="E43" s="65">
        <v>15</v>
      </c>
      <c r="F43" s="65">
        <v>15</v>
      </c>
      <c r="G43" s="65">
        <v>10</v>
      </c>
      <c r="H43" s="65">
        <v>10</v>
      </c>
      <c r="I43" s="65">
        <v>10</v>
      </c>
      <c r="J43" s="65">
        <v>10</v>
      </c>
      <c r="K43" s="65">
        <v>10</v>
      </c>
      <c r="L43" s="65">
        <v>10</v>
      </c>
      <c r="M43" s="51">
        <v>10.3</v>
      </c>
      <c r="N43" s="51">
        <v>10.3</v>
      </c>
      <c r="O43" s="51">
        <v>20</v>
      </c>
      <c r="P43" s="51">
        <v>15</v>
      </c>
      <c r="Q43" s="51">
        <v>15.2</v>
      </c>
      <c r="R43" s="51">
        <v>15</v>
      </c>
      <c r="S43" s="51">
        <v>20</v>
      </c>
      <c r="T43" s="51">
        <v>20</v>
      </c>
      <c r="U43" s="51">
        <v>22</v>
      </c>
      <c r="V43" s="51">
        <v>22</v>
      </c>
      <c r="W43" s="70">
        <v>22</v>
      </c>
      <c r="X43" s="70">
        <v>20</v>
      </c>
      <c r="Y43" s="70">
        <v>20</v>
      </c>
      <c r="Z43" s="70">
        <v>16</v>
      </c>
      <c r="AA43" s="70"/>
      <c r="AB43" s="65">
        <v>30</v>
      </c>
      <c r="AC43" s="65">
        <v>25</v>
      </c>
      <c r="AD43" s="65">
        <v>30</v>
      </c>
      <c r="AE43" s="65">
        <v>30</v>
      </c>
      <c r="AF43" s="65">
        <v>15</v>
      </c>
      <c r="AG43" s="63">
        <v>30</v>
      </c>
      <c r="AH43" s="54">
        <f t="shared" si="2"/>
        <v>30</v>
      </c>
      <c r="AI43" s="55">
        <f t="shared" si="3"/>
        <v>10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4</v>
      </c>
      <c r="N44" s="70">
        <v>4</v>
      </c>
      <c r="O44" s="70">
        <v>4</v>
      </c>
      <c r="P44" s="70">
        <v>4</v>
      </c>
      <c r="Q44" s="70">
        <v>4</v>
      </c>
      <c r="R44" s="70">
        <v>4</v>
      </c>
      <c r="S44" s="70">
        <v>4</v>
      </c>
      <c r="T44" s="70">
        <v>4</v>
      </c>
      <c r="U44" s="70">
        <v>4</v>
      </c>
      <c r="V44" s="70">
        <v>4</v>
      </c>
      <c r="W44" s="70">
        <v>4</v>
      </c>
      <c r="X44" s="70">
        <v>4</v>
      </c>
      <c r="Y44" s="70">
        <v>4</v>
      </c>
      <c r="Z44" s="70">
        <v>4</v>
      </c>
      <c r="AA44" s="51"/>
      <c r="AB44" s="70">
        <v>4</v>
      </c>
      <c r="AC44" s="70">
        <v>4</v>
      </c>
      <c r="AD44" s="70">
        <v>4</v>
      </c>
      <c r="AE44" s="70">
        <v>4</v>
      </c>
      <c r="AF44" s="70">
        <v>4</v>
      </c>
      <c r="AG44" s="63">
        <v>25</v>
      </c>
      <c r="AH44" s="54">
        <f t="shared" si="2"/>
        <v>4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14.3</v>
      </c>
      <c r="C45" s="70">
        <v>13.3</v>
      </c>
      <c r="D45" s="70">
        <v>13.3</v>
      </c>
      <c r="E45" s="70">
        <v>13.3</v>
      </c>
      <c r="F45" s="70">
        <v>13.3</v>
      </c>
      <c r="G45" s="70">
        <v>13.3</v>
      </c>
      <c r="H45" s="70">
        <v>13.3</v>
      </c>
      <c r="I45" s="70">
        <v>13.3</v>
      </c>
      <c r="J45" s="70">
        <v>13.3</v>
      </c>
      <c r="K45" s="70">
        <v>13.3</v>
      </c>
      <c r="L45" s="70">
        <v>13.3</v>
      </c>
      <c r="M45" s="70">
        <v>13.3</v>
      </c>
      <c r="N45" s="70">
        <v>13.3</v>
      </c>
      <c r="O45" s="70">
        <v>13.3</v>
      </c>
      <c r="P45" s="70">
        <v>13.3</v>
      </c>
      <c r="Q45" s="70">
        <v>13.3</v>
      </c>
      <c r="R45" s="51">
        <v>14.3</v>
      </c>
      <c r="S45" s="51">
        <v>14.3</v>
      </c>
      <c r="T45" s="51">
        <v>14.3</v>
      </c>
      <c r="U45" s="51">
        <v>14.3</v>
      </c>
      <c r="V45" s="51">
        <v>14.3</v>
      </c>
      <c r="W45" s="51">
        <v>14.3</v>
      </c>
      <c r="X45" s="51">
        <v>14.3</v>
      </c>
      <c r="Y45" s="51">
        <v>14.3</v>
      </c>
      <c r="Z45" s="51">
        <v>14.3</v>
      </c>
      <c r="AA45" s="51">
        <v>14.3</v>
      </c>
      <c r="AB45" s="51">
        <v>14.3</v>
      </c>
      <c r="AC45" s="51">
        <v>14.3</v>
      </c>
      <c r="AD45" s="51">
        <v>14.3</v>
      </c>
      <c r="AE45" s="51">
        <v>14.3</v>
      </c>
      <c r="AF45" s="51">
        <v>14.3</v>
      </c>
      <c r="AG45" s="63">
        <v>24</v>
      </c>
      <c r="AH45" s="54">
        <f t="shared" si="2"/>
        <v>14.3</v>
      </c>
      <c r="AI45" s="55">
        <f t="shared" si="3"/>
        <v>13.3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12</v>
      </c>
      <c r="C47" s="70">
        <v>12</v>
      </c>
      <c r="D47" s="70">
        <v>12</v>
      </c>
      <c r="E47" s="70">
        <v>12</v>
      </c>
      <c r="F47" s="70">
        <v>12</v>
      </c>
      <c r="G47" s="70">
        <v>12</v>
      </c>
      <c r="H47" s="70">
        <v>12</v>
      </c>
      <c r="I47" s="70">
        <v>12</v>
      </c>
      <c r="J47" s="70">
        <v>12</v>
      </c>
      <c r="K47" s="70">
        <v>12</v>
      </c>
      <c r="L47" s="70">
        <v>12</v>
      </c>
      <c r="M47" s="70">
        <v>12</v>
      </c>
      <c r="N47" s="70">
        <v>12</v>
      </c>
      <c r="O47" s="70">
        <v>12</v>
      </c>
      <c r="P47" s="70">
        <v>12</v>
      </c>
      <c r="Q47" s="70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>
        <v>12</v>
      </c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12</v>
      </c>
      <c r="AF47" s="51">
        <v>12</v>
      </c>
      <c r="AG47" s="63">
        <v>14.1</v>
      </c>
      <c r="AH47" s="54">
        <f t="shared" si="2"/>
        <v>12</v>
      </c>
      <c r="AI47" s="55">
        <f t="shared" si="3"/>
        <v>12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13</v>
      </c>
      <c r="C48" s="70">
        <v>13</v>
      </c>
      <c r="D48" s="70">
        <v>13</v>
      </c>
      <c r="E48" s="70">
        <v>13</v>
      </c>
      <c r="F48" s="70">
        <v>13</v>
      </c>
      <c r="G48" s="70">
        <v>13</v>
      </c>
      <c r="H48" s="70">
        <v>13</v>
      </c>
      <c r="I48" s="70">
        <v>13</v>
      </c>
      <c r="J48" s="70">
        <v>13</v>
      </c>
      <c r="K48" s="70">
        <v>13</v>
      </c>
      <c r="L48" s="70">
        <v>13</v>
      </c>
      <c r="M48" s="70">
        <v>13</v>
      </c>
      <c r="N48" s="70">
        <v>13</v>
      </c>
      <c r="O48" s="70">
        <v>13</v>
      </c>
      <c r="P48" s="70">
        <v>13</v>
      </c>
      <c r="Q48" s="70">
        <v>13</v>
      </c>
      <c r="R48" s="51">
        <v>10.199999999999999</v>
      </c>
      <c r="S48" s="51">
        <v>10.199999999999999</v>
      </c>
      <c r="T48" s="51">
        <v>10.199999999999999</v>
      </c>
      <c r="U48" s="51">
        <v>10.199999999999999</v>
      </c>
      <c r="V48" s="51">
        <v>10.199999999999999</v>
      </c>
      <c r="W48" s="51">
        <v>10.199999999999999</v>
      </c>
      <c r="X48" s="51">
        <v>10.199999999999999</v>
      </c>
      <c r="Y48" s="51">
        <v>10.199999999999999</v>
      </c>
      <c r="Z48" s="51">
        <v>10.199999999999999</v>
      </c>
      <c r="AA48" s="51">
        <v>10.199999999999999</v>
      </c>
      <c r="AB48" s="51">
        <v>10.199999999999999</v>
      </c>
      <c r="AC48" s="51">
        <v>10.199999999999999</v>
      </c>
      <c r="AD48" s="51">
        <v>10.199999999999999</v>
      </c>
      <c r="AE48" s="51">
        <v>10.199999999999999</v>
      </c>
      <c r="AF48" s="51">
        <v>10.199999999999999</v>
      </c>
      <c r="AG48" s="63">
        <v>14</v>
      </c>
      <c r="AH48" s="54">
        <f t="shared" si="2"/>
        <v>13</v>
      </c>
      <c r="AI48" s="55">
        <f t="shared" si="3"/>
        <v>10.199999999999999</v>
      </c>
      <c r="AK48" s="56"/>
    </row>
    <row r="49" spans="1:37" x14ac:dyDescent="0.25">
      <c r="A49" s="62" t="s">
        <v>57</v>
      </c>
      <c r="B49" s="70">
        <v>6</v>
      </c>
      <c r="C49" s="70">
        <v>6</v>
      </c>
      <c r="D49" s="70">
        <v>6</v>
      </c>
      <c r="E49" s="70">
        <v>6</v>
      </c>
      <c r="F49" s="70">
        <v>6</v>
      </c>
      <c r="G49" s="70">
        <v>6</v>
      </c>
      <c r="H49" s="70">
        <v>6</v>
      </c>
      <c r="I49" s="70">
        <v>6</v>
      </c>
      <c r="J49" s="70">
        <v>6</v>
      </c>
      <c r="K49" s="70">
        <v>6</v>
      </c>
      <c r="L49" s="70">
        <v>6</v>
      </c>
      <c r="M49" s="70">
        <v>6</v>
      </c>
      <c r="N49" s="70">
        <v>6</v>
      </c>
      <c r="O49" s="70">
        <v>6</v>
      </c>
      <c r="P49" s="70">
        <v>6</v>
      </c>
      <c r="Q49" s="70">
        <v>6</v>
      </c>
      <c r="R49" s="51">
        <v>6</v>
      </c>
      <c r="S49" s="51">
        <v>6</v>
      </c>
      <c r="T49" s="51">
        <v>6</v>
      </c>
      <c r="U49" s="51">
        <v>6</v>
      </c>
      <c r="V49" s="51">
        <v>6</v>
      </c>
      <c r="W49" s="51">
        <v>6</v>
      </c>
      <c r="X49" s="51">
        <v>6</v>
      </c>
      <c r="Y49" s="51">
        <v>6</v>
      </c>
      <c r="Z49" s="51">
        <v>6</v>
      </c>
      <c r="AA49" s="51">
        <v>6</v>
      </c>
      <c r="AB49" s="51">
        <v>6</v>
      </c>
      <c r="AC49" s="51">
        <v>6</v>
      </c>
      <c r="AD49" s="51">
        <v>6</v>
      </c>
      <c r="AE49" s="51">
        <v>6</v>
      </c>
      <c r="AF49" s="51">
        <v>6</v>
      </c>
      <c r="AG49" s="63">
        <v>10.050000000000001</v>
      </c>
      <c r="AH49" s="54">
        <f t="shared" si="2"/>
        <v>6</v>
      </c>
      <c r="AI49" s="55">
        <f t="shared" si="3"/>
        <v>6</v>
      </c>
      <c r="AK49" s="56"/>
    </row>
    <row r="50" spans="1:37" x14ac:dyDescent="0.25">
      <c r="A50" s="62" t="s">
        <v>58</v>
      </c>
      <c r="B50" s="70">
        <v>4.0999999999999996</v>
      </c>
      <c r="C50" s="70">
        <v>4.0999999999999996</v>
      </c>
      <c r="D50" s="70">
        <v>4.0999999999999996</v>
      </c>
      <c r="E50" s="70">
        <v>4.0999999999999996</v>
      </c>
      <c r="F50" s="70">
        <v>4.0999999999999996</v>
      </c>
      <c r="G50" s="70">
        <v>4.0999999999999996</v>
      </c>
      <c r="H50" s="70">
        <v>4.0999999999999996</v>
      </c>
      <c r="I50" s="70">
        <v>4.0999999999999996</v>
      </c>
      <c r="J50" s="70">
        <v>4.0999999999999996</v>
      </c>
      <c r="K50" s="70">
        <v>4.0999999999999996</v>
      </c>
      <c r="L50" s="70">
        <v>4.0999999999999996</v>
      </c>
      <c r="M50" s="70">
        <v>4.0999999999999996</v>
      </c>
      <c r="N50" s="70">
        <v>4.0999999999999996</v>
      </c>
      <c r="O50" s="70">
        <v>4.0999999999999996</v>
      </c>
      <c r="P50" s="70">
        <v>4.0999999999999996</v>
      </c>
      <c r="Q50" s="70">
        <v>4.0999999999999996</v>
      </c>
      <c r="R50" s="51">
        <v>4.0999999999999996</v>
      </c>
      <c r="S50" s="51">
        <v>4.0999999999999996</v>
      </c>
      <c r="T50" s="51">
        <v>4.0999999999999996</v>
      </c>
      <c r="U50" s="51">
        <v>4.0999999999999996</v>
      </c>
      <c r="V50" s="51">
        <v>4.0999999999999996</v>
      </c>
      <c r="W50" s="51">
        <v>4.0999999999999996</v>
      </c>
      <c r="X50" s="51">
        <v>4.0999999999999996</v>
      </c>
      <c r="Y50" s="51">
        <v>4.0999999999999996</v>
      </c>
      <c r="Z50" s="51">
        <v>4.0999999999999996</v>
      </c>
      <c r="AA50" s="51">
        <v>4.0999999999999996</v>
      </c>
      <c r="AB50" s="51">
        <v>4.0999999999999996</v>
      </c>
      <c r="AC50" s="51">
        <v>4.0999999999999996</v>
      </c>
      <c r="AD50" s="51">
        <v>4.0999999999999996</v>
      </c>
      <c r="AE50" s="51">
        <v>4.0999999999999996</v>
      </c>
      <c r="AF50" s="51">
        <v>4.0999999999999996</v>
      </c>
      <c r="AG50" s="63">
        <v>6.2</v>
      </c>
      <c r="AH50" s="54">
        <f t="shared" si="2"/>
        <v>4.0999999999999996</v>
      </c>
      <c r="AI50" s="55">
        <f t="shared" si="3"/>
        <v>4.0999999999999996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7">SUM(B39:B51)</f>
        <v>419.04</v>
      </c>
      <c r="C52" s="69">
        <f t="shared" ref="C52:AF52" si="8">SUM(C39:C51)</f>
        <v>413.24000000000007</v>
      </c>
      <c r="D52" s="69">
        <f t="shared" si="8"/>
        <v>411.84000000000003</v>
      </c>
      <c r="E52" s="69">
        <f t="shared" si="8"/>
        <v>412.34000000000003</v>
      </c>
      <c r="F52" s="69">
        <f t="shared" si="8"/>
        <v>411.34000000000009</v>
      </c>
      <c r="G52" s="69">
        <f t="shared" si="8"/>
        <v>408.64000000000004</v>
      </c>
      <c r="H52" s="69">
        <f t="shared" si="8"/>
        <v>406.54</v>
      </c>
      <c r="I52" s="69">
        <f t="shared" si="8"/>
        <v>406.04</v>
      </c>
      <c r="J52" s="69">
        <f t="shared" si="8"/>
        <v>406.44</v>
      </c>
      <c r="K52" s="69">
        <f t="shared" si="8"/>
        <v>408.44000000000005</v>
      </c>
      <c r="L52" s="69">
        <f t="shared" si="8"/>
        <v>409.74000000000007</v>
      </c>
      <c r="M52" s="69">
        <f t="shared" si="8"/>
        <v>413.64000000000004</v>
      </c>
      <c r="N52" s="69">
        <f t="shared" si="8"/>
        <v>414.1400000000001</v>
      </c>
      <c r="O52" s="69">
        <f t="shared" si="8"/>
        <v>386.44000000000005</v>
      </c>
      <c r="P52" s="69">
        <f t="shared" si="8"/>
        <v>416.84000000000009</v>
      </c>
      <c r="Q52" s="69">
        <f t="shared" si="8"/>
        <v>417.54</v>
      </c>
      <c r="R52" s="69">
        <f t="shared" si="8"/>
        <v>415.44000000000005</v>
      </c>
      <c r="S52" s="69">
        <f t="shared" si="8"/>
        <v>420.44000000000005</v>
      </c>
      <c r="T52" s="69">
        <f t="shared" si="8"/>
        <v>420.44000000000005</v>
      </c>
      <c r="U52" s="69">
        <f t="shared" si="8"/>
        <v>415.74</v>
      </c>
      <c r="V52" s="69">
        <f t="shared" si="8"/>
        <v>409.64000000000004</v>
      </c>
      <c r="W52" s="69">
        <f t="shared" si="8"/>
        <v>414.44000000000005</v>
      </c>
      <c r="X52" s="69">
        <f>SUM(X39:X51)</f>
        <v>412.44000000000005</v>
      </c>
      <c r="Y52" s="69">
        <f t="shared" si="8"/>
        <v>414.24</v>
      </c>
      <c r="Z52" s="69">
        <f t="shared" si="8"/>
        <v>415.54</v>
      </c>
      <c r="AA52" s="69">
        <f t="shared" si="8"/>
        <v>50.14</v>
      </c>
      <c r="AB52" s="69">
        <f t="shared" si="8"/>
        <v>426.34000000000003</v>
      </c>
      <c r="AC52" s="69">
        <f t="shared" si="8"/>
        <v>421.44</v>
      </c>
      <c r="AD52" s="69">
        <f t="shared" si="8"/>
        <v>426.44</v>
      </c>
      <c r="AE52" s="69">
        <f t="shared" si="8"/>
        <v>426.44</v>
      </c>
      <c r="AF52" s="69">
        <f t="shared" si="8"/>
        <v>411.44</v>
      </c>
      <c r="AG52" s="74">
        <f>SUM(AG39:AG51)</f>
        <v>489.91</v>
      </c>
      <c r="AH52" s="54">
        <f t="shared" si="2"/>
        <v>426.44</v>
      </c>
      <c r="AI52" s="55">
        <f t="shared" si="3"/>
        <v>50.14</v>
      </c>
      <c r="AK52" s="56"/>
    </row>
    <row r="53" spans="1:37" x14ac:dyDescent="0.25">
      <c r="A53" s="57" t="s">
        <v>61</v>
      </c>
      <c r="B53" s="51">
        <v>29.8</v>
      </c>
      <c r="C53" s="51">
        <v>25</v>
      </c>
      <c r="D53" s="51">
        <v>14</v>
      </c>
      <c r="E53" s="51">
        <v>10</v>
      </c>
      <c r="F53" s="51">
        <v>10</v>
      </c>
      <c r="G53" s="51">
        <v>10</v>
      </c>
      <c r="H53" s="51">
        <v>10</v>
      </c>
      <c r="I53" s="51">
        <v>10</v>
      </c>
      <c r="J53" s="51">
        <v>10</v>
      </c>
      <c r="K53" s="51">
        <v>20</v>
      </c>
      <c r="L53" s="51">
        <v>20</v>
      </c>
      <c r="M53" s="51">
        <v>20</v>
      </c>
      <c r="N53" s="51">
        <v>20</v>
      </c>
      <c r="O53" s="51">
        <v>60</v>
      </c>
      <c r="P53" s="51">
        <v>59.6</v>
      </c>
      <c r="Q53" s="51">
        <v>59.6</v>
      </c>
      <c r="R53" s="51">
        <v>49.7</v>
      </c>
      <c r="S53" s="51">
        <v>60</v>
      </c>
      <c r="T53" s="51">
        <v>60</v>
      </c>
      <c r="U53" s="51">
        <v>60</v>
      </c>
      <c r="V53" s="51">
        <v>60</v>
      </c>
      <c r="W53" s="51">
        <v>59.7</v>
      </c>
      <c r="X53" s="51">
        <v>59.7</v>
      </c>
      <c r="Y53" s="51">
        <v>59.7</v>
      </c>
      <c r="Z53" s="51">
        <v>59.7</v>
      </c>
      <c r="AA53" s="51"/>
      <c r="AB53" s="51">
        <v>59.4</v>
      </c>
      <c r="AC53" s="51">
        <v>59.4</v>
      </c>
      <c r="AD53" s="51">
        <v>59.4</v>
      </c>
      <c r="AE53" s="51">
        <v>59.4</v>
      </c>
      <c r="AF53" s="51">
        <v>59.4</v>
      </c>
      <c r="AG53" s="59">
        <v>60</v>
      </c>
      <c r="AH53" s="54">
        <f t="shared" si="2"/>
        <v>60</v>
      </c>
      <c r="AI53" s="55">
        <f t="shared" si="3"/>
        <v>10</v>
      </c>
      <c r="AK53" s="56"/>
    </row>
    <row r="54" spans="1:37" x14ac:dyDescent="0.25">
      <c r="A54" s="62" t="s">
        <v>62</v>
      </c>
      <c r="B54" s="70">
        <v>15.6</v>
      </c>
      <c r="C54" s="70">
        <v>13.2</v>
      </c>
      <c r="D54" s="70">
        <v>9.1999999999999993</v>
      </c>
      <c r="E54" s="70">
        <v>4.8</v>
      </c>
      <c r="F54" s="70">
        <v>4.8</v>
      </c>
      <c r="G54" s="70">
        <v>3.8</v>
      </c>
      <c r="H54" s="70">
        <v>3.9</v>
      </c>
      <c r="I54" s="70">
        <v>4.7</v>
      </c>
      <c r="J54" s="70">
        <v>4.7</v>
      </c>
      <c r="K54" s="70">
        <v>10.5</v>
      </c>
      <c r="L54" s="70">
        <v>10.4</v>
      </c>
      <c r="M54" s="70">
        <v>10.6</v>
      </c>
      <c r="N54" s="70">
        <v>10.7</v>
      </c>
      <c r="O54" s="70">
        <v>25.7</v>
      </c>
      <c r="P54" s="70">
        <v>30.4</v>
      </c>
      <c r="Q54" s="70">
        <v>30.7</v>
      </c>
      <c r="R54" s="70">
        <v>23.5</v>
      </c>
      <c r="S54" s="70">
        <v>30</v>
      </c>
      <c r="T54" s="70">
        <v>30</v>
      </c>
      <c r="U54" s="70">
        <v>30</v>
      </c>
      <c r="V54" s="70">
        <v>30</v>
      </c>
      <c r="W54" s="70">
        <v>30.3</v>
      </c>
      <c r="X54" s="70">
        <v>30.3</v>
      </c>
      <c r="Y54" s="70">
        <v>30.3</v>
      </c>
      <c r="Z54" s="70">
        <v>30.3</v>
      </c>
      <c r="AA54" s="70"/>
      <c r="AB54" s="70">
        <v>29.9</v>
      </c>
      <c r="AC54" s="70">
        <v>29.9</v>
      </c>
      <c r="AD54" s="70">
        <v>29.9</v>
      </c>
      <c r="AE54" s="70">
        <v>29.9</v>
      </c>
      <c r="AF54" s="70">
        <v>29.9</v>
      </c>
      <c r="AG54" s="63">
        <v>32</v>
      </c>
      <c r="AH54" s="54">
        <f t="shared" si="2"/>
        <v>30.7</v>
      </c>
      <c r="AI54" s="55">
        <f t="shared" si="3"/>
        <v>3.8</v>
      </c>
      <c r="AK54" s="56"/>
    </row>
    <row r="55" spans="1:37" ht="15.75" thickBot="1" x14ac:dyDescent="0.3">
      <c r="A55" s="72" t="s">
        <v>63</v>
      </c>
      <c r="B55" s="75">
        <v>5.7</v>
      </c>
      <c r="C55" s="75">
        <v>4.5</v>
      </c>
      <c r="D55" s="75">
        <v>3.4</v>
      </c>
      <c r="E55" s="75">
        <v>1.8</v>
      </c>
      <c r="F55" s="75">
        <v>1.7</v>
      </c>
      <c r="G55" s="75">
        <v>1.4</v>
      </c>
      <c r="H55" s="75">
        <v>1.4</v>
      </c>
      <c r="I55" s="75">
        <v>1.7</v>
      </c>
      <c r="J55" s="75">
        <v>1.7</v>
      </c>
      <c r="K55" s="75">
        <v>3.8</v>
      </c>
      <c r="L55" s="75">
        <v>3.8</v>
      </c>
      <c r="M55" s="75">
        <v>3.9</v>
      </c>
      <c r="N55" s="75">
        <v>3.9</v>
      </c>
      <c r="O55" s="75">
        <v>9.4</v>
      </c>
      <c r="P55" s="75">
        <v>11.1</v>
      </c>
      <c r="Q55" s="75">
        <v>11.2</v>
      </c>
      <c r="R55" s="75">
        <v>8.5</v>
      </c>
      <c r="S55" s="75">
        <v>11</v>
      </c>
      <c r="T55" s="75">
        <v>11</v>
      </c>
      <c r="U55" s="75">
        <v>11</v>
      </c>
      <c r="V55" s="75">
        <v>11</v>
      </c>
      <c r="W55" s="75">
        <v>11.1</v>
      </c>
      <c r="X55" s="75">
        <v>11.1</v>
      </c>
      <c r="Y55" s="75">
        <v>11.1</v>
      </c>
      <c r="Z55" s="75">
        <v>11.1</v>
      </c>
      <c r="AA55" s="75"/>
      <c r="AB55" s="75">
        <v>10.9</v>
      </c>
      <c r="AC55" s="75">
        <v>10.9</v>
      </c>
      <c r="AD55" s="75">
        <v>10.9</v>
      </c>
      <c r="AE55" s="75">
        <v>10.9</v>
      </c>
      <c r="AF55" s="75">
        <v>10.9</v>
      </c>
      <c r="AG55" s="76">
        <v>14</v>
      </c>
      <c r="AH55" s="54">
        <f t="shared" si="2"/>
        <v>11.2</v>
      </c>
      <c r="AI55" s="55">
        <f t="shared" si="3"/>
        <v>1.4</v>
      </c>
      <c r="AK55" s="56"/>
    </row>
    <row r="56" spans="1:37" ht="15.75" thickBot="1" x14ac:dyDescent="0.3">
      <c r="A56" s="68" t="s">
        <v>64</v>
      </c>
      <c r="B56" s="69">
        <f t="shared" ref="B56" si="9">SUM(B53:B55)</f>
        <v>51.1</v>
      </c>
      <c r="C56" s="69">
        <f t="shared" ref="C56:AF56" si="10">SUM(C53:C55)</f>
        <v>42.7</v>
      </c>
      <c r="D56" s="69">
        <f t="shared" si="10"/>
        <v>26.599999999999998</v>
      </c>
      <c r="E56" s="69">
        <f t="shared" si="10"/>
        <v>16.600000000000001</v>
      </c>
      <c r="F56" s="69">
        <f t="shared" si="10"/>
        <v>16.5</v>
      </c>
      <c r="G56" s="69">
        <f t="shared" si="10"/>
        <v>15.200000000000001</v>
      </c>
      <c r="H56" s="69">
        <f t="shared" si="10"/>
        <v>15.3</v>
      </c>
      <c r="I56" s="69">
        <f t="shared" si="10"/>
        <v>16.399999999999999</v>
      </c>
      <c r="J56" s="69">
        <f t="shared" si="10"/>
        <v>16.399999999999999</v>
      </c>
      <c r="K56" s="69">
        <f t="shared" si="10"/>
        <v>34.299999999999997</v>
      </c>
      <c r="L56" s="69">
        <f t="shared" si="10"/>
        <v>34.199999999999996</v>
      </c>
      <c r="M56" s="69">
        <f t="shared" si="10"/>
        <v>34.5</v>
      </c>
      <c r="N56" s="69">
        <f t="shared" si="10"/>
        <v>34.6</v>
      </c>
      <c r="O56" s="69">
        <f t="shared" si="10"/>
        <v>95.100000000000009</v>
      </c>
      <c r="P56" s="69">
        <f t="shared" si="10"/>
        <v>101.1</v>
      </c>
      <c r="Q56" s="69">
        <f t="shared" si="10"/>
        <v>101.5</v>
      </c>
      <c r="R56" s="69">
        <f t="shared" si="10"/>
        <v>81.7</v>
      </c>
      <c r="S56" s="69">
        <f t="shared" si="10"/>
        <v>101</v>
      </c>
      <c r="T56" s="69">
        <f t="shared" si="10"/>
        <v>101</v>
      </c>
      <c r="U56" s="69">
        <f t="shared" si="10"/>
        <v>101</v>
      </c>
      <c r="V56" s="69">
        <f t="shared" si="10"/>
        <v>101</v>
      </c>
      <c r="W56" s="69">
        <f t="shared" si="10"/>
        <v>101.1</v>
      </c>
      <c r="X56" s="69">
        <f t="shared" si="10"/>
        <v>101.1</v>
      </c>
      <c r="Y56" s="69">
        <f t="shared" si="10"/>
        <v>101.1</v>
      </c>
      <c r="Z56" s="69">
        <f t="shared" si="10"/>
        <v>101.1</v>
      </c>
      <c r="AA56" s="69">
        <f t="shared" si="10"/>
        <v>0</v>
      </c>
      <c r="AB56" s="69">
        <f t="shared" si="10"/>
        <v>100.2</v>
      </c>
      <c r="AC56" s="69">
        <f t="shared" si="10"/>
        <v>100.2</v>
      </c>
      <c r="AD56" s="69">
        <f t="shared" si="10"/>
        <v>100.2</v>
      </c>
      <c r="AE56" s="69">
        <f t="shared" si="10"/>
        <v>100.2</v>
      </c>
      <c r="AF56" s="69">
        <f t="shared" si="10"/>
        <v>100.2</v>
      </c>
      <c r="AG56" s="74">
        <f>SUM(AG53:AG55)</f>
        <v>106</v>
      </c>
      <c r="AH56" s="54">
        <f t="shared" si="2"/>
        <v>101.5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68.5</v>
      </c>
      <c r="C57" s="51">
        <v>75</v>
      </c>
      <c r="D57" s="51">
        <v>73.5</v>
      </c>
      <c r="E57" s="51">
        <v>63.3</v>
      </c>
      <c r="F57" s="51">
        <v>66.5</v>
      </c>
      <c r="G57" s="51">
        <v>67.3</v>
      </c>
      <c r="H57" s="51">
        <v>65</v>
      </c>
      <c r="I57" s="51">
        <v>62.1</v>
      </c>
      <c r="J57" s="51">
        <v>55.6</v>
      </c>
      <c r="K57" s="51">
        <v>58.5</v>
      </c>
      <c r="L57" s="51">
        <v>58</v>
      </c>
      <c r="M57" s="51">
        <v>54.9</v>
      </c>
      <c r="N57" s="51">
        <v>67.3</v>
      </c>
      <c r="O57" s="51">
        <v>63</v>
      </c>
      <c r="P57" s="51">
        <v>65.5</v>
      </c>
      <c r="Q57" s="51">
        <v>74.7</v>
      </c>
      <c r="R57" s="51">
        <v>68.3</v>
      </c>
      <c r="S57" s="51">
        <v>67</v>
      </c>
      <c r="T57" s="51">
        <v>70</v>
      </c>
      <c r="U57" s="51">
        <v>73.5</v>
      </c>
      <c r="V57" s="51">
        <v>66.41</v>
      </c>
      <c r="W57" s="51">
        <v>65.2</v>
      </c>
      <c r="X57" s="51">
        <v>65.2</v>
      </c>
      <c r="Y57" s="51">
        <v>61</v>
      </c>
      <c r="Z57" s="51">
        <v>58.3</v>
      </c>
      <c r="AA57" s="51"/>
      <c r="AB57" s="51">
        <v>74.599999999999994</v>
      </c>
      <c r="AC57" s="51">
        <v>74.599999999999994</v>
      </c>
      <c r="AD57" s="51">
        <v>79.8</v>
      </c>
      <c r="AE57" s="51">
        <v>77.3</v>
      </c>
      <c r="AF57" s="51">
        <v>75</v>
      </c>
      <c r="AG57" s="59"/>
      <c r="AH57" s="54">
        <f t="shared" si="2"/>
        <v>79.8</v>
      </c>
      <c r="AI57" s="55">
        <f t="shared" si="3"/>
        <v>54.9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/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90</v>
      </c>
      <c r="C59" s="70">
        <v>78</v>
      </c>
      <c r="D59" s="70">
        <v>88</v>
      </c>
      <c r="E59" s="70">
        <v>73.099999999999994</v>
      </c>
      <c r="F59" s="70">
        <v>78.5</v>
      </c>
      <c r="G59" s="70">
        <v>50</v>
      </c>
      <c r="H59" s="70">
        <v>72</v>
      </c>
      <c r="I59" s="70">
        <v>140</v>
      </c>
      <c r="J59" s="70">
        <v>158</v>
      </c>
      <c r="K59" s="70">
        <v>189</v>
      </c>
      <c r="L59" s="70">
        <v>183</v>
      </c>
      <c r="M59" s="70">
        <v>161.30000000000001</v>
      </c>
      <c r="N59" s="70">
        <v>156</v>
      </c>
      <c r="O59" s="70">
        <v>120</v>
      </c>
      <c r="P59" s="70">
        <v>163.1</v>
      </c>
      <c r="Q59" s="70">
        <v>155</v>
      </c>
      <c r="R59" s="70">
        <v>164</v>
      </c>
      <c r="S59" s="70">
        <v>198</v>
      </c>
      <c r="T59" s="70">
        <v>119</v>
      </c>
      <c r="U59" s="70">
        <v>152</v>
      </c>
      <c r="V59" s="70">
        <v>153.30000000000001</v>
      </c>
      <c r="W59" s="70">
        <v>76.099999999999994</v>
      </c>
      <c r="X59" s="70">
        <v>46</v>
      </c>
      <c r="Y59" s="70">
        <v>81</v>
      </c>
      <c r="Z59" s="70">
        <v>69</v>
      </c>
      <c r="AA59" s="70"/>
      <c r="AB59" s="70">
        <v>47</v>
      </c>
      <c r="AC59" s="70">
        <v>53</v>
      </c>
      <c r="AD59" s="70">
        <v>36</v>
      </c>
      <c r="AE59" s="70">
        <v>21</v>
      </c>
      <c r="AF59" s="70">
        <v>15</v>
      </c>
      <c r="AG59" s="77"/>
      <c r="AH59" s="54">
        <f t="shared" si="2"/>
        <v>198</v>
      </c>
      <c r="AI59" s="55">
        <f t="shared" si="3"/>
        <v>15</v>
      </c>
      <c r="AK59" s="56"/>
    </row>
    <row r="60" spans="1:37" x14ac:dyDescent="0.25">
      <c r="A60" s="62" t="s">
        <v>68</v>
      </c>
      <c r="B60" s="78">
        <v>37</v>
      </c>
      <c r="C60" s="78">
        <v>37</v>
      </c>
      <c r="D60" s="78">
        <v>35.299999999999997</v>
      </c>
      <c r="E60" s="78">
        <v>33.700000000000003</v>
      </c>
      <c r="F60" s="78">
        <v>35</v>
      </c>
      <c r="G60" s="78">
        <v>35</v>
      </c>
      <c r="H60" s="78">
        <v>35</v>
      </c>
      <c r="I60" s="78">
        <v>34</v>
      </c>
      <c r="J60" s="78">
        <v>34</v>
      </c>
      <c r="K60" s="78">
        <v>33</v>
      </c>
      <c r="L60" s="78">
        <v>34</v>
      </c>
      <c r="M60" s="78">
        <v>34.200000000000003</v>
      </c>
      <c r="N60" s="78">
        <v>35</v>
      </c>
      <c r="O60" s="78">
        <v>35</v>
      </c>
      <c r="P60" s="78">
        <v>35</v>
      </c>
      <c r="Q60" s="78">
        <v>33.6</v>
      </c>
      <c r="R60" s="78">
        <v>34.6</v>
      </c>
      <c r="S60" s="78">
        <v>29.6</v>
      </c>
      <c r="T60" s="78">
        <v>29.6</v>
      </c>
      <c r="U60" s="78">
        <v>29.6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37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8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1">SUM(B57:B67)</f>
        <v>203.5</v>
      </c>
      <c r="C68" s="69">
        <f t="shared" ref="C68:AF68" si="12">SUM(C57:C67)</f>
        <v>198</v>
      </c>
      <c r="D68" s="69">
        <f t="shared" si="12"/>
        <v>204.8</v>
      </c>
      <c r="E68" s="69">
        <f t="shared" si="12"/>
        <v>178.09999999999997</v>
      </c>
      <c r="F68" s="69">
        <f t="shared" si="12"/>
        <v>188</v>
      </c>
      <c r="G68" s="69">
        <f t="shared" si="12"/>
        <v>160.30000000000001</v>
      </c>
      <c r="H68" s="69">
        <f t="shared" si="12"/>
        <v>180</v>
      </c>
      <c r="I68" s="69">
        <f t="shared" si="12"/>
        <v>244.1</v>
      </c>
      <c r="J68" s="69">
        <f t="shared" si="12"/>
        <v>255.6</v>
      </c>
      <c r="K68" s="69">
        <f t="shared" si="12"/>
        <v>288.5</v>
      </c>
      <c r="L68" s="69">
        <f t="shared" si="12"/>
        <v>283</v>
      </c>
      <c r="M68" s="69">
        <f t="shared" si="12"/>
        <v>258.40000000000003</v>
      </c>
      <c r="N68" s="69">
        <f>SUM(N57:N67)</f>
        <v>266.3</v>
      </c>
      <c r="O68" s="69">
        <f t="shared" si="12"/>
        <v>226</v>
      </c>
      <c r="P68" s="69">
        <f t="shared" si="12"/>
        <v>271.60000000000002</v>
      </c>
      <c r="Q68" s="69">
        <f t="shared" si="12"/>
        <v>271.3</v>
      </c>
      <c r="R68" s="69">
        <f t="shared" si="12"/>
        <v>274.90000000000003</v>
      </c>
      <c r="S68" s="69">
        <f t="shared" si="12"/>
        <v>302.60000000000002</v>
      </c>
      <c r="T68" s="69">
        <f t="shared" si="12"/>
        <v>226.6</v>
      </c>
      <c r="U68" s="69">
        <f t="shared" si="12"/>
        <v>263.10000000000002</v>
      </c>
      <c r="V68" s="69">
        <f>SUM(V57:V67)</f>
        <v>227.71</v>
      </c>
      <c r="W68" s="69">
        <f t="shared" si="12"/>
        <v>149.30000000000001</v>
      </c>
      <c r="X68" s="69">
        <f t="shared" si="12"/>
        <v>119.2</v>
      </c>
      <c r="Y68" s="69">
        <f t="shared" si="12"/>
        <v>150</v>
      </c>
      <c r="Z68" s="69">
        <f t="shared" si="12"/>
        <v>135.30000000000001</v>
      </c>
      <c r="AA68" s="69">
        <f t="shared" si="12"/>
        <v>8</v>
      </c>
      <c r="AB68" s="69">
        <f t="shared" si="12"/>
        <v>129.6</v>
      </c>
      <c r="AC68" s="69">
        <f t="shared" si="12"/>
        <v>135.6</v>
      </c>
      <c r="AD68" s="69">
        <f t="shared" si="12"/>
        <v>123.8</v>
      </c>
      <c r="AE68" s="69">
        <f t="shared" si="12"/>
        <v>106.3</v>
      </c>
      <c r="AF68" s="69">
        <f t="shared" si="12"/>
        <v>98</v>
      </c>
      <c r="AG68" s="74">
        <f>SUM(AG57:AG67)</f>
        <v>0</v>
      </c>
      <c r="AH68" s="54">
        <f t="shared" si="2"/>
        <v>302.60000000000002</v>
      </c>
      <c r="AI68" s="55">
        <f t="shared" si="3"/>
        <v>8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3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30</v>
      </c>
      <c r="C74" s="86">
        <v>10</v>
      </c>
      <c r="D74" s="86">
        <v>10</v>
      </c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>
        <v>130</v>
      </c>
      <c r="Z74" s="86">
        <v>130</v>
      </c>
      <c r="AA74" s="86"/>
      <c r="AB74" s="86">
        <v>100</v>
      </c>
      <c r="AC74" s="86">
        <v>100</v>
      </c>
      <c r="AD74" s="86">
        <v>100</v>
      </c>
      <c r="AE74" s="86">
        <v>50</v>
      </c>
      <c r="AF74" s="86">
        <v>30</v>
      </c>
      <c r="AG74" s="74"/>
      <c r="AH74" s="54">
        <f t="shared" si="2"/>
        <v>130</v>
      </c>
      <c r="AI74" s="55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4">B72+B68+B56+B52+B38+B74</f>
        <v>1426.6999999999998</v>
      </c>
      <c r="C75" s="84">
        <f t="shared" ref="C75:AF75" si="15">C72+C68+C56+C52+C38+C74</f>
        <v>1409.74</v>
      </c>
      <c r="D75" s="84">
        <f t="shared" si="15"/>
        <v>1385.79</v>
      </c>
      <c r="E75" s="84">
        <f t="shared" si="15"/>
        <v>1337.19</v>
      </c>
      <c r="F75" s="84">
        <f t="shared" si="15"/>
        <v>1373.5400000000002</v>
      </c>
      <c r="G75" s="84">
        <f t="shared" si="15"/>
        <v>1341.8400000000001</v>
      </c>
      <c r="H75" s="84">
        <f t="shared" si="15"/>
        <v>1349.54</v>
      </c>
      <c r="I75" s="84">
        <f t="shared" si="15"/>
        <v>1411.6399999999999</v>
      </c>
      <c r="J75" s="84">
        <f t="shared" si="15"/>
        <v>1417.54</v>
      </c>
      <c r="K75" s="84">
        <f t="shared" si="15"/>
        <v>1467.04</v>
      </c>
      <c r="L75" s="84">
        <f t="shared" si="15"/>
        <v>1500.74</v>
      </c>
      <c r="M75" s="84">
        <f t="shared" si="15"/>
        <v>1455.6399999999999</v>
      </c>
      <c r="N75" s="84">
        <f t="shared" si="15"/>
        <v>1494.1400000000003</v>
      </c>
      <c r="O75" s="84">
        <f t="shared" si="15"/>
        <v>1526.64</v>
      </c>
      <c r="P75" s="84">
        <f t="shared" si="15"/>
        <v>1548.64</v>
      </c>
      <c r="Q75" s="84">
        <f t="shared" si="15"/>
        <v>1541.1399999999999</v>
      </c>
      <c r="R75" s="84">
        <f t="shared" si="15"/>
        <v>1540.04</v>
      </c>
      <c r="S75" s="84">
        <f t="shared" si="15"/>
        <v>1572.04</v>
      </c>
      <c r="T75" s="84">
        <f t="shared" si="15"/>
        <v>1456.04</v>
      </c>
      <c r="U75" s="84">
        <f t="shared" si="15"/>
        <v>1467.8400000000001</v>
      </c>
      <c r="V75" s="84">
        <f t="shared" si="15"/>
        <v>1446.3500000000001</v>
      </c>
      <c r="W75" s="84">
        <f t="shared" si="15"/>
        <v>1350.8400000000001</v>
      </c>
      <c r="X75" s="84">
        <f t="shared" si="15"/>
        <v>1268.74</v>
      </c>
      <c r="Y75" s="84">
        <f t="shared" si="15"/>
        <v>1380.3400000000001</v>
      </c>
      <c r="Z75" s="84">
        <f t="shared" si="15"/>
        <v>1416.94</v>
      </c>
      <c r="AA75" s="84">
        <f t="shared" si="15"/>
        <v>543.14</v>
      </c>
      <c r="AB75" s="84">
        <f t="shared" si="15"/>
        <v>1517.8400000000001</v>
      </c>
      <c r="AC75" s="84">
        <f t="shared" si="15"/>
        <v>1518.94</v>
      </c>
      <c r="AD75" s="84">
        <f t="shared" si="15"/>
        <v>1512.14</v>
      </c>
      <c r="AE75" s="84">
        <f t="shared" si="15"/>
        <v>1409.64</v>
      </c>
      <c r="AF75" s="84">
        <f t="shared" si="15"/>
        <v>1346.3400000000001</v>
      </c>
      <c r="AG75" s="74">
        <f>AG72+AG68+AG56+AG52+AG38+AG74</f>
        <v>2144.14</v>
      </c>
      <c r="AH75" s="54">
        <f t="shared" si="2"/>
        <v>1572.04</v>
      </c>
      <c r="AI75" s="55">
        <f t="shared" si="3"/>
        <v>543.14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84" si="16">MAX(B76:AF76)</f>
        <v>0</v>
      </c>
      <c r="AI76" s="55">
        <f t="shared" ref="AI76:AI84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6"/>
        <v>0</v>
      </c>
      <c r="AI77" s="55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6"/>
        <v>0</v>
      </c>
      <c r="AI78" s="55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6"/>
        <v>0</v>
      </c>
      <c r="AI79" s="55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6"/>
        <v>0</v>
      </c>
      <c r="AI80" s="55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6"/>
        <v>0</v>
      </c>
      <c r="AI81" s="55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8">SUM(AG76:AG81)</f>
        <v>0</v>
      </c>
      <c r="AH82" s="54">
        <f t="shared" si="16"/>
        <v>0</v>
      </c>
      <c r="AI82" s="55">
        <f t="shared" si="17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19">SUM(B70:B82)</f>
        <v>2658.5899999999997</v>
      </c>
      <c r="C83" s="69">
        <f t="shared" ref="C83:AG83" si="20">SUM(C70:C82)</f>
        <v>2621.63</v>
      </c>
      <c r="D83" s="69">
        <f t="shared" si="20"/>
        <v>2597.6799999999998</v>
      </c>
      <c r="E83" s="69">
        <f t="shared" si="20"/>
        <v>2539.08</v>
      </c>
      <c r="F83" s="69">
        <f t="shared" si="20"/>
        <v>2575.4300000000003</v>
      </c>
      <c r="G83" s="69">
        <f t="shared" si="20"/>
        <v>2543.73</v>
      </c>
      <c r="H83" s="69">
        <f t="shared" si="20"/>
        <v>2551.4299999999998</v>
      </c>
      <c r="I83" s="69">
        <f t="shared" si="20"/>
        <v>2613.5299999999997</v>
      </c>
      <c r="J83" s="69">
        <f t="shared" si="20"/>
        <v>2619.4299999999998</v>
      </c>
      <c r="K83" s="69">
        <f t="shared" si="20"/>
        <v>2668.93</v>
      </c>
      <c r="L83" s="69">
        <f t="shared" si="20"/>
        <v>2702.63</v>
      </c>
      <c r="M83" s="69">
        <f t="shared" si="20"/>
        <v>2657.5299999999997</v>
      </c>
      <c r="N83" s="69">
        <f t="shared" si="20"/>
        <v>2696.03</v>
      </c>
      <c r="O83" s="69">
        <f t="shared" si="20"/>
        <v>2728.5299999999997</v>
      </c>
      <c r="P83" s="69">
        <f t="shared" si="20"/>
        <v>2750.5299999999997</v>
      </c>
      <c r="Q83" s="69">
        <f t="shared" si="20"/>
        <v>2743.0299999999997</v>
      </c>
      <c r="R83" s="69">
        <f t="shared" si="20"/>
        <v>2741.93</v>
      </c>
      <c r="S83" s="69">
        <f t="shared" si="20"/>
        <v>2773.93</v>
      </c>
      <c r="T83" s="69">
        <f t="shared" si="20"/>
        <v>2657.93</v>
      </c>
      <c r="U83" s="69">
        <f t="shared" si="20"/>
        <v>2669.73</v>
      </c>
      <c r="V83" s="69">
        <f t="shared" si="20"/>
        <v>2648.24</v>
      </c>
      <c r="W83" s="69">
        <f t="shared" si="20"/>
        <v>2552.73</v>
      </c>
      <c r="X83" s="69">
        <f t="shared" si="20"/>
        <v>2470.63</v>
      </c>
      <c r="Y83" s="69">
        <f t="shared" si="20"/>
        <v>2712.23</v>
      </c>
      <c r="Z83" s="69">
        <f t="shared" si="20"/>
        <v>2748.83</v>
      </c>
      <c r="AA83" s="69">
        <f t="shared" si="20"/>
        <v>1745.0299999999997</v>
      </c>
      <c r="AB83" s="69">
        <f t="shared" si="20"/>
        <v>2819.73</v>
      </c>
      <c r="AC83" s="69">
        <f t="shared" si="20"/>
        <v>2820.83</v>
      </c>
      <c r="AD83" s="69">
        <f t="shared" si="20"/>
        <v>2814.0299999999997</v>
      </c>
      <c r="AE83" s="69">
        <f t="shared" si="20"/>
        <v>2661.5299999999997</v>
      </c>
      <c r="AF83" s="69">
        <f t="shared" si="20"/>
        <v>2578.23</v>
      </c>
      <c r="AG83" s="74">
        <f t="shared" si="20"/>
        <v>4360.08</v>
      </c>
      <c r="AH83" s="54">
        <f t="shared" si="16"/>
        <v>2820.83</v>
      </c>
      <c r="AI83" s="55">
        <f t="shared" si="17"/>
        <v>1745.0299999999997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50.51</v>
      </c>
      <c r="C84" s="90">
        <v>50.15</v>
      </c>
      <c r="D84" s="90">
        <v>50.213000000000001</v>
      </c>
      <c r="E84" s="90">
        <v>49.99</v>
      </c>
      <c r="F84" s="90">
        <v>50.014000000000003</v>
      </c>
      <c r="G84" s="90">
        <v>49.771999999999998</v>
      </c>
      <c r="H84" s="90">
        <v>49.92</v>
      </c>
      <c r="I84" s="90">
        <v>49.981999999999999</v>
      </c>
      <c r="J84" s="90">
        <v>50.048000000000002</v>
      </c>
      <c r="K84" s="90">
        <v>50.037999999999997</v>
      </c>
      <c r="L84" s="90">
        <v>49.999000000000002</v>
      </c>
      <c r="M84" s="90">
        <v>50.07</v>
      </c>
      <c r="N84" s="90">
        <v>50.015000000000001</v>
      </c>
      <c r="O84" s="90">
        <v>50.075000000000003</v>
      </c>
      <c r="P84" s="90">
        <v>50.002000000000002</v>
      </c>
      <c r="Q84" s="90">
        <v>49.98</v>
      </c>
      <c r="R84" s="90">
        <v>50.04</v>
      </c>
      <c r="S84" s="90">
        <v>49.96</v>
      </c>
      <c r="T84" s="90">
        <v>50.023000000000003</v>
      </c>
      <c r="U84" s="90">
        <v>49.991</v>
      </c>
      <c r="V84" s="90">
        <v>50.018999999999998</v>
      </c>
      <c r="W84" s="90">
        <v>49.993000000000002</v>
      </c>
      <c r="X84" s="90">
        <v>50.021999999999998</v>
      </c>
      <c r="Y84" s="90">
        <v>50.051000000000002</v>
      </c>
      <c r="Z84" s="90">
        <v>49.915999999999997</v>
      </c>
      <c r="AA84" s="90"/>
      <c r="AB84" s="90">
        <v>50.04</v>
      </c>
      <c r="AC84" s="90">
        <v>50.012999999999998</v>
      </c>
      <c r="AD84" s="90">
        <v>50.006999999999998</v>
      </c>
      <c r="AE84" s="90"/>
      <c r="AF84" s="90">
        <v>49.92</v>
      </c>
      <c r="AG84" s="91"/>
      <c r="AH84" s="54">
        <f t="shared" si="16"/>
        <v>50.51</v>
      </c>
      <c r="AI84" s="55">
        <f t="shared" si="17"/>
        <v>49.771999999999998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124.4</v>
      </c>
      <c r="C85" s="70">
        <v>125.1</v>
      </c>
      <c r="D85" s="70">
        <v>125.3</v>
      </c>
      <c r="E85" s="70">
        <v>125.1</v>
      </c>
      <c r="F85" s="70">
        <v>124.3</v>
      </c>
      <c r="G85" s="70">
        <v>124.3</v>
      </c>
      <c r="H85" s="70">
        <v>123.6</v>
      </c>
      <c r="I85" s="70">
        <v>122.8</v>
      </c>
      <c r="J85" s="70">
        <v>122.9</v>
      </c>
      <c r="K85" s="70">
        <v>123.3</v>
      </c>
      <c r="L85" s="70">
        <v>121.9</v>
      </c>
      <c r="M85" s="70">
        <v>122.5</v>
      </c>
      <c r="N85" s="70">
        <v>120.9</v>
      </c>
      <c r="O85" s="70">
        <v>121.4</v>
      </c>
      <c r="P85" s="70">
        <v>122.4</v>
      </c>
      <c r="Q85" s="70">
        <v>121.4</v>
      </c>
      <c r="R85" s="70">
        <v>119.9</v>
      </c>
      <c r="S85" s="70">
        <v>121.4</v>
      </c>
      <c r="T85" s="70">
        <v>123</v>
      </c>
      <c r="U85" s="70">
        <v>122.8</v>
      </c>
      <c r="V85" s="70">
        <v>122.4</v>
      </c>
      <c r="W85" s="70">
        <v>125.6</v>
      </c>
      <c r="X85" s="70">
        <v>127.7</v>
      </c>
      <c r="Y85" s="70">
        <v>128.19999999999999</v>
      </c>
      <c r="Z85" s="70">
        <v>128.19999999999999</v>
      </c>
      <c r="AA85" s="70"/>
      <c r="AB85" s="70">
        <v>128</v>
      </c>
      <c r="AC85" s="70">
        <v>127.6</v>
      </c>
      <c r="AD85" s="70">
        <v>127.6</v>
      </c>
      <c r="AF85" s="70">
        <v>127.6</v>
      </c>
      <c r="AG85" s="93"/>
      <c r="AH85" s="54">
        <f t="shared" ref="AH85:AH91" si="21">MAX(B85:AF85)</f>
        <v>128.19999999999999</v>
      </c>
      <c r="AI85" s="55">
        <f t="shared" ref="AI85:AI91" si="22">MIN(B85:AF85)</f>
        <v>119.9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128.30000000000001</v>
      </c>
      <c r="C86" s="70">
        <v>129.4</v>
      </c>
      <c r="D86" s="70">
        <v>130</v>
      </c>
      <c r="E86" s="70">
        <v>129.69999999999999</v>
      </c>
      <c r="F86" s="70">
        <v>129.30000000000001</v>
      </c>
      <c r="G86" s="70">
        <v>128.69999999999999</v>
      </c>
      <c r="H86" s="70">
        <v>128.19999999999999</v>
      </c>
      <c r="I86" s="70">
        <v>127.7</v>
      </c>
      <c r="J86" s="70">
        <v>127.5</v>
      </c>
      <c r="K86" s="70">
        <v>128.19999999999999</v>
      </c>
      <c r="L86" s="70">
        <v>126.8</v>
      </c>
      <c r="M86" s="70">
        <v>127.3</v>
      </c>
      <c r="N86" s="70">
        <v>126.5</v>
      </c>
      <c r="O86" s="70">
        <v>126.6</v>
      </c>
      <c r="P86" s="70">
        <v>127.8</v>
      </c>
      <c r="Q86" s="70">
        <v>126.5</v>
      </c>
      <c r="R86" s="70">
        <v>125.4</v>
      </c>
      <c r="S86" s="70">
        <v>127</v>
      </c>
      <c r="T86" s="70">
        <v>128</v>
      </c>
      <c r="U86" s="70">
        <v>127.5</v>
      </c>
      <c r="V86" s="70">
        <v>127.2</v>
      </c>
      <c r="W86" s="70">
        <v>129.5</v>
      </c>
      <c r="X86" s="70">
        <v>130.9</v>
      </c>
      <c r="Y86" s="70">
        <v>131.1</v>
      </c>
      <c r="Z86" s="70">
        <v>131</v>
      </c>
      <c r="AA86" s="70"/>
      <c r="AB86" s="70">
        <v>131</v>
      </c>
      <c r="AC86" s="70">
        <v>130</v>
      </c>
      <c r="AD86" s="70">
        <v>130</v>
      </c>
      <c r="AF86" s="70">
        <v>130</v>
      </c>
      <c r="AG86" s="93"/>
      <c r="AH86" s="54">
        <f t="shared" si="21"/>
        <v>131.1</v>
      </c>
      <c r="AI86" s="55">
        <f t="shared" si="22"/>
        <v>125.4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18.2</v>
      </c>
      <c r="C87" s="70">
        <v>128.30000000000001</v>
      </c>
      <c r="D87" s="70">
        <v>129.1</v>
      </c>
      <c r="E87" s="70">
        <v>130</v>
      </c>
      <c r="F87" s="70">
        <v>129.6</v>
      </c>
      <c r="G87" s="70">
        <v>129.30000000000001</v>
      </c>
      <c r="H87" s="70">
        <v>130.6</v>
      </c>
      <c r="I87" s="70">
        <v>127.3</v>
      </c>
      <c r="J87" s="70">
        <v>128.69999999999999</v>
      </c>
      <c r="K87" s="70">
        <v>127.5</v>
      </c>
      <c r="L87" s="70">
        <v>128.69999999999999</v>
      </c>
      <c r="M87" s="70">
        <v>126.8</v>
      </c>
      <c r="N87" s="70">
        <v>125.6</v>
      </c>
      <c r="O87" s="70">
        <v>121.7</v>
      </c>
      <c r="P87" s="70">
        <v>125.8</v>
      </c>
      <c r="Q87" s="70">
        <v>124.1</v>
      </c>
      <c r="R87" s="70">
        <v>123.7</v>
      </c>
      <c r="S87" s="70">
        <v>123.4</v>
      </c>
      <c r="T87" s="70">
        <v>124.1</v>
      </c>
      <c r="U87" s="70">
        <v>130.19999999999999</v>
      </c>
      <c r="V87" s="70">
        <v>127.5</v>
      </c>
      <c r="W87" s="70">
        <v>131.80000000000001</v>
      </c>
      <c r="X87" s="70">
        <v>130</v>
      </c>
      <c r="Y87" s="70">
        <v>129</v>
      </c>
      <c r="Z87" s="70">
        <v>127.1</v>
      </c>
      <c r="AA87" s="70"/>
      <c r="AB87" s="70">
        <v>128</v>
      </c>
      <c r="AC87" s="70">
        <v>129</v>
      </c>
      <c r="AD87" s="70">
        <v>129</v>
      </c>
      <c r="AF87" s="70">
        <v>129</v>
      </c>
      <c r="AG87" s="93"/>
      <c r="AH87" s="54">
        <f t="shared" si="21"/>
        <v>131.80000000000001</v>
      </c>
      <c r="AI87" s="55">
        <f t="shared" si="22"/>
        <v>18.2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130.69999999999999</v>
      </c>
      <c r="C88" s="70">
        <v>131.69999999999999</v>
      </c>
      <c r="D88" s="70">
        <v>133.1</v>
      </c>
      <c r="E88" s="70">
        <v>132.19999999999999</v>
      </c>
      <c r="F88" s="70">
        <v>132.4</v>
      </c>
      <c r="G88" s="70">
        <v>132.80000000000001</v>
      </c>
      <c r="H88" s="70">
        <v>133.30000000000001</v>
      </c>
      <c r="I88" s="70">
        <v>130.4</v>
      </c>
      <c r="J88" s="70">
        <v>132.30000000000001</v>
      </c>
      <c r="K88" s="70">
        <v>131.4</v>
      </c>
      <c r="L88" s="70">
        <v>131.19999999999999</v>
      </c>
      <c r="M88" s="70">
        <v>130.5</v>
      </c>
      <c r="N88" s="70">
        <v>128.19999999999999</v>
      </c>
      <c r="O88" s="70">
        <v>123.9</v>
      </c>
      <c r="P88" s="70">
        <v>127.4</v>
      </c>
      <c r="Q88" s="70">
        <v>126.5</v>
      </c>
      <c r="R88" s="70">
        <v>127</v>
      </c>
      <c r="S88" s="70">
        <v>125.4</v>
      </c>
      <c r="T88" s="70">
        <v>126</v>
      </c>
      <c r="U88" s="70">
        <v>131.6</v>
      </c>
      <c r="V88" s="70">
        <v>129.30000000000001</v>
      </c>
      <c r="W88" s="70">
        <v>135.4</v>
      </c>
      <c r="X88" s="70">
        <v>134</v>
      </c>
      <c r="Y88" s="70">
        <v>132.1</v>
      </c>
      <c r="Z88" s="70">
        <v>128.1</v>
      </c>
      <c r="AA88" s="70"/>
      <c r="AB88" s="70">
        <v>131</v>
      </c>
      <c r="AC88" s="70">
        <v>131</v>
      </c>
      <c r="AD88" s="70">
        <v>131</v>
      </c>
      <c r="AF88" s="70">
        <v>131</v>
      </c>
      <c r="AG88" s="93"/>
      <c r="AH88" s="54">
        <f t="shared" si="21"/>
        <v>135.4</v>
      </c>
      <c r="AI88" s="55">
        <f t="shared" si="22"/>
        <v>123.9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132.5</v>
      </c>
      <c r="C89" s="95">
        <v>132.6</v>
      </c>
      <c r="D89" s="95">
        <v>133.5</v>
      </c>
      <c r="E89" s="95">
        <v>134.1</v>
      </c>
      <c r="F89" s="95">
        <v>134.1</v>
      </c>
      <c r="G89" s="95">
        <v>133.30000000000001</v>
      </c>
      <c r="H89" s="95">
        <v>131.30000000000001</v>
      </c>
      <c r="I89" s="95">
        <v>129.69999999999999</v>
      </c>
      <c r="J89" s="95">
        <v>131.19999999999999</v>
      </c>
      <c r="K89" s="95">
        <v>131.30000000000001</v>
      </c>
      <c r="L89" s="95">
        <v>131.4</v>
      </c>
      <c r="M89" s="95">
        <v>131.6</v>
      </c>
      <c r="N89" s="95">
        <v>132</v>
      </c>
      <c r="O89" s="95">
        <v>129.69999999999999</v>
      </c>
      <c r="P89" s="95">
        <v>133.80000000000001</v>
      </c>
      <c r="Q89" s="95">
        <v>131.30000000000001</v>
      </c>
      <c r="R89" s="95">
        <v>124.7</v>
      </c>
      <c r="S89" s="95">
        <v>131.5</v>
      </c>
      <c r="T89" s="95">
        <v>132.4</v>
      </c>
      <c r="U89" s="95">
        <v>130.5</v>
      </c>
      <c r="V89" s="95">
        <v>128.69999999999999</v>
      </c>
      <c r="W89" s="95">
        <v>132.30000000000001</v>
      </c>
      <c r="X89" s="95">
        <v>134</v>
      </c>
      <c r="Y89" s="95">
        <v>130.5</v>
      </c>
      <c r="Z89" s="95">
        <v>135.19999999999999</v>
      </c>
      <c r="AA89" s="95"/>
      <c r="AB89" s="95">
        <v>133</v>
      </c>
      <c r="AC89" s="95">
        <v>130</v>
      </c>
      <c r="AD89" s="95">
        <v>130</v>
      </c>
      <c r="AF89" s="95">
        <v>130</v>
      </c>
      <c r="AG89" s="96"/>
      <c r="AH89" s="54">
        <f t="shared" si="21"/>
        <v>135.19999999999999</v>
      </c>
      <c r="AI89" s="55">
        <f t="shared" si="22"/>
        <v>124.7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133.1</v>
      </c>
      <c r="C90" s="70">
        <v>131.80000000000001</v>
      </c>
      <c r="D90" s="70">
        <v>131.1</v>
      </c>
      <c r="E90" s="70">
        <v>134.4</v>
      </c>
      <c r="F90" s="70">
        <v>130.5</v>
      </c>
      <c r="G90" s="70">
        <v>130.6</v>
      </c>
      <c r="H90" s="70">
        <v>130.6</v>
      </c>
      <c r="I90" s="70">
        <v>130.19999999999999</v>
      </c>
      <c r="J90" s="70">
        <v>131.30000000000001</v>
      </c>
      <c r="K90" s="70">
        <v>131.30000000000001</v>
      </c>
      <c r="L90" s="70">
        <v>131.4</v>
      </c>
      <c r="M90" s="70">
        <v>131</v>
      </c>
      <c r="N90" s="70">
        <v>120.9</v>
      </c>
      <c r="O90" s="70">
        <v>120.3</v>
      </c>
      <c r="P90" s="70">
        <v>123.5</v>
      </c>
      <c r="Q90" s="70">
        <v>122.4</v>
      </c>
      <c r="R90" s="70">
        <v>112.1</v>
      </c>
      <c r="S90" s="70">
        <v>120.3</v>
      </c>
      <c r="T90" s="70">
        <v>122.1</v>
      </c>
      <c r="U90" s="70">
        <v>123.7</v>
      </c>
      <c r="V90" s="70">
        <v>122.7</v>
      </c>
      <c r="W90" s="70">
        <v>127.3</v>
      </c>
      <c r="X90" s="70">
        <v>129</v>
      </c>
      <c r="Y90" s="70">
        <v>126.7</v>
      </c>
      <c r="Z90" s="70">
        <v>130</v>
      </c>
      <c r="AA90" s="70"/>
      <c r="AB90" s="70">
        <v>130</v>
      </c>
      <c r="AC90" s="70">
        <v>134</v>
      </c>
      <c r="AD90" s="70">
        <v>134</v>
      </c>
      <c r="AF90" s="70">
        <v>134</v>
      </c>
      <c r="AG90" s="93"/>
      <c r="AH90" s="54">
        <f t="shared" si="21"/>
        <v>134.4</v>
      </c>
      <c r="AI90" s="55">
        <f t="shared" si="22"/>
        <v>112.1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65.400000000000006</v>
      </c>
      <c r="C91" s="97">
        <v>65.7</v>
      </c>
      <c r="D91" s="97">
        <v>65.900000000000006</v>
      </c>
      <c r="E91" s="97">
        <v>65.7</v>
      </c>
      <c r="F91" s="97">
        <v>65.5</v>
      </c>
      <c r="G91" s="97">
        <v>65.2</v>
      </c>
      <c r="H91" s="97">
        <v>64.7</v>
      </c>
      <c r="I91" s="97">
        <v>64.400000000000006</v>
      </c>
      <c r="J91" s="97">
        <v>64.099999999999994</v>
      </c>
      <c r="K91" s="97">
        <v>64.5</v>
      </c>
      <c r="L91" s="97">
        <v>64</v>
      </c>
      <c r="M91" s="97">
        <v>64</v>
      </c>
      <c r="N91" s="97">
        <v>63.4</v>
      </c>
      <c r="O91" s="97">
        <v>63.3</v>
      </c>
      <c r="P91" s="97">
        <v>64</v>
      </c>
      <c r="Q91" s="97">
        <v>63.3</v>
      </c>
      <c r="R91" s="97">
        <v>63.2</v>
      </c>
      <c r="S91" s="97">
        <v>63.7</v>
      </c>
      <c r="T91" s="97">
        <v>64</v>
      </c>
      <c r="U91" s="97">
        <v>64</v>
      </c>
      <c r="V91" s="97">
        <v>63.8</v>
      </c>
      <c r="W91" s="97">
        <v>65.099999999999994</v>
      </c>
      <c r="X91" s="97">
        <v>66</v>
      </c>
      <c r="Y91" s="97">
        <v>65.8</v>
      </c>
      <c r="Z91" s="97">
        <v>65.599999999999994</v>
      </c>
      <c r="AA91" s="97"/>
      <c r="AB91" s="97">
        <v>66</v>
      </c>
      <c r="AC91" s="97">
        <v>66</v>
      </c>
      <c r="AD91" s="97">
        <v>66</v>
      </c>
      <c r="AF91" s="97">
        <v>66</v>
      </c>
      <c r="AG91" s="98"/>
      <c r="AH91" s="54">
        <f t="shared" si="21"/>
        <v>66</v>
      </c>
      <c r="AI91" s="55">
        <f t="shared" si="22"/>
        <v>63.2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23">SUM(B15,B18,B21:B22,B42,B44:B45,B47,B49,B94:B97,B103,B109,B115,B124,B126,B138,B145,B148:B149,B156,B158,B160,B164:B166,B168:B170,B175,B181:B182,B184:B186,B194,B199)</f>
        <v>187.33999999999997</v>
      </c>
      <c r="C93" s="103">
        <f t="shared" si="23"/>
        <v>170.43999999999997</v>
      </c>
      <c r="D93" s="103">
        <f t="shared" si="23"/>
        <v>167.83999999999997</v>
      </c>
      <c r="E93" s="103">
        <f t="shared" si="23"/>
        <v>166.23999999999998</v>
      </c>
      <c r="F93" s="103">
        <f t="shared" si="23"/>
        <v>166.44</v>
      </c>
      <c r="G93" s="103">
        <f t="shared" si="23"/>
        <v>191.34</v>
      </c>
      <c r="H93" s="103">
        <f t="shared" si="23"/>
        <v>214.23999999999998</v>
      </c>
      <c r="I93" s="103">
        <f t="shared" si="23"/>
        <v>251.33999999999997</v>
      </c>
      <c r="J93" s="103">
        <f t="shared" si="23"/>
        <v>271.44</v>
      </c>
      <c r="K93" s="103">
        <f t="shared" si="23"/>
        <v>293.64</v>
      </c>
      <c r="L93" s="103">
        <f t="shared" si="23"/>
        <v>306.34000000000003</v>
      </c>
      <c r="M93" s="103">
        <f t="shared" si="23"/>
        <v>310.74000000000007</v>
      </c>
      <c r="N93" s="103">
        <f t="shared" si="23"/>
        <v>296.14</v>
      </c>
      <c r="O93" s="103">
        <f t="shared" si="23"/>
        <v>326.44000000000005</v>
      </c>
      <c r="P93" s="103">
        <f t="shared" si="23"/>
        <v>318.74000000000007</v>
      </c>
      <c r="Q93" s="103">
        <f t="shared" si="23"/>
        <v>313.14000000000004</v>
      </c>
      <c r="R93" s="103">
        <f t="shared" si="23"/>
        <v>315.34000000000003</v>
      </c>
      <c r="S93" s="103">
        <f t="shared" si="23"/>
        <v>310.94000000000005</v>
      </c>
      <c r="T93" s="103">
        <f t="shared" si="23"/>
        <v>320.74</v>
      </c>
      <c r="U93" s="103">
        <f t="shared" si="23"/>
        <v>317.84000000000003</v>
      </c>
      <c r="V93" s="103">
        <f t="shared" si="23"/>
        <v>313.44</v>
      </c>
      <c r="W93" s="103">
        <f>SUM(W15,W18,W21:W22,W42,W44:W45,W47,W49,W94:W97,W103,W109,W115,W124,W126,W138,W145,W148:W149,W156,W158,W160,W164:W166,W168:W170,W175,W181:W182,W184:W186,W194,W199)</f>
        <v>312.04000000000002</v>
      </c>
      <c r="X93" s="103">
        <f>SUM(X15,X18,X21:X22,X42,X44:X45,X47,X49,X94:X97,X103,X109,X115,X124,X126,X138,X145,X148:X149,X156,X158,X160,X164:X166,X168:X170,X175,X181:X182,X184:X186,X194,X199)</f>
        <v>310.14000000000004</v>
      </c>
      <c r="Y93" s="103">
        <f t="shared" si="23"/>
        <v>313.44000000000005</v>
      </c>
      <c r="Z93" s="103">
        <f t="shared" si="23"/>
        <v>344.64000000000004</v>
      </c>
      <c r="AA93" s="103">
        <f t="shared" si="23"/>
        <v>127.14</v>
      </c>
      <c r="AB93" s="103">
        <f t="shared" si="23"/>
        <v>362.84000000000003</v>
      </c>
      <c r="AC93" s="103">
        <f t="shared" si="23"/>
        <v>352.54000000000008</v>
      </c>
      <c r="AD93" s="103">
        <f t="shared" si="23"/>
        <v>329.54000000000008</v>
      </c>
      <c r="AE93" s="103">
        <f t="shared" si="23"/>
        <v>192.54</v>
      </c>
      <c r="AF93" s="103">
        <f t="shared" si="23"/>
        <v>218.54</v>
      </c>
      <c r="AG93" s="104"/>
      <c r="AH93" s="54">
        <f>MAX(C93:AF93)</f>
        <v>362.84000000000003</v>
      </c>
      <c r="AI93" s="55">
        <f>MIN(C93:AF93)</f>
        <v>127.14</v>
      </c>
    </row>
    <row r="94" spans="1:88" x14ac:dyDescent="0.25">
      <c r="A94" s="105" t="s">
        <v>99</v>
      </c>
      <c r="B94" s="106">
        <v>53.4</v>
      </c>
      <c r="C94" s="106">
        <v>54.6</v>
      </c>
      <c r="D94" s="106">
        <v>57</v>
      </c>
      <c r="E94" s="106">
        <v>54.6</v>
      </c>
      <c r="F94" s="106">
        <v>57.2</v>
      </c>
      <c r="G94" s="106">
        <v>59.9</v>
      </c>
      <c r="H94" s="106">
        <v>58.4</v>
      </c>
      <c r="I94" s="106">
        <v>52.5</v>
      </c>
      <c r="J94" s="106">
        <v>52.9</v>
      </c>
      <c r="K94" s="106">
        <v>47.8</v>
      </c>
      <c r="L94" s="106">
        <v>44.5</v>
      </c>
      <c r="M94" s="106">
        <v>46.7</v>
      </c>
      <c r="N94" s="106">
        <v>41.8</v>
      </c>
      <c r="O94" s="106">
        <v>32.799999999999997</v>
      </c>
      <c r="P94" s="106">
        <v>46.2</v>
      </c>
      <c r="Q94" s="106">
        <v>44.3</v>
      </c>
      <c r="R94" s="106">
        <v>45</v>
      </c>
      <c r="S94" s="106">
        <v>44.8</v>
      </c>
      <c r="T94" s="106">
        <v>54</v>
      </c>
      <c r="U94" s="106">
        <v>32.200000000000003</v>
      </c>
      <c r="V94" s="106">
        <v>22.2</v>
      </c>
      <c r="W94" s="106">
        <v>34</v>
      </c>
      <c r="X94" s="106">
        <v>44.1</v>
      </c>
      <c r="Y94" s="106">
        <v>31</v>
      </c>
      <c r="Z94" s="106">
        <v>46.7</v>
      </c>
      <c r="AA94" s="106"/>
      <c r="AB94" s="106">
        <v>35</v>
      </c>
      <c r="AC94" s="106">
        <v>35</v>
      </c>
      <c r="AD94" s="106">
        <v>35</v>
      </c>
      <c r="AE94" s="106"/>
      <c r="AF94" s="106">
        <v>34</v>
      </c>
      <c r="AG94" s="107">
        <v>75</v>
      </c>
      <c r="AH94" s="54">
        <f t="shared" ref="AH94:AH100" si="24">IF(ABS(MAX(C94:AF94))&gt;ABS(MIN(C94:AF94)),MAX(C94:AF94),MIN(C94:AF94))</f>
        <v>59.9</v>
      </c>
      <c r="AI94" s="108">
        <f t="shared" ref="AI94:AI100" si="25">INDEX($C$9:$AF$9,1,MATCH(AH94,C94:AF94,0))</f>
        <v>0.20833333333333301</v>
      </c>
    </row>
    <row r="95" spans="1:88" x14ac:dyDescent="0.25">
      <c r="A95" s="109" t="s">
        <v>100</v>
      </c>
      <c r="B95" s="110">
        <v>-82.5</v>
      </c>
      <c r="C95" s="110">
        <v>-89.4</v>
      </c>
      <c r="D95" s="110">
        <v>-84.2</v>
      </c>
      <c r="E95" s="110">
        <v>-83.1</v>
      </c>
      <c r="F95" s="110">
        <v>-85</v>
      </c>
      <c r="G95" s="110">
        <v>-80</v>
      </c>
      <c r="H95" s="110">
        <v>-68</v>
      </c>
      <c r="I95" s="110">
        <v>-45</v>
      </c>
      <c r="J95" s="110">
        <v>-35</v>
      </c>
      <c r="K95" s="110">
        <v>-45</v>
      </c>
      <c r="L95" s="110">
        <v>-40</v>
      </c>
      <c r="M95" s="110">
        <f>-16.7-22.3</f>
        <v>-39</v>
      </c>
      <c r="N95" s="110">
        <v>-46.8</v>
      </c>
      <c r="O95" s="110">
        <v>-33</v>
      </c>
      <c r="P95" s="110">
        <v>-40</v>
      </c>
      <c r="Q95" s="110">
        <f>-15-26.7</f>
        <v>-41.7</v>
      </c>
      <c r="R95" s="110">
        <f>-17.9-27.7</f>
        <v>-45.599999999999994</v>
      </c>
      <c r="S95" s="110">
        <f>-15.2-26.7</f>
        <v>-41.9</v>
      </c>
      <c r="T95" s="110">
        <f>-14-25</f>
        <v>-39</v>
      </c>
      <c r="U95" s="110">
        <v>-30.5</v>
      </c>
      <c r="V95" s="110">
        <v>-34</v>
      </c>
      <c r="W95" s="110">
        <v>-23</v>
      </c>
      <c r="X95" s="110">
        <v>-18</v>
      </c>
      <c r="Y95" s="110">
        <v>-8.9</v>
      </c>
      <c r="Z95" s="110">
        <f>3.8-4.5</f>
        <v>-0.70000000000000018</v>
      </c>
      <c r="AA95" s="110"/>
      <c r="AB95" s="110">
        <v>-9</v>
      </c>
      <c r="AC95" s="110">
        <v>-10</v>
      </c>
      <c r="AD95" s="110">
        <v>-18</v>
      </c>
      <c r="AE95" s="110"/>
      <c r="AF95" s="110">
        <v>-60</v>
      </c>
      <c r="AG95" s="107">
        <v>240</v>
      </c>
      <c r="AH95" s="54">
        <f t="shared" si="24"/>
        <v>-89.4</v>
      </c>
      <c r="AI95" s="108">
        <f t="shared" si="25"/>
        <v>4.1666666666666664E-2</v>
      </c>
    </row>
    <row r="96" spans="1:88" x14ac:dyDescent="0.25">
      <c r="A96" s="109" t="s">
        <v>101</v>
      </c>
      <c r="B96" s="110">
        <v>20.5</v>
      </c>
      <c r="C96" s="110">
        <v>19.8</v>
      </c>
      <c r="D96" s="110">
        <v>11.9</v>
      </c>
      <c r="E96" s="110">
        <v>10</v>
      </c>
      <c r="F96" s="110">
        <v>8.1</v>
      </c>
      <c r="G96" s="110">
        <v>11.9</v>
      </c>
      <c r="H96" s="110">
        <v>13.5</v>
      </c>
      <c r="I96" s="110">
        <v>15.6</v>
      </c>
      <c r="J96" s="110">
        <v>16.600000000000001</v>
      </c>
      <c r="K96" s="110">
        <v>22.1</v>
      </c>
      <c r="L96" s="110">
        <v>21</v>
      </c>
      <c r="M96" s="110">
        <v>19.8</v>
      </c>
      <c r="N96" s="110">
        <v>18.7</v>
      </c>
      <c r="O96" s="110">
        <v>43.3</v>
      </c>
      <c r="P96" s="110">
        <v>42.9</v>
      </c>
      <c r="Q96" s="110">
        <v>42.6</v>
      </c>
      <c r="R96" s="110">
        <v>38.9</v>
      </c>
      <c r="S96" s="110">
        <v>40.9</v>
      </c>
      <c r="T96" s="110">
        <v>45.9</v>
      </c>
      <c r="U96" s="110">
        <v>43.5</v>
      </c>
      <c r="V96" s="110">
        <v>46.2</v>
      </c>
      <c r="W96" s="110">
        <v>46.5</v>
      </c>
      <c r="X96" s="110">
        <v>47</v>
      </c>
      <c r="Y96" s="110">
        <v>49</v>
      </c>
      <c r="Z96" s="110">
        <v>51.6</v>
      </c>
      <c r="AA96" s="110"/>
      <c r="AB96" s="110">
        <v>50.3</v>
      </c>
      <c r="AC96" s="110">
        <v>48</v>
      </c>
      <c r="AD96" s="110">
        <v>47</v>
      </c>
      <c r="AE96" s="110"/>
      <c r="AF96" s="110">
        <v>37</v>
      </c>
      <c r="AG96" s="107">
        <v>60</v>
      </c>
      <c r="AH96" s="54">
        <f t="shared" si="24"/>
        <v>51.6</v>
      </c>
      <c r="AI96" s="108">
        <f t="shared" si="25"/>
        <v>0.79166666666666663</v>
      </c>
    </row>
    <row r="97" spans="1:37" x14ac:dyDescent="0.25">
      <c r="A97" s="111" t="s">
        <v>102</v>
      </c>
      <c r="B97" s="112">
        <v>5</v>
      </c>
      <c r="C97" s="112">
        <v>-4.8</v>
      </c>
      <c r="D97" s="112">
        <v>-7.1</v>
      </c>
      <c r="E97" s="112">
        <v>-5.5</v>
      </c>
      <c r="F97" s="112">
        <v>-4.0999999999999996</v>
      </c>
      <c r="G97" s="112">
        <v>9.3000000000000007</v>
      </c>
      <c r="H97" s="112">
        <v>20.100000000000001</v>
      </c>
      <c r="I97" s="112">
        <v>38</v>
      </c>
      <c r="J97" s="112">
        <v>46.7</v>
      </c>
      <c r="K97" s="112">
        <v>78.5</v>
      </c>
      <c r="L97" s="112">
        <v>90.6</v>
      </c>
      <c r="M97" s="112">
        <v>89</v>
      </c>
      <c r="N97" s="112">
        <v>88.2</v>
      </c>
      <c r="O97" s="112">
        <v>89.1</v>
      </c>
      <c r="P97" s="112">
        <v>75.400000000000006</v>
      </c>
      <c r="Q97" s="112">
        <v>83.8</v>
      </c>
      <c r="R97" s="112">
        <v>84.7</v>
      </c>
      <c r="S97" s="112">
        <v>74.8</v>
      </c>
      <c r="T97" s="112">
        <v>67.5</v>
      </c>
      <c r="U97" s="112">
        <v>80.3</v>
      </c>
      <c r="V97" s="112">
        <v>86.7</v>
      </c>
      <c r="W97" s="112">
        <v>62.2</v>
      </c>
      <c r="X97" s="112">
        <v>44.7</v>
      </c>
      <c r="Y97" s="112">
        <v>50</v>
      </c>
      <c r="Z97" s="112">
        <v>54.7</v>
      </c>
      <c r="AA97" s="112"/>
      <c r="AB97" s="112">
        <v>94</v>
      </c>
      <c r="AC97" s="112">
        <v>87</v>
      </c>
      <c r="AD97" s="112">
        <v>73</v>
      </c>
      <c r="AE97" s="112"/>
      <c r="AF97" s="112">
        <v>15</v>
      </c>
      <c r="AG97" s="113">
        <v>120</v>
      </c>
      <c r="AH97" s="54">
        <f t="shared" si="24"/>
        <v>94</v>
      </c>
      <c r="AI97" s="108">
        <f t="shared" si="25"/>
        <v>0.83333333333333337</v>
      </c>
    </row>
    <row r="98" spans="1:37" x14ac:dyDescent="0.25">
      <c r="A98" s="111" t="s">
        <v>103</v>
      </c>
      <c r="B98" s="112">
        <v>38.6</v>
      </c>
      <c r="C98" s="112">
        <v>40.1</v>
      </c>
      <c r="D98" s="112">
        <v>47.1</v>
      </c>
      <c r="E98" s="112">
        <v>52.7</v>
      </c>
      <c r="F98" s="112">
        <v>60.2</v>
      </c>
      <c r="G98" s="112">
        <v>57</v>
      </c>
      <c r="H98" s="112">
        <v>62</v>
      </c>
      <c r="I98" s="112">
        <v>83</v>
      </c>
      <c r="J98" s="112">
        <v>92</v>
      </c>
      <c r="K98" s="112">
        <v>83.8</v>
      </c>
      <c r="L98" s="112">
        <v>92.7</v>
      </c>
      <c r="M98" s="112">
        <v>88.3</v>
      </c>
      <c r="N98" s="112">
        <v>88.8</v>
      </c>
      <c r="O98" s="112">
        <v>85.4</v>
      </c>
      <c r="P98" s="112">
        <v>77.599999999999994</v>
      </c>
      <c r="Q98" s="112">
        <v>85.5</v>
      </c>
      <c r="R98" s="112">
        <v>90.3</v>
      </c>
      <c r="S98" s="112">
        <v>81</v>
      </c>
      <c r="T98" s="112">
        <v>72.7</v>
      </c>
      <c r="U98" s="112">
        <v>86.2</v>
      </c>
      <c r="V98" s="112">
        <v>89</v>
      </c>
      <c r="W98" s="112">
        <v>61.4</v>
      </c>
      <c r="X98" s="112">
        <v>44</v>
      </c>
      <c r="Y98" s="112">
        <v>47</v>
      </c>
      <c r="Z98" s="112">
        <v>43</v>
      </c>
      <c r="AA98" s="112"/>
      <c r="AB98" s="112">
        <v>60</v>
      </c>
      <c r="AC98" s="112">
        <v>63</v>
      </c>
      <c r="AD98" s="112">
        <v>60</v>
      </c>
      <c r="AE98" s="112"/>
      <c r="AF98" s="112">
        <v>51</v>
      </c>
      <c r="AG98" s="113"/>
      <c r="AH98" s="54">
        <f t="shared" si="24"/>
        <v>92.7</v>
      </c>
      <c r="AI98" s="108">
        <f t="shared" si="25"/>
        <v>0.3125</v>
      </c>
    </row>
    <row r="99" spans="1:37" x14ac:dyDescent="0.25">
      <c r="A99" s="111" t="s">
        <v>104</v>
      </c>
      <c r="B99" s="112">
        <v>62.6</v>
      </c>
      <c r="C99" s="112">
        <v>66.599999999999994</v>
      </c>
      <c r="D99" s="112">
        <v>61.4</v>
      </c>
      <c r="E99" s="112">
        <v>61.4</v>
      </c>
      <c r="F99" s="112">
        <v>59.2</v>
      </c>
      <c r="G99" s="112">
        <v>53</v>
      </c>
      <c r="H99" s="112">
        <v>54</v>
      </c>
      <c r="I99" s="112">
        <v>61</v>
      </c>
      <c r="J99" s="112">
        <v>57</v>
      </c>
      <c r="K99" s="112">
        <v>58</v>
      </c>
      <c r="L99" s="112">
        <v>60</v>
      </c>
      <c r="M99" s="112">
        <v>57</v>
      </c>
      <c r="N99" s="112">
        <v>62.7</v>
      </c>
      <c r="O99" s="112">
        <v>55.4</v>
      </c>
      <c r="P99" s="112">
        <v>54.9</v>
      </c>
      <c r="Q99" s="112">
        <v>67.900000000000006</v>
      </c>
      <c r="R99" s="112">
        <v>59.5</v>
      </c>
      <c r="S99" s="112">
        <v>58.6</v>
      </c>
      <c r="T99" s="112">
        <v>46.8</v>
      </c>
      <c r="U99" s="112">
        <v>72.599999999999994</v>
      </c>
      <c r="V99" s="112">
        <v>82.1</v>
      </c>
      <c r="W99" s="112">
        <v>77.099999999999994</v>
      </c>
      <c r="X99" s="112">
        <v>69</v>
      </c>
      <c r="Y99" s="112">
        <v>82</v>
      </c>
      <c r="Z99" s="112">
        <v>66.8</v>
      </c>
      <c r="AA99" s="112"/>
      <c r="AB99" s="112">
        <v>75</v>
      </c>
      <c r="AC99" s="112">
        <v>78</v>
      </c>
      <c r="AD99" s="112">
        <v>79</v>
      </c>
      <c r="AE99" s="112"/>
      <c r="AF99" s="112">
        <v>78</v>
      </c>
      <c r="AG99" s="114"/>
      <c r="AH99" s="54">
        <f t="shared" si="24"/>
        <v>82.1</v>
      </c>
      <c r="AI99" s="108">
        <f t="shared" si="25"/>
        <v>0.70833333333333304</v>
      </c>
    </row>
    <row r="100" spans="1:37" ht="15.75" thickBot="1" x14ac:dyDescent="0.3">
      <c r="A100" s="115" t="s">
        <v>105</v>
      </c>
      <c r="B100" s="95">
        <v>91.9</v>
      </c>
      <c r="C100" s="95">
        <v>91.6</v>
      </c>
      <c r="D100" s="95">
        <v>87.1</v>
      </c>
      <c r="E100" s="95">
        <v>80.400000000000006</v>
      </c>
      <c r="F100" s="95">
        <v>77</v>
      </c>
      <c r="G100" s="95">
        <v>75</v>
      </c>
      <c r="H100" s="95">
        <v>68</v>
      </c>
      <c r="I100" s="95">
        <v>70</v>
      </c>
      <c r="J100" s="95">
        <v>71</v>
      </c>
      <c r="K100" s="95">
        <v>80</v>
      </c>
      <c r="L100" s="95">
        <v>80</v>
      </c>
      <c r="M100" s="95">
        <v>80.099999999999994</v>
      </c>
      <c r="N100" s="95">
        <v>85.4</v>
      </c>
      <c r="O100" s="95">
        <v>95.5</v>
      </c>
      <c r="P100" s="95">
        <v>101.2</v>
      </c>
      <c r="Q100" s="95">
        <v>98.9</v>
      </c>
      <c r="R100" s="95">
        <v>97.1</v>
      </c>
      <c r="S100" s="95">
        <v>101</v>
      </c>
      <c r="T100" s="95">
        <v>81</v>
      </c>
      <c r="U100" s="95">
        <v>56</v>
      </c>
      <c r="V100" s="95">
        <v>50</v>
      </c>
      <c r="W100" s="95">
        <v>36.299999999999997</v>
      </c>
      <c r="X100" s="95">
        <v>31</v>
      </c>
      <c r="Y100" s="95">
        <v>45</v>
      </c>
      <c r="Z100" s="95">
        <v>42</v>
      </c>
      <c r="AA100" s="95"/>
      <c r="AB100" s="95">
        <v>53</v>
      </c>
      <c r="AC100" s="95">
        <v>54</v>
      </c>
      <c r="AD100" s="95">
        <v>50</v>
      </c>
      <c r="AE100" s="95"/>
      <c r="AF100" s="95">
        <v>52</v>
      </c>
      <c r="AG100" s="114"/>
      <c r="AH100" s="54">
        <f t="shared" si="24"/>
        <v>101.2</v>
      </c>
      <c r="AI100" s="108">
        <f t="shared" si="25"/>
        <v>0.45833333333333298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6">AF102</f>
        <v>9.9</v>
      </c>
      <c r="C102" s="53">
        <v>9.9</v>
      </c>
      <c r="D102" s="121">
        <f t="shared" ref="D102:S107" si="27">C102</f>
        <v>9.9</v>
      </c>
      <c r="E102" s="121">
        <f t="shared" si="27"/>
        <v>9.9</v>
      </c>
      <c r="F102" s="121">
        <f t="shared" si="27"/>
        <v>9.9</v>
      </c>
      <c r="G102" s="121">
        <f t="shared" si="27"/>
        <v>9.9</v>
      </c>
      <c r="H102" s="121">
        <f t="shared" si="27"/>
        <v>9.9</v>
      </c>
      <c r="I102" s="121">
        <f t="shared" si="27"/>
        <v>9.9</v>
      </c>
      <c r="J102" s="121">
        <f t="shared" si="27"/>
        <v>9.9</v>
      </c>
      <c r="K102" s="121">
        <f t="shared" si="27"/>
        <v>9.9</v>
      </c>
      <c r="L102" s="121">
        <f t="shared" si="27"/>
        <v>9.9</v>
      </c>
      <c r="M102" s="121">
        <f t="shared" si="27"/>
        <v>9.9</v>
      </c>
      <c r="N102" s="121">
        <f t="shared" si="27"/>
        <v>9.9</v>
      </c>
      <c r="O102" s="121">
        <f t="shared" si="27"/>
        <v>9.9</v>
      </c>
      <c r="P102" s="121">
        <f t="shared" si="27"/>
        <v>9.9</v>
      </c>
      <c r="Q102" s="121">
        <f t="shared" si="27"/>
        <v>9.9</v>
      </c>
      <c r="R102" s="121">
        <f t="shared" si="27"/>
        <v>9.9</v>
      </c>
      <c r="S102" s="121">
        <f t="shared" si="27"/>
        <v>9.9</v>
      </c>
      <c r="T102" s="121">
        <f t="shared" ref="T102:AF107" si="28">S102</f>
        <v>9.9</v>
      </c>
      <c r="U102" s="121">
        <f t="shared" si="28"/>
        <v>9.9</v>
      </c>
      <c r="V102" s="121">
        <f t="shared" si="28"/>
        <v>9.9</v>
      </c>
      <c r="W102" s="121">
        <f t="shared" si="28"/>
        <v>9.9</v>
      </c>
      <c r="X102" s="121">
        <f t="shared" si="28"/>
        <v>9.9</v>
      </c>
      <c r="Y102" s="121">
        <f t="shared" si="28"/>
        <v>9.9</v>
      </c>
      <c r="Z102" s="121">
        <f t="shared" si="28"/>
        <v>9.9</v>
      </c>
      <c r="AA102" s="121">
        <f t="shared" si="28"/>
        <v>9.9</v>
      </c>
      <c r="AB102" s="121">
        <f t="shared" si="28"/>
        <v>9.9</v>
      </c>
      <c r="AC102" s="121">
        <f t="shared" si="28"/>
        <v>9.9</v>
      </c>
      <c r="AD102" s="121">
        <f t="shared" si="28"/>
        <v>9.9</v>
      </c>
      <c r="AE102" s="121">
        <f t="shared" si="28"/>
        <v>9.9</v>
      </c>
      <c r="AF102" s="121">
        <f t="shared" si="28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6"/>
        <v>9.6</v>
      </c>
      <c r="C103" s="124">
        <v>9.6</v>
      </c>
      <c r="D103" s="123">
        <f t="shared" si="27"/>
        <v>9.6</v>
      </c>
      <c r="E103" s="123">
        <f t="shared" si="27"/>
        <v>9.6</v>
      </c>
      <c r="F103" s="123">
        <f t="shared" si="27"/>
        <v>9.6</v>
      </c>
      <c r="G103" s="123">
        <f t="shared" si="27"/>
        <v>9.6</v>
      </c>
      <c r="H103" s="123">
        <f t="shared" si="27"/>
        <v>9.6</v>
      </c>
      <c r="I103" s="123">
        <f t="shared" si="27"/>
        <v>9.6</v>
      </c>
      <c r="J103" s="123">
        <f t="shared" si="27"/>
        <v>9.6</v>
      </c>
      <c r="K103" s="123">
        <f t="shared" si="27"/>
        <v>9.6</v>
      </c>
      <c r="L103" s="123">
        <f t="shared" si="27"/>
        <v>9.6</v>
      </c>
      <c r="M103" s="123">
        <f t="shared" si="27"/>
        <v>9.6</v>
      </c>
      <c r="N103" s="123">
        <f t="shared" si="27"/>
        <v>9.6</v>
      </c>
      <c r="O103" s="123">
        <f t="shared" si="27"/>
        <v>9.6</v>
      </c>
      <c r="P103" s="123">
        <f t="shared" si="27"/>
        <v>9.6</v>
      </c>
      <c r="Q103" s="123">
        <f t="shared" si="27"/>
        <v>9.6</v>
      </c>
      <c r="R103" s="123">
        <f t="shared" si="27"/>
        <v>9.6</v>
      </c>
      <c r="S103" s="123">
        <f t="shared" si="27"/>
        <v>9.6</v>
      </c>
      <c r="T103" s="123">
        <f t="shared" si="28"/>
        <v>9.6</v>
      </c>
      <c r="U103" s="123">
        <f t="shared" si="28"/>
        <v>9.6</v>
      </c>
      <c r="V103" s="123">
        <f t="shared" si="28"/>
        <v>9.6</v>
      </c>
      <c r="W103" s="123">
        <f t="shared" si="28"/>
        <v>9.6</v>
      </c>
      <c r="X103" s="123">
        <f t="shared" si="28"/>
        <v>9.6</v>
      </c>
      <c r="Y103" s="123">
        <f t="shared" si="28"/>
        <v>9.6</v>
      </c>
      <c r="Z103" s="123">
        <f t="shared" si="28"/>
        <v>9.6</v>
      </c>
      <c r="AA103" s="123">
        <f t="shared" si="28"/>
        <v>9.6</v>
      </c>
      <c r="AB103" s="123">
        <f t="shared" si="28"/>
        <v>9.6</v>
      </c>
      <c r="AC103" s="123">
        <f t="shared" si="28"/>
        <v>9.6</v>
      </c>
      <c r="AD103" s="123">
        <f t="shared" si="28"/>
        <v>9.6</v>
      </c>
      <c r="AE103" s="123">
        <f t="shared" si="28"/>
        <v>9.6</v>
      </c>
      <c r="AF103" s="123">
        <f t="shared" si="28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6"/>
        <v>9.98</v>
      </c>
      <c r="C104" s="124">
        <v>9.98</v>
      </c>
      <c r="D104" s="123">
        <f t="shared" si="27"/>
        <v>9.98</v>
      </c>
      <c r="E104" s="123">
        <f t="shared" si="27"/>
        <v>9.98</v>
      </c>
      <c r="F104" s="123">
        <f t="shared" si="27"/>
        <v>9.98</v>
      </c>
      <c r="G104" s="123">
        <f t="shared" si="27"/>
        <v>9.98</v>
      </c>
      <c r="H104" s="123">
        <f t="shared" si="27"/>
        <v>9.98</v>
      </c>
      <c r="I104" s="123">
        <f t="shared" si="27"/>
        <v>9.98</v>
      </c>
      <c r="J104" s="123">
        <f t="shared" si="27"/>
        <v>9.98</v>
      </c>
      <c r="K104" s="123">
        <f t="shared" si="27"/>
        <v>9.98</v>
      </c>
      <c r="L104" s="123">
        <f t="shared" si="27"/>
        <v>9.98</v>
      </c>
      <c r="M104" s="123">
        <f t="shared" si="27"/>
        <v>9.98</v>
      </c>
      <c r="N104" s="123">
        <f t="shared" si="27"/>
        <v>9.98</v>
      </c>
      <c r="O104" s="123">
        <f t="shared" si="27"/>
        <v>9.98</v>
      </c>
      <c r="P104" s="123">
        <f t="shared" si="27"/>
        <v>9.98</v>
      </c>
      <c r="Q104" s="123">
        <f t="shared" si="27"/>
        <v>9.98</v>
      </c>
      <c r="R104" s="123">
        <f t="shared" si="27"/>
        <v>9.98</v>
      </c>
      <c r="S104" s="123">
        <f t="shared" si="27"/>
        <v>9.98</v>
      </c>
      <c r="T104" s="123">
        <f t="shared" si="28"/>
        <v>9.98</v>
      </c>
      <c r="U104" s="123">
        <f t="shared" si="28"/>
        <v>9.98</v>
      </c>
      <c r="V104" s="123">
        <f t="shared" si="28"/>
        <v>9.98</v>
      </c>
      <c r="W104" s="123">
        <f t="shared" si="28"/>
        <v>9.98</v>
      </c>
      <c r="X104" s="123">
        <f t="shared" si="28"/>
        <v>9.98</v>
      </c>
      <c r="Y104" s="123">
        <f t="shared" si="28"/>
        <v>9.98</v>
      </c>
      <c r="Z104" s="123">
        <f t="shared" si="28"/>
        <v>9.98</v>
      </c>
      <c r="AA104" s="123">
        <f t="shared" si="28"/>
        <v>9.98</v>
      </c>
      <c r="AB104" s="123">
        <f t="shared" si="28"/>
        <v>9.98</v>
      </c>
      <c r="AC104" s="123">
        <f t="shared" si="28"/>
        <v>9.98</v>
      </c>
      <c r="AD104" s="123">
        <f t="shared" si="28"/>
        <v>9.98</v>
      </c>
      <c r="AE104" s="123">
        <f t="shared" si="28"/>
        <v>9.98</v>
      </c>
      <c r="AF104" s="123">
        <f t="shared" si="28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6"/>
        <v>9.1</v>
      </c>
      <c r="C105" s="124">
        <v>9.1</v>
      </c>
      <c r="D105" s="123">
        <f t="shared" si="27"/>
        <v>9.1</v>
      </c>
      <c r="E105" s="123">
        <f t="shared" si="27"/>
        <v>9.1</v>
      </c>
      <c r="F105" s="123">
        <f t="shared" si="27"/>
        <v>9.1</v>
      </c>
      <c r="G105" s="123">
        <f t="shared" si="27"/>
        <v>9.1</v>
      </c>
      <c r="H105" s="123">
        <f t="shared" si="27"/>
        <v>9.1</v>
      </c>
      <c r="I105" s="123">
        <f t="shared" si="27"/>
        <v>9.1</v>
      </c>
      <c r="J105" s="123">
        <f t="shared" si="27"/>
        <v>9.1</v>
      </c>
      <c r="K105" s="123">
        <f t="shared" si="27"/>
        <v>9.1</v>
      </c>
      <c r="L105" s="123">
        <f t="shared" si="27"/>
        <v>9.1</v>
      </c>
      <c r="M105" s="123">
        <f t="shared" si="27"/>
        <v>9.1</v>
      </c>
      <c r="N105" s="123">
        <f t="shared" si="27"/>
        <v>9.1</v>
      </c>
      <c r="O105" s="123">
        <f t="shared" si="27"/>
        <v>9.1</v>
      </c>
      <c r="P105" s="123">
        <f t="shared" si="27"/>
        <v>9.1</v>
      </c>
      <c r="Q105" s="123">
        <f t="shared" si="27"/>
        <v>9.1</v>
      </c>
      <c r="R105" s="123">
        <f t="shared" si="27"/>
        <v>9.1</v>
      </c>
      <c r="S105" s="123">
        <f t="shared" si="27"/>
        <v>9.1</v>
      </c>
      <c r="T105" s="123">
        <f t="shared" si="28"/>
        <v>9.1</v>
      </c>
      <c r="U105" s="123">
        <f t="shared" si="28"/>
        <v>9.1</v>
      </c>
      <c r="V105" s="123">
        <f t="shared" si="28"/>
        <v>9.1</v>
      </c>
      <c r="W105" s="123">
        <f t="shared" si="28"/>
        <v>9.1</v>
      </c>
      <c r="X105" s="123">
        <f t="shared" si="28"/>
        <v>9.1</v>
      </c>
      <c r="Y105" s="123">
        <f t="shared" si="28"/>
        <v>9.1</v>
      </c>
      <c r="Z105" s="123">
        <f t="shared" si="28"/>
        <v>9.1</v>
      </c>
      <c r="AA105" s="123">
        <f t="shared" si="28"/>
        <v>9.1</v>
      </c>
      <c r="AB105" s="123">
        <f t="shared" si="28"/>
        <v>9.1</v>
      </c>
      <c r="AC105" s="123">
        <f t="shared" si="28"/>
        <v>9.1</v>
      </c>
      <c r="AD105" s="123">
        <f t="shared" si="28"/>
        <v>9.1</v>
      </c>
      <c r="AE105" s="123">
        <f t="shared" si="28"/>
        <v>9.1</v>
      </c>
      <c r="AF105" s="123">
        <f t="shared" si="28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6"/>
        <v>9.18</v>
      </c>
      <c r="C106" s="124">
        <v>9.18</v>
      </c>
      <c r="D106" s="123">
        <f t="shared" si="27"/>
        <v>9.18</v>
      </c>
      <c r="E106" s="123">
        <f t="shared" si="27"/>
        <v>9.18</v>
      </c>
      <c r="F106" s="123">
        <f t="shared" si="27"/>
        <v>9.18</v>
      </c>
      <c r="G106" s="123">
        <f t="shared" si="27"/>
        <v>9.18</v>
      </c>
      <c r="H106" s="123">
        <f t="shared" si="27"/>
        <v>9.18</v>
      </c>
      <c r="I106" s="123">
        <f t="shared" si="27"/>
        <v>9.18</v>
      </c>
      <c r="J106" s="123">
        <f t="shared" si="27"/>
        <v>9.18</v>
      </c>
      <c r="K106" s="123">
        <f t="shared" si="27"/>
        <v>9.18</v>
      </c>
      <c r="L106" s="123">
        <f t="shared" si="27"/>
        <v>9.18</v>
      </c>
      <c r="M106" s="123">
        <f t="shared" si="27"/>
        <v>9.18</v>
      </c>
      <c r="N106" s="123">
        <f t="shared" si="27"/>
        <v>9.18</v>
      </c>
      <c r="O106" s="123">
        <f t="shared" si="27"/>
        <v>9.18</v>
      </c>
      <c r="P106" s="123">
        <f t="shared" si="27"/>
        <v>9.18</v>
      </c>
      <c r="Q106" s="123">
        <f t="shared" si="27"/>
        <v>9.18</v>
      </c>
      <c r="R106" s="123">
        <f t="shared" si="27"/>
        <v>9.18</v>
      </c>
      <c r="S106" s="123">
        <f t="shared" si="27"/>
        <v>9.18</v>
      </c>
      <c r="T106" s="123">
        <f t="shared" si="28"/>
        <v>9.18</v>
      </c>
      <c r="U106" s="123">
        <f t="shared" si="28"/>
        <v>9.18</v>
      </c>
      <c r="V106" s="123">
        <f t="shared" si="28"/>
        <v>9.18</v>
      </c>
      <c r="W106" s="123">
        <f t="shared" si="28"/>
        <v>9.18</v>
      </c>
      <c r="X106" s="123">
        <f t="shared" si="28"/>
        <v>9.18</v>
      </c>
      <c r="Y106" s="123">
        <f t="shared" si="28"/>
        <v>9.18</v>
      </c>
      <c r="Z106" s="123">
        <f t="shared" si="28"/>
        <v>9.18</v>
      </c>
      <c r="AA106" s="123">
        <f t="shared" si="28"/>
        <v>9.18</v>
      </c>
      <c r="AB106" s="123">
        <f t="shared" si="28"/>
        <v>9.18</v>
      </c>
      <c r="AC106" s="123">
        <f t="shared" si="28"/>
        <v>9.18</v>
      </c>
      <c r="AD106" s="123">
        <f t="shared" si="28"/>
        <v>9.18</v>
      </c>
      <c r="AE106" s="123">
        <f t="shared" si="28"/>
        <v>9.18</v>
      </c>
      <c r="AF106" s="123">
        <f t="shared" si="28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6"/>
        <v>7</v>
      </c>
      <c r="C107" s="124">
        <v>7</v>
      </c>
      <c r="D107" s="123">
        <f t="shared" si="27"/>
        <v>7</v>
      </c>
      <c r="E107" s="123">
        <f t="shared" si="27"/>
        <v>7</v>
      </c>
      <c r="F107" s="123">
        <f t="shared" si="27"/>
        <v>7</v>
      </c>
      <c r="G107" s="123">
        <f t="shared" si="27"/>
        <v>7</v>
      </c>
      <c r="H107" s="123">
        <f t="shared" si="27"/>
        <v>7</v>
      </c>
      <c r="I107" s="123">
        <f t="shared" si="27"/>
        <v>7</v>
      </c>
      <c r="J107" s="123">
        <f t="shared" si="27"/>
        <v>7</v>
      </c>
      <c r="K107" s="123">
        <f t="shared" si="27"/>
        <v>7</v>
      </c>
      <c r="L107" s="123">
        <f t="shared" si="27"/>
        <v>7</v>
      </c>
      <c r="M107" s="123">
        <f t="shared" si="27"/>
        <v>7</v>
      </c>
      <c r="N107" s="123">
        <f t="shared" si="27"/>
        <v>7</v>
      </c>
      <c r="O107" s="123">
        <f t="shared" si="27"/>
        <v>7</v>
      </c>
      <c r="P107" s="123">
        <f t="shared" si="27"/>
        <v>7</v>
      </c>
      <c r="Q107" s="123">
        <f t="shared" si="27"/>
        <v>7</v>
      </c>
      <c r="R107" s="123">
        <f t="shared" si="27"/>
        <v>7</v>
      </c>
      <c r="S107" s="123">
        <f t="shared" si="27"/>
        <v>7</v>
      </c>
      <c r="T107" s="123">
        <f t="shared" si="28"/>
        <v>7</v>
      </c>
      <c r="U107" s="123">
        <f t="shared" si="28"/>
        <v>7</v>
      </c>
      <c r="V107" s="123">
        <f t="shared" si="28"/>
        <v>7</v>
      </c>
      <c r="W107" s="123">
        <f t="shared" si="28"/>
        <v>7</v>
      </c>
      <c r="X107" s="123">
        <f t="shared" si="28"/>
        <v>7</v>
      </c>
      <c r="Y107" s="123">
        <f t="shared" si="28"/>
        <v>7</v>
      </c>
      <c r="Z107" s="123">
        <f t="shared" si="28"/>
        <v>7</v>
      </c>
      <c r="AA107" s="123">
        <f t="shared" si="28"/>
        <v>7</v>
      </c>
      <c r="AB107" s="123">
        <f t="shared" si="28"/>
        <v>7</v>
      </c>
      <c r="AC107" s="123">
        <f t="shared" si="28"/>
        <v>7</v>
      </c>
      <c r="AD107" s="123">
        <f t="shared" si="28"/>
        <v>7</v>
      </c>
      <c r="AE107" s="123">
        <f t="shared" si="28"/>
        <v>7</v>
      </c>
      <c r="AF107" s="123">
        <f t="shared" si="28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9">C109</f>
        <v>2.25</v>
      </c>
      <c r="E109" s="123">
        <f t="shared" si="29"/>
        <v>2.25</v>
      </c>
      <c r="F109" s="123">
        <f t="shared" si="29"/>
        <v>2.25</v>
      </c>
      <c r="G109" s="123">
        <f t="shared" si="29"/>
        <v>2.25</v>
      </c>
      <c r="H109" s="123">
        <f t="shared" si="29"/>
        <v>2.25</v>
      </c>
      <c r="I109" s="123">
        <f t="shared" si="29"/>
        <v>2.25</v>
      </c>
      <c r="J109" s="123">
        <f t="shared" si="29"/>
        <v>2.25</v>
      </c>
      <c r="K109" s="123">
        <f t="shared" si="29"/>
        <v>2.25</v>
      </c>
      <c r="L109" s="123">
        <f t="shared" si="29"/>
        <v>2.25</v>
      </c>
      <c r="M109" s="123">
        <f t="shared" si="29"/>
        <v>2.25</v>
      </c>
      <c r="N109" s="123">
        <f t="shared" si="29"/>
        <v>2.25</v>
      </c>
      <c r="O109" s="123">
        <f t="shared" si="29"/>
        <v>2.25</v>
      </c>
      <c r="P109" s="123">
        <f t="shared" si="29"/>
        <v>2.25</v>
      </c>
      <c r="Q109" s="123">
        <f t="shared" si="29"/>
        <v>2.25</v>
      </c>
      <c r="R109" s="123">
        <f t="shared" si="29"/>
        <v>2.25</v>
      </c>
      <c r="S109" s="123">
        <f t="shared" si="29"/>
        <v>2.25</v>
      </c>
      <c r="T109" s="123">
        <f t="shared" ref="T109:AF110" si="30">S109</f>
        <v>2.25</v>
      </c>
      <c r="U109" s="123">
        <f t="shared" si="30"/>
        <v>2.25</v>
      </c>
      <c r="V109" s="123">
        <f t="shared" si="30"/>
        <v>2.25</v>
      </c>
      <c r="W109" s="123">
        <f t="shared" si="30"/>
        <v>2.25</v>
      </c>
      <c r="X109" s="123">
        <f t="shared" si="30"/>
        <v>2.25</v>
      </c>
      <c r="Y109" s="123">
        <f t="shared" si="30"/>
        <v>2.25</v>
      </c>
      <c r="Z109" s="123">
        <f t="shared" si="30"/>
        <v>2.25</v>
      </c>
      <c r="AA109" s="123">
        <f t="shared" si="30"/>
        <v>2.25</v>
      </c>
      <c r="AB109" s="123">
        <f t="shared" si="30"/>
        <v>2.25</v>
      </c>
      <c r="AC109" s="123">
        <f t="shared" si="30"/>
        <v>2.25</v>
      </c>
      <c r="AD109" s="123">
        <f t="shared" si="30"/>
        <v>2.25</v>
      </c>
      <c r="AE109" s="123">
        <f t="shared" si="30"/>
        <v>2.25</v>
      </c>
      <c r="AF109" s="123">
        <f t="shared" si="30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9"/>
        <v>1.64</v>
      </c>
      <c r="E110" s="123">
        <f t="shared" si="29"/>
        <v>1.64</v>
      </c>
      <c r="F110" s="123">
        <f t="shared" si="29"/>
        <v>1.64</v>
      </c>
      <c r="G110" s="123">
        <f t="shared" si="29"/>
        <v>1.64</v>
      </c>
      <c r="H110" s="123">
        <f t="shared" si="29"/>
        <v>1.64</v>
      </c>
      <c r="I110" s="123">
        <f t="shared" si="29"/>
        <v>1.64</v>
      </c>
      <c r="J110" s="123">
        <f t="shared" si="29"/>
        <v>1.64</v>
      </c>
      <c r="K110" s="123">
        <f t="shared" si="29"/>
        <v>1.64</v>
      </c>
      <c r="L110" s="123">
        <f t="shared" si="29"/>
        <v>1.64</v>
      </c>
      <c r="M110" s="123">
        <f t="shared" si="29"/>
        <v>1.64</v>
      </c>
      <c r="N110" s="123">
        <f t="shared" si="29"/>
        <v>1.64</v>
      </c>
      <c r="O110" s="123">
        <f t="shared" si="29"/>
        <v>1.64</v>
      </c>
      <c r="P110" s="123">
        <f t="shared" si="29"/>
        <v>1.64</v>
      </c>
      <c r="Q110" s="123">
        <f t="shared" si="29"/>
        <v>1.64</v>
      </c>
      <c r="R110" s="123">
        <f t="shared" si="29"/>
        <v>1.64</v>
      </c>
      <c r="S110" s="123">
        <f t="shared" si="29"/>
        <v>1.64</v>
      </c>
      <c r="T110" s="123">
        <f t="shared" si="30"/>
        <v>1.64</v>
      </c>
      <c r="U110" s="123">
        <f t="shared" si="30"/>
        <v>1.64</v>
      </c>
      <c r="V110" s="123">
        <f t="shared" si="30"/>
        <v>1.64</v>
      </c>
      <c r="W110" s="123">
        <f t="shared" si="30"/>
        <v>1.64</v>
      </c>
      <c r="X110" s="123">
        <f t="shared" si="30"/>
        <v>1.64</v>
      </c>
      <c r="Y110" s="123">
        <f t="shared" si="30"/>
        <v>1.64</v>
      </c>
      <c r="Z110" s="123">
        <f t="shared" si="30"/>
        <v>1.64</v>
      </c>
      <c r="AA110" s="123">
        <f t="shared" si="30"/>
        <v>1.64</v>
      </c>
      <c r="AB110" s="123">
        <f t="shared" si="30"/>
        <v>1.64</v>
      </c>
      <c r="AC110" s="123">
        <f t="shared" si="30"/>
        <v>1.64</v>
      </c>
      <c r="AD110" s="123">
        <f t="shared" si="30"/>
        <v>1.64</v>
      </c>
      <c r="AE110" s="123">
        <f t="shared" si="30"/>
        <v>1.64</v>
      </c>
      <c r="AF110" s="123">
        <f t="shared" si="30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1">AF112</f>
        <v>1.62</v>
      </c>
      <c r="C112" s="124">
        <v>1.62</v>
      </c>
      <c r="D112" s="123">
        <f t="shared" ref="D112:S119" si="32">C112</f>
        <v>1.62</v>
      </c>
      <c r="E112" s="123">
        <f t="shared" si="32"/>
        <v>1.62</v>
      </c>
      <c r="F112" s="123">
        <f t="shared" si="32"/>
        <v>1.62</v>
      </c>
      <c r="G112" s="123">
        <f t="shared" si="32"/>
        <v>1.62</v>
      </c>
      <c r="H112" s="123">
        <f t="shared" si="32"/>
        <v>1.62</v>
      </c>
      <c r="I112" s="123">
        <f t="shared" si="32"/>
        <v>1.62</v>
      </c>
      <c r="J112" s="123">
        <f t="shared" si="32"/>
        <v>1.62</v>
      </c>
      <c r="K112" s="123">
        <f t="shared" si="32"/>
        <v>1.62</v>
      </c>
      <c r="L112" s="123">
        <f t="shared" si="32"/>
        <v>1.62</v>
      </c>
      <c r="M112" s="123">
        <f t="shared" si="32"/>
        <v>1.62</v>
      </c>
      <c r="N112" s="123">
        <f t="shared" si="32"/>
        <v>1.62</v>
      </c>
      <c r="O112" s="123">
        <f t="shared" si="32"/>
        <v>1.62</v>
      </c>
      <c r="P112" s="123">
        <f t="shared" si="32"/>
        <v>1.62</v>
      </c>
      <c r="Q112" s="123">
        <f t="shared" si="32"/>
        <v>1.62</v>
      </c>
      <c r="R112" s="123">
        <f t="shared" si="32"/>
        <v>1.62</v>
      </c>
      <c r="S112" s="123">
        <f t="shared" si="32"/>
        <v>1.62</v>
      </c>
      <c r="T112" s="123">
        <f t="shared" ref="T112:AF127" si="33">S112</f>
        <v>1.62</v>
      </c>
      <c r="U112" s="123">
        <f t="shared" si="33"/>
        <v>1.62</v>
      </c>
      <c r="V112" s="123">
        <f t="shared" si="33"/>
        <v>1.62</v>
      </c>
      <c r="W112" s="123">
        <f t="shared" si="33"/>
        <v>1.62</v>
      </c>
      <c r="X112" s="123">
        <f t="shared" si="33"/>
        <v>1.62</v>
      </c>
      <c r="Y112" s="123">
        <f t="shared" si="33"/>
        <v>1.62</v>
      </c>
      <c r="Z112" s="123">
        <f t="shared" si="33"/>
        <v>1.62</v>
      </c>
      <c r="AA112" s="123">
        <f t="shared" si="33"/>
        <v>1.62</v>
      </c>
      <c r="AB112" s="123">
        <f t="shared" si="33"/>
        <v>1.62</v>
      </c>
      <c r="AC112" s="123">
        <f t="shared" si="33"/>
        <v>1.62</v>
      </c>
      <c r="AD112" s="123">
        <f t="shared" si="33"/>
        <v>1.62</v>
      </c>
      <c r="AE112" s="123">
        <f t="shared" si="33"/>
        <v>1.62</v>
      </c>
      <c r="AF112" s="123">
        <f t="shared" si="33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1"/>
        <v>8.36</v>
      </c>
      <c r="C113" s="124">
        <v>8.36</v>
      </c>
      <c r="D113" s="123">
        <f t="shared" si="32"/>
        <v>8.36</v>
      </c>
      <c r="E113" s="123">
        <f t="shared" si="32"/>
        <v>8.36</v>
      </c>
      <c r="F113" s="123">
        <f t="shared" si="32"/>
        <v>8.36</v>
      </c>
      <c r="G113" s="123">
        <f t="shared" si="32"/>
        <v>8.36</v>
      </c>
      <c r="H113" s="123">
        <f t="shared" si="32"/>
        <v>8.36</v>
      </c>
      <c r="I113" s="123">
        <f t="shared" si="32"/>
        <v>8.36</v>
      </c>
      <c r="J113" s="123">
        <f t="shared" si="32"/>
        <v>8.36</v>
      </c>
      <c r="K113" s="123">
        <f t="shared" si="32"/>
        <v>8.36</v>
      </c>
      <c r="L113" s="123">
        <f t="shared" si="32"/>
        <v>8.36</v>
      </c>
      <c r="M113" s="123">
        <f t="shared" si="32"/>
        <v>8.36</v>
      </c>
      <c r="N113" s="123">
        <f t="shared" si="32"/>
        <v>8.36</v>
      </c>
      <c r="O113" s="123">
        <f t="shared" si="32"/>
        <v>8.36</v>
      </c>
      <c r="P113" s="123">
        <f t="shared" si="32"/>
        <v>8.36</v>
      </c>
      <c r="Q113" s="123">
        <f t="shared" si="32"/>
        <v>8.36</v>
      </c>
      <c r="R113" s="123">
        <f t="shared" si="32"/>
        <v>8.36</v>
      </c>
      <c r="S113" s="123">
        <f t="shared" si="32"/>
        <v>8.36</v>
      </c>
      <c r="T113" s="123">
        <f t="shared" si="33"/>
        <v>8.36</v>
      </c>
      <c r="U113" s="123">
        <f t="shared" si="33"/>
        <v>8.36</v>
      </c>
      <c r="V113" s="123">
        <f t="shared" si="33"/>
        <v>8.36</v>
      </c>
      <c r="W113" s="123">
        <f t="shared" si="33"/>
        <v>8.36</v>
      </c>
      <c r="X113" s="123">
        <f t="shared" si="33"/>
        <v>8.36</v>
      </c>
      <c r="Y113" s="123">
        <f t="shared" si="33"/>
        <v>8.36</v>
      </c>
      <c r="Z113" s="123">
        <f t="shared" si="33"/>
        <v>8.36</v>
      </c>
      <c r="AA113" s="123">
        <f t="shared" si="33"/>
        <v>8.36</v>
      </c>
      <c r="AB113" s="123">
        <f t="shared" si="33"/>
        <v>8.36</v>
      </c>
      <c r="AC113" s="123">
        <f t="shared" si="33"/>
        <v>8.36</v>
      </c>
      <c r="AD113" s="123">
        <f t="shared" si="33"/>
        <v>8.36</v>
      </c>
      <c r="AE113" s="123">
        <f t="shared" si="33"/>
        <v>8.36</v>
      </c>
      <c r="AF113" s="123">
        <f t="shared" si="33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1"/>
        <v>5.4</v>
      </c>
      <c r="C114" s="124">
        <v>8</v>
      </c>
      <c r="D114" s="123">
        <f t="shared" si="32"/>
        <v>8</v>
      </c>
      <c r="E114" s="123">
        <f t="shared" si="32"/>
        <v>8</v>
      </c>
      <c r="F114" s="123">
        <f t="shared" si="32"/>
        <v>8</v>
      </c>
      <c r="G114" s="123">
        <f t="shared" si="32"/>
        <v>8</v>
      </c>
      <c r="H114" s="123">
        <f t="shared" si="32"/>
        <v>8</v>
      </c>
      <c r="I114" s="123">
        <f t="shared" si="32"/>
        <v>8</v>
      </c>
      <c r="J114" s="123">
        <v>5.4</v>
      </c>
      <c r="K114" s="123">
        <f t="shared" si="32"/>
        <v>5.4</v>
      </c>
      <c r="L114" s="123">
        <f t="shared" si="32"/>
        <v>5.4</v>
      </c>
      <c r="M114" s="123">
        <f t="shared" si="32"/>
        <v>5.4</v>
      </c>
      <c r="N114" s="123">
        <f t="shared" si="32"/>
        <v>5.4</v>
      </c>
      <c r="O114" s="123">
        <f t="shared" si="32"/>
        <v>5.4</v>
      </c>
      <c r="P114" s="123">
        <f t="shared" si="32"/>
        <v>5.4</v>
      </c>
      <c r="Q114" s="123">
        <f t="shared" si="32"/>
        <v>5.4</v>
      </c>
      <c r="R114" s="123">
        <f t="shared" si="32"/>
        <v>5.4</v>
      </c>
      <c r="S114" s="123">
        <f t="shared" si="32"/>
        <v>5.4</v>
      </c>
      <c r="T114" s="123">
        <f t="shared" si="33"/>
        <v>5.4</v>
      </c>
      <c r="U114" s="123">
        <f t="shared" si="33"/>
        <v>5.4</v>
      </c>
      <c r="V114" s="123">
        <f t="shared" si="33"/>
        <v>5.4</v>
      </c>
      <c r="W114" s="123">
        <f t="shared" si="33"/>
        <v>5.4</v>
      </c>
      <c r="X114" s="123">
        <f t="shared" si="33"/>
        <v>5.4</v>
      </c>
      <c r="Y114" s="123">
        <f t="shared" si="33"/>
        <v>5.4</v>
      </c>
      <c r="Z114" s="123">
        <f t="shared" si="33"/>
        <v>5.4</v>
      </c>
      <c r="AA114" s="123">
        <f t="shared" si="33"/>
        <v>5.4</v>
      </c>
      <c r="AB114" s="123">
        <f t="shared" si="33"/>
        <v>5.4</v>
      </c>
      <c r="AC114" s="123">
        <f t="shared" si="33"/>
        <v>5.4</v>
      </c>
      <c r="AD114" s="123">
        <f t="shared" si="33"/>
        <v>5.4</v>
      </c>
      <c r="AE114" s="123">
        <f t="shared" si="33"/>
        <v>5.4</v>
      </c>
      <c r="AF114" s="123">
        <f t="shared" si="33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1"/>
        <v>6.57</v>
      </c>
      <c r="C115" s="124">
        <v>6.57</v>
      </c>
      <c r="D115" s="123">
        <f t="shared" si="32"/>
        <v>6.57</v>
      </c>
      <c r="E115" s="123">
        <f t="shared" si="32"/>
        <v>6.57</v>
      </c>
      <c r="F115" s="123">
        <f t="shared" si="32"/>
        <v>6.57</v>
      </c>
      <c r="G115" s="123">
        <f t="shared" si="32"/>
        <v>6.57</v>
      </c>
      <c r="H115" s="123">
        <f t="shared" si="32"/>
        <v>6.57</v>
      </c>
      <c r="I115" s="123">
        <f t="shared" si="32"/>
        <v>6.57</v>
      </c>
      <c r="J115" s="123">
        <f t="shared" si="32"/>
        <v>6.57</v>
      </c>
      <c r="K115" s="123">
        <f t="shared" si="32"/>
        <v>6.57</v>
      </c>
      <c r="L115" s="123">
        <f t="shared" si="32"/>
        <v>6.57</v>
      </c>
      <c r="M115" s="123">
        <f t="shared" si="32"/>
        <v>6.57</v>
      </c>
      <c r="N115" s="123">
        <f t="shared" si="32"/>
        <v>6.57</v>
      </c>
      <c r="O115" s="123">
        <f t="shared" si="32"/>
        <v>6.57</v>
      </c>
      <c r="P115" s="123">
        <f t="shared" si="32"/>
        <v>6.57</v>
      </c>
      <c r="Q115" s="123">
        <f t="shared" si="32"/>
        <v>6.57</v>
      </c>
      <c r="R115" s="123">
        <f t="shared" si="32"/>
        <v>6.57</v>
      </c>
      <c r="S115" s="123">
        <f t="shared" si="32"/>
        <v>6.57</v>
      </c>
      <c r="T115" s="123">
        <f t="shared" si="33"/>
        <v>6.57</v>
      </c>
      <c r="U115" s="123">
        <f t="shared" si="33"/>
        <v>6.57</v>
      </c>
      <c r="V115" s="123">
        <f t="shared" si="33"/>
        <v>6.57</v>
      </c>
      <c r="W115" s="123">
        <f t="shared" si="33"/>
        <v>6.57</v>
      </c>
      <c r="X115" s="123">
        <f t="shared" si="33"/>
        <v>6.57</v>
      </c>
      <c r="Y115" s="123">
        <f t="shared" si="33"/>
        <v>6.57</v>
      </c>
      <c r="Z115" s="123">
        <f t="shared" si="33"/>
        <v>6.57</v>
      </c>
      <c r="AA115" s="123">
        <f t="shared" si="33"/>
        <v>6.57</v>
      </c>
      <c r="AB115" s="123">
        <f t="shared" si="33"/>
        <v>6.57</v>
      </c>
      <c r="AC115" s="123">
        <f t="shared" si="33"/>
        <v>6.57</v>
      </c>
      <c r="AD115" s="123">
        <f t="shared" si="33"/>
        <v>6.57</v>
      </c>
      <c r="AE115" s="123">
        <f t="shared" si="33"/>
        <v>6.57</v>
      </c>
      <c r="AF115" s="123">
        <f t="shared" si="33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1"/>
        <v>3.43</v>
      </c>
      <c r="C116" s="124">
        <v>3.43</v>
      </c>
      <c r="D116" s="123">
        <f t="shared" si="32"/>
        <v>3.43</v>
      </c>
      <c r="E116" s="123">
        <f t="shared" si="32"/>
        <v>3.43</v>
      </c>
      <c r="F116" s="123">
        <f t="shared" si="32"/>
        <v>3.43</v>
      </c>
      <c r="G116" s="123">
        <f t="shared" si="32"/>
        <v>3.43</v>
      </c>
      <c r="H116" s="123">
        <f t="shared" si="32"/>
        <v>3.43</v>
      </c>
      <c r="I116" s="123">
        <f t="shared" si="32"/>
        <v>3.43</v>
      </c>
      <c r="J116" s="123">
        <f t="shared" si="32"/>
        <v>3.43</v>
      </c>
      <c r="K116" s="123">
        <f t="shared" si="32"/>
        <v>3.43</v>
      </c>
      <c r="L116" s="123">
        <f t="shared" si="32"/>
        <v>3.43</v>
      </c>
      <c r="M116" s="123">
        <f t="shared" si="32"/>
        <v>3.43</v>
      </c>
      <c r="N116" s="123">
        <f t="shared" si="32"/>
        <v>3.43</v>
      </c>
      <c r="O116" s="123">
        <f t="shared" si="32"/>
        <v>3.43</v>
      </c>
      <c r="P116" s="123">
        <f t="shared" si="32"/>
        <v>3.43</v>
      </c>
      <c r="Q116" s="123">
        <f t="shared" si="32"/>
        <v>3.43</v>
      </c>
      <c r="R116" s="123">
        <f t="shared" si="32"/>
        <v>3.43</v>
      </c>
      <c r="S116" s="123">
        <f t="shared" si="32"/>
        <v>3.43</v>
      </c>
      <c r="T116" s="123">
        <f t="shared" si="33"/>
        <v>3.43</v>
      </c>
      <c r="U116" s="123">
        <f t="shared" si="33"/>
        <v>3.43</v>
      </c>
      <c r="V116" s="123">
        <f t="shared" si="33"/>
        <v>3.43</v>
      </c>
      <c r="W116" s="123">
        <f t="shared" si="33"/>
        <v>3.43</v>
      </c>
      <c r="X116" s="123">
        <f t="shared" si="33"/>
        <v>3.43</v>
      </c>
      <c r="Y116" s="123">
        <f t="shared" si="33"/>
        <v>3.43</v>
      </c>
      <c r="Z116" s="123">
        <f t="shared" si="33"/>
        <v>3.43</v>
      </c>
      <c r="AA116" s="123">
        <f t="shared" si="33"/>
        <v>3.43</v>
      </c>
      <c r="AB116" s="123">
        <f t="shared" si="33"/>
        <v>3.43</v>
      </c>
      <c r="AC116" s="123">
        <f t="shared" si="33"/>
        <v>3.43</v>
      </c>
      <c r="AD116" s="123">
        <f t="shared" si="33"/>
        <v>3.43</v>
      </c>
      <c r="AE116" s="123">
        <f t="shared" si="33"/>
        <v>3.43</v>
      </c>
      <c r="AF116" s="123">
        <f t="shared" si="33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1"/>
        <v>2.96</v>
      </c>
      <c r="C117" s="124">
        <v>2.96</v>
      </c>
      <c r="D117" s="123">
        <f t="shared" si="32"/>
        <v>2.96</v>
      </c>
      <c r="E117" s="123">
        <f t="shared" si="32"/>
        <v>2.96</v>
      </c>
      <c r="F117" s="123">
        <f t="shared" si="32"/>
        <v>2.96</v>
      </c>
      <c r="G117" s="123">
        <f t="shared" si="32"/>
        <v>2.96</v>
      </c>
      <c r="H117" s="123">
        <f t="shared" si="32"/>
        <v>2.96</v>
      </c>
      <c r="I117" s="123">
        <f t="shared" si="32"/>
        <v>2.96</v>
      </c>
      <c r="J117" s="123">
        <f t="shared" si="32"/>
        <v>2.96</v>
      </c>
      <c r="K117" s="123">
        <f t="shared" si="32"/>
        <v>2.96</v>
      </c>
      <c r="L117" s="123">
        <f t="shared" si="32"/>
        <v>2.96</v>
      </c>
      <c r="M117" s="123">
        <f t="shared" si="32"/>
        <v>2.96</v>
      </c>
      <c r="N117" s="123">
        <f t="shared" si="32"/>
        <v>2.96</v>
      </c>
      <c r="O117" s="123">
        <f t="shared" si="32"/>
        <v>2.96</v>
      </c>
      <c r="P117" s="123">
        <f t="shared" si="32"/>
        <v>2.96</v>
      </c>
      <c r="Q117" s="123">
        <f t="shared" si="32"/>
        <v>2.96</v>
      </c>
      <c r="R117" s="123">
        <f t="shared" si="32"/>
        <v>2.96</v>
      </c>
      <c r="S117" s="123">
        <f t="shared" si="32"/>
        <v>2.96</v>
      </c>
      <c r="T117" s="123">
        <f t="shared" si="33"/>
        <v>2.96</v>
      </c>
      <c r="U117" s="123">
        <f t="shared" si="33"/>
        <v>2.96</v>
      </c>
      <c r="V117" s="123">
        <f t="shared" si="33"/>
        <v>2.96</v>
      </c>
      <c r="W117" s="123">
        <f t="shared" si="33"/>
        <v>2.96</v>
      </c>
      <c r="X117" s="123">
        <f t="shared" si="33"/>
        <v>2.96</v>
      </c>
      <c r="Y117" s="123">
        <f t="shared" si="33"/>
        <v>2.96</v>
      </c>
      <c r="Z117" s="123">
        <f t="shared" si="33"/>
        <v>2.96</v>
      </c>
      <c r="AA117" s="123">
        <f t="shared" si="33"/>
        <v>2.96</v>
      </c>
      <c r="AB117" s="123">
        <f t="shared" si="33"/>
        <v>2.96</v>
      </c>
      <c r="AC117" s="123">
        <f t="shared" si="33"/>
        <v>2.96</v>
      </c>
      <c r="AD117" s="123">
        <f t="shared" si="33"/>
        <v>2.96</v>
      </c>
      <c r="AE117" s="123">
        <f t="shared" si="33"/>
        <v>2.96</v>
      </c>
      <c r="AF117" s="123">
        <f t="shared" si="33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1"/>
        <v>8</v>
      </c>
      <c r="C118" s="124">
        <v>8</v>
      </c>
      <c r="D118" s="123">
        <f t="shared" si="32"/>
        <v>8</v>
      </c>
      <c r="E118" s="123">
        <f t="shared" si="32"/>
        <v>8</v>
      </c>
      <c r="F118" s="123">
        <f t="shared" si="32"/>
        <v>8</v>
      </c>
      <c r="G118" s="123">
        <f t="shared" si="32"/>
        <v>8</v>
      </c>
      <c r="H118" s="123">
        <f t="shared" si="32"/>
        <v>8</v>
      </c>
      <c r="I118" s="123">
        <f t="shared" si="32"/>
        <v>8</v>
      </c>
      <c r="J118" s="123">
        <f t="shared" si="32"/>
        <v>8</v>
      </c>
      <c r="K118" s="123">
        <f t="shared" si="32"/>
        <v>8</v>
      </c>
      <c r="L118" s="123">
        <f t="shared" si="32"/>
        <v>8</v>
      </c>
      <c r="M118" s="123">
        <f t="shared" si="32"/>
        <v>8</v>
      </c>
      <c r="N118" s="123">
        <f t="shared" si="32"/>
        <v>8</v>
      </c>
      <c r="O118" s="123">
        <f t="shared" si="32"/>
        <v>8</v>
      </c>
      <c r="P118" s="123">
        <f t="shared" si="32"/>
        <v>8</v>
      </c>
      <c r="Q118" s="123">
        <f t="shared" si="32"/>
        <v>8</v>
      </c>
      <c r="R118" s="123">
        <f t="shared" si="32"/>
        <v>8</v>
      </c>
      <c r="S118" s="123">
        <f t="shared" si="32"/>
        <v>8</v>
      </c>
      <c r="T118" s="123">
        <f t="shared" si="33"/>
        <v>8</v>
      </c>
      <c r="U118" s="123">
        <f t="shared" si="33"/>
        <v>8</v>
      </c>
      <c r="V118" s="123">
        <f t="shared" si="33"/>
        <v>8</v>
      </c>
      <c r="W118" s="123">
        <f t="shared" si="33"/>
        <v>8</v>
      </c>
      <c r="X118" s="123">
        <f t="shared" si="33"/>
        <v>8</v>
      </c>
      <c r="Y118" s="123">
        <f t="shared" si="33"/>
        <v>8</v>
      </c>
      <c r="Z118" s="123">
        <f t="shared" si="33"/>
        <v>8</v>
      </c>
      <c r="AA118" s="123">
        <f t="shared" si="33"/>
        <v>8</v>
      </c>
      <c r="AB118" s="123">
        <f t="shared" si="33"/>
        <v>8</v>
      </c>
      <c r="AC118" s="123">
        <f t="shared" si="33"/>
        <v>8</v>
      </c>
      <c r="AD118" s="123">
        <f t="shared" si="33"/>
        <v>8</v>
      </c>
      <c r="AE118" s="123">
        <f t="shared" si="33"/>
        <v>8</v>
      </c>
      <c r="AF118" s="123">
        <f t="shared" si="33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1"/>
        <v>7</v>
      </c>
      <c r="C119" s="124">
        <v>7</v>
      </c>
      <c r="D119" s="123">
        <f>C119</f>
        <v>7</v>
      </c>
      <c r="E119" s="123">
        <f t="shared" si="32"/>
        <v>7</v>
      </c>
      <c r="F119" s="123">
        <f t="shared" si="32"/>
        <v>7</v>
      </c>
      <c r="G119" s="123">
        <f t="shared" si="32"/>
        <v>7</v>
      </c>
      <c r="H119" s="123">
        <f t="shared" si="32"/>
        <v>7</v>
      </c>
      <c r="I119" s="123">
        <f t="shared" si="32"/>
        <v>7</v>
      </c>
      <c r="J119" s="123">
        <f t="shared" si="32"/>
        <v>7</v>
      </c>
      <c r="K119" s="123">
        <f t="shared" si="32"/>
        <v>7</v>
      </c>
      <c r="L119" s="123">
        <f t="shared" si="32"/>
        <v>7</v>
      </c>
      <c r="M119" s="123">
        <f t="shared" si="32"/>
        <v>7</v>
      </c>
      <c r="N119" s="123">
        <f t="shared" si="32"/>
        <v>7</v>
      </c>
      <c r="O119" s="123">
        <f t="shared" si="32"/>
        <v>7</v>
      </c>
      <c r="P119" s="123">
        <f t="shared" si="32"/>
        <v>7</v>
      </c>
      <c r="Q119" s="123">
        <f t="shared" si="32"/>
        <v>7</v>
      </c>
      <c r="R119" s="123">
        <f t="shared" si="32"/>
        <v>7</v>
      </c>
      <c r="S119" s="123">
        <f t="shared" si="32"/>
        <v>7</v>
      </c>
      <c r="T119" s="123">
        <f t="shared" si="33"/>
        <v>7</v>
      </c>
      <c r="U119" s="123">
        <f t="shared" si="33"/>
        <v>7</v>
      </c>
      <c r="V119" s="123">
        <f t="shared" si="33"/>
        <v>7</v>
      </c>
      <c r="W119" s="123">
        <f t="shared" si="33"/>
        <v>7</v>
      </c>
      <c r="X119" s="123">
        <f t="shared" si="33"/>
        <v>7</v>
      </c>
      <c r="Y119" s="123">
        <f t="shared" si="33"/>
        <v>7</v>
      </c>
      <c r="Z119" s="123">
        <f t="shared" si="33"/>
        <v>7</v>
      </c>
      <c r="AA119" s="123">
        <f t="shared" si="33"/>
        <v>7</v>
      </c>
      <c r="AB119" s="123">
        <f t="shared" si="33"/>
        <v>7</v>
      </c>
      <c r="AC119" s="123">
        <f t="shared" si="33"/>
        <v>7</v>
      </c>
      <c r="AD119" s="123">
        <f t="shared" si="33"/>
        <v>7</v>
      </c>
      <c r="AE119" s="123">
        <f t="shared" si="33"/>
        <v>7</v>
      </c>
      <c r="AF119" s="123">
        <f t="shared" si="33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1"/>
        <v>3.47</v>
      </c>
      <c r="C120" s="124">
        <v>3.47</v>
      </c>
      <c r="D120" s="123">
        <f t="shared" ref="D120:S129" si="34">C120</f>
        <v>3.47</v>
      </c>
      <c r="E120" s="123">
        <f t="shared" si="34"/>
        <v>3.47</v>
      </c>
      <c r="F120" s="123">
        <f t="shared" si="34"/>
        <v>3.47</v>
      </c>
      <c r="G120" s="123">
        <f t="shared" si="34"/>
        <v>3.47</v>
      </c>
      <c r="H120" s="123">
        <f t="shared" si="34"/>
        <v>3.47</v>
      </c>
      <c r="I120" s="123">
        <f t="shared" si="34"/>
        <v>3.47</v>
      </c>
      <c r="J120" s="123">
        <f t="shared" si="34"/>
        <v>3.47</v>
      </c>
      <c r="K120" s="123">
        <f t="shared" si="34"/>
        <v>3.47</v>
      </c>
      <c r="L120" s="123">
        <f t="shared" si="34"/>
        <v>3.47</v>
      </c>
      <c r="M120" s="123">
        <f t="shared" si="34"/>
        <v>3.47</v>
      </c>
      <c r="N120" s="123">
        <f t="shared" si="34"/>
        <v>3.47</v>
      </c>
      <c r="O120" s="123">
        <f t="shared" si="34"/>
        <v>3.47</v>
      </c>
      <c r="P120" s="123">
        <f t="shared" si="34"/>
        <v>3.47</v>
      </c>
      <c r="Q120" s="123">
        <f t="shared" si="34"/>
        <v>3.47</v>
      </c>
      <c r="R120" s="123">
        <f t="shared" si="34"/>
        <v>3.47</v>
      </c>
      <c r="S120" s="123">
        <f t="shared" si="34"/>
        <v>3.47</v>
      </c>
      <c r="T120" s="123">
        <f t="shared" si="33"/>
        <v>3.47</v>
      </c>
      <c r="U120" s="123">
        <f t="shared" si="33"/>
        <v>3.47</v>
      </c>
      <c r="V120" s="123">
        <f t="shared" si="33"/>
        <v>3.47</v>
      </c>
      <c r="W120" s="123">
        <f t="shared" si="33"/>
        <v>3.47</v>
      </c>
      <c r="X120" s="123">
        <f t="shared" si="33"/>
        <v>3.47</v>
      </c>
      <c r="Y120" s="123">
        <f t="shared" si="33"/>
        <v>3.47</v>
      </c>
      <c r="Z120" s="123">
        <f t="shared" si="33"/>
        <v>3.47</v>
      </c>
      <c r="AA120" s="123">
        <f t="shared" si="33"/>
        <v>3.47</v>
      </c>
      <c r="AB120" s="123">
        <f t="shared" si="33"/>
        <v>3.47</v>
      </c>
      <c r="AC120" s="123">
        <f t="shared" si="33"/>
        <v>3.47</v>
      </c>
      <c r="AD120" s="123">
        <f t="shared" si="33"/>
        <v>3.47</v>
      </c>
      <c r="AE120" s="123">
        <f t="shared" si="33"/>
        <v>3.47</v>
      </c>
      <c r="AF120" s="123">
        <f t="shared" si="33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1"/>
        <v>2.1</v>
      </c>
      <c r="C121" s="124">
        <v>2.1</v>
      </c>
      <c r="D121" s="123">
        <f t="shared" si="34"/>
        <v>2.1</v>
      </c>
      <c r="E121" s="123">
        <f t="shared" si="34"/>
        <v>2.1</v>
      </c>
      <c r="F121" s="123">
        <f t="shared" si="34"/>
        <v>2.1</v>
      </c>
      <c r="G121" s="123">
        <f t="shared" si="34"/>
        <v>2.1</v>
      </c>
      <c r="H121" s="123">
        <f t="shared" si="34"/>
        <v>2.1</v>
      </c>
      <c r="I121" s="123">
        <f t="shared" si="34"/>
        <v>2.1</v>
      </c>
      <c r="J121" s="123">
        <f t="shared" si="34"/>
        <v>2.1</v>
      </c>
      <c r="K121" s="123">
        <f t="shared" si="34"/>
        <v>2.1</v>
      </c>
      <c r="L121" s="123">
        <f t="shared" si="34"/>
        <v>2.1</v>
      </c>
      <c r="M121" s="123">
        <f t="shared" si="34"/>
        <v>2.1</v>
      </c>
      <c r="N121" s="123">
        <f t="shared" si="34"/>
        <v>2.1</v>
      </c>
      <c r="O121" s="123">
        <f t="shared" si="34"/>
        <v>2.1</v>
      </c>
      <c r="P121" s="123">
        <f t="shared" si="34"/>
        <v>2.1</v>
      </c>
      <c r="Q121" s="123">
        <f t="shared" si="34"/>
        <v>2.1</v>
      </c>
      <c r="R121" s="123">
        <f t="shared" si="34"/>
        <v>2.1</v>
      </c>
      <c r="S121" s="123">
        <f t="shared" si="34"/>
        <v>2.1</v>
      </c>
      <c r="T121" s="123">
        <f t="shared" si="33"/>
        <v>2.1</v>
      </c>
      <c r="U121" s="123">
        <f t="shared" si="33"/>
        <v>2.1</v>
      </c>
      <c r="V121" s="123">
        <f t="shared" si="33"/>
        <v>2.1</v>
      </c>
      <c r="W121" s="123">
        <f t="shared" si="33"/>
        <v>2.1</v>
      </c>
      <c r="X121" s="123">
        <f t="shared" si="33"/>
        <v>2.1</v>
      </c>
      <c r="Y121" s="123">
        <f t="shared" si="33"/>
        <v>2.1</v>
      </c>
      <c r="Z121" s="123">
        <f t="shared" si="33"/>
        <v>2.1</v>
      </c>
      <c r="AA121" s="123">
        <f t="shared" si="33"/>
        <v>2.1</v>
      </c>
      <c r="AB121" s="123">
        <f t="shared" si="33"/>
        <v>2.1</v>
      </c>
      <c r="AC121" s="123">
        <f t="shared" si="33"/>
        <v>2.1</v>
      </c>
      <c r="AD121" s="123">
        <f t="shared" si="33"/>
        <v>2.1</v>
      </c>
      <c r="AE121" s="123">
        <f t="shared" si="33"/>
        <v>2.1</v>
      </c>
      <c r="AF121" s="123">
        <f t="shared" si="33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1"/>
        <v>9.3000000000000007</v>
      </c>
      <c r="C122" s="124">
        <v>9.3000000000000007</v>
      </c>
      <c r="D122" s="123">
        <f t="shared" si="34"/>
        <v>9.3000000000000007</v>
      </c>
      <c r="E122" s="123">
        <f t="shared" si="34"/>
        <v>9.3000000000000007</v>
      </c>
      <c r="F122" s="123">
        <f t="shared" si="34"/>
        <v>9.3000000000000007</v>
      </c>
      <c r="G122" s="123">
        <f t="shared" si="34"/>
        <v>9.3000000000000007</v>
      </c>
      <c r="H122" s="123">
        <f t="shared" si="34"/>
        <v>9.3000000000000007</v>
      </c>
      <c r="I122" s="123">
        <f t="shared" si="34"/>
        <v>9.3000000000000007</v>
      </c>
      <c r="J122" s="123">
        <f t="shared" si="34"/>
        <v>9.3000000000000007</v>
      </c>
      <c r="K122" s="123">
        <f t="shared" si="34"/>
        <v>9.3000000000000007</v>
      </c>
      <c r="L122" s="123">
        <f t="shared" si="34"/>
        <v>9.3000000000000007</v>
      </c>
      <c r="M122" s="123">
        <f t="shared" si="34"/>
        <v>9.3000000000000007</v>
      </c>
      <c r="N122" s="123">
        <f t="shared" si="34"/>
        <v>9.3000000000000007</v>
      </c>
      <c r="O122" s="123">
        <f t="shared" si="34"/>
        <v>9.3000000000000007</v>
      </c>
      <c r="P122" s="123">
        <f t="shared" si="34"/>
        <v>9.3000000000000007</v>
      </c>
      <c r="Q122" s="123">
        <f t="shared" si="34"/>
        <v>9.3000000000000007</v>
      </c>
      <c r="R122" s="123">
        <f t="shared" si="34"/>
        <v>9.3000000000000007</v>
      </c>
      <c r="S122" s="123">
        <f t="shared" si="34"/>
        <v>9.3000000000000007</v>
      </c>
      <c r="T122" s="123">
        <f t="shared" si="33"/>
        <v>9.3000000000000007</v>
      </c>
      <c r="U122" s="123">
        <f t="shared" si="33"/>
        <v>9.3000000000000007</v>
      </c>
      <c r="V122" s="123">
        <f t="shared" si="33"/>
        <v>9.3000000000000007</v>
      </c>
      <c r="W122" s="123">
        <f t="shared" si="33"/>
        <v>9.3000000000000007</v>
      </c>
      <c r="X122" s="123">
        <f t="shared" si="33"/>
        <v>9.3000000000000007</v>
      </c>
      <c r="Y122" s="123">
        <f t="shared" si="33"/>
        <v>9.3000000000000007</v>
      </c>
      <c r="Z122" s="123">
        <f t="shared" si="33"/>
        <v>9.3000000000000007</v>
      </c>
      <c r="AA122" s="123">
        <f t="shared" si="33"/>
        <v>9.3000000000000007</v>
      </c>
      <c r="AB122" s="123">
        <f t="shared" si="33"/>
        <v>9.3000000000000007</v>
      </c>
      <c r="AC122" s="123">
        <f t="shared" si="33"/>
        <v>9.3000000000000007</v>
      </c>
      <c r="AD122" s="123">
        <f t="shared" si="33"/>
        <v>9.3000000000000007</v>
      </c>
      <c r="AE122" s="123">
        <f t="shared" si="33"/>
        <v>9.3000000000000007</v>
      </c>
      <c r="AF122" s="123">
        <f t="shared" si="33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1"/>
        <v>0</v>
      </c>
      <c r="C123" s="124">
        <v>0</v>
      </c>
      <c r="D123" s="123">
        <f t="shared" si="34"/>
        <v>0</v>
      </c>
      <c r="E123" s="123">
        <f t="shared" si="34"/>
        <v>0</v>
      </c>
      <c r="F123" s="123">
        <f t="shared" si="34"/>
        <v>0</v>
      </c>
      <c r="G123" s="123">
        <f t="shared" si="34"/>
        <v>0</v>
      </c>
      <c r="H123" s="123">
        <f t="shared" si="34"/>
        <v>0</v>
      </c>
      <c r="I123" s="123">
        <f t="shared" si="34"/>
        <v>0</v>
      </c>
      <c r="J123" s="123">
        <f t="shared" si="34"/>
        <v>0</v>
      </c>
      <c r="K123" s="123">
        <f t="shared" si="34"/>
        <v>0</v>
      </c>
      <c r="L123" s="123">
        <f t="shared" si="34"/>
        <v>0</v>
      </c>
      <c r="M123" s="123">
        <f t="shared" si="34"/>
        <v>0</v>
      </c>
      <c r="N123" s="123">
        <f t="shared" si="34"/>
        <v>0</v>
      </c>
      <c r="O123" s="123">
        <f t="shared" si="34"/>
        <v>0</v>
      </c>
      <c r="P123" s="123">
        <f t="shared" si="34"/>
        <v>0</v>
      </c>
      <c r="Q123" s="123">
        <f t="shared" si="34"/>
        <v>0</v>
      </c>
      <c r="R123" s="123">
        <f t="shared" si="34"/>
        <v>0</v>
      </c>
      <c r="S123" s="123">
        <f t="shared" si="34"/>
        <v>0</v>
      </c>
      <c r="T123" s="123">
        <f t="shared" si="33"/>
        <v>0</v>
      </c>
      <c r="U123" s="123">
        <f t="shared" si="33"/>
        <v>0</v>
      </c>
      <c r="V123" s="123">
        <f t="shared" si="33"/>
        <v>0</v>
      </c>
      <c r="W123" s="123">
        <f t="shared" si="33"/>
        <v>0</v>
      </c>
      <c r="X123" s="123">
        <f t="shared" si="33"/>
        <v>0</v>
      </c>
      <c r="Y123" s="123">
        <f t="shared" si="33"/>
        <v>0</v>
      </c>
      <c r="Z123" s="123">
        <f t="shared" si="33"/>
        <v>0</v>
      </c>
      <c r="AA123" s="123">
        <f t="shared" si="33"/>
        <v>0</v>
      </c>
      <c r="AB123" s="123">
        <f t="shared" si="33"/>
        <v>0</v>
      </c>
      <c r="AC123" s="123">
        <f t="shared" si="33"/>
        <v>0</v>
      </c>
      <c r="AD123" s="123">
        <f t="shared" si="33"/>
        <v>0</v>
      </c>
      <c r="AE123" s="123">
        <f t="shared" si="33"/>
        <v>0</v>
      </c>
      <c r="AF123" s="123">
        <f t="shared" si="33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1"/>
        <v>;/</v>
      </c>
      <c r="C125" s="124">
        <v>5</v>
      </c>
      <c r="D125" s="123">
        <f t="shared" si="34"/>
        <v>5</v>
      </c>
      <c r="E125" s="123">
        <f t="shared" si="34"/>
        <v>5</v>
      </c>
      <c r="F125" s="123">
        <f t="shared" si="34"/>
        <v>5</v>
      </c>
      <c r="G125" s="123">
        <f t="shared" si="34"/>
        <v>5</v>
      </c>
      <c r="H125" s="123">
        <f t="shared" si="34"/>
        <v>5</v>
      </c>
      <c r="I125" s="123" t="s">
        <v>131</v>
      </c>
      <c r="J125" s="123" t="str">
        <f t="shared" si="34"/>
        <v>;/</v>
      </c>
      <c r="K125" s="123" t="str">
        <f t="shared" si="34"/>
        <v>;/</v>
      </c>
      <c r="L125" s="123" t="str">
        <f t="shared" si="34"/>
        <v>;/</v>
      </c>
      <c r="M125" s="123" t="str">
        <f t="shared" si="34"/>
        <v>;/</v>
      </c>
      <c r="N125" s="123" t="str">
        <f t="shared" si="34"/>
        <v>;/</v>
      </c>
      <c r="O125" s="123" t="str">
        <f t="shared" si="34"/>
        <v>;/</v>
      </c>
      <c r="P125" s="123" t="str">
        <f t="shared" si="34"/>
        <v>;/</v>
      </c>
      <c r="Q125" s="123" t="str">
        <f t="shared" si="34"/>
        <v>;/</v>
      </c>
      <c r="R125" s="123" t="str">
        <f t="shared" si="34"/>
        <v>;/</v>
      </c>
      <c r="S125" s="123" t="str">
        <f t="shared" si="34"/>
        <v>;/</v>
      </c>
      <c r="T125" s="123" t="str">
        <f t="shared" si="33"/>
        <v>;/</v>
      </c>
      <c r="U125" s="123" t="str">
        <f t="shared" si="33"/>
        <v>;/</v>
      </c>
      <c r="V125" s="123" t="str">
        <f t="shared" si="33"/>
        <v>;/</v>
      </c>
      <c r="W125" s="123" t="str">
        <f t="shared" si="33"/>
        <v>;/</v>
      </c>
      <c r="X125" s="123" t="str">
        <f t="shared" si="33"/>
        <v>;/</v>
      </c>
      <c r="Y125" s="123" t="str">
        <f t="shared" si="33"/>
        <v>;/</v>
      </c>
      <c r="Z125" s="123" t="str">
        <f t="shared" si="33"/>
        <v>;/</v>
      </c>
      <c r="AA125" s="123" t="str">
        <f t="shared" si="33"/>
        <v>;/</v>
      </c>
      <c r="AB125" s="123" t="str">
        <f t="shared" si="33"/>
        <v>;/</v>
      </c>
      <c r="AC125" s="123" t="str">
        <f t="shared" si="33"/>
        <v>;/</v>
      </c>
      <c r="AD125" s="123" t="str">
        <f t="shared" si="33"/>
        <v>;/</v>
      </c>
      <c r="AE125" s="123" t="str">
        <f t="shared" si="33"/>
        <v>;/</v>
      </c>
      <c r="AF125" s="123" t="str">
        <f t="shared" si="33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1"/>
        <v>1</v>
      </c>
      <c r="C126" s="124">
        <v>1</v>
      </c>
      <c r="D126" s="123">
        <f t="shared" si="34"/>
        <v>1</v>
      </c>
      <c r="E126" s="123">
        <f t="shared" si="34"/>
        <v>1</v>
      </c>
      <c r="F126" s="123">
        <f t="shared" si="34"/>
        <v>1</v>
      </c>
      <c r="G126" s="123">
        <f t="shared" si="34"/>
        <v>1</v>
      </c>
      <c r="H126" s="123">
        <f t="shared" si="34"/>
        <v>1</v>
      </c>
      <c r="I126" s="123">
        <f t="shared" si="34"/>
        <v>1</v>
      </c>
      <c r="J126" s="123">
        <f t="shared" si="34"/>
        <v>1</v>
      </c>
      <c r="K126" s="123">
        <f t="shared" si="34"/>
        <v>1</v>
      </c>
      <c r="L126" s="123">
        <f t="shared" si="34"/>
        <v>1</v>
      </c>
      <c r="M126" s="123">
        <f t="shared" si="34"/>
        <v>1</v>
      </c>
      <c r="N126" s="123">
        <f t="shared" si="34"/>
        <v>1</v>
      </c>
      <c r="O126" s="123">
        <f t="shared" si="34"/>
        <v>1</v>
      </c>
      <c r="P126" s="123">
        <f t="shared" si="34"/>
        <v>1</v>
      </c>
      <c r="Q126" s="123">
        <f t="shared" si="34"/>
        <v>1</v>
      </c>
      <c r="R126" s="123">
        <f t="shared" si="34"/>
        <v>1</v>
      </c>
      <c r="S126" s="123">
        <f t="shared" si="34"/>
        <v>1</v>
      </c>
      <c r="T126" s="123">
        <f t="shared" si="33"/>
        <v>1</v>
      </c>
      <c r="U126" s="123">
        <f t="shared" si="33"/>
        <v>1</v>
      </c>
      <c r="V126" s="123">
        <f t="shared" si="33"/>
        <v>1</v>
      </c>
      <c r="W126" s="123">
        <f t="shared" si="33"/>
        <v>1</v>
      </c>
      <c r="X126" s="123">
        <f t="shared" si="33"/>
        <v>1</v>
      </c>
      <c r="Y126" s="123">
        <f t="shared" si="33"/>
        <v>1</v>
      </c>
      <c r="Z126" s="123">
        <f t="shared" si="33"/>
        <v>1</v>
      </c>
      <c r="AA126" s="123">
        <f t="shared" si="33"/>
        <v>1</v>
      </c>
      <c r="AB126" s="123">
        <f t="shared" si="33"/>
        <v>1</v>
      </c>
      <c r="AC126" s="123">
        <f t="shared" si="33"/>
        <v>1</v>
      </c>
      <c r="AD126" s="123">
        <f t="shared" si="33"/>
        <v>1</v>
      </c>
      <c r="AE126" s="123">
        <f t="shared" si="33"/>
        <v>1</v>
      </c>
      <c r="AF126" s="123">
        <f t="shared" si="33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1"/>
        <v>1.58</v>
      </c>
      <c r="C127" s="124">
        <v>1.58</v>
      </c>
      <c r="D127" s="123">
        <f t="shared" si="34"/>
        <v>1.58</v>
      </c>
      <c r="E127" s="123">
        <f t="shared" si="34"/>
        <v>1.58</v>
      </c>
      <c r="F127" s="123">
        <f t="shared" si="34"/>
        <v>1.58</v>
      </c>
      <c r="G127" s="123">
        <f t="shared" si="34"/>
        <v>1.58</v>
      </c>
      <c r="H127" s="123">
        <f t="shared" si="34"/>
        <v>1.58</v>
      </c>
      <c r="I127" s="123">
        <f t="shared" si="34"/>
        <v>1.58</v>
      </c>
      <c r="J127" s="123">
        <f t="shared" si="34"/>
        <v>1.58</v>
      </c>
      <c r="K127" s="123">
        <f t="shared" si="34"/>
        <v>1.58</v>
      </c>
      <c r="L127" s="123">
        <f t="shared" si="34"/>
        <v>1.58</v>
      </c>
      <c r="M127" s="123">
        <f t="shared" si="34"/>
        <v>1.58</v>
      </c>
      <c r="N127" s="123">
        <f t="shared" si="34"/>
        <v>1.58</v>
      </c>
      <c r="O127" s="123">
        <f t="shared" si="34"/>
        <v>1.58</v>
      </c>
      <c r="P127" s="123">
        <f t="shared" si="34"/>
        <v>1.58</v>
      </c>
      <c r="Q127" s="123">
        <f t="shared" si="34"/>
        <v>1.58</v>
      </c>
      <c r="R127" s="123">
        <f t="shared" si="34"/>
        <v>1.58</v>
      </c>
      <c r="S127" s="123">
        <f t="shared" si="34"/>
        <v>1.58</v>
      </c>
      <c r="T127" s="123">
        <f t="shared" si="33"/>
        <v>1.58</v>
      </c>
      <c r="U127" s="123">
        <f t="shared" si="33"/>
        <v>1.58</v>
      </c>
      <c r="V127" s="123">
        <f t="shared" si="33"/>
        <v>1.58</v>
      </c>
      <c r="W127" s="123">
        <f t="shared" si="33"/>
        <v>1.58</v>
      </c>
      <c r="X127" s="123">
        <f t="shared" si="33"/>
        <v>1.58</v>
      </c>
      <c r="Y127" s="123">
        <f t="shared" si="33"/>
        <v>1.58</v>
      </c>
      <c r="Z127" s="123">
        <f t="shared" si="33"/>
        <v>1.58</v>
      </c>
      <c r="AA127" s="123">
        <f t="shared" si="33"/>
        <v>1.58</v>
      </c>
      <c r="AB127" s="123">
        <f t="shared" si="33"/>
        <v>1.58</v>
      </c>
      <c r="AC127" s="123">
        <f t="shared" si="33"/>
        <v>1.58</v>
      </c>
      <c r="AD127" s="123">
        <f t="shared" si="33"/>
        <v>1.58</v>
      </c>
      <c r="AE127" s="123">
        <f t="shared" si="33"/>
        <v>1.58</v>
      </c>
      <c r="AF127" s="123">
        <f t="shared" si="33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1"/>
        <v>1.46</v>
      </c>
      <c r="C128" s="124">
        <v>1.46</v>
      </c>
      <c r="D128" s="123">
        <f t="shared" si="34"/>
        <v>1.46</v>
      </c>
      <c r="E128" s="123">
        <f t="shared" si="34"/>
        <v>1.46</v>
      </c>
      <c r="F128" s="123">
        <f t="shared" si="34"/>
        <v>1.46</v>
      </c>
      <c r="G128" s="123">
        <f t="shared" si="34"/>
        <v>1.46</v>
      </c>
      <c r="H128" s="123">
        <f t="shared" si="34"/>
        <v>1.46</v>
      </c>
      <c r="I128" s="123">
        <f t="shared" si="34"/>
        <v>1.46</v>
      </c>
      <c r="J128" s="123">
        <f t="shared" si="34"/>
        <v>1.46</v>
      </c>
      <c r="K128" s="123">
        <f t="shared" si="34"/>
        <v>1.46</v>
      </c>
      <c r="L128" s="123">
        <f t="shared" si="34"/>
        <v>1.46</v>
      </c>
      <c r="M128" s="123">
        <f t="shared" si="34"/>
        <v>1.46</v>
      </c>
      <c r="N128" s="123">
        <f t="shared" si="34"/>
        <v>1.46</v>
      </c>
      <c r="O128" s="123">
        <f t="shared" si="34"/>
        <v>1.46</v>
      </c>
      <c r="P128" s="123">
        <f t="shared" si="34"/>
        <v>1.46</v>
      </c>
      <c r="Q128" s="123">
        <f t="shared" si="34"/>
        <v>1.46</v>
      </c>
      <c r="R128" s="123">
        <f t="shared" si="34"/>
        <v>1.46</v>
      </c>
      <c r="S128" s="123">
        <f t="shared" si="34"/>
        <v>1.46</v>
      </c>
      <c r="T128" s="123">
        <f t="shared" ref="T128:AF129" si="35">S128</f>
        <v>1.46</v>
      </c>
      <c r="U128" s="123">
        <f t="shared" si="35"/>
        <v>1.46</v>
      </c>
      <c r="V128" s="123">
        <f t="shared" si="35"/>
        <v>1.46</v>
      </c>
      <c r="W128" s="123">
        <f t="shared" si="35"/>
        <v>1.46</v>
      </c>
      <c r="X128" s="123">
        <f t="shared" si="35"/>
        <v>1.46</v>
      </c>
      <c r="Y128" s="123">
        <f t="shared" si="35"/>
        <v>1.46</v>
      </c>
      <c r="Z128" s="123">
        <f t="shared" si="35"/>
        <v>1.46</v>
      </c>
      <c r="AA128" s="123">
        <f t="shared" si="35"/>
        <v>1.46</v>
      </c>
      <c r="AB128" s="123">
        <f t="shared" si="35"/>
        <v>1.46</v>
      </c>
      <c r="AC128" s="123">
        <f t="shared" si="35"/>
        <v>1.46</v>
      </c>
      <c r="AD128" s="123">
        <f t="shared" si="35"/>
        <v>1.46</v>
      </c>
      <c r="AE128" s="123">
        <f t="shared" si="35"/>
        <v>1.46</v>
      </c>
      <c r="AF128" s="123">
        <f t="shared" si="35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1"/>
        <v>1.48</v>
      </c>
      <c r="C129" s="124">
        <v>1.48</v>
      </c>
      <c r="D129" s="123">
        <f t="shared" si="34"/>
        <v>1.48</v>
      </c>
      <c r="E129" s="123">
        <f t="shared" si="34"/>
        <v>1.48</v>
      </c>
      <c r="F129" s="123">
        <f t="shared" si="34"/>
        <v>1.48</v>
      </c>
      <c r="G129" s="123">
        <f t="shared" si="34"/>
        <v>1.48</v>
      </c>
      <c r="H129" s="123">
        <f t="shared" si="34"/>
        <v>1.48</v>
      </c>
      <c r="I129" s="123">
        <f t="shared" si="34"/>
        <v>1.48</v>
      </c>
      <c r="J129" s="123">
        <f t="shared" si="34"/>
        <v>1.48</v>
      </c>
      <c r="K129" s="123">
        <f t="shared" si="34"/>
        <v>1.48</v>
      </c>
      <c r="L129" s="123">
        <f t="shared" si="34"/>
        <v>1.48</v>
      </c>
      <c r="M129" s="123">
        <f t="shared" si="34"/>
        <v>1.48</v>
      </c>
      <c r="N129" s="123">
        <f t="shared" si="34"/>
        <v>1.48</v>
      </c>
      <c r="O129" s="123">
        <f t="shared" si="34"/>
        <v>1.48</v>
      </c>
      <c r="P129" s="123">
        <f t="shared" si="34"/>
        <v>1.48</v>
      </c>
      <c r="Q129" s="123">
        <f t="shared" si="34"/>
        <v>1.48</v>
      </c>
      <c r="R129" s="123">
        <f t="shared" si="34"/>
        <v>1.48</v>
      </c>
      <c r="S129" s="123">
        <f t="shared" si="34"/>
        <v>1.48</v>
      </c>
      <c r="T129" s="123">
        <f t="shared" si="35"/>
        <v>1.48</v>
      </c>
      <c r="U129" s="123">
        <f t="shared" si="35"/>
        <v>1.48</v>
      </c>
      <c r="V129" s="123">
        <f t="shared" si="35"/>
        <v>1.48</v>
      </c>
      <c r="W129" s="123">
        <f t="shared" si="35"/>
        <v>1.48</v>
      </c>
      <c r="X129" s="123">
        <f t="shared" si="35"/>
        <v>1.48</v>
      </c>
      <c r="Y129" s="123">
        <f t="shared" si="35"/>
        <v>1.48</v>
      </c>
      <c r="Z129" s="123">
        <f t="shared" si="35"/>
        <v>1.48</v>
      </c>
      <c r="AA129" s="123">
        <f t="shared" si="35"/>
        <v>1.48</v>
      </c>
      <c r="AB129" s="123">
        <f t="shared" si="35"/>
        <v>1.48</v>
      </c>
      <c r="AC129" s="123">
        <f t="shared" si="35"/>
        <v>1.48</v>
      </c>
      <c r="AD129" s="123">
        <f t="shared" si="35"/>
        <v>1.48</v>
      </c>
      <c r="AE129" s="123">
        <f t="shared" si="35"/>
        <v>1.48</v>
      </c>
      <c r="AF129" s="123">
        <f t="shared" si="35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6">AF131</f>
        <v>2.2000000000000002</v>
      </c>
      <c r="C131" s="124">
        <v>2.2000000000000002</v>
      </c>
      <c r="D131" s="123">
        <f t="shared" ref="D131:S138" si="37">C131</f>
        <v>2.2000000000000002</v>
      </c>
      <c r="E131" s="123">
        <f t="shared" si="37"/>
        <v>2.2000000000000002</v>
      </c>
      <c r="F131" s="123">
        <f t="shared" si="37"/>
        <v>2.2000000000000002</v>
      </c>
      <c r="G131" s="123">
        <f t="shared" si="37"/>
        <v>2.2000000000000002</v>
      </c>
      <c r="H131" s="123">
        <f t="shared" si="37"/>
        <v>2.2000000000000002</v>
      </c>
      <c r="I131" s="123">
        <f t="shared" si="37"/>
        <v>2.2000000000000002</v>
      </c>
      <c r="J131" s="123">
        <f t="shared" si="37"/>
        <v>2.2000000000000002</v>
      </c>
      <c r="K131" s="123">
        <f t="shared" si="37"/>
        <v>2.2000000000000002</v>
      </c>
      <c r="L131" s="123">
        <f t="shared" si="37"/>
        <v>2.2000000000000002</v>
      </c>
      <c r="M131" s="123">
        <f t="shared" si="37"/>
        <v>2.2000000000000002</v>
      </c>
      <c r="N131" s="123">
        <f t="shared" si="37"/>
        <v>2.2000000000000002</v>
      </c>
      <c r="O131" s="123">
        <f t="shared" si="37"/>
        <v>2.2000000000000002</v>
      </c>
      <c r="P131" s="123">
        <f t="shared" si="37"/>
        <v>2.2000000000000002</v>
      </c>
      <c r="Q131" s="123">
        <f t="shared" si="37"/>
        <v>2.2000000000000002</v>
      </c>
      <c r="R131" s="123">
        <f t="shared" si="37"/>
        <v>2.2000000000000002</v>
      </c>
      <c r="S131" s="123">
        <f t="shared" si="37"/>
        <v>2.2000000000000002</v>
      </c>
      <c r="T131" s="123">
        <f t="shared" ref="T131:AF138" si="38">S131</f>
        <v>2.2000000000000002</v>
      </c>
      <c r="U131" s="123">
        <f t="shared" si="38"/>
        <v>2.2000000000000002</v>
      </c>
      <c r="V131" s="123">
        <f t="shared" si="38"/>
        <v>2.2000000000000002</v>
      </c>
      <c r="W131" s="123">
        <f t="shared" si="38"/>
        <v>2.2000000000000002</v>
      </c>
      <c r="X131" s="123">
        <f t="shared" si="38"/>
        <v>2.2000000000000002</v>
      </c>
      <c r="Y131" s="123">
        <f t="shared" si="38"/>
        <v>2.2000000000000002</v>
      </c>
      <c r="Z131" s="123">
        <f t="shared" si="38"/>
        <v>2.2000000000000002</v>
      </c>
      <c r="AA131" s="123">
        <f t="shared" si="38"/>
        <v>2.2000000000000002</v>
      </c>
      <c r="AB131" s="123">
        <f t="shared" si="38"/>
        <v>2.2000000000000002</v>
      </c>
      <c r="AC131" s="123">
        <f t="shared" si="38"/>
        <v>2.2000000000000002</v>
      </c>
      <c r="AD131" s="123">
        <f t="shared" si="38"/>
        <v>2.2000000000000002</v>
      </c>
      <c r="AE131" s="123">
        <f t="shared" si="38"/>
        <v>2.2000000000000002</v>
      </c>
      <c r="AF131" s="123">
        <f t="shared" si="38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6"/>
        <v>2</v>
      </c>
      <c r="C132" s="124">
        <v>2</v>
      </c>
      <c r="D132" s="123">
        <f t="shared" si="37"/>
        <v>2</v>
      </c>
      <c r="E132" s="123">
        <f t="shared" si="37"/>
        <v>2</v>
      </c>
      <c r="F132" s="123">
        <f t="shared" si="37"/>
        <v>2</v>
      </c>
      <c r="G132" s="123">
        <f t="shared" si="37"/>
        <v>2</v>
      </c>
      <c r="H132" s="123">
        <f t="shared" si="37"/>
        <v>2</v>
      </c>
      <c r="I132" s="123">
        <f t="shared" si="37"/>
        <v>2</v>
      </c>
      <c r="J132" s="123">
        <f t="shared" si="37"/>
        <v>2</v>
      </c>
      <c r="K132" s="123">
        <f t="shared" si="37"/>
        <v>2</v>
      </c>
      <c r="L132" s="123">
        <f t="shared" si="37"/>
        <v>2</v>
      </c>
      <c r="M132" s="123">
        <f t="shared" si="37"/>
        <v>2</v>
      </c>
      <c r="N132" s="123">
        <f t="shared" si="37"/>
        <v>2</v>
      </c>
      <c r="O132" s="123">
        <f t="shared" si="37"/>
        <v>2</v>
      </c>
      <c r="P132" s="123">
        <f t="shared" si="37"/>
        <v>2</v>
      </c>
      <c r="Q132" s="123">
        <f t="shared" si="37"/>
        <v>2</v>
      </c>
      <c r="R132" s="123">
        <f t="shared" si="37"/>
        <v>2</v>
      </c>
      <c r="S132" s="123">
        <f t="shared" si="37"/>
        <v>2</v>
      </c>
      <c r="T132" s="123">
        <f t="shared" si="38"/>
        <v>2</v>
      </c>
      <c r="U132" s="123">
        <f t="shared" si="38"/>
        <v>2</v>
      </c>
      <c r="V132" s="123">
        <f t="shared" si="38"/>
        <v>2</v>
      </c>
      <c r="W132" s="123">
        <f t="shared" si="38"/>
        <v>2</v>
      </c>
      <c r="X132" s="123">
        <f t="shared" si="38"/>
        <v>2</v>
      </c>
      <c r="Y132" s="123">
        <f t="shared" si="38"/>
        <v>2</v>
      </c>
      <c r="Z132" s="123">
        <f t="shared" si="38"/>
        <v>2</v>
      </c>
      <c r="AA132" s="123">
        <f t="shared" si="38"/>
        <v>2</v>
      </c>
      <c r="AB132" s="123">
        <f t="shared" si="38"/>
        <v>2</v>
      </c>
      <c r="AC132" s="123">
        <f t="shared" si="38"/>
        <v>2</v>
      </c>
      <c r="AD132" s="123">
        <f t="shared" si="38"/>
        <v>2</v>
      </c>
      <c r="AE132" s="123">
        <f t="shared" si="38"/>
        <v>2</v>
      </c>
      <c r="AF132" s="123">
        <f t="shared" si="38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6"/>
        <v>1.25</v>
      </c>
      <c r="C133" s="124">
        <v>1.25</v>
      </c>
      <c r="D133" s="123">
        <f t="shared" si="37"/>
        <v>1.25</v>
      </c>
      <c r="E133" s="123">
        <f t="shared" si="37"/>
        <v>1.25</v>
      </c>
      <c r="F133" s="123">
        <f t="shared" si="37"/>
        <v>1.25</v>
      </c>
      <c r="G133" s="123">
        <f t="shared" si="37"/>
        <v>1.25</v>
      </c>
      <c r="H133" s="123">
        <f t="shared" si="37"/>
        <v>1.25</v>
      </c>
      <c r="I133" s="123">
        <f t="shared" si="37"/>
        <v>1.25</v>
      </c>
      <c r="J133" s="123">
        <f t="shared" si="37"/>
        <v>1.25</v>
      </c>
      <c r="K133" s="123">
        <f t="shared" si="37"/>
        <v>1.25</v>
      </c>
      <c r="L133" s="123">
        <f t="shared" si="37"/>
        <v>1.25</v>
      </c>
      <c r="M133" s="123">
        <f t="shared" si="37"/>
        <v>1.25</v>
      </c>
      <c r="N133" s="123">
        <f t="shared" si="37"/>
        <v>1.25</v>
      </c>
      <c r="O133" s="123">
        <f t="shared" si="37"/>
        <v>1.25</v>
      </c>
      <c r="P133" s="123">
        <f t="shared" si="37"/>
        <v>1.25</v>
      </c>
      <c r="Q133" s="123">
        <f t="shared" si="37"/>
        <v>1.25</v>
      </c>
      <c r="R133" s="123">
        <f t="shared" si="37"/>
        <v>1.25</v>
      </c>
      <c r="S133" s="123">
        <f t="shared" si="37"/>
        <v>1.25</v>
      </c>
      <c r="T133" s="123">
        <f t="shared" si="38"/>
        <v>1.25</v>
      </c>
      <c r="U133" s="123">
        <f t="shared" si="38"/>
        <v>1.25</v>
      </c>
      <c r="V133" s="123">
        <f t="shared" si="38"/>
        <v>1.25</v>
      </c>
      <c r="W133" s="123">
        <f t="shared" si="38"/>
        <v>1.25</v>
      </c>
      <c r="X133" s="123">
        <f t="shared" si="38"/>
        <v>1.25</v>
      </c>
      <c r="Y133" s="123">
        <f t="shared" si="38"/>
        <v>1.25</v>
      </c>
      <c r="Z133" s="123">
        <f t="shared" si="38"/>
        <v>1.25</v>
      </c>
      <c r="AA133" s="123">
        <f t="shared" si="38"/>
        <v>1.25</v>
      </c>
      <c r="AB133" s="123">
        <f t="shared" si="38"/>
        <v>1.25</v>
      </c>
      <c r="AC133" s="123">
        <f t="shared" si="38"/>
        <v>1.25</v>
      </c>
      <c r="AD133" s="123">
        <f t="shared" si="38"/>
        <v>1.25</v>
      </c>
      <c r="AE133" s="123">
        <f t="shared" si="38"/>
        <v>1.25</v>
      </c>
      <c r="AF133" s="123">
        <f t="shared" si="38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6"/>
        <v>1.1499999999999999</v>
      </c>
      <c r="C134" s="124">
        <v>1.1499999999999999</v>
      </c>
      <c r="D134" s="123">
        <f t="shared" si="37"/>
        <v>1.1499999999999999</v>
      </c>
      <c r="E134" s="123">
        <f t="shared" si="37"/>
        <v>1.1499999999999999</v>
      </c>
      <c r="F134" s="123">
        <f t="shared" si="37"/>
        <v>1.1499999999999999</v>
      </c>
      <c r="G134" s="123">
        <f t="shared" si="37"/>
        <v>1.1499999999999999</v>
      </c>
      <c r="H134" s="123">
        <f t="shared" si="37"/>
        <v>1.1499999999999999</v>
      </c>
      <c r="I134" s="123">
        <f t="shared" si="37"/>
        <v>1.1499999999999999</v>
      </c>
      <c r="J134" s="123">
        <f t="shared" si="37"/>
        <v>1.1499999999999999</v>
      </c>
      <c r="K134" s="123">
        <f t="shared" si="37"/>
        <v>1.1499999999999999</v>
      </c>
      <c r="L134" s="123">
        <f t="shared" si="37"/>
        <v>1.1499999999999999</v>
      </c>
      <c r="M134" s="123">
        <f t="shared" si="37"/>
        <v>1.1499999999999999</v>
      </c>
      <c r="N134" s="123">
        <f t="shared" si="37"/>
        <v>1.1499999999999999</v>
      </c>
      <c r="O134" s="123">
        <f t="shared" si="37"/>
        <v>1.1499999999999999</v>
      </c>
      <c r="P134" s="123">
        <f t="shared" si="37"/>
        <v>1.1499999999999999</v>
      </c>
      <c r="Q134" s="123">
        <f t="shared" si="37"/>
        <v>1.1499999999999999</v>
      </c>
      <c r="R134" s="123">
        <f t="shared" si="37"/>
        <v>1.1499999999999999</v>
      </c>
      <c r="S134" s="123">
        <f t="shared" si="37"/>
        <v>1.1499999999999999</v>
      </c>
      <c r="T134" s="123">
        <f t="shared" si="38"/>
        <v>1.1499999999999999</v>
      </c>
      <c r="U134" s="123">
        <f t="shared" si="38"/>
        <v>1.1499999999999999</v>
      </c>
      <c r="V134" s="123">
        <f t="shared" si="38"/>
        <v>1.1499999999999999</v>
      </c>
      <c r="W134" s="123">
        <f t="shared" si="38"/>
        <v>1.1499999999999999</v>
      </c>
      <c r="X134" s="123">
        <f t="shared" si="38"/>
        <v>1.1499999999999999</v>
      </c>
      <c r="Y134" s="123">
        <f t="shared" si="38"/>
        <v>1.1499999999999999</v>
      </c>
      <c r="Z134" s="123">
        <f t="shared" si="38"/>
        <v>1.1499999999999999</v>
      </c>
      <c r="AA134" s="123">
        <f t="shared" si="38"/>
        <v>1.1499999999999999</v>
      </c>
      <c r="AB134" s="123">
        <f t="shared" si="38"/>
        <v>1.1499999999999999</v>
      </c>
      <c r="AC134" s="123">
        <f t="shared" si="38"/>
        <v>1.1499999999999999</v>
      </c>
      <c r="AD134" s="123">
        <f t="shared" si="38"/>
        <v>1.1499999999999999</v>
      </c>
      <c r="AE134" s="123">
        <f t="shared" si="38"/>
        <v>1.1499999999999999</v>
      </c>
      <c r="AF134" s="123">
        <f t="shared" si="38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6"/>
        <v>2.133</v>
      </c>
      <c r="C135" s="124">
        <v>2.133</v>
      </c>
      <c r="D135" s="123">
        <f t="shared" si="37"/>
        <v>2.133</v>
      </c>
      <c r="E135" s="123">
        <f t="shared" si="37"/>
        <v>2.133</v>
      </c>
      <c r="F135" s="123">
        <f t="shared" si="37"/>
        <v>2.133</v>
      </c>
      <c r="G135" s="123">
        <f t="shared" si="37"/>
        <v>2.133</v>
      </c>
      <c r="H135" s="123">
        <f t="shared" si="37"/>
        <v>2.133</v>
      </c>
      <c r="I135" s="123">
        <f t="shared" si="37"/>
        <v>2.133</v>
      </c>
      <c r="J135" s="123">
        <f t="shared" si="37"/>
        <v>2.133</v>
      </c>
      <c r="K135" s="123">
        <f t="shared" si="37"/>
        <v>2.133</v>
      </c>
      <c r="L135" s="123">
        <f t="shared" si="37"/>
        <v>2.133</v>
      </c>
      <c r="M135" s="123">
        <f t="shared" si="37"/>
        <v>2.133</v>
      </c>
      <c r="N135" s="123">
        <f t="shared" si="37"/>
        <v>2.133</v>
      </c>
      <c r="O135" s="123">
        <f t="shared" si="37"/>
        <v>2.133</v>
      </c>
      <c r="P135" s="123">
        <f t="shared" si="37"/>
        <v>2.133</v>
      </c>
      <c r="Q135" s="123">
        <f t="shared" si="37"/>
        <v>2.133</v>
      </c>
      <c r="R135" s="123">
        <f t="shared" si="37"/>
        <v>2.133</v>
      </c>
      <c r="S135" s="123">
        <f t="shared" si="37"/>
        <v>2.133</v>
      </c>
      <c r="T135" s="123">
        <f t="shared" si="38"/>
        <v>2.133</v>
      </c>
      <c r="U135" s="123">
        <f t="shared" si="38"/>
        <v>2.133</v>
      </c>
      <c r="V135" s="123">
        <f t="shared" si="38"/>
        <v>2.133</v>
      </c>
      <c r="W135" s="123">
        <f t="shared" si="38"/>
        <v>2.133</v>
      </c>
      <c r="X135" s="123">
        <f t="shared" si="38"/>
        <v>2.133</v>
      </c>
      <c r="Y135" s="123">
        <f t="shared" si="38"/>
        <v>2.133</v>
      </c>
      <c r="Z135" s="123">
        <f t="shared" si="38"/>
        <v>2.133</v>
      </c>
      <c r="AA135" s="123">
        <f t="shared" si="38"/>
        <v>2.133</v>
      </c>
      <c r="AB135" s="123">
        <f t="shared" si="38"/>
        <v>2.133</v>
      </c>
      <c r="AC135" s="123">
        <f t="shared" si="38"/>
        <v>2.133</v>
      </c>
      <c r="AD135" s="123">
        <f t="shared" si="38"/>
        <v>2.133</v>
      </c>
      <c r="AE135" s="123">
        <f t="shared" si="38"/>
        <v>2.133</v>
      </c>
      <c r="AF135" s="123">
        <f t="shared" si="38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6"/>
        <v>2.09</v>
      </c>
      <c r="C136" s="124">
        <v>2.09</v>
      </c>
      <c r="D136" s="123">
        <f t="shared" si="37"/>
        <v>2.09</v>
      </c>
      <c r="E136" s="123">
        <f t="shared" si="37"/>
        <v>2.09</v>
      </c>
      <c r="F136" s="123">
        <f t="shared" si="37"/>
        <v>2.09</v>
      </c>
      <c r="G136" s="123">
        <f t="shared" si="37"/>
        <v>2.09</v>
      </c>
      <c r="H136" s="123">
        <f t="shared" si="37"/>
        <v>2.09</v>
      </c>
      <c r="I136" s="123">
        <f t="shared" si="37"/>
        <v>2.09</v>
      </c>
      <c r="J136" s="123">
        <f t="shared" si="37"/>
        <v>2.09</v>
      </c>
      <c r="K136" s="123">
        <f t="shared" si="37"/>
        <v>2.09</v>
      </c>
      <c r="L136" s="123">
        <f t="shared" si="37"/>
        <v>2.09</v>
      </c>
      <c r="M136" s="123">
        <f t="shared" si="37"/>
        <v>2.09</v>
      </c>
      <c r="N136" s="123">
        <f t="shared" si="37"/>
        <v>2.09</v>
      </c>
      <c r="O136" s="123">
        <f t="shared" si="37"/>
        <v>2.09</v>
      </c>
      <c r="P136" s="123">
        <f t="shared" si="37"/>
        <v>2.09</v>
      </c>
      <c r="Q136" s="123">
        <f t="shared" si="37"/>
        <v>2.09</v>
      </c>
      <c r="R136" s="123">
        <f t="shared" si="37"/>
        <v>2.09</v>
      </c>
      <c r="S136" s="123">
        <f t="shared" si="37"/>
        <v>2.09</v>
      </c>
      <c r="T136" s="123">
        <f t="shared" si="38"/>
        <v>2.09</v>
      </c>
      <c r="U136" s="123">
        <f t="shared" si="38"/>
        <v>2.09</v>
      </c>
      <c r="V136" s="123">
        <f t="shared" si="38"/>
        <v>2.09</v>
      </c>
      <c r="W136" s="123">
        <f t="shared" si="38"/>
        <v>2.09</v>
      </c>
      <c r="X136" s="123">
        <f t="shared" si="38"/>
        <v>2.09</v>
      </c>
      <c r="Y136" s="123">
        <f t="shared" si="38"/>
        <v>2.09</v>
      </c>
      <c r="Z136" s="123">
        <f t="shared" si="38"/>
        <v>2.09</v>
      </c>
      <c r="AA136" s="123">
        <f t="shared" si="38"/>
        <v>2.09</v>
      </c>
      <c r="AB136" s="123">
        <f t="shared" si="38"/>
        <v>2.09</v>
      </c>
      <c r="AC136" s="123">
        <f t="shared" si="38"/>
        <v>2.09</v>
      </c>
      <c r="AD136" s="123">
        <f t="shared" si="38"/>
        <v>2.09</v>
      </c>
      <c r="AE136" s="123">
        <f t="shared" si="38"/>
        <v>2.09</v>
      </c>
      <c r="AF136" s="123">
        <f t="shared" si="38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6"/>
        <v>1.1399999999999999</v>
      </c>
      <c r="C137" s="124">
        <v>1.1399999999999999</v>
      </c>
      <c r="D137" s="123">
        <f t="shared" si="37"/>
        <v>1.1399999999999999</v>
      </c>
      <c r="E137" s="123">
        <f t="shared" si="37"/>
        <v>1.1399999999999999</v>
      </c>
      <c r="F137" s="123">
        <f t="shared" si="37"/>
        <v>1.1399999999999999</v>
      </c>
      <c r="G137" s="123">
        <f t="shared" si="37"/>
        <v>1.1399999999999999</v>
      </c>
      <c r="H137" s="123">
        <f t="shared" si="37"/>
        <v>1.1399999999999999</v>
      </c>
      <c r="I137" s="123">
        <f t="shared" si="37"/>
        <v>1.1399999999999999</v>
      </c>
      <c r="J137" s="123">
        <f t="shared" si="37"/>
        <v>1.1399999999999999</v>
      </c>
      <c r="K137" s="123">
        <f t="shared" si="37"/>
        <v>1.1399999999999999</v>
      </c>
      <c r="L137" s="123">
        <f t="shared" si="37"/>
        <v>1.1399999999999999</v>
      </c>
      <c r="M137" s="123">
        <f t="shared" si="37"/>
        <v>1.1399999999999999</v>
      </c>
      <c r="N137" s="123">
        <f t="shared" si="37"/>
        <v>1.1399999999999999</v>
      </c>
      <c r="O137" s="123">
        <f t="shared" si="37"/>
        <v>1.1399999999999999</v>
      </c>
      <c r="P137" s="123">
        <f t="shared" si="37"/>
        <v>1.1399999999999999</v>
      </c>
      <c r="Q137" s="123">
        <f t="shared" si="37"/>
        <v>1.1399999999999999</v>
      </c>
      <c r="R137" s="123">
        <f t="shared" si="37"/>
        <v>1.1399999999999999</v>
      </c>
      <c r="S137" s="123">
        <f t="shared" si="37"/>
        <v>1.1399999999999999</v>
      </c>
      <c r="T137" s="123">
        <f t="shared" si="38"/>
        <v>1.1399999999999999</v>
      </c>
      <c r="U137" s="123">
        <f t="shared" si="38"/>
        <v>1.1399999999999999</v>
      </c>
      <c r="V137" s="123">
        <f t="shared" si="38"/>
        <v>1.1399999999999999</v>
      </c>
      <c r="W137" s="123">
        <f t="shared" si="38"/>
        <v>1.1399999999999999</v>
      </c>
      <c r="X137" s="123">
        <f t="shared" si="38"/>
        <v>1.1399999999999999</v>
      </c>
      <c r="Y137" s="123">
        <f t="shared" si="38"/>
        <v>1.1399999999999999</v>
      </c>
      <c r="Z137" s="123">
        <f t="shared" si="38"/>
        <v>1.1399999999999999</v>
      </c>
      <c r="AA137" s="123">
        <f t="shared" si="38"/>
        <v>1.1399999999999999</v>
      </c>
      <c r="AB137" s="123">
        <f t="shared" si="38"/>
        <v>1.1399999999999999</v>
      </c>
      <c r="AC137" s="123">
        <f t="shared" si="38"/>
        <v>1.1399999999999999</v>
      </c>
      <c r="AD137" s="123">
        <f t="shared" si="38"/>
        <v>1.1399999999999999</v>
      </c>
      <c r="AE137" s="123">
        <f t="shared" si="38"/>
        <v>1.1399999999999999</v>
      </c>
      <c r="AF137" s="123">
        <f t="shared" si="38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6"/>
        <v>0.82</v>
      </c>
      <c r="C138" s="124">
        <v>0.82</v>
      </c>
      <c r="D138" s="123">
        <f t="shared" si="37"/>
        <v>0.82</v>
      </c>
      <c r="E138" s="123">
        <f t="shared" si="37"/>
        <v>0.82</v>
      </c>
      <c r="F138" s="123">
        <f t="shared" si="37"/>
        <v>0.82</v>
      </c>
      <c r="G138" s="123">
        <f t="shared" si="37"/>
        <v>0.82</v>
      </c>
      <c r="H138" s="123">
        <f t="shared" si="37"/>
        <v>0.82</v>
      </c>
      <c r="I138" s="123">
        <f t="shared" si="37"/>
        <v>0.82</v>
      </c>
      <c r="J138" s="123">
        <f t="shared" si="37"/>
        <v>0.82</v>
      </c>
      <c r="K138" s="123">
        <f t="shared" si="37"/>
        <v>0.82</v>
      </c>
      <c r="L138" s="123">
        <f t="shared" si="37"/>
        <v>0.82</v>
      </c>
      <c r="M138" s="123">
        <f t="shared" si="37"/>
        <v>0.82</v>
      </c>
      <c r="N138" s="123">
        <f t="shared" si="37"/>
        <v>0.82</v>
      </c>
      <c r="O138" s="123">
        <f t="shared" si="37"/>
        <v>0.82</v>
      </c>
      <c r="P138" s="123">
        <f t="shared" si="37"/>
        <v>0.82</v>
      </c>
      <c r="Q138" s="123">
        <f t="shared" si="37"/>
        <v>0.82</v>
      </c>
      <c r="R138" s="123">
        <f t="shared" si="37"/>
        <v>0.82</v>
      </c>
      <c r="S138" s="123">
        <f t="shared" si="37"/>
        <v>0.82</v>
      </c>
      <c r="T138" s="123">
        <f t="shared" si="38"/>
        <v>0.82</v>
      </c>
      <c r="U138" s="123">
        <f t="shared" si="38"/>
        <v>0.82</v>
      </c>
      <c r="V138" s="123">
        <f t="shared" si="38"/>
        <v>0.82</v>
      </c>
      <c r="W138" s="123">
        <f t="shared" si="38"/>
        <v>0.82</v>
      </c>
      <c r="X138" s="123">
        <f t="shared" si="38"/>
        <v>0.82</v>
      </c>
      <c r="Y138" s="123">
        <f t="shared" si="38"/>
        <v>0.82</v>
      </c>
      <c r="Z138" s="123">
        <f t="shared" si="38"/>
        <v>0.82</v>
      </c>
      <c r="AA138" s="123">
        <f t="shared" si="38"/>
        <v>0.82</v>
      </c>
      <c r="AB138" s="123">
        <f t="shared" si="38"/>
        <v>0.82</v>
      </c>
      <c r="AC138" s="123">
        <f t="shared" si="38"/>
        <v>0.82</v>
      </c>
      <c r="AD138" s="123">
        <f t="shared" si="38"/>
        <v>0.82</v>
      </c>
      <c r="AE138" s="123">
        <f t="shared" si="38"/>
        <v>0.82</v>
      </c>
      <c r="AF138" s="123">
        <f t="shared" si="38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9">AF140</f>
        <v>2</v>
      </c>
      <c r="C140" s="124">
        <v>2</v>
      </c>
      <c r="D140" s="123">
        <f t="shared" ref="D140:S146" si="40">C140</f>
        <v>2</v>
      </c>
      <c r="E140" s="123">
        <f t="shared" si="40"/>
        <v>2</v>
      </c>
      <c r="F140" s="123">
        <f t="shared" si="40"/>
        <v>2</v>
      </c>
      <c r="G140" s="123">
        <f t="shared" si="40"/>
        <v>2</v>
      </c>
      <c r="H140" s="123">
        <f t="shared" si="40"/>
        <v>2</v>
      </c>
      <c r="I140" s="123">
        <f t="shared" si="40"/>
        <v>2</v>
      </c>
      <c r="J140" s="123">
        <f t="shared" si="40"/>
        <v>2</v>
      </c>
      <c r="K140" s="123">
        <f t="shared" si="40"/>
        <v>2</v>
      </c>
      <c r="L140" s="123">
        <f t="shared" si="40"/>
        <v>2</v>
      </c>
      <c r="M140" s="123">
        <f t="shared" si="40"/>
        <v>2</v>
      </c>
      <c r="N140" s="123">
        <f t="shared" si="40"/>
        <v>2</v>
      </c>
      <c r="O140" s="123">
        <f t="shared" si="40"/>
        <v>2</v>
      </c>
      <c r="P140" s="123">
        <f t="shared" si="40"/>
        <v>2</v>
      </c>
      <c r="Q140" s="123">
        <f t="shared" si="40"/>
        <v>2</v>
      </c>
      <c r="R140" s="123">
        <f t="shared" si="40"/>
        <v>2</v>
      </c>
      <c r="S140" s="123">
        <f t="shared" si="40"/>
        <v>2</v>
      </c>
      <c r="T140" s="123">
        <f t="shared" ref="T140:AF146" si="41">S140</f>
        <v>2</v>
      </c>
      <c r="U140" s="123">
        <f t="shared" si="41"/>
        <v>2</v>
      </c>
      <c r="V140" s="123">
        <f t="shared" si="41"/>
        <v>2</v>
      </c>
      <c r="W140" s="123">
        <f t="shared" si="41"/>
        <v>2</v>
      </c>
      <c r="X140" s="123">
        <f t="shared" si="41"/>
        <v>2</v>
      </c>
      <c r="Y140" s="123">
        <f t="shared" si="41"/>
        <v>2</v>
      </c>
      <c r="Z140" s="123">
        <f t="shared" si="41"/>
        <v>2</v>
      </c>
      <c r="AA140" s="123">
        <f t="shared" si="41"/>
        <v>2</v>
      </c>
      <c r="AB140" s="123">
        <f t="shared" si="41"/>
        <v>2</v>
      </c>
      <c r="AC140" s="123">
        <f t="shared" si="41"/>
        <v>2</v>
      </c>
      <c r="AD140" s="123">
        <f t="shared" si="41"/>
        <v>2</v>
      </c>
      <c r="AE140" s="123">
        <f t="shared" si="41"/>
        <v>2</v>
      </c>
      <c r="AF140" s="123">
        <f t="shared" si="41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9"/>
        <v>5.61</v>
      </c>
      <c r="C141" s="124">
        <v>5.61</v>
      </c>
      <c r="D141" s="123">
        <f t="shared" si="40"/>
        <v>5.61</v>
      </c>
      <c r="E141" s="123">
        <f t="shared" si="40"/>
        <v>5.61</v>
      </c>
      <c r="F141" s="123">
        <f t="shared" si="40"/>
        <v>5.61</v>
      </c>
      <c r="G141" s="123">
        <f t="shared" si="40"/>
        <v>5.61</v>
      </c>
      <c r="H141" s="123">
        <f t="shared" si="40"/>
        <v>5.61</v>
      </c>
      <c r="I141" s="123">
        <f t="shared" si="40"/>
        <v>5.61</v>
      </c>
      <c r="J141" s="123">
        <f t="shared" si="40"/>
        <v>5.61</v>
      </c>
      <c r="K141" s="123">
        <f t="shared" si="40"/>
        <v>5.61</v>
      </c>
      <c r="L141" s="123">
        <f t="shared" si="40"/>
        <v>5.61</v>
      </c>
      <c r="M141" s="123">
        <f t="shared" si="40"/>
        <v>5.61</v>
      </c>
      <c r="N141" s="123">
        <f t="shared" si="40"/>
        <v>5.61</v>
      </c>
      <c r="O141" s="123">
        <f t="shared" si="40"/>
        <v>5.61</v>
      </c>
      <c r="P141" s="123">
        <f t="shared" si="40"/>
        <v>5.61</v>
      </c>
      <c r="Q141" s="123">
        <f t="shared" si="40"/>
        <v>5.61</v>
      </c>
      <c r="R141" s="123">
        <f t="shared" si="40"/>
        <v>5.61</v>
      </c>
      <c r="S141" s="123">
        <f t="shared" si="40"/>
        <v>5.61</v>
      </c>
      <c r="T141" s="123">
        <f t="shared" si="41"/>
        <v>5.61</v>
      </c>
      <c r="U141" s="123">
        <f t="shared" si="41"/>
        <v>5.61</v>
      </c>
      <c r="V141" s="123">
        <f t="shared" si="41"/>
        <v>5.61</v>
      </c>
      <c r="W141" s="123">
        <f t="shared" si="41"/>
        <v>5.61</v>
      </c>
      <c r="X141" s="123">
        <f t="shared" si="41"/>
        <v>5.61</v>
      </c>
      <c r="Y141" s="123">
        <f t="shared" si="41"/>
        <v>5.61</v>
      </c>
      <c r="Z141" s="123">
        <f t="shared" si="41"/>
        <v>5.61</v>
      </c>
      <c r="AA141" s="123">
        <f t="shared" si="41"/>
        <v>5.61</v>
      </c>
      <c r="AB141" s="123">
        <f t="shared" si="41"/>
        <v>5.61</v>
      </c>
      <c r="AC141" s="123">
        <f t="shared" si="41"/>
        <v>5.61</v>
      </c>
      <c r="AD141" s="123">
        <f t="shared" si="41"/>
        <v>5.61</v>
      </c>
      <c r="AE141" s="123">
        <f t="shared" si="41"/>
        <v>5.61</v>
      </c>
      <c r="AF141" s="123">
        <f t="shared" si="41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9"/>
        <v>1.25</v>
      </c>
      <c r="C142" s="124">
        <v>1.25</v>
      </c>
      <c r="D142" s="123">
        <f t="shared" si="40"/>
        <v>1.25</v>
      </c>
      <c r="E142" s="123">
        <f t="shared" si="40"/>
        <v>1.25</v>
      </c>
      <c r="F142" s="123">
        <f t="shared" si="40"/>
        <v>1.25</v>
      </c>
      <c r="G142" s="123">
        <f t="shared" si="40"/>
        <v>1.25</v>
      </c>
      <c r="H142" s="123">
        <f t="shared" si="40"/>
        <v>1.25</v>
      </c>
      <c r="I142" s="123">
        <f t="shared" si="40"/>
        <v>1.25</v>
      </c>
      <c r="J142" s="123">
        <f t="shared" si="40"/>
        <v>1.25</v>
      </c>
      <c r="K142" s="123">
        <f t="shared" si="40"/>
        <v>1.25</v>
      </c>
      <c r="L142" s="123">
        <f t="shared" si="40"/>
        <v>1.25</v>
      </c>
      <c r="M142" s="123">
        <f t="shared" si="40"/>
        <v>1.25</v>
      </c>
      <c r="N142" s="123">
        <f t="shared" si="40"/>
        <v>1.25</v>
      </c>
      <c r="O142" s="123">
        <f t="shared" si="40"/>
        <v>1.25</v>
      </c>
      <c r="P142" s="123">
        <f t="shared" si="40"/>
        <v>1.25</v>
      </c>
      <c r="Q142" s="123">
        <f t="shared" si="40"/>
        <v>1.25</v>
      </c>
      <c r="R142" s="123">
        <f t="shared" si="40"/>
        <v>1.25</v>
      </c>
      <c r="S142" s="123">
        <f t="shared" si="40"/>
        <v>1.25</v>
      </c>
      <c r="T142" s="123">
        <f t="shared" si="41"/>
        <v>1.25</v>
      </c>
      <c r="U142" s="123">
        <f t="shared" si="41"/>
        <v>1.25</v>
      </c>
      <c r="V142" s="123">
        <f t="shared" si="41"/>
        <v>1.25</v>
      </c>
      <c r="W142" s="123">
        <f t="shared" si="41"/>
        <v>1.25</v>
      </c>
      <c r="X142" s="123">
        <f t="shared" si="41"/>
        <v>1.25</v>
      </c>
      <c r="Y142" s="123">
        <f t="shared" si="41"/>
        <v>1.25</v>
      </c>
      <c r="Z142" s="123">
        <f t="shared" si="41"/>
        <v>1.25</v>
      </c>
      <c r="AA142" s="123">
        <f t="shared" si="41"/>
        <v>1.25</v>
      </c>
      <c r="AB142" s="123">
        <f t="shared" si="41"/>
        <v>1.25</v>
      </c>
      <c r="AC142" s="123">
        <f t="shared" si="41"/>
        <v>1.25</v>
      </c>
      <c r="AD142" s="123">
        <f t="shared" si="41"/>
        <v>1.25</v>
      </c>
      <c r="AE142" s="123">
        <f t="shared" si="41"/>
        <v>1.25</v>
      </c>
      <c r="AF142" s="123">
        <f t="shared" si="41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9"/>
        <v>1.46</v>
      </c>
      <c r="C144" s="124">
        <v>1.46</v>
      </c>
      <c r="D144" s="123">
        <f t="shared" si="40"/>
        <v>1.46</v>
      </c>
      <c r="E144" s="123">
        <f t="shared" si="40"/>
        <v>1.46</v>
      </c>
      <c r="F144" s="123">
        <f t="shared" si="40"/>
        <v>1.46</v>
      </c>
      <c r="G144" s="123">
        <f t="shared" si="40"/>
        <v>1.46</v>
      </c>
      <c r="H144" s="123">
        <f t="shared" si="40"/>
        <v>1.46</v>
      </c>
      <c r="I144" s="123">
        <f t="shared" si="40"/>
        <v>1.46</v>
      </c>
      <c r="J144" s="123">
        <f t="shared" si="40"/>
        <v>1.46</v>
      </c>
      <c r="K144" s="123">
        <f t="shared" si="40"/>
        <v>1.46</v>
      </c>
      <c r="L144" s="123">
        <f t="shared" si="40"/>
        <v>1.46</v>
      </c>
      <c r="M144" s="123">
        <f t="shared" si="40"/>
        <v>1.46</v>
      </c>
      <c r="N144" s="123">
        <f t="shared" si="40"/>
        <v>1.46</v>
      </c>
      <c r="O144" s="123">
        <f t="shared" si="40"/>
        <v>1.46</v>
      </c>
      <c r="P144" s="123">
        <f t="shared" si="40"/>
        <v>1.46</v>
      </c>
      <c r="Q144" s="123">
        <f t="shared" si="40"/>
        <v>1.46</v>
      </c>
      <c r="R144" s="123">
        <f t="shared" si="40"/>
        <v>1.46</v>
      </c>
      <c r="S144" s="123">
        <f t="shared" si="40"/>
        <v>1.46</v>
      </c>
      <c r="T144" s="123">
        <f t="shared" si="41"/>
        <v>1.46</v>
      </c>
      <c r="U144" s="123">
        <f t="shared" si="41"/>
        <v>1.46</v>
      </c>
      <c r="V144" s="123">
        <f t="shared" si="41"/>
        <v>1.46</v>
      </c>
      <c r="W144" s="123">
        <f t="shared" si="41"/>
        <v>1.46</v>
      </c>
      <c r="X144" s="123">
        <f t="shared" si="41"/>
        <v>1.46</v>
      </c>
      <c r="Y144" s="123">
        <f t="shared" si="41"/>
        <v>1.46</v>
      </c>
      <c r="Z144" s="123">
        <f t="shared" si="41"/>
        <v>1.46</v>
      </c>
      <c r="AA144" s="123">
        <f t="shared" si="41"/>
        <v>1.46</v>
      </c>
      <c r="AB144" s="123">
        <f t="shared" si="41"/>
        <v>1.46</v>
      </c>
      <c r="AC144" s="123">
        <f t="shared" si="41"/>
        <v>1.46</v>
      </c>
      <c r="AD144" s="123">
        <f t="shared" si="41"/>
        <v>1.46</v>
      </c>
      <c r="AE144" s="123">
        <f t="shared" si="41"/>
        <v>1.46</v>
      </c>
      <c r="AF144" s="123">
        <f t="shared" si="41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9"/>
        <v>3</v>
      </c>
      <c r="C145" s="124">
        <v>3</v>
      </c>
      <c r="D145" s="123">
        <f t="shared" si="40"/>
        <v>3</v>
      </c>
      <c r="E145" s="123">
        <f t="shared" si="40"/>
        <v>3</v>
      </c>
      <c r="F145" s="123">
        <f t="shared" si="40"/>
        <v>3</v>
      </c>
      <c r="G145" s="123">
        <f t="shared" si="40"/>
        <v>3</v>
      </c>
      <c r="H145" s="123">
        <f t="shared" si="40"/>
        <v>3</v>
      </c>
      <c r="I145" s="123">
        <f t="shared" si="40"/>
        <v>3</v>
      </c>
      <c r="J145" s="123">
        <f t="shared" si="40"/>
        <v>3</v>
      </c>
      <c r="K145" s="123">
        <f t="shared" si="40"/>
        <v>3</v>
      </c>
      <c r="L145" s="123">
        <f t="shared" si="40"/>
        <v>3</v>
      </c>
      <c r="M145" s="123">
        <f t="shared" si="40"/>
        <v>3</v>
      </c>
      <c r="N145" s="123">
        <f t="shared" si="40"/>
        <v>3</v>
      </c>
      <c r="O145" s="123">
        <f t="shared" si="40"/>
        <v>3</v>
      </c>
      <c r="P145" s="123">
        <f t="shared" si="40"/>
        <v>3</v>
      </c>
      <c r="Q145" s="123">
        <f t="shared" si="40"/>
        <v>3</v>
      </c>
      <c r="R145" s="123">
        <f t="shared" si="40"/>
        <v>3</v>
      </c>
      <c r="S145" s="123">
        <f t="shared" si="40"/>
        <v>3</v>
      </c>
      <c r="T145" s="123">
        <f t="shared" si="41"/>
        <v>3</v>
      </c>
      <c r="U145" s="123">
        <f t="shared" si="41"/>
        <v>3</v>
      </c>
      <c r="V145" s="123">
        <f t="shared" si="41"/>
        <v>3</v>
      </c>
      <c r="W145" s="123">
        <f t="shared" si="41"/>
        <v>3</v>
      </c>
      <c r="X145" s="123">
        <f t="shared" si="41"/>
        <v>3</v>
      </c>
      <c r="Y145" s="123">
        <f t="shared" si="41"/>
        <v>3</v>
      </c>
      <c r="Z145" s="123">
        <f t="shared" si="41"/>
        <v>3</v>
      </c>
      <c r="AA145" s="123">
        <f t="shared" si="41"/>
        <v>3</v>
      </c>
      <c r="AB145" s="123">
        <f t="shared" si="41"/>
        <v>3</v>
      </c>
      <c r="AC145" s="123">
        <f t="shared" si="41"/>
        <v>3</v>
      </c>
      <c r="AD145" s="123">
        <f t="shared" si="41"/>
        <v>3</v>
      </c>
      <c r="AE145" s="123">
        <f t="shared" si="41"/>
        <v>3</v>
      </c>
      <c r="AF145" s="123">
        <f t="shared" si="41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9"/>
        <v>3.3</v>
      </c>
      <c r="C146" s="124">
        <v>3.3</v>
      </c>
      <c r="D146" s="123">
        <f t="shared" si="40"/>
        <v>3.3</v>
      </c>
      <c r="E146" s="123">
        <f t="shared" si="40"/>
        <v>3.3</v>
      </c>
      <c r="F146" s="123">
        <f t="shared" si="40"/>
        <v>3.3</v>
      </c>
      <c r="G146" s="123">
        <f t="shared" si="40"/>
        <v>3.3</v>
      </c>
      <c r="H146" s="123">
        <f t="shared" si="40"/>
        <v>3.3</v>
      </c>
      <c r="I146" s="123">
        <f t="shared" si="40"/>
        <v>3.3</v>
      </c>
      <c r="J146" s="123">
        <f t="shared" si="40"/>
        <v>3.3</v>
      </c>
      <c r="K146" s="123">
        <f t="shared" si="40"/>
        <v>3.3</v>
      </c>
      <c r="L146" s="123">
        <f t="shared" si="40"/>
        <v>3.3</v>
      </c>
      <c r="M146" s="123">
        <f t="shared" si="40"/>
        <v>3.3</v>
      </c>
      <c r="N146" s="123">
        <f t="shared" si="40"/>
        <v>3.3</v>
      </c>
      <c r="O146" s="123">
        <f t="shared" si="40"/>
        <v>3.3</v>
      </c>
      <c r="P146" s="123">
        <f t="shared" si="40"/>
        <v>3.3</v>
      </c>
      <c r="Q146" s="123">
        <f t="shared" si="40"/>
        <v>3.3</v>
      </c>
      <c r="R146" s="123">
        <f t="shared" si="40"/>
        <v>3.3</v>
      </c>
      <c r="S146" s="123">
        <f t="shared" si="40"/>
        <v>3.3</v>
      </c>
      <c r="T146" s="123">
        <f t="shared" si="41"/>
        <v>3.3</v>
      </c>
      <c r="U146" s="123">
        <f t="shared" si="41"/>
        <v>3.3</v>
      </c>
      <c r="V146" s="123">
        <f t="shared" si="41"/>
        <v>3.3</v>
      </c>
      <c r="W146" s="123">
        <f t="shared" si="41"/>
        <v>3.3</v>
      </c>
      <c r="X146" s="123">
        <f t="shared" si="41"/>
        <v>3.3</v>
      </c>
      <c r="Y146" s="123">
        <f t="shared" si="41"/>
        <v>3.3</v>
      </c>
      <c r="Z146" s="123">
        <f t="shared" si="41"/>
        <v>3.3</v>
      </c>
      <c r="AA146" s="123">
        <f t="shared" si="41"/>
        <v>3.3</v>
      </c>
      <c r="AB146" s="123">
        <f t="shared" si="41"/>
        <v>3.3</v>
      </c>
      <c r="AC146" s="123">
        <f t="shared" si="41"/>
        <v>3.3</v>
      </c>
      <c r="AD146" s="123">
        <f t="shared" si="41"/>
        <v>3.3</v>
      </c>
      <c r="AE146" s="123">
        <f t="shared" si="41"/>
        <v>3.3</v>
      </c>
      <c r="AF146" s="123">
        <f t="shared" si="41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2">C148</f>
        <v>1.76</v>
      </c>
      <c r="E148" s="123">
        <f t="shared" si="42"/>
        <v>1.76</v>
      </c>
      <c r="F148" s="123">
        <f t="shared" si="42"/>
        <v>1.76</v>
      </c>
      <c r="G148" s="123">
        <f t="shared" si="42"/>
        <v>1.76</v>
      </c>
      <c r="H148" s="123">
        <f t="shared" si="42"/>
        <v>1.76</v>
      </c>
      <c r="I148" s="123">
        <f t="shared" si="42"/>
        <v>1.76</v>
      </c>
      <c r="J148" s="123">
        <f t="shared" si="42"/>
        <v>1.76</v>
      </c>
      <c r="K148" s="123">
        <f t="shared" si="42"/>
        <v>1.76</v>
      </c>
      <c r="L148" s="123">
        <f t="shared" si="42"/>
        <v>1.76</v>
      </c>
      <c r="M148" s="123">
        <f t="shared" si="42"/>
        <v>1.76</v>
      </c>
      <c r="N148" s="123">
        <f t="shared" si="42"/>
        <v>1.76</v>
      </c>
      <c r="O148" s="123">
        <f t="shared" si="42"/>
        <v>1.76</v>
      </c>
      <c r="P148" s="123">
        <f t="shared" si="42"/>
        <v>1.76</v>
      </c>
      <c r="Q148" s="123">
        <f t="shared" si="42"/>
        <v>1.76</v>
      </c>
      <c r="R148" s="123">
        <f t="shared" si="42"/>
        <v>1.76</v>
      </c>
      <c r="S148" s="123">
        <f t="shared" si="42"/>
        <v>1.76</v>
      </c>
      <c r="T148" s="123">
        <f t="shared" ref="T148:AF149" si="43">S148</f>
        <v>1.76</v>
      </c>
      <c r="U148" s="123">
        <f t="shared" si="43"/>
        <v>1.76</v>
      </c>
      <c r="V148" s="123">
        <f t="shared" si="43"/>
        <v>1.76</v>
      </c>
      <c r="W148" s="123">
        <f t="shared" si="43"/>
        <v>1.76</v>
      </c>
      <c r="X148" s="123">
        <f t="shared" si="43"/>
        <v>1.76</v>
      </c>
      <c r="Y148" s="123">
        <f t="shared" si="43"/>
        <v>1.76</v>
      </c>
      <c r="Z148" s="123">
        <f t="shared" si="43"/>
        <v>1.76</v>
      </c>
      <c r="AA148" s="123">
        <f t="shared" si="43"/>
        <v>1.76</v>
      </c>
      <c r="AB148" s="123">
        <f t="shared" si="43"/>
        <v>1.76</v>
      </c>
      <c r="AC148" s="123">
        <f t="shared" si="43"/>
        <v>1.76</v>
      </c>
      <c r="AD148" s="123">
        <f t="shared" si="43"/>
        <v>1.76</v>
      </c>
      <c r="AE148" s="123">
        <f t="shared" si="43"/>
        <v>1.76</v>
      </c>
      <c r="AF148" s="123">
        <f t="shared" si="43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2"/>
        <v>0</v>
      </c>
      <c r="E149" s="123">
        <f t="shared" si="42"/>
        <v>0</v>
      </c>
      <c r="F149" s="123">
        <f t="shared" si="42"/>
        <v>0</v>
      </c>
      <c r="G149" s="123">
        <f t="shared" si="42"/>
        <v>0</v>
      </c>
      <c r="H149" s="123">
        <f t="shared" si="42"/>
        <v>0</v>
      </c>
      <c r="I149" s="123">
        <f t="shared" si="42"/>
        <v>0</v>
      </c>
      <c r="J149" s="123">
        <f t="shared" si="42"/>
        <v>0</v>
      </c>
      <c r="K149" s="123">
        <f t="shared" si="42"/>
        <v>0</v>
      </c>
      <c r="L149" s="123">
        <f t="shared" si="42"/>
        <v>0</v>
      </c>
      <c r="M149" s="123">
        <f t="shared" si="42"/>
        <v>0</v>
      </c>
      <c r="N149" s="123">
        <f t="shared" si="42"/>
        <v>0</v>
      </c>
      <c r="O149" s="123">
        <f t="shared" si="42"/>
        <v>0</v>
      </c>
      <c r="P149" s="123">
        <f t="shared" si="42"/>
        <v>0</v>
      </c>
      <c r="Q149" s="123">
        <f t="shared" si="42"/>
        <v>0</v>
      </c>
      <c r="R149" s="123">
        <f t="shared" si="42"/>
        <v>0</v>
      </c>
      <c r="S149" s="123">
        <f t="shared" si="42"/>
        <v>0</v>
      </c>
      <c r="T149" s="123">
        <f t="shared" si="43"/>
        <v>0</v>
      </c>
      <c r="U149" s="123">
        <f t="shared" si="43"/>
        <v>0</v>
      </c>
      <c r="V149" s="123">
        <f t="shared" si="43"/>
        <v>0</v>
      </c>
      <c r="W149" s="123">
        <f t="shared" si="43"/>
        <v>0</v>
      </c>
      <c r="X149" s="123">
        <f t="shared" si="43"/>
        <v>0</v>
      </c>
      <c r="Y149" s="123">
        <f t="shared" si="43"/>
        <v>0</v>
      </c>
      <c r="Z149" s="123">
        <f t="shared" si="43"/>
        <v>0</v>
      </c>
      <c r="AA149" s="123">
        <f t="shared" si="43"/>
        <v>0</v>
      </c>
      <c r="AB149" s="123">
        <f t="shared" si="43"/>
        <v>0</v>
      </c>
      <c r="AC149" s="123">
        <f t="shared" si="43"/>
        <v>0</v>
      </c>
      <c r="AD149" s="123">
        <f t="shared" si="43"/>
        <v>0</v>
      </c>
      <c r="AE149" s="123">
        <f t="shared" si="43"/>
        <v>0</v>
      </c>
      <c r="AF149" s="123">
        <f t="shared" si="43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4">C151</f>
        <v>0.1</v>
      </c>
      <c r="E151" s="123">
        <f t="shared" si="44"/>
        <v>0.1</v>
      </c>
      <c r="F151" s="123">
        <f t="shared" si="44"/>
        <v>0.1</v>
      </c>
      <c r="G151" s="123">
        <f t="shared" si="44"/>
        <v>0.1</v>
      </c>
      <c r="H151" s="123">
        <f t="shared" si="44"/>
        <v>0.1</v>
      </c>
      <c r="I151" s="123">
        <f t="shared" si="44"/>
        <v>0.1</v>
      </c>
      <c r="J151" s="123">
        <f t="shared" si="44"/>
        <v>0.1</v>
      </c>
      <c r="K151" s="123">
        <f t="shared" si="44"/>
        <v>0.1</v>
      </c>
      <c r="L151" s="123">
        <f t="shared" si="44"/>
        <v>0.1</v>
      </c>
      <c r="M151" s="123">
        <f t="shared" si="44"/>
        <v>0.1</v>
      </c>
      <c r="N151" s="123">
        <f t="shared" si="44"/>
        <v>0.1</v>
      </c>
      <c r="O151" s="123">
        <f t="shared" si="44"/>
        <v>0.1</v>
      </c>
      <c r="P151" s="123">
        <f t="shared" si="44"/>
        <v>0.1</v>
      </c>
      <c r="Q151" s="123">
        <f t="shared" si="44"/>
        <v>0.1</v>
      </c>
      <c r="R151" s="123">
        <f t="shared" si="44"/>
        <v>0.1</v>
      </c>
      <c r="S151" s="123">
        <f t="shared" si="44"/>
        <v>0.1</v>
      </c>
      <c r="T151" s="123">
        <f t="shared" ref="T151:AF154" si="45">S151</f>
        <v>0.1</v>
      </c>
      <c r="U151" s="123">
        <f t="shared" si="45"/>
        <v>0.1</v>
      </c>
      <c r="V151" s="123">
        <f t="shared" si="45"/>
        <v>0.1</v>
      </c>
      <c r="W151" s="123">
        <f t="shared" si="45"/>
        <v>0.1</v>
      </c>
      <c r="X151" s="123">
        <f t="shared" si="45"/>
        <v>0.1</v>
      </c>
      <c r="Y151" s="123">
        <f t="shared" si="45"/>
        <v>0.1</v>
      </c>
      <c r="Z151" s="123">
        <f t="shared" si="45"/>
        <v>0.1</v>
      </c>
      <c r="AA151" s="123">
        <f t="shared" si="45"/>
        <v>0.1</v>
      </c>
      <c r="AB151" s="123">
        <f t="shared" si="45"/>
        <v>0.1</v>
      </c>
      <c r="AC151" s="123">
        <f t="shared" si="45"/>
        <v>0.1</v>
      </c>
      <c r="AD151" s="123">
        <f t="shared" si="45"/>
        <v>0.1</v>
      </c>
      <c r="AE151" s="123">
        <f t="shared" si="45"/>
        <v>0.1</v>
      </c>
      <c r="AF151" s="123">
        <f t="shared" si="45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4"/>
        <v>2.0499999999999998</v>
      </c>
      <c r="E152" s="123">
        <f t="shared" si="44"/>
        <v>2.0499999999999998</v>
      </c>
      <c r="F152" s="123">
        <f t="shared" si="44"/>
        <v>2.0499999999999998</v>
      </c>
      <c r="G152" s="123">
        <f t="shared" si="44"/>
        <v>2.0499999999999998</v>
      </c>
      <c r="H152" s="123">
        <f t="shared" si="44"/>
        <v>2.0499999999999998</v>
      </c>
      <c r="I152" s="123">
        <f t="shared" si="44"/>
        <v>2.0499999999999998</v>
      </c>
      <c r="J152" s="123">
        <f t="shared" si="44"/>
        <v>2.0499999999999998</v>
      </c>
      <c r="K152" s="123">
        <f t="shared" si="44"/>
        <v>2.0499999999999998</v>
      </c>
      <c r="L152" s="123">
        <f t="shared" si="44"/>
        <v>2.0499999999999998</v>
      </c>
      <c r="M152" s="123">
        <f t="shared" si="44"/>
        <v>2.0499999999999998</v>
      </c>
      <c r="N152" s="123">
        <f t="shared" si="44"/>
        <v>2.0499999999999998</v>
      </c>
      <c r="O152" s="123">
        <f t="shared" si="44"/>
        <v>2.0499999999999998</v>
      </c>
      <c r="P152" s="123">
        <f t="shared" si="44"/>
        <v>2.0499999999999998</v>
      </c>
      <c r="Q152" s="123">
        <f t="shared" si="44"/>
        <v>2.0499999999999998</v>
      </c>
      <c r="R152" s="123">
        <f t="shared" si="44"/>
        <v>2.0499999999999998</v>
      </c>
      <c r="S152" s="123">
        <f t="shared" si="44"/>
        <v>2.0499999999999998</v>
      </c>
      <c r="T152" s="123">
        <f t="shared" si="45"/>
        <v>2.0499999999999998</v>
      </c>
      <c r="U152" s="123">
        <f t="shared" si="45"/>
        <v>2.0499999999999998</v>
      </c>
      <c r="V152" s="123">
        <f t="shared" si="45"/>
        <v>2.0499999999999998</v>
      </c>
      <c r="W152" s="123">
        <f t="shared" si="45"/>
        <v>2.0499999999999998</v>
      </c>
      <c r="X152" s="123">
        <f t="shared" si="45"/>
        <v>2.0499999999999998</v>
      </c>
      <c r="Y152" s="123">
        <f t="shared" si="45"/>
        <v>2.0499999999999998</v>
      </c>
      <c r="Z152" s="123">
        <f t="shared" si="45"/>
        <v>2.0499999999999998</v>
      </c>
      <c r="AA152" s="123">
        <f t="shared" si="45"/>
        <v>2.0499999999999998</v>
      </c>
      <c r="AB152" s="123">
        <f t="shared" si="45"/>
        <v>2.0499999999999998</v>
      </c>
      <c r="AC152" s="123">
        <f t="shared" si="45"/>
        <v>2.0499999999999998</v>
      </c>
      <c r="AD152" s="123">
        <f t="shared" si="45"/>
        <v>2.0499999999999998</v>
      </c>
      <c r="AE152" s="123">
        <f t="shared" si="45"/>
        <v>2.0499999999999998</v>
      </c>
      <c r="AF152" s="123">
        <f t="shared" si="45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4"/>
        <v>2.7</v>
      </c>
      <c r="E153" s="123">
        <f t="shared" si="44"/>
        <v>2.7</v>
      </c>
      <c r="F153" s="123">
        <f t="shared" si="44"/>
        <v>2.7</v>
      </c>
      <c r="G153" s="123">
        <f t="shared" si="44"/>
        <v>2.7</v>
      </c>
      <c r="H153" s="123">
        <f t="shared" si="44"/>
        <v>2.7</v>
      </c>
      <c r="I153" s="123">
        <f t="shared" si="44"/>
        <v>2.7</v>
      </c>
      <c r="J153" s="123">
        <f t="shared" si="44"/>
        <v>2.7</v>
      </c>
      <c r="K153" s="123">
        <f t="shared" si="44"/>
        <v>2.7</v>
      </c>
      <c r="L153" s="123">
        <f t="shared" si="44"/>
        <v>2.7</v>
      </c>
      <c r="M153" s="123">
        <f t="shared" si="44"/>
        <v>2.7</v>
      </c>
      <c r="N153" s="123">
        <f t="shared" si="44"/>
        <v>2.7</v>
      </c>
      <c r="O153" s="123">
        <f t="shared" si="44"/>
        <v>2.7</v>
      </c>
      <c r="P153" s="123">
        <f t="shared" si="44"/>
        <v>2.7</v>
      </c>
      <c r="Q153" s="123">
        <f t="shared" si="44"/>
        <v>2.7</v>
      </c>
      <c r="R153" s="123">
        <f t="shared" si="44"/>
        <v>2.7</v>
      </c>
      <c r="S153" s="123">
        <f t="shared" si="44"/>
        <v>2.7</v>
      </c>
      <c r="T153" s="123">
        <f t="shared" si="45"/>
        <v>2.7</v>
      </c>
      <c r="U153" s="123">
        <f t="shared" si="45"/>
        <v>2.7</v>
      </c>
      <c r="V153" s="123">
        <f t="shared" si="45"/>
        <v>2.7</v>
      </c>
      <c r="W153" s="123">
        <f t="shared" si="45"/>
        <v>2.7</v>
      </c>
      <c r="X153" s="123">
        <f t="shared" si="45"/>
        <v>2.7</v>
      </c>
      <c r="Y153" s="123">
        <f t="shared" si="45"/>
        <v>2.7</v>
      </c>
      <c r="Z153" s="123">
        <f t="shared" si="45"/>
        <v>2.7</v>
      </c>
      <c r="AA153" s="123">
        <f t="shared" si="45"/>
        <v>2.7</v>
      </c>
      <c r="AB153" s="123">
        <f t="shared" si="45"/>
        <v>2.7</v>
      </c>
      <c r="AC153" s="123">
        <f t="shared" si="45"/>
        <v>2.7</v>
      </c>
      <c r="AD153" s="123">
        <f t="shared" si="45"/>
        <v>2.7</v>
      </c>
      <c r="AE153" s="123">
        <f t="shared" si="45"/>
        <v>2.7</v>
      </c>
      <c r="AF153" s="123">
        <f t="shared" si="45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4"/>
        <v>2.15</v>
      </c>
      <c r="E154" s="123">
        <f t="shared" si="44"/>
        <v>2.15</v>
      </c>
      <c r="F154" s="123">
        <f t="shared" si="44"/>
        <v>2.15</v>
      </c>
      <c r="G154" s="123">
        <f t="shared" si="44"/>
        <v>2.15</v>
      </c>
      <c r="H154" s="123">
        <f t="shared" si="44"/>
        <v>2.15</v>
      </c>
      <c r="I154" s="123">
        <f t="shared" si="44"/>
        <v>2.15</v>
      </c>
      <c r="J154" s="123">
        <f t="shared" si="44"/>
        <v>2.15</v>
      </c>
      <c r="K154" s="123">
        <f t="shared" si="44"/>
        <v>2.15</v>
      </c>
      <c r="L154" s="123">
        <f t="shared" si="44"/>
        <v>2.15</v>
      </c>
      <c r="M154" s="123">
        <f t="shared" si="44"/>
        <v>2.15</v>
      </c>
      <c r="N154" s="123">
        <f t="shared" si="44"/>
        <v>2.15</v>
      </c>
      <c r="O154" s="123">
        <f t="shared" si="44"/>
        <v>2.15</v>
      </c>
      <c r="P154" s="123">
        <f t="shared" si="44"/>
        <v>2.15</v>
      </c>
      <c r="Q154" s="123">
        <f t="shared" si="44"/>
        <v>2.15</v>
      </c>
      <c r="R154" s="123">
        <f t="shared" si="44"/>
        <v>2.15</v>
      </c>
      <c r="S154" s="123">
        <f t="shared" si="44"/>
        <v>2.15</v>
      </c>
      <c r="T154" s="123">
        <f t="shared" si="45"/>
        <v>2.15</v>
      </c>
      <c r="U154" s="123">
        <f t="shared" si="45"/>
        <v>2.15</v>
      </c>
      <c r="V154" s="123">
        <f t="shared" si="45"/>
        <v>2.15</v>
      </c>
      <c r="W154" s="123">
        <f t="shared" si="45"/>
        <v>2.15</v>
      </c>
      <c r="X154" s="123">
        <f t="shared" si="45"/>
        <v>2.15</v>
      </c>
      <c r="Y154" s="123">
        <f t="shared" si="45"/>
        <v>2.15</v>
      </c>
      <c r="Z154" s="123">
        <f t="shared" si="45"/>
        <v>2.15</v>
      </c>
      <c r="AA154" s="123">
        <f t="shared" si="45"/>
        <v>2.15</v>
      </c>
      <c r="AB154" s="123">
        <f t="shared" si="45"/>
        <v>2.15</v>
      </c>
      <c r="AC154" s="123">
        <f t="shared" si="45"/>
        <v>2.15</v>
      </c>
      <c r="AD154" s="123">
        <f t="shared" si="45"/>
        <v>2.15</v>
      </c>
      <c r="AE154" s="123">
        <f t="shared" si="45"/>
        <v>2.15</v>
      </c>
      <c r="AF154" s="123">
        <f t="shared" si="45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6">AF156</f>
        <v>0.9</v>
      </c>
      <c r="C156" s="124">
        <v>0.9</v>
      </c>
      <c r="D156" s="123">
        <f t="shared" ref="D156:S168" si="47">C156</f>
        <v>0.9</v>
      </c>
      <c r="E156" s="123">
        <f t="shared" si="47"/>
        <v>0.9</v>
      </c>
      <c r="F156" s="123">
        <f t="shared" si="47"/>
        <v>0.9</v>
      </c>
      <c r="G156" s="123">
        <f t="shared" si="47"/>
        <v>0.9</v>
      </c>
      <c r="H156" s="123">
        <f t="shared" si="47"/>
        <v>0.9</v>
      </c>
      <c r="I156" s="123">
        <f t="shared" si="47"/>
        <v>0.9</v>
      </c>
      <c r="J156" s="123">
        <f t="shared" si="47"/>
        <v>0.9</v>
      </c>
      <c r="K156" s="123">
        <f t="shared" si="47"/>
        <v>0.9</v>
      </c>
      <c r="L156" s="123">
        <f t="shared" si="47"/>
        <v>0.9</v>
      </c>
      <c r="M156" s="123">
        <f t="shared" si="47"/>
        <v>0.9</v>
      </c>
      <c r="N156" s="123">
        <f t="shared" si="47"/>
        <v>0.9</v>
      </c>
      <c r="O156" s="123">
        <f t="shared" si="47"/>
        <v>0.9</v>
      </c>
      <c r="P156" s="123">
        <f t="shared" si="47"/>
        <v>0.9</v>
      </c>
      <c r="Q156" s="123">
        <f t="shared" si="47"/>
        <v>0.9</v>
      </c>
      <c r="R156" s="123">
        <f t="shared" si="47"/>
        <v>0.9</v>
      </c>
      <c r="S156" s="123">
        <f t="shared" si="47"/>
        <v>0.9</v>
      </c>
      <c r="T156" s="123">
        <f t="shared" ref="S156:AF168" si="48">S156</f>
        <v>0.9</v>
      </c>
      <c r="U156" s="123">
        <f t="shared" si="48"/>
        <v>0.9</v>
      </c>
      <c r="V156" s="123">
        <f t="shared" si="48"/>
        <v>0.9</v>
      </c>
      <c r="W156" s="123">
        <f t="shared" si="48"/>
        <v>0.9</v>
      </c>
      <c r="X156" s="123">
        <f t="shared" si="48"/>
        <v>0.9</v>
      </c>
      <c r="Y156" s="123">
        <f t="shared" si="48"/>
        <v>0.9</v>
      </c>
      <c r="Z156" s="123">
        <f t="shared" si="48"/>
        <v>0.9</v>
      </c>
      <c r="AA156" s="123">
        <f t="shared" si="48"/>
        <v>0.9</v>
      </c>
      <c r="AB156" s="123">
        <f t="shared" si="48"/>
        <v>0.9</v>
      </c>
      <c r="AC156" s="123">
        <f t="shared" si="48"/>
        <v>0.9</v>
      </c>
      <c r="AD156" s="123">
        <f t="shared" si="48"/>
        <v>0.9</v>
      </c>
      <c r="AE156" s="123">
        <f t="shared" si="48"/>
        <v>0.9</v>
      </c>
      <c r="AF156" s="123">
        <f t="shared" si="48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6"/>
        <v>1.08</v>
      </c>
      <c r="C157" s="124">
        <v>1.08</v>
      </c>
      <c r="D157" s="123">
        <f t="shared" si="47"/>
        <v>1.08</v>
      </c>
      <c r="E157" s="123">
        <f t="shared" si="47"/>
        <v>1.08</v>
      </c>
      <c r="F157" s="123">
        <f t="shared" si="47"/>
        <v>1.08</v>
      </c>
      <c r="G157" s="123">
        <f t="shared" si="47"/>
        <v>1.08</v>
      </c>
      <c r="H157" s="123">
        <f t="shared" si="47"/>
        <v>1.08</v>
      </c>
      <c r="I157" s="123">
        <f t="shared" si="47"/>
        <v>1.08</v>
      </c>
      <c r="J157" s="123">
        <f t="shared" si="47"/>
        <v>1.08</v>
      </c>
      <c r="K157" s="123">
        <f t="shared" si="47"/>
        <v>1.08</v>
      </c>
      <c r="L157" s="123">
        <f t="shared" si="47"/>
        <v>1.08</v>
      </c>
      <c r="M157" s="123">
        <f t="shared" si="47"/>
        <v>1.08</v>
      </c>
      <c r="N157" s="123">
        <f t="shared" si="47"/>
        <v>1.08</v>
      </c>
      <c r="O157" s="123">
        <f t="shared" si="47"/>
        <v>1.08</v>
      </c>
      <c r="P157" s="123">
        <f t="shared" si="47"/>
        <v>1.08</v>
      </c>
      <c r="Q157" s="123">
        <f t="shared" si="47"/>
        <v>1.08</v>
      </c>
      <c r="R157" s="123">
        <f t="shared" si="47"/>
        <v>1.08</v>
      </c>
      <c r="S157" s="123">
        <f t="shared" si="47"/>
        <v>1.08</v>
      </c>
      <c r="T157" s="123">
        <f t="shared" si="48"/>
        <v>1.08</v>
      </c>
      <c r="U157" s="123">
        <f t="shared" si="48"/>
        <v>1.08</v>
      </c>
      <c r="V157" s="123">
        <f t="shared" si="48"/>
        <v>1.08</v>
      </c>
      <c r="W157" s="123">
        <f t="shared" si="48"/>
        <v>1.08</v>
      </c>
      <c r="X157" s="123">
        <f t="shared" si="48"/>
        <v>1.08</v>
      </c>
      <c r="Y157" s="123">
        <f t="shared" si="48"/>
        <v>1.08</v>
      </c>
      <c r="Z157" s="123">
        <f t="shared" si="48"/>
        <v>1.08</v>
      </c>
      <c r="AA157" s="123">
        <f t="shared" si="48"/>
        <v>1.08</v>
      </c>
      <c r="AB157" s="123">
        <f t="shared" si="48"/>
        <v>1.08</v>
      </c>
      <c r="AC157" s="123">
        <f t="shared" si="48"/>
        <v>1.08</v>
      </c>
      <c r="AD157" s="123">
        <f t="shared" si="48"/>
        <v>1.08</v>
      </c>
      <c r="AE157" s="123">
        <f t="shared" si="48"/>
        <v>1.08</v>
      </c>
      <c r="AF157" s="123">
        <f t="shared" si="48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6"/>
        <v>2.37</v>
      </c>
      <c r="C158" s="124">
        <v>2.37</v>
      </c>
      <c r="D158" s="123">
        <f t="shared" si="47"/>
        <v>2.37</v>
      </c>
      <c r="E158" s="123">
        <f t="shared" si="47"/>
        <v>2.37</v>
      </c>
      <c r="F158" s="123">
        <f t="shared" si="47"/>
        <v>2.37</v>
      </c>
      <c r="G158" s="123">
        <f t="shared" si="47"/>
        <v>2.37</v>
      </c>
      <c r="H158" s="123">
        <f t="shared" si="47"/>
        <v>2.37</v>
      </c>
      <c r="I158" s="123">
        <f t="shared" si="47"/>
        <v>2.37</v>
      </c>
      <c r="J158" s="123">
        <f t="shared" si="47"/>
        <v>2.37</v>
      </c>
      <c r="K158" s="123">
        <f t="shared" si="47"/>
        <v>2.37</v>
      </c>
      <c r="L158" s="123">
        <f t="shared" si="47"/>
        <v>2.37</v>
      </c>
      <c r="M158" s="123">
        <f t="shared" si="47"/>
        <v>2.37</v>
      </c>
      <c r="N158" s="123">
        <f t="shared" si="47"/>
        <v>2.37</v>
      </c>
      <c r="O158" s="123">
        <f t="shared" si="47"/>
        <v>2.37</v>
      </c>
      <c r="P158" s="123">
        <f t="shared" si="47"/>
        <v>2.37</v>
      </c>
      <c r="Q158" s="123">
        <f t="shared" si="47"/>
        <v>2.37</v>
      </c>
      <c r="R158" s="123">
        <f t="shared" si="47"/>
        <v>2.37</v>
      </c>
      <c r="S158" s="123">
        <f t="shared" si="47"/>
        <v>2.37</v>
      </c>
      <c r="T158" s="123">
        <f t="shared" si="48"/>
        <v>2.37</v>
      </c>
      <c r="U158" s="123">
        <f t="shared" si="48"/>
        <v>2.37</v>
      </c>
      <c r="V158" s="123">
        <f t="shared" si="48"/>
        <v>2.37</v>
      </c>
      <c r="W158" s="123">
        <f t="shared" si="48"/>
        <v>2.37</v>
      </c>
      <c r="X158" s="123">
        <f t="shared" si="48"/>
        <v>2.37</v>
      </c>
      <c r="Y158" s="123">
        <f t="shared" si="48"/>
        <v>2.37</v>
      </c>
      <c r="Z158" s="123">
        <f t="shared" si="48"/>
        <v>2.37</v>
      </c>
      <c r="AA158" s="123">
        <f t="shared" si="48"/>
        <v>2.37</v>
      </c>
      <c r="AB158" s="123">
        <f t="shared" si="48"/>
        <v>2.37</v>
      </c>
      <c r="AC158" s="123">
        <f t="shared" si="48"/>
        <v>2.37</v>
      </c>
      <c r="AD158" s="123">
        <f t="shared" si="48"/>
        <v>2.37</v>
      </c>
      <c r="AE158" s="123">
        <f t="shared" si="48"/>
        <v>2.37</v>
      </c>
      <c r="AF158" s="123">
        <f t="shared" si="48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6"/>
        <v>1.81</v>
      </c>
      <c r="C159" s="124">
        <v>1.81</v>
      </c>
      <c r="D159" s="123">
        <f t="shared" si="47"/>
        <v>1.81</v>
      </c>
      <c r="E159" s="123">
        <f t="shared" si="47"/>
        <v>1.81</v>
      </c>
      <c r="F159" s="123">
        <f t="shared" si="47"/>
        <v>1.81</v>
      </c>
      <c r="G159" s="123">
        <f t="shared" si="47"/>
        <v>1.81</v>
      </c>
      <c r="H159" s="123">
        <f t="shared" si="47"/>
        <v>1.81</v>
      </c>
      <c r="I159" s="123">
        <f t="shared" si="47"/>
        <v>1.81</v>
      </c>
      <c r="J159" s="123">
        <f t="shared" si="47"/>
        <v>1.81</v>
      </c>
      <c r="K159" s="123">
        <f t="shared" si="47"/>
        <v>1.81</v>
      </c>
      <c r="L159" s="123">
        <f t="shared" si="47"/>
        <v>1.81</v>
      </c>
      <c r="M159" s="123">
        <f t="shared" si="47"/>
        <v>1.81</v>
      </c>
      <c r="N159" s="123">
        <f t="shared" si="47"/>
        <v>1.81</v>
      </c>
      <c r="O159" s="123">
        <f t="shared" si="47"/>
        <v>1.81</v>
      </c>
      <c r="P159" s="123">
        <f t="shared" si="47"/>
        <v>1.81</v>
      </c>
      <c r="Q159" s="123">
        <f t="shared" si="47"/>
        <v>1.81</v>
      </c>
      <c r="R159" s="123">
        <f t="shared" si="47"/>
        <v>1.81</v>
      </c>
      <c r="S159" s="123">
        <f t="shared" si="47"/>
        <v>1.81</v>
      </c>
      <c r="T159" s="123">
        <f t="shared" si="48"/>
        <v>1.81</v>
      </c>
      <c r="U159" s="123">
        <f t="shared" si="48"/>
        <v>1.81</v>
      </c>
      <c r="V159" s="123">
        <f t="shared" si="48"/>
        <v>1.81</v>
      </c>
      <c r="W159" s="123">
        <f t="shared" si="48"/>
        <v>1.81</v>
      </c>
      <c r="X159" s="123">
        <f t="shared" si="48"/>
        <v>1.81</v>
      </c>
      <c r="Y159" s="123">
        <f t="shared" si="48"/>
        <v>1.81</v>
      </c>
      <c r="Z159" s="123">
        <f t="shared" si="48"/>
        <v>1.81</v>
      </c>
      <c r="AA159" s="123">
        <f t="shared" si="48"/>
        <v>1.81</v>
      </c>
      <c r="AB159" s="123">
        <f t="shared" si="48"/>
        <v>1.81</v>
      </c>
      <c r="AC159" s="123">
        <f t="shared" si="48"/>
        <v>1.81</v>
      </c>
      <c r="AD159" s="123">
        <f t="shared" si="48"/>
        <v>1.81</v>
      </c>
      <c r="AE159" s="123">
        <f t="shared" si="48"/>
        <v>1.81</v>
      </c>
      <c r="AF159" s="123">
        <f t="shared" si="48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6"/>
        <v>1.0900000000000001</v>
      </c>
      <c r="C160" s="124">
        <v>1.0900000000000001</v>
      </c>
      <c r="D160" s="123">
        <f t="shared" si="47"/>
        <v>1.0900000000000001</v>
      </c>
      <c r="E160" s="123">
        <f t="shared" si="47"/>
        <v>1.0900000000000001</v>
      </c>
      <c r="F160" s="123">
        <f t="shared" si="47"/>
        <v>1.0900000000000001</v>
      </c>
      <c r="G160" s="123">
        <f t="shared" si="47"/>
        <v>1.0900000000000001</v>
      </c>
      <c r="H160" s="123">
        <f t="shared" si="47"/>
        <v>1.0900000000000001</v>
      </c>
      <c r="I160" s="123">
        <f t="shared" si="47"/>
        <v>1.0900000000000001</v>
      </c>
      <c r="J160" s="123">
        <f t="shared" si="47"/>
        <v>1.0900000000000001</v>
      </c>
      <c r="K160" s="123">
        <f t="shared" si="47"/>
        <v>1.0900000000000001</v>
      </c>
      <c r="L160" s="123">
        <f t="shared" si="47"/>
        <v>1.0900000000000001</v>
      </c>
      <c r="M160" s="123">
        <f t="shared" si="47"/>
        <v>1.0900000000000001</v>
      </c>
      <c r="N160" s="123">
        <f t="shared" si="47"/>
        <v>1.0900000000000001</v>
      </c>
      <c r="O160" s="123">
        <f t="shared" si="47"/>
        <v>1.0900000000000001</v>
      </c>
      <c r="P160" s="123">
        <f t="shared" si="47"/>
        <v>1.0900000000000001</v>
      </c>
      <c r="Q160" s="123">
        <f t="shared" si="47"/>
        <v>1.0900000000000001</v>
      </c>
      <c r="R160" s="123">
        <f t="shared" si="47"/>
        <v>1.0900000000000001</v>
      </c>
      <c r="S160" s="123">
        <f t="shared" si="47"/>
        <v>1.0900000000000001</v>
      </c>
      <c r="T160" s="123">
        <f t="shared" si="48"/>
        <v>1.0900000000000001</v>
      </c>
      <c r="U160" s="123">
        <f t="shared" si="48"/>
        <v>1.0900000000000001</v>
      </c>
      <c r="V160" s="123">
        <f t="shared" si="48"/>
        <v>1.0900000000000001</v>
      </c>
      <c r="W160" s="123">
        <f t="shared" si="48"/>
        <v>1.0900000000000001</v>
      </c>
      <c r="X160" s="123">
        <f t="shared" si="48"/>
        <v>1.0900000000000001</v>
      </c>
      <c r="Y160" s="123">
        <f t="shared" si="48"/>
        <v>1.0900000000000001</v>
      </c>
      <c r="Z160" s="123">
        <f t="shared" si="48"/>
        <v>1.0900000000000001</v>
      </c>
      <c r="AA160" s="123">
        <f t="shared" si="48"/>
        <v>1.0900000000000001</v>
      </c>
      <c r="AB160" s="123">
        <f t="shared" si="48"/>
        <v>1.0900000000000001</v>
      </c>
      <c r="AC160" s="123">
        <f t="shared" si="48"/>
        <v>1.0900000000000001</v>
      </c>
      <c r="AD160" s="123">
        <f t="shared" si="48"/>
        <v>1.0900000000000001</v>
      </c>
      <c r="AE160" s="123">
        <f t="shared" si="48"/>
        <v>1.0900000000000001</v>
      </c>
      <c r="AF160" s="123">
        <f t="shared" si="48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6"/>
        <v>1.58</v>
      </c>
      <c r="C161" s="124">
        <v>1.58</v>
      </c>
      <c r="D161" s="123">
        <f t="shared" si="47"/>
        <v>1.58</v>
      </c>
      <c r="E161" s="123">
        <f t="shared" si="47"/>
        <v>1.58</v>
      </c>
      <c r="F161" s="123">
        <f t="shared" si="47"/>
        <v>1.58</v>
      </c>
      <c r="G161" s="123">
        <f t="shared" si="47"/>
        <v>1.58</v>
      </c>
      <c r="H161" s="123">
        <f t="shared" si="47"/>
        <v>1.58</v>
      </c>
      <c r="I161" s="123">
        <f t="shared" si="47"/>
        <v>1.58</v>
      </c>
      <c r="J161" s="123">
        <f t="shared" si="47"/>
        <v>1.58</v>
      </c>
      <c r="K161" s="123">
        <f t="shared" si="47"/>
        <v>1.58</v>
      </c>
      <c r="L161" s="123">
        <f t="shared" si="47"/>
        <v>1.58</v>
      </c>
      <c r="M161" s="123">
        <f t="shared" si="47"/>
        <v>1.58</v>
      </c>
      <c r="N161" s="123">
        <f t="shared" si="47"/>
        <v>1.58</v>
      </c>
      <c r="O161" s="123">
        <f t="shared" si="47"/>
        <v>1.58</v>
      </c>
      <c r="P161" s="123">
        <f t="shared" si="47"/>
        <v>1.58</v>
      </c>
      <c r="Q161" s="123">
        <f t="shared" si="47"/>
        <v>1.58</v>
      </c>
      <c r="R161" s="123">
        <f t="shared" si="47"/>
        <v>1.58</v>
      </c>
      <c r="S161" s="123">
        <f t="shared" si="47"/>
        <v>1.58</v>
      </c>
      <c r="T161" s="123">
        <f t="shared" si="48"/>
        <v>1.58</v>
      </c>
      <c r="U161" s="123">
        <f t="shared" si="48"/>
        <v>1.58</v>
      </c>
      <c r="V161" s="123">
        <f t="shared" si="48"/>
        <v>1.58</v>
      </c>
      <c r="W161" s="123">
        <f t="shared" si="48"/>
        <v>1.58</v>
      </c>
      <c r="X161" s="123">
        <f t="shared" si="48"/>
        <v>1.58</v>
      </c>
      <c r="Y161" s="123">
        <f t="shared" si="48"/>
        <v>1.58</v>
      </c>
      <c r="Z161" s="123">
        <f t="shared" si="48"/>
        <v>1.58</v>
      </c>
      <c r="AA161" s="123">
        <f t="shared" si="48"/>
        <v>1.58</v>
      </c>
      <c r="AB161" s="123">
        <f t="shared" si="48"/>
        <v>1.58</v>
      </c>
      <c r="AC161" s="123">
        <f t="shared" si="48"/>
        <v>1.58</v>
      </c>
      <c r="AD161" s="123">
        <f t="shared" si="48"/>
        <v>1.58</v>
      </c>
      <c r="AE161" s="123">
        <f t="shared" si="48"/>
        <v>1.58</v>
      </c>
      <c r="AF161" s="123">
        <f t="shared" si="48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6"/>
        <v>2</v>
      </c>
      <c r="C162" s="124">
        <v>2</v>
      </c>
      <c r="D162" s="123">
        <f t="shared" si="47"/>
        <v>2</v>
      </c>
      <c r="E162" s="123">
        <f t="shared" si="47"/>
        <v>2</v>
      </c>
      <c r="F162" s="123">
        <f t="shared" si="47"/>
        <v>2</v>
      </c>
      <c r="G162" s="123">
        <f t="shared" si="47"/>
        <v>2</v>
      </c>
      <c r="H162" s="123">
        <f t="shared" si="47"/>
        <v>2</v>
      </c>
      <c r="I162" s="123">
        <f t="shared" si="47"/>
        <v>2</v>
      </c>
      <c r="J162" s="123">
        <f t="shared" si="47"/>
        <v>2</v>
      </c>
      <c r="K162" s="123">
        <f t="shared" si="47"/>
        <v>2</v>
      </c>
      <c r="L162" s="123">
        <f t="shared" si="47"/>
        <v>2</v>
      </c>
      <c r="M162" s="123">
        <f t="shared" si="47"/>
        <v>2</v>
      </c>
      <c r="N162" s="123">
        <f t="shared" si="47"/>
        <v>2</v>
      </c>
      <c r="O162" s="123">
        <f t="shared" si="47"/>
        <v>2</v>
      </c>
      <c r="P162" s="123">
        <f t="shared" si="47"/>
        <v>2</v>
      </c>
      <c r="Q162" s="123">
        <f t="shared" si="47"/>
        <v>2</v>
      </c>
      <c r="R162" s="123">
        <f t="shared" si="47"/>
        <v>2</v>
      </c>
      <c r="S162" s="123">
        <f t="shared" si="47"/>
        <v>2</v>
      </c>
      <c r="T162" s="123">
        <f t="shared" si="48"/>
        <v>2</v>
      </c>
      <c r="U162" s="123">
        <f t="shared" si="48"/>
        <v>2</v>
      </c>
      <c r="V162" s="123">
        <f t="shared" si="48"/>
        <v>2</v>
      </c>
      <c r="W162" s="123">
        <f t="shared" si="48"/>
        <v>2</v>
      </c>
      <c r="X162" s="123">
        <f t="shared" si="48"/>
        <v>2</v>
      </c>
      <c r="Y162" s="123">
        <f t="shared" si="48"/>
        <v>2</v>
      </c>
      <c r="Z162" s="123">
        <f t="shared" si="48"/>
        <v>2</v>
      </c>
      <c r="AA162" s="123">
        <f t="shared" si="48"/>
        <v>2</v>
      </c>
      <c r="AB162" s="123">
        <f t="shared" si="48"/>
        <v>2</v>
      </c>
      <c r="AC162" s="123">
        <f t="shared" si="48"/>
        <v>2</v>
      </c>
      <c r="AD162" s="123">
        <f t="shared" si="48"/>
        <v>2</v>
      </c>
      <c r="AE162" s="123">
        <f t="shared" si="48"/>
        <v>2</v>
      </c>
      <c r="AF162" s="123">
        <f t="shared" si="48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6"/>
        <v>0.47</v>
      </c>
      <c r="C163" s="124">
        <v>0.47</v>
      </c>
      <c r="D163" s="123">
        <f t="shared" si="47"/>
        <v>0.47</v>
      </c>
      <c r="E163" s="123">
        <f t="shared" si="47"/>
        <v>0.47</v>
      </c>
      <c r="F163" s="123">
        <f t="shared" si="47"/>
        <v>0.47</v>
      </c>
      <c r="G163" s="123">
        <f t="shared" si="47"/>
        <v>0.47</v>
      </c>
      <c r="H163" s="123">
        <f t="shared" si="47"/>
        <v>0.47</v>
      </c>
      <c r="I163" s="123">
        <f t="shared" si="47"/>
        <v>0.47</v>
      </c>
      <c r="J163" s="123">
        <f t="shared" si="47"/>
        <v>0.47</v>
      </c>
      <c r="K163" s="123">
        <f t="shared" si="47"/>
        <v>0.47</v>
      </c>
      <c r="L163" s="123">
        <f t="shared" si="47"/>
        <v>0.47</v>
      </c>
      <c r="M163" s="123">
        <f t="shared" si="47"/>
        <v>0.47</v>
      </c>
      <c r="N163" s="123">
        <f t="shared" si="47"/>
        <v>0.47</v>
      </c>
      <c r="O163" s="123">
        <f t="shared" si="47"/>
        <v>0.47</v>
      </c>
      <c r="P163" s="123">
        <f t="shared" si="47"/>
        <v>0.47</v>
      </c>
      <c r="Q163" s="123">
        <f t="shared" si="47"/>
        <v>0.47</v>
      </c>
      <c r="R163" s="123">
        <f t="shared" si="47"/>
        <v>0.47</v>
      </c>
      <c r="S163" s="123">
        <f t="shared" si="47"/>
        <v>0.47</v>
      </c>
      <c r="T163" s="123">
        <f t="shared" si="48"/>
        <v>0.47</v>
      </c>
      <c r="U163" s="123">
        <f t="shared" si="48"/>
        <v>0.47</v>
      </c>
      <c r="V163" s="123">
        <f t="shared" si="48"/>
        <v>0.47</v>
      </c>
      <c r="W163" s="123">
        <f t="shared" si="48"/>
        <v>0.47</v>
      </c>
      <c r="X163" s="123">
        <f t="shared" si="48"/>
        <v>0.47</v>
      </c>
      <c r="Y163" s="123">
        <f t="shared" si="48"/>
        <v>0.47</v>
      </c>
      <c r="Z163" s="123">
        <f t="shared" si="48"/>
        <v>0.47</v>
      </c>
      <c r="AA163" s="123">
        <f t="shared" si="48"/>
        <v>0.47</v>
      </c>
      <c r="AB163" s="123">
        <f t="shared" si="48"/>
        <v>0.47</v>
      </c>
      <c r="AC163" s="123">
        <f t="shared" si="48"/>
        <v>0.47</v>
      </c>
      <c r="AD163" s="123">
        <f t="shared" si="48"/>
        <v>0.47</v>
      </c>
      <c r="AE163" s="123">
        <f t="shared" si="48"/>
        <v>0.47</v>
      </c>
      <c r="AF163" s="123">
        <f t="shared" si="48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6"/>
        <v>0</v>
      </c>
      <c r="C164" s="124">
        <v>0</v>
      </c>
      <c r="D164" s="123">
        <f t="shared" si="47"/>
        <v>0</v>
      </c>
      <c r="E164" s="123">
        <f t="shared" si="47"/>
        <v>0</v>
      </c>
      <c r="F164" s="123">
        <f t="shared" si="47"/>
        <v>0</v>
      </c>
      <c r="G164" s="123">
        <f t="shared" si="47"/>
        <v>0</v>
      </c>
      <c r="H164" s="123">
        <f t="shared" si="47"/>
        <v>0</v>
      </c>
      <c r="I164" s="123">
        <f t="shared" si="47"/>
        <v>0</v>
      </c>
      <c r="J164" s="123">
        <f t="shared" si="47"/>
        <v>0</v>
      </c>
      <c r="K164" s="123">
        <f t="shared" si="47"/>
        <v>0</v>
      </c>
      <c r="L164" s="123">
        <f t="shared" si="47"/>
        <v>0</v>
      </c>
      <c r="M164" s="123">
        <f t="shared" si="47"/>
        <v>0</v>
      </c>
      <c r="N164" s="123">
        <f t="shared" si="47"/>
        <v>0</v>
      </c>
      <c r="O164" s="123">
        <f t="shared" si="47"/>
        <v>0</v>
      </c>
      <c r="P164" s="123">
        <f t="shared" si="47"/>
        <v>0</v>
      </c>
      <c r="Q164" s="123">
        <f t="shared" si="47"/>
        <v>0</v>
      </c>
      <c r="R164" s="123">
        <f t="shared" si="47"/>
        <v>0</v>
      </c>
      <c r="S164" s="123">
        <f t="shared" si="47"/>
        <v>0</v>
      </c>
      <c r="T164" s="123">
        <f t="shared" si="48"/>
        <v>0</v>
      </c>
      <c r="U164" s="123">
        <f t="shared" si="48"/>
        <v>0</v>
      </c>
      <c r="V164" s="123">
        <f t="shared" si="48"/>
        <v>0</v>
      </c>
      <c r="W164" s="123">
        <f t="shared" si="48"/>
        <v>0</v>
      </c>
      <c r="X164" s="123">
        <f t="shared" si="48"/>
        <v>0</v>
      </c>
      <c r="Y164" s="123">
        <f t="shared" si="48"/>
        <v>0</v>
      </c>
      <c r="Z164" s="123">
        <f t="shared" si="48"/>
        <v>0</v>
      </c>
      <c r="AA164" s="123">
        <f t="shared" si="48"/>
        <v>0</v>
      </c>
      <c r="AB164" s="123">
        <f t="shared" si="48"/>
        <v>0</v>
      </c>
      <c r="AC164" s="123">
        <f t="shared" si="48"/>
        <v>0</v>
      </c>
      <c r="AD164" s="123">
        <f t="shared" si="48"/>
        <v>0</v>
      </c>
      <c r="AE164" s="123">
        <f t="shared" si="48"/>
        <v>0</v>
      </c>
      <c r="AF164" s="123">
        <f t="shared" si="48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8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6"/>
        <v>0.8</v>
      </c>
      <c r="C166" s="124">
        <v>0.8</v>
      </c>
      <c r="D166" s="123">
        <f t="shared" si="47"/>
        <v>0.8</v>
      </c>
      <c r="E166" s="123">
        <f t="shared" si="47"/>
        <v>0.8</v>
      </c>
      <c r="F166" s="123">
        <f t="shared" si="47"/>
        <v>0.8</v>
      </c>
      <c r="G166" s="123">
        <f t="shared" si="47"/>
        <v>0.8</v>
      </c>
      <c r="H166" s="123">
        <f t="shared" si="47"/>
        <v>0.8</v>
      </c>
      <c r="I166" s="123">
        <f t="shared" si="47"/>
        <v>0.8</v>
      </c>
      <c r="J166" s="123">
        <f t="shared" si="47"/>
        <v>0.8</v>
      </c>
      <c r="K166" s="123">
        <f t="shared" si="47"/>
        <v>0.8</v>
      </c>
      <c r="L166" s="123">
        <f t="shared" si="47"/>
        <v>0.8</v>
      </c>
      <c r="M166" s="123">
        <f t="shared" si="47"/>
        <v>0.8</v>
      </c>
      <c r="N166" s="123">
        <f t="shared" si="47"/>
        <v>0.8</v>
      </c>
      <c r="O166" s="123">
        <f t="shared" si="47"/>
        <v>0.8</v>
      </c>
      <c r="P166" s="123">
        <f t="shared" si="47"/>
        <v>0.8</v>
      </c>
      <c r="Q166" s="123">
        <f t="shared" si="47"/>
        <v>0.8</v>
      </c>
      <c r="R166" s="123">
        <f t="shared" si="47"/>
        <v>0.8</v>
      </c>
      <c r="S166" s="123">
        <f t="shared" si="48"/>
        <v>0.8</v>
      </c>
      <c r="T166" s="123">
        <f t="shared" si="48"/>
        <v>0.8</v>
      </c>
      <c r="U166" s="123">
        <f t="shared" si="48"/>
        <v>0.8</v>
      </c>
      <c r="V166" s="123">
        <f t="shared" si="48"/>
        <v>0.8</v>
      </c>
      <c r="W166" s="123">
        <f t="shared" si="48"/>
        <v>0.8</v>
      </c>
      <c r="X166" s="123">
        <f t="shared" si="48"/>
        <v>0.8</v>
      </c>
      <c r="Y166" s="123">
        <f t="shared" si="48"/>
        <v>0.8</v>
      </c>
      <c r="Z166" s="123">
        <f t="shared" si="48"/>
        <v>0.8</v>
      </c>
      <c r="AA166" s="123">
        <f t="shared" si="48"/>
        <v>0.8</v>
      </c>
      <c r="AB166" s="123">
        <f t="shared" si="48"/>
        <v>0.8</v>
      </c>
      <c r="AC166" s="123">
        <f t="shared" si="48"/>
        <v>0.8</v>
      </c>
      <c r="AD166" s="123">
        <f t="shared" si="48"/>
        <v>0.8</v>
      </c>
      <c r="AE166" s="123">
        <f t="shared" si="48"/>
        <v>0.8</v>
      </c>
      <c r="AF166" s="123">
        <f t="shared" si="48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6"/>
        <v>1.5</v>
      </c>
      <c r="C167" s="124">
        <v>1.5</v>
      </c>
      <c r="D167" s="123">
        <f t="shared" si="47"/>
        <v>1.5</v>
      </c>
      <c r="E167" s="123">
        <f t="shared" si="47"/>
        <v>1.5</v>
      </c>
      <c r="F167" s="123">
        <f t="shared" si="47"/>
        <v>1.5</v>
      </c>
      <c r="G167" s="123">
        <f t="shared" si="47"/>
        <v>1.5</v>
      </c>
      <c r="H167" s="123">
        <f t="shared" si="47"/>
        <v>1.5</v>
      </c>
      <c r="I167" s="123">
        <f t="shared" si="47"/>
        <v>1.5</v>
      </c>
      <c r="J167" s="123">
        <f t="shared" si="47"/>
        <v>1.5</v>
      </c>
      <c r="K167" s="123">
        <f t="shared" si="47"/>
        <v>1.5</v>
      </c>
      <c r="L167" s="123">
        <f t="shared" si="47"/>
        <v>1.5</v>
      </c>
      <c r="M167" s="123">
        <f t="shared" si="47"/>
        <v>1.5</v>
      </c>
      <c r="N167" s="123">
        <f t="shared" si="47"/>
        <v>1.5</v>
      </c>
      <c r="O167" s="123">
        <f t="shared" si="47"/>
        <v>1.5</v>
      </c>
      <c r="P167" s="123">
        <f t="shared" si="47"/>
        <v>1.5</v>
      </c>
      <c r="Q167" s="123">
        <f t="shared" si="47"/>
        <v>1.5</v>
      </c>
      <c r="R167" s="123">
        <f t="shared" si="47"/>
        <v>1.5</v>
      </c>
      <c r="S167" s="123">
        <f t="shared" si="48"/>
        <v>1.5</v>
      </c>
      <c r="T167" s="123">
        <f t="shared" si="48"/>
        <v>1.5</v>
      </c>
      <c r="U167" s="123">
        <f t="shared" si="48"/>
        <v>1.5</v>
      </c>
      <c r="V167" s="123">
        <f t="shared" si="48"/>
        <v>1.5</v>
      </c>
      <c r="W167" s="123">
        <f t="shared" si="48"/>
        <v>1.5</v>
      </c>
      <c r="X167" s="123">
        <f t="shared" si="48"/>
        <v>1.5</v>
      </c>
      <c r="Y167" s="123">
        <f t="shared" si="48"/>
        <v>1.5</v>
      </c>
      <c r="Z167" s="123">
        <f t="shared" si="48"/>
        <v>1.5</v>
      </c>
      <c r="AA167" s="123">
        <f t="shared" si="48"/>
        <v>1.5</v>
      </c>
      <c r="AB167" s="123">
        <f t="shared" si="48"/>
        <v>1.5</v>
      </c>
      <c r="AC167" s="123">
        <f t="shared" si="48"/>
        <v>1.5</v>
      </c>
      <c r="AD167" s="123">
        <f t="shared" si="48"/>
        <v>1.5</v>
      </c>
      <c r="AE167" s="123">
        <f t="shared" si="48"/>
        <v>1.5</v>
      </c>
      <c r="AF167" s="123">
        <f t="shared" si="48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6"/>
        <v>1</v>
      </c>
      <c r="C168" s="124">
        <v>1</v>
      </c>
      <c r="D168" s="123">
        <f t="shared" si="47"/>
        <v>1</v>
      </c>
      <c r="E168" s="123">
        <f t="shared" si="47"/>
        <v>1</v>
      </c>
      <c r="F168" s="123">
        <f t="shared" si="47"/>
        <v>1</v>
      </c>
      <c r="G168" s="123">
        <f t="shared" si="47"/>
        <v>1</v>
      </c>
      <c r="H168" s="123">
        <f t="shared" si="47"/>
        <v>1</v>
      </c>
      <c r="I168" s="123">
        <f t="shared" si="47"/>
        <v>1</v>
      </c>
      <c r="J168" s="123">
        <f t="shared" si="47"/>
        <v>1</v>
      </c>
      <c r="K168" s="123">
        <f t="shared" si="47"/>
        <v>1</v>
      </c>
      <c r="L168" s="123">
        <f t="shared" si="47"/>
        <v>1</v>
      </c>
      <c r="M168" s="123">
        <f t="shared" si="47"/>
        <v>1</v>
      </c>
      <c r="N168" s="123">
        <f t="shared" si="47"/>
        <v>1</v>
      </c>
      <c r="O168" s="123">
        <f t="shared" si="47"/>
        <v>1</v>
      </c>
      <c r="P168" s="123">
        <f t="shared" si="47"/>
        <v>1</v>
      </c>
      <c r="Q168" s="123">
        <f t="shared" si="47"/>
        <v>1</v>
      </c>
      <c r="R168" s="123">
        <f t="shared" si="47"/>
        <v>1</v>
      </c>
      <c r="S168" s="123">
        <f t="shared" si="48"/>
        <v>1</v>
      </c>
      <c r="T168" s="123">
        <f t="shared" si="48"/>
        <v>1</v>
      </c>
      <c r="U168" s="123">
        <f t="shared" si="48"/>
        <v>1</v>
      </c>
      <c r="V168" s="123">
        <f t="shared" si="48"/>
        <v>1</v>
      </c>
      <c r="W168" s="123">
        <f t="shared" si="48"/>
        <v>1</v>
      </c>
      <c r="X168" s="123">
        <f t="shared" si="48"/>
        <v>1</v>
      </c>
      <c r="Y168" s="123">
        <f t="shared" si="48"/>
        <v>1</v>
      </c>
      <c r="Z168" s="123">
        <f t="shared" si="48"/>
        <v>1</v>
      </c>
      <c r="AA168" s="123">
        <f t="shared" si="48"/>
        <v>1</v>
      </c>
      <c r="AB168" s="123">
        <f t="shared" si="48"/>
        <v>1</v>
      </c>
      <c r="AC168" s="123">
        <f t="shared" si="48"/>
        <v>1</v>
      </c>
      <c r="AD168" s="123">
        <f t="shared" si="48"/>
        <v>1</v>
      </c>
      <c r="AE168" s="123">
        <f t="shared" si="48"/>
        <v>1</v>
      </c>
      <c r="AF168" s="123">
        <f t="shared" si="48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9">AF170</f>
        <v>1</v>
      </c>
      <c r="C170" s="124">
        <v>1</v>
      </c>
      <c r="D170" s="123">
        <f t="shared" ref="D170:S177" si="50">C170</f>
        <v>1</v>
      </c>
      <c r="E170" s="123">
        <f t="shared" si="50"/>
        <v>1</v>
      </c>
      <c r="F170" s="123">
        <f t="shared" si="50"/>
        <v>1</v>
      </c>
      <c r="G170" s="123">
        <f t="shared" si="50"/>
        <v>1</v>
      </c>
      <c r="H170" s="123">
        <f t="shared" si="50"/>
        <v>1</v>
      </c>
      <c r="I170" s="123">
        <f t="shared" si="50"/>
        <v>1</v>
      </c>
      <c r="J170" s="123">
        <f t="shared" si="50"/>
        <v>1</v>
      </c>
      <c r="K170" s="123">
        <f t="shared" si="50"/>
        <v>1</v>
      </c>
      <c r="L170" s="123">
        <f t="shared" si="50"/>
        <v>1</v>
      </c>
      <c r="M170" s="123">
        <f t="shared" si="50"/>
        <v>1</v>
      </c>
      <c r="N170" s="123">
        <f t="shared" si="50"/>
        <v>1</v>
      </c>
      <c r="O170" s="123">
        <f t="shared" si="50"/>
        <v>1</v>
      </c>
      <c r="P170" s="123">
        <f t="shared" si="50"/>
        <v>1</v>
      </c>
      <c r="Q170" s="123">
        <f t="shared" si="50"/>
        <v>1</v>
      </c>
      <c r="R170" s="123">
        <f t="shared" si="50"/>
        <v>1</v>
      </c>
      <c r="S170" s="123">
        <f t="shared" si="50"/>
        <v>1</v>
      </c>
      <c r="T170" s="123">
        <f t="shared" ref="S170:AF177" si="51">S170</f>
        <v>1</v>
      </c>
      <c r="U170" s="123">
        <f t="shared" si="51"/>
        <v>1</v>
      </c>
      <c r="V170" s="123">
        <f t="shared" si="51"/>
        <v>1</v>
      </c>
      <c r="W170" s="123">
        <f t="shared" si="51"/>
        <v>1</v>
      </c>
      <c r="X170" s="123">
        <f t="shared" si="51"/>
        <v>1</v>
      </c>
      <c r="Y170" s="123">
        <f t="shared" si="51"/>
        <v>1</v>
      </c>
      <c r="Z170" s="123">
        <f t="shared" si="51"/>
        <v>1</v>
      </c>
      <c r="AA170" s="123">
        <f t="shared" si="51"/>
        <v>1</v>
      </c>
      <c r="AB170" s="123">
        <f t="shared" si="51"/>
        <v>1</v>
      </c>
      <c r="AC170" s="123">
        <f t="shared" si="51"/>
        <v>1</v>
      </c>
      <c r="AD170" s="123">
        <f t="shared" si="51"/>
        <v>1</v>
      </c>
      <c r="AE170" s="123">
        <f t="shared" si="51"/>
        <v>1</v>
      </c>
      <c r="AF170" s="123">
        <f t="shared" si="51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9"/>
        <v>0.42</v>
      </c>
      <c r="C171" s="124">
        <v>0.42</v>
      </c>
      <c r="D171" s="123">
        <f t="shared" si="50"/>
        <v>0.42</v>
      </c>
      <c r="E171" s="123">
        <f t="shared" si="50"/>
        <v>0.42</v>
      </c>
      <c r="F171" s="123">
        <f t="shared" si="50"/>
        <v>0.42</v>
      </c>
      <c r="G171" s="123">
        <f t="shared" si="50"/>
        <v>0.42</v>
      </c>
      <c r="H171" s="123">
        <f t="shared" si="50"/>
        <v>0.42</v>
      </c>
      <c r="I171" s="123">
        <f t="shared" si="50"/>
        <v>0.42</v>
      </c>
      <c r="J171" s="123">
        <f t="shared" si="50"/>
        <v>0.42</v>
      </c>
      <c r="K171" s="123">
        <f t="shared" si="50"/>
        <v>0.42</v>
      </c>
      <c r="L171" s="123">
        <f t="shared" si="50"/>
        <v>0.42</v>
      </c>
      <c r="M171" s="123">
        <f t="shared" si="50"/>
        <v>0.42</v>
      </c>
      <c r="N171" s="123">
        <f t="shared" si="50"/>
        <v>0.42</v>
      </c>
      <c r="O171" s="123">
        <f t="shared" si="50"/>
        <v>0.42</v>
      </c>
      <c r="P171" s="123">
        <f t="shared" si="50"/>
        <v>0.42</v>
      </c>
      <c r="Q171" s="123">
        <f t="shared" si="50"/>
        <v>0.42</v>
      </c>
      <c r="R171" s="123">
        <f t="shared" si="50"/>
        <v>0.42</v>
      </c>
      <c r="S171" s="123">
        <f t="shared" si="51"/>
        <v>0.42</v>
      </c>
      <c r="T171" s="123">
        <f t="shared" si="51"/>
        <v>0.42</v>
      </c>
      <c r="U171" s="123">
        <f t="shared" si="51"/>
        <v>0.42</v>
      </c>
      <c r="V171" s="123">
        <f t="shared" si="51"/>
        <v>0.42</v>
      </c>
      <c r="W171" s="123">
        <f t="shared" si="51"/>
        <v>0.42</v>
      </c>
      <c r="X171" s="123">
        <f t="shared" si="51"/>
        <v>0.42</v>
      </c>
      <c r="Y171" s="123">
        <f t="shared" si="51"/>
        <v>0.42</v>
      </c>
      <c r="Z171" s="123">
        <f t="shared" si="51"/>
        <v>0.42</v>
      </c>
      <c r="AA171" s="123">
        <f t="shared" si="51"/>
        <v>0.42</v>
      </c>
      <c r="AB171" s="123">
        <f t="shared" si="51"/>
        <v>0.42</v>
      </c>
      <c r="AC171" s="123">
        <f t="shared" si="51"/>
        <v>0.42</v>
      </c>
      <c r="AD171" s="123">
        <f t="shared" si="51"/>
        <v>0.42</v>
      </c>
      <c r="AE171" s="123">
        <f t="shared" si="51"/>
        <v>0.42</v>
      </c>
      <c r="AF171" s="123">
        <f t="shared" si="51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9"/>
        <v>0.46</v>
      </c>
      <c r="C172" s="124">
        <v>0.46</v>
      </c>
      <c r="D172" s="123">
        <f t="shared" si="50"/>
        <v>0.46</v>
      </c>
      <c r="E172" s="123">
        <f t="shared" si="50"/>
        <v>0.46</v>
      </c>
      <c r="F172" s="123">
        <f t="shared" si="50"/>
        <v>0.46</v>
      </c>
      <c r="G172" s="123">
        <f t="shared" si="50"/>
        <v>0.46</v>
      </c>
      <c r="H172" s="123">
        <f t="shared" si="50"/>
        <v>0.46</v>
      </c>
      <c r="I172" s="123">
        <f t="shared" si="50"/>
        <v>0.46</v>
      </c>
      <c r="J172" s="123">
        <f t="shared" si="50"/>
        <v>0.46</v>
      </c>
      <c r="K172" s="123">
        <f t="shared" si="50"/>
        <v>0.46</v>
      </c>
      <c r="L172" s="123">
        <f t="shared" si="50"/>
        <v>0.46</v>
      </c>
      <c r="M172" s="123">
        <f t="shared" si="50"/>
        <v>0.46</v>
      </c>
      <c r="N172" s="123">
        <f t="shared" si="50"/>
        <v>0.46</v>
      </c>
      <c r="O172" s="123">
        <f t="shared" si="50"/>
        <v>0.46</v>
      </c>
      <c r="P172" s="123">
        <f t="shared" si="50"/>
        <v>0.46</v>
      </c>
      <c r="Q172" s="123">
        <f t="shared" si="50"/>
        <v>0.46</v>
      </c>
      <c r="R172" s="123">
        <f t="shared" si="50"/>
        <v>0.46</v>
      </c>
      <c r="S172" s="123">
        <f t="shared" si="51"/>
        <v>0.46</v>
      </c>
      <c r="T172" s="123">
        <f t="shared" si="51"/>
        <v>0.46</v>
      </c>
      <c r="U172" s="123">
        <f t="shared" si="51"/>
        <v>0.46</v>
      </c>
      <c r="V172" s="123">
        <f t="shared" si="51"/>
        <v>0.46</v>
      </c>
      <c r="W172" s="123">
        <f t="shared" si="51"/>
        <v>0.46</v>
      </c>
      <c r="X172" s="123">
        <f t="shared" si="51"/>
        <v>0.46</v>
      </c>
      <c r="Y172" s="123">
        <f t="shared" si="51"/>
        <v>0.46</v>
      </c>
      <c r="Z172" s="123">
        <f t="shared" si="51"/>
        <v>0.46</v>
      </c>
      <c r="AA172" s="123">
        <f t="shared" si="51"/>
        <v>0.46</v>
      </c>
      <c r="AB172" s="123">
        <f t="shared" si="51"/>
        <v>0.46</v>
      </c>
      <c r="AC172" s="123">
        <f t="shared" si="51"/>
        <v>0.46</v>
      </c>
      <c r="AD172" s="123">
        <f t="shared" si="51"/>
        <v>0.46</v>
      </c>
      <c r="AE172" s="123">
        <f t="shared" si="51"/>
        <v>0.46</v>
      </c>
      <c r="AF172" s="123">
        <f t="shared" si="51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9"/>
        <v>0.85</v>
      </c>
      <c r="C173" s="124">
        <v>0.85</v>
      </c>
      <c r="D173" s="123">
        <f t="shared" si="50"/>
        <v>0.85</v>
      </c>
      <c r="E173" s="123">
        <f t="shared" si="50"/>
        <v>0.85</v>
      </c>
      <c r="F173" s="123">
        <f t="shared" si="50"/>
        <v>0.85</v>
      </c>
      <c r="G173" s="123">
        <f t="shared" si="50"/>
        <v>0.85</v>
      </c>
      <c r="H173" s="123">
        <f t="shared" si="50"/>
        <v>0.85</v>
      </c>
      <c r="I173" s="123">
        <f t="shared" si="50"/>
        <v>0.85</v>
      </c>
      <c r="J173" s="123">
        <f t="shared" si="50"/>
        <v>0.85</v>
      </c>
      <c r="K173" s="123">
        <f t="shared" si="50"/>
        <v>0.85</v>
      </c>
      <c r="L173" s="123">
        <f t="shared" si="50"/>
        <v>0.85</v>
      </c>
      <c r="M173" s="123">
        <f t="shared" si="50"/>
        <v>0.85</v>
      </c>
      <c r="N173" s="123">
        <f t="shared" si="50"/>
        <v>0.85</v>
      </c>
      <c r="O173" s="123">
        <f t="shared" si="50"/>
        <v>0.85</v>
      </c>
      <c r="P173" s="123">
        <f t="shared" si="50"/>
        <v>0.85</v>
      </c>
      <c r="Q173" s="123">
        <f t="shared" si="50"/>
        <v>0.85</v>
      </c>
      <c r="R173" s="123">
        <f t="shared" si="50"/>
        <v>0.85</v>
      </c>
      <c r="S173" s="123">
        <f t="shared" si="51"/>
        <v>0.85</v>
      </c>
      <c r="T173" s="123">
        <f t="shared" si="51"/>
        <v>0.85</v>
      </c>
      <c r="U173" s="123">
        <f t="shared" si="51"/>
        <v>0.85</v>
      </c>
      <c r="V173" s="123">
        <f t="shared" si="51"/>
        <v>0.85</v>
      </c>
      <c r="W173" s="123">
        <f t="shared" si="51"/>
        <v>0.85</v>
      </c>
      <c r="X173" s="123">
        <f t="shared" si="51"/>
        <v>0.85</v>
      </c>
      <c r="Y173" s="123">
        <f t="shared" si="51"/>
        <v>0.85</v>
      </c>
      <c r="Z173" s="123">
        <f t="shared" si="51"/>
        <v>0.85</v>
      </c>
      <c r="AA173" s="123">
        <f t="shared" si="51"/>
        <v>0.85</v>
      </c>
      <c r="AB173" s="123">
        <f t="shared" si="51"/>
        <v>0.85</v>
      </c>
      <c r="AC173" s="123">
        <f t="shared" si="51"/>
        <v>0.85</v>
      </c>
      <c r="AD173" s="123">
        <f t="shared" si="51"/>
        <v>0.85</v>
      </c>
      <c r="AE173" s="123">
        <f t="shared" si="51"/>
        <v>0.85</v>
      </c>
      <c r="AF173" s="123">
        <f t="shared" si="51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9"/>
        <v>0.9</v>
      </c>
      <c r="C174" s="124">
        <v>0.9</v>
      </c>
      <c r="D174" s="123">
        <f t="shared" si="50"/>
        <v>0.9</v>
      </c>
      <c r="E174" s="123">
        <f t="shared" si="50"/>
        <v>0.9</v>
      </c>
      <c r="F174" s="123">
        <f t="shared" si="50"/>
        <v>0.9</v>
      </c>
      <c r="G174" s="123">
        <f t="shared" si="50"/>
        <v>0.9</v>
      </c>
      <c r="H174" s="123">
        <f t="shared" si="50"/>
        <v>0.9</v>
      </c>
      <c r="I174" s="123">
        <f t="shared" si="50"/>
        <v>0.9</v>
      </c>
      <c r="J174" s="123">
        <f t="shared" si="50"/>
        <v>0.9</v>
      </c>
      <c r="K174" s="123">
        <f t="shared" si="50"/>
        <v>0.9</v>
      </c>
      <c r="L174" s="123">
        <f t="shared" si="50"/>
        <v>0.9</v>
      </c>
      <c r="M174" s="123">
        <f t="shared" si="50"/>
        <v>0.9</v>
      </c>
      <c r="N174" s="123">
        <f t="shared" si="50"/>
        <v>0.9</v>
      </c>
      <c r="O174" s="123">
        <f t="shared" si="50"/>
        <v>0.9</v>
      </c>
      <c r="P174" s="123">
        <f t="shared" si="50"/>
        <v>0.9</v>
      </c>
      <c r="Q174" s="123">
        <f t="shared" si="50"/>
        <v>0.9</v>
      </c>
      <c r="R174" s="123">
        <f t="shared" si="50"/>
        <v>0.9</v>
      </c>
      <c r="S174" s="123">
        <f t="shared" si="51"/>
        <v>0.9</v>
      </c>
      <c r="T174" s="123">
        <f t="shared" si="51"/>
        <v>0.9</v>
      </c>
      <c r="U174" s="123">
        <f t="shared" si="51"/>
        <v>0.9</v>
      </c>
      <c r="V174" s="123">
        <f t="shared" si="51"/>
        <v>0.9</v>
      </c>
      <c r="W174" s="123">
        <f t="shared" si="51"/>
        <v>0.9</v>
      </c>
      <c r="X174" s="123">
        <f t="shared" si="51"/>
        <v>0.9</v>
      </c>
      <c r="Y174" s="123">
        <f t="shared" si="51"/>
        <v>0.9</v>
      </c>
      <c r="Z174" s="123">
        <f t="shared" si="51"/>
        <v>0.9</v>
      </c>
      <c r="AA174" s="123">
        <f t="shared" si="51"/>
        <v>0.9</v>
      </c>
      <c r="AB174" s="123">
        <f t="shared" si="51"/>
        <v>0.9</v>
      </c>
      <c r="AC174" s="123">
        <f t="shared" si="51"/>
        <v>0.9</v>
      </c>
      <c r="AD174" s="123">
        <f t="shared" si="51"/>
        <v>0.9</v>
      </c>
      <c r="AE174" s="123">
        <f t="shared" si="51"/>
        <v>0.9</v>
      </c>
      <c r="AF174" s="123">
        <f t="shared" si="51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9"/>
        <v>0.44</v>
      </c>
      <c r="C175" s="124">
        <v>0.44</v>
      </c>
      <c r="D175" s="123">
        <f t="shared" si="50"/>
        <v>0.44</v>
      </c>
      <c r="E175" s="123">
        <f t="shared" si="50"/>
        <v>0.44</v>
      </c>
      <c r="F175" s="123">
        <f t="shared" si="50"/>
        <v>0.44</v>
      </c>
      <c r="G175" s="123">
        <f t="shared" si="50"/>
        <v>0.44</v>
      </c>
      <c r="H175" s="123">
        <f t="shared" si="50"/>
        <v>0.44</v>
      </c>
      <c r="I175" s="123">
        <f t="shared" si="50"/>
        <v>0.44</v>
      </c>
      <c r="J175" s="123">
        <f t="shared" si="50"/>
        <v>0.44</v>
      </c>
      <c r="K175" s="123">
        <f t="shared" si="50"/>
        <v>0.44</v>
      </c>
      <c r="L175" s="123">
        <f t="shared" si="50"/>
        <v>0.44</v>
      </c>
      <c r="M175" s="123">
        <f t="shared" si="50"/>
        <v>0.44</v>
      </c>
      <c r="N175" s="123">
        <f t="shared" si="50"/>
        <v>0.44</v>
      </c>
      <c r="O175" s="123">
        <f t="shared" si="50"/>
        <v>0.44</v>
      </c>
      <c r="P175" s="123">
        <f t="shared" si="50"/>
        <v>0.44</v>
      </c>
      <c r="Q175" s="123">
        <f t="shared" si="50"/>
        <v>0.44</v>
      </c>
      <c r="R175" s="123">
        <f t="shared" si="50"/>
        <v>0.44</v>
      </c>
      <c r="S175" s="123">
        <f t="shared" si="51"/>
        <v>0.44</v>
      </c>
      <c r="T175" s="123">
        <f t="shared" si="51"/>
        <v>0.44</v>
      </c>
      <c r="U175" s="123">
        <f t="shared" si="51"/>
        <v>0.44</v>
      </c>
      <c r="V175" s="123">
        <f t="shared" si="51"/>
        <v>0.44</v>
      </c>
      <c r="W175" s="123">
        <f t="shared" si="51"/>
        <v>0.44</v>
      </c>
      <c r="X175" s="123">
        <f t="shared" si="51"/>
        <v>0.44</v>
      </c>
      <c r="Y175" s="123">
        <f t="shared" si="51"/>
        <v>0.44</v>
      </c>
      <c r="Z175" s="123">
        <f t="shared" si="51"/>
        <v>0.44</v>
      </c>
      <c r="AA175" s="123">
        <f t="shared" si="51"/>
        <v>0.44</v>
      </c>
      <c r="AB175" s="123">
        <f t="shared" si="51"/>
        <v>0.44</v>
      </c>
      <c r="AC175" s="123">
        <f t="shared" si="51"/>
        <v>0.44</v>
      </c>
      <c r="AD175" s="123">
        <f t="shared" si="51"/>
        <v>0.44</v>
      </c>
      <c r="AE175" s="123">
        <f t="shared" si="51"/>
        <v>0.44</v>
      </c>
      <c r="AF175" s="123">
        <f t="shared" si="51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9"/>
        <v>2.1</v>
      </c>
      <c r="C176" s="124">
        <v>2.1</v>
      </c>
      <c r="D176" s="123">
        <f t="shared" si="50"/>
        <v>2.1</v>
      </c>
      <c r="E176" s="123">
        <f t="shared" si="50"/>
        <v>2.1</v>
      </c>
      <c r="F176" s="123">
        <f t="shared" si="50"/>
        <v>2.1</v>
      </c>
      <c r="G176" s="123">
        <f t="shared" si="50"/>
        <v>2.1</v>
      </c>
      <c r="H176" s="123">
        <f t="shared" si="50"/>
        <v>2.1</v>
      </c>
      <c r="I176" s="123">
        <f t="shared" si="50"/>
        <v>2.1</v>
      </c>
      <c r="J176" s="123">
        <f t="shared" si="50"/>
        <v>2.1</v>
      </c>
      <c r="K176" s="123">
        <f t="shared" si="50"/>
        <v>2.1</v>
      </c>
      <c r="L176" s="123">
        <f t="shared" si="50"/>
        <v>2.1</v>
      </c>
      <c r="M176" s="123">
        <f t="shared" si="50"/>
        <v>2.1</v>
      </c>
      <c r="N176" s="123">
        <f t="shared" si="50"/>
        <v>2.1</v>
      </c>
      <c r="O176" s="123">
        <f t="shared" si="50"/>
        <v>2.1</v>
      </c>
      <c r="P176" s="123">
        <f t="shared" si="50"/>
        <v>2.1</v>
      </c>
      <c r="Q176" s="123">
        <f t="shared" si="50"/>
        <v>2.1</v>
      </c>
      <c r="R176" s="123">
        <f t="shared" si="50"/>
        <v>2.1</v>
      </c>
      <c r="S176" s="123">
        <f t="shared" si="51"/>
        <v>2.1</v>
      </c>
      <c r="T176" s="123">
        <f t="shared" si="51"/>
        <v>2.1</v>
      </c>
      <c r="U176" s="123">
        <f t="shared" si="51"/>
        <v>2.1</v>
      </c>
      <c r="V176" s="123">
        <f t="shared" si="51"/>
        <v>2.1</v>
      </c>
      <c r="W176" s="123">
        <f t="shared" si="51"/>
        <v>2.1</v>
      </c>
      <c r="X176" s="123">
        <f t="shared" si="51"/>
        <v>2.1</v>
      </c>
      <c r="Y176" s="123">
        <f t="shared" si="51"/>
        <v>2.1</v>
      </c>
      <c r="Z176" s="123">
        <f t="shared" si="51"/>
        <v>2.1</v>
      </c>
      <c r="AA176" s="123">
        <f t="shared" si="51"/>
        <v>2.1</v>
      </c>
      <c r="AB176" s="123">
        <f t="shared" si="51"/>
        <v>2.1</v>
      </c>
      <c r="AC176" s="123">
        <f t="shared" si="51"/>
        <v>2.1</v>
      </c>
      <c r="AD176" s="123">
        <f t="shared" si="51"/>
        <v>2.1</v>
      </c>
      <c r="AE176" s="123">
        <f t="shared" si="51"/>
        <v>2.1</v>
      </c>
      <c r="AF176" s="123">
        <f t="shared" si="51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9"/>
        <v>0.9</v>
      </c>
      <c r="C177" s="124">
        <v>0.9</v>
      </c>
      <c r="D177" s="123">
        <f t="shared" si="50"/>
        <v>0.9</v>
      </c>
      <c r="E177" s="123">
        <f t="shared" si="50"/>
        <v>0.9</v>
      </c>
      <c r="F177" s="123">
        <f t="shared" si="50"/>
        <v>0.9</v>
      </c>
      <c r="G177" s="123">
        <f t="shared" si="50"/>
        <v>0.9</v>
      </c>
      <c r="H177" s="123">
        <f t="shared" si="50"/>
        <v>0.9</v>
      </c>
      <c r="I177" s="123">
        <f t="shared" si="50"/>
        <v>0.9</v>
      </c>
      <c r="J177" s="123">
        <f t="shared" si="50"/>
        <v>0.9</v>
      </c>
      <c r="K177" s="123">
        <f t="shared" si="50"/>
        <v>0.9</v>
      </c>
      <c r="L177" s="123">
        <f t="shared" si="50"/>
        <v>0.9</v>
      </c>
      <c r="M177" s="123">
        <f t="shared" si="50"/>
        <v>0.9</v>
      </c>
      <c r="N177" s="123">
        <f t="shared" si="50"/>
        <v>0.9</v>
      </c>
      <c r="O177" s="123">
        <f t="shared" si="50"/>
        <v>0.9</v>
      </c>
      <c r="P177" s="123">
        <f t="shared" si="50"/>
        <v>0.9</v>
      </c>
      <c r="Q177" s="123">
        <f t="shared" si="50"/>
        <v>0.9</v>
      </c>
      <c r="R177" s="123">
        <f t="shared" si="50"/>
        <v>0.9</v>
      </c>
      <c r="S177" s="123">
        <f t="shared" si="51"/>
        <v>0.9</v>
      </c>
      <c r="T177" s="123">
        <f t="shared" si="51"/>
        <v>0.9</v>
      </c>
      <c r="U177" s="123">
        <f t="shared" si="51"/>
        <v>0.9</v>
      </c>
      <c r="V177" s="123">
        <f t="shared" si="51"/>
        <v>0.9</v>
      </c>
      <c r="W177" s="123">
        <f t="shared" si="51"/>
        <v>0.9</v>
      </c>
      <c r="X177" s="123">
        <f t="shared" si="51"/>
        <v>0.9</v>
      </c>
      <c r="Y177" s="123">
        <f t="shared" si="51"/>
        <v>0.9</v>
      </c>
      <c r="Z177" s="123">
        <f t="shared" si="51"/>
        <v>0.9</v>
      </c>
      <c r="AA177" s="123">
        <f t="shared" si="51"/>
        <v>0.9</v>
      </c>
      <c r="AB177" s="123">
        <f t="shared" si="51"/>
        <v>0.9</v>
      </c>
      <c r="AC177" s="123">
        <f t="shared" si="51"/>
        <v>0.9</v>
      </c>
      <c r="AD177" s="123">
        <f t="shared" si="51"/>
        <v>0.9</v>
      </c>
      <c r="AE177" s="123">
        <f t="shared" si="51"/>
        <v>0.9</v>
      </c>
      <c r="AF177" s="123">
        <f t="shared" si="51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2">AF179</f>
        <v>0.57999999999999996</v>
      </c>
      <c r="C179" s="124">
        <v>0.57999999999999996</v>
      </c>
      <c r="D179" s="123">
        <f t="shared" ref="D179:S191" si="53">C179</f>
        <v>0.57999999999999996</v>
      </c>
      <c r="E179" s="123">
        <f t="shared" si="53"/>
        <v>0.57999999999999996</v>
      </c>
      <c r="F179" s="123">
        <f t="shared" si="53"/>
        <v>0.57999999999999996</v>
      </c>
      <c r="G179" s="123">
        <f t="shared" si="53"/>
        <v>0.57999999999999996</v>
      </c>
      <c r="H179" s="123">
        <f t="shared" si="53"/>
        <v>0.57999999999999996</v>
      </c>
      <c r="I179" s="123">
        <f t="shared" si="53"/>
        <v>0.57999999999999996</v>
      </c>
      <c r="J179" s="123">
        <f t="shared" si="53"/>
        <v>0.57999999999999996</v>
      </c>
      <c r="K179" s="123">
        <f t="shared" si="53"/>
        <v>0.57999999999999996</v>
      </c>
      <c r="L179" s="123">
        <f t="shared" si="53"/>
        <v>0.57999999999999996</v>
      </c>
      <c r="M179" s="123">
        <f t="shared" si="53"/>
        <v>0.57999999999999996</v>
      </c>
      <c r="N179" s="123">
        <f t="shared" si="53"/>
        <v>0.57999999999999996</v>
      </c>
      <c r="O179" s="123">
        <f t="shared" si="53"/>
        <v>0.57999999999999996</v>
      </c>
      <c r="P179" s="123">
        <f t="shared" si="53"/>
        <v>0.57999999999999996</v>
      </c>
      <c r="Q179" s="123">
        <f t="shared" si="53"/>
        <v>0.57999999999999996</v>
      </c>
      <c r="R179" s="123">
        <f t="shared" si="53"/>
        <v>0.57999999999999996</v>
      </c>
      <c r="S179" s="123">
        <f t="shared" si="53"/>
        <v>0.57999999999999996</v>
      </c>
      <c r="T179" s="123">
        <f t="shared" ref="S179:AF191" si="54">S179</f>
        <v>0.57999999999999996</v>
      </c>
      <c r="U179" s="123">
        <f t="shared" si="54"/>
        <v>0.57999999999999996</v>
      </c>
      <c r="V179" s="123">
        <f t="shared" si="54"/>
        <v>0.57999999999999996</v>
      </c>
      <c r="W179" s="123">
        <f t="shared" si="54"/>
        <v>0.57999999999999996</v>
      </c>
      <c r="X179" s="123">
        <f t="shared" si="54"/>
        <v>0.57999999999999996</v>
      </c>
      <c r="Y179" s="123">
        <f t="shared" si="54"/>
        <v>0.57999999999999996</v>
      </c>
      <c r="Z179" s="123">
        <f t="shared" si="54"/>
        <v>0.57999999999999996</v>
      </c>
      <c r="AA179" s="123">
        <f t="shared" si="54"/>
        <v>0.57999999999999996</v>
      </c>
      <c r="AB179" s="123">
        <f t="shared" si="54"/>
        <v>0.57999999999999996</v>
      </c>
      <c r="AC179" s="123">
        <f t="shared" si="54"/>
        <v>0.57999999999999996</v>
      </c>
      <c r="AD179" s="123">
        <f t="shared" si="54"/>
        <v>0.57999999999999996</v>
      </c>
      <c r="AE179" s="123">
        <f t="shared" si="54"/>
        <v>0.57999999999999996</v>
      </c>
      <c r="AF179" s="123">
        <f t="shared" si="54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2"/>
        <v>0.8</v>
      </c>
      <c r="C180" s="124">
        <v>0.8</v>
      </c>
      <c r="D180" s="123">
        <f t="shared" si="53"/>
        <v>0.8</v>
      </c>
      <c r="E180" s="123">
        <f t="shared" si="53"/>
        <v>0.8</v>
      </c>
      <c r="F180" s="123">
        <f t="shared" si="53"/>
        <v>0.8</v>
      </c>
      <c r="G180" s="123">
        <f t="shared" si="53"/>
        <v>0.8</v>
      </c>
      <c r="H180" s="123">
        <f t="shared" si="53"/>
        <v>0.8</v>
      </c>
      <c r="I180" s="123">
        <f t="shared" si="53"/>
        <v>0.8</v>
      </c>
      <c r="J180" s="123">
        <f t="shared" si="53"/>
        <v>0.8</v>
      </c>
      <c r="K180" s="123">
        <f t="shared" si="53"/>
        <v>0.8</v>
      </c>
      <c r="L180" s="123">
        <f t="shared" si="53"/>
        <v>0.8</v>
      </c>
      <c r="M180" s="123">
        <f t="shared" si="53"/>
        <v>0.8</v>
      </c>
      <c r="N180" s="123">
        <f t="shared" si="53"/>
        <v>0.8</v>
      </c>
      <c r="O180" s="123">
        <f t="shared" si="53"/>
        <v>0.8</v>
      </c>
      <c r="P180" s="123">
        <f t="shared" si="53"/>
        <v>0.8</v>
      </c>
      <c r="Q180" s="123">
        <f t="shared" si="53"/>
        <v>0.8</v>
      </c>
      <c r="R180" s="123">
        <f t="shared" si="53"/>
        <v>0.8</v>
      </c>
      <c r="S180" s="123">
        <f t="shared" si="53"/>
        <v>0.8</v>
      </c>
      <c r="T180" s="123">
        <f t="shared" si="54"/>
        <v>0.8</v>
      </c>
      <c r="U180" s="123">
        <f t="shared" si="54"/>
        <v>0.8</v>
      </c>
      <c r="V180" s="123">
        <f t="shared" si="54"/>
        <v>0.8</v>
      </c>
      <c r="W180" s="123">
        <f t="shared" si="54"/>
        <v>0.8</v>
      </c>
      <c r="X180" s="123">
        <f t="shared" si="54"/>
        <v>0.8</v>
      </c>
      <c r="Y180" s="123">
        <f t="shared" si="54"/>
        <v>0.8</v>
      </c>
      <c r="Z180" s="123">
        <f t="shared" si="54"/>
        <v>0.8</v>
      </c>
      <c r="AA180" s="123">
        <f t="shared" si="54"/>
        <v>0.8</v>
      </c>
      <c r="AB180" s="123">
        <f t="shared" si="54"/>
        <v>0.8</v>
      </c>
      <c r="AC180" s="123">
        <f t="shared" si="54"/>
        <v>0.8</v>
      </c>
      <c r="AD180" s="123">
        <f t="shared" si="54"/>
        <v>0.8</v>
      </c>
      <c r="AE180" s="123">
        <f t="shared" si="54"/>
        <v>0.8</v>
      </c>
      <c r="AF180" s="123">
        <f t="shared" si="54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2"/>
        <v>0</v>
      </c>
      <c r="C181" s="124">
        <v>0</v>
      </c>
      <c r="D181" s="123">
        <f t="shared" si="53"/>
        <v>0</v>
      </c>
      <c r="E181" s="123">
        <f t="shared" si="53"/>
        <v>0</v>
      </c>
      <c r="F181" s="123">
        <f t="shared" si="53"/>
        <v>0</v>
      </c>
      <c r="G181" s="123">
        <f t="shared" si="53"/>
        <v>0</v>
      </c>
      <c r="H181" s="123">
        <f t="shared" si="53"/>
        <v>0</v>
      </c>
      <c r="I181" s="123">
        <f t="shared" si="53"/>
        <v>0</v>
      </c>
      <c r="J181" s="123">
        <f t="shared" si="53"/>
        <v>0</v>
      </c>
      <c r="K181" s="123">
        <f t="shared" si="53"/>
        <v>0</v>
      </c>
      <c r="L181" s="123">
        <f t="shared" si="53"/>
        <v>0</v>
      </c>
      <c r="M181" s="123">
        <f t="shared" si="53"/>
        <v>0</v>
      </c>
      <c r="N181" s="123">
        <f t="shared" si="53"/>
        <v>0</v>
      </c>
      <c r="O181" s="123">
        <f t="shared" si="53"/>
        <v>0</v>
      </c>
      <c r="P181" s="123">
        <f t="shared" si="53"/>
        <v>0</v>
      </c>
      <c r="Q181" s="123">
        <f t="shared" si="53"/>
        <v>0</v>
      </c>
      <c r="R181" s="123">
        <f t="shared" si="53"/>
        <v>0</v>
      </c>
      <c r="S181" s="123">
        <f t="shared" si="53"/>
        <v>0</v>
      </c>
      <c r="T181" s="123">
        <f t="shared" si="54"/>
        <v>0</v>
      </c>
      <c r="U181" s="123">
        <f t="shared" si="54"/>
        <v>0</v>
      </c>
      <c r="V181" s="123">
        <f t="shared" si="54"/>
        <v>0</v>
      </c>
      <c r="W181" s="123">
        <f t="shared" si="54"/>
        <v>0</v>
      </c>
      <c r="X181" s="123">
        <f t="shared" si="54"/>
        <v>0</v>
      </c>
      <c r="Y181" s="123">
        <f t="shared" si="54"/>
        <v>0</v>
      </c>
      <c r="Z181" s="123">
        <f t="shared" si="54"/>
        <v>0</v>
      </c>
      <c r="AA181" s="123">
        <f t="shared" si="54"/>
        <v>0</v>
      </c>
      <c r="AB181" s="123">
        <f t="shared" si="54"/>
        <v>0</v>
      </c>
      <c r="AC181" s="123">
        <f t="shared" si="54"/>
        <v>0</v>
      </c>
      <c r="AD181" s="123">
        <f t="shared" si="54"/>
        <v>0</v>
      </c>
      <c r="AE181" s="123">
        <f t="shared" si="54"/>
        <v>0</v>
      </c>
      <c r="AF181" s="123">
        <f t="shared" si="54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2"/>
        <v>0.6</v>
      </c>
      <c r="C182" s="124">
        <v>0.6</v>
      </c>
      <c r="D182" s="123">
        <f t="shared" si="53"/>
        <v>0.6</v>
      </c>
      <c r="E182" s="123">
        <f t="shared" si="53"/>
        <v>0.6</v>
      </c>
      <c r="F182" s="123">
        <f t="shared" si="53"/>
        <v>0.6</v>
      </c>
      <c r="G182" s="123">
        <f t="shared" si="53"/>
        <v>0.6</v>
      </c>
      <c r="H182" s="123">
        <f t="shared" si="53"/>
        <v>0.6</v>
      </c>
      <c r="I182" s="123">
        <f t="shared" si="53"/>
        <v>0.6</v>
      </c>
      <c r="J182" s="123">
        <f t="shared" si="53"/>
        <v>0.6</v>
      </c>
      <c r="K182" s="123">
        <f t="shared" si="53"/>
        <v>0.6</v>
      </c>
      <c r="L182" s="123">
        <f t="shared" si="53"/>
        <v>0.6</v>
      </c>
      <c r="M182" s="123">
        <f t="shared" si="53"/>
        <v>0.6</v>
      </c>
      <c r="N182" s="123">
        <f t="shared" si="53"/>
        <v>0.6</v>
      </c>
      <c r="O182" s="123">
        <f t="shared" si="53"/>
        <v>0.6</v>
      </c>
      <c r="P182" s="123">
        <f t="shared" si="53"/>
        <v>0.6</v>
      </c>
      <c r="Q182" s="123">
        <f t="shared" si="53"/>
        <v>0.6</v>
      </c>
      <c r="R182" s="123">
        <f t="shared" si="53"/>
        <v>0.6</v>
      </c>
      <c r="S182" s="123">
        <f t="shared" si="53"/>
        <v>0.6</v>
      </c>
      <c r="T182" s="123">
        <f t="shared" si="54"/>
        <v>0.6</v>
      </c>
      <c r="U182" s="123">
        <f t="shared" si="54"/>
        <v>0.6</v>
      </c>
      <c r="V182" s="123">
        <f t="shared" si="54"/>
        <v>0.6</v>
      </c>
      <c r="W182" s="123">
        <f t="shared" si="54"/>
        <v>0.6</v>
      </c>
      <c r="X182" s="123">
        <f t="shared" si="54"/>
        <v>0.6</v>
      </c>
      <c r="Y182" s="123">
        <f t="shared" si="54"/>
        <v>0.6</v>
      </c>
      <c r="Z182" s="123">
        <f t="shared" si="54"/>
        <v>0.6</v>
      </c>
      <c r="AA182" s="123">
        <f t="shared" si="54"/>
        <v>0.6</v>
      </c>
      <c r="AB182" s="123">
        <f t="shared" si="54"/>
        <v>0.6</v>
      </c>
      <c r="AC182" s="123">
        <f t="shared" si="54"/>
        <v>0.6</v>
      </c>
      <c r="AD182" s="123">
        <f t="shared" si="54"/>
        <v>0.6</v>
      </c>
      <c r="AE182" s="123">
        <f t="shared" si="54"/>
        <v>0.6</v>
      </c>
      <c r="AF182" s="123">
        <f t="shared" si="54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2"/>
        <v>0.35</v>
      </c>
      <c r="C184" s="124">
        <v>0.35</v>
      </c>
      <c r="D184" s="123">
        <f t="shared" si="53"/>
        <v>0.35</v>
      </c>
      <c r="E184" s="123">
        <f t="shared" si="53"/>
        <v>0.35</v>
      </c>
      <c r="F184" s="123">
        <f t="shared" si="53"/>
        <v>0.35</v>
      </c>
      <c r="G184" s="123">
        <f t="shared" si="53"/>
        <v>0.35</v>
      </c>
      <c r="H184" s="123">
        <f t="shared" si="53"/>
        <v>0.35</v>
      </c>
      <c r="I184" s="123">
        <f t="shared" si="53"/>
        <v>0.35</v>
      </c>
      <c r="J184" s="123">
        <f t="shared" si="53"/>
        <v>0.35</v>
      </c>
      <c r="K184" s="123">
        <f t="shared" si="53"/>
        <v>0.35</v>
      </c>
      <c r="L184" s="123">
        <f t="shared" si="53"/>
        <v>0.35</v>
      </c>
      <c r="M184" s="123">
        <f t="shared" si="53"/>
        <v>0.35</v>
      </c>
      <c r="N184" s="123">
        <f t="shared" si="53"/>
        <v>0.35</v>
      </c>
      <c r="O184" s="123">
        <f t="shared" si="53"/>
        <v>0.35</v>
      </c>
      <c r="P184" s="123">
        <f t="shared" si="53"/>
        <v>0.35</v>
      </c>
      <c r="Q184" s="123">
        <f t="shared" si="53"/>
        <v>0.35</v>
      </c>
      <c r="R184" s="123">
        <f t="shared" si="53"/>
        <v>0.35</v>
      </c>
      <c r="S184" s="123">
        <f t="shared" si="53"/>
        <v>0.35</v>
      </c>
      <c r="T184" s="123">
        <f t="shared" si="54"/>
        <v>0.35</v>
      </c>
      <c r="U184" s="123">
        <f t="shared" si="54"/>
        <v>0.35</v>
      </c>
      <c r="V184" s="123">
        <f t="shared" si="54"/>
        <v>0.35</v>
      </c>
      <c r="W184" s="123">
        <f t="shared" si="54"/>
        <v>0.35</v>
      </c>
      <c r="X184" s="123">
        <f t="shared" si="54"/>
        <v>0.35</v>
      </c>
      <c r="Y184" s="123">
        <f t="shared" si="54"/>
        <v>0.35</v>
      </c>
      <c r="Z184" s="123">
        <f t="shared" si="54"/>
        <v>0.35</v>
      </c>
      <c r="AA184" s="123">
        <f t="shared" si="54"/>
        <v>0.35</v>
      </c>
      <c r="AB184" s="123">
        <f t="shared" si="54"/>
        <v>0.35</v>
      </c>
      <c r="AC184" s="123">
        <f t="shared" si="54"/>
        <v>0.35</v>
      </c>
      <c r="AD184" s="123">
        <f t="shared" si="54"/>
        <v>0.35</v>
      </c>
      <c r="AE184" s="123">
        <f t="shared" si="54"/>
        <v>0.35</v>
      </c>
      <c r="AF184" s="123">
        <f t="shared" si="54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2"/>
        <v>0.28999999999999998</v>
      </c>
      <c r="C185" s="124">
        <v>0.28999999999999998</v>
      </c>
      <c r="D185" s="123">
        <f t="shared" si="53"/>
        <v>0.28999999999999998</v>
      </c>
      <c r="E185" s="123">
        <f t="shared" si="53"/>
        <v>0.28999999999999998</v>
      </c>
      <c r="F185" s="123">
        <f t="shared" si="53"/>
        <v>0.28999999999999998</v>
      </c>
      <c r="G185" s="123">
        <f t="shared" si="53"/>
        <v>0.28999999999999998</v>
      </c>
      <c r="H185" s="123">
        <f t="shared" si="53"/>
        <v>0.28999999999999998</v>
      </c>
      <c r="I185" s="123">
        <f t="shared" si="53"/>
        <v>0.28999999999999998</v>
      </c>
      <c r="J185" s="123">
        <f t="shared" si="53"/>
        <v>0.28999999999999998</v>
      </c>
      <c r="K185" s="123">
        <f t="shared" si="53"/>
        <v>0.28999999999999998</v>
      </c>
      <c r="L185" s="123">
        <f t="shared" si="53"/>
        <v>0.28999999999999998</v>
      </c>
      <c r="M185" s="123">
        <f t="shared" si="53"/>
        <v>0.28999999999999998</v>
      </c>
      <c r="N185" s="123">
        <f t="shared" si="53"/>
        <v>0.28999999999999998</v>
      </c>
      <c r="O185" s="123">
        <f t="shared" si="53"/>
        <v>0.28999999999999998</v>
      </c>
      <c r="P185" s="123">
        <f t="shared" si="53"/>
        <v>0.28999999999999998</v>
      </c>
      <c r="Q185" s="123">
        <f t="shared" si="53"/>
        <v>0.28999999999999998</v>
      </c>
      <c r="R185" s="123">
        <f t="shared" si="53"/>
        <v>0.28999999999999998</v>
      </c>
      <c r="S185" s="123">
        <f t="shared" si="53"/>
        <v>0.28999999999999998</v>
      </c>
      <c r="T185" s="123">
        <f t="shared" si="54"/>
        <v>0.28999999999999998</v>
      </c>
      <c r="U185" s="123">
        <f t="shared" si="54"/>
        <v>0.28999999999999998</v>
      </c>
      <c r="V185" s="123">
        <f t="shared" si="54"/>
        <v>0.28999999999999998</v>
      </c>
      <c r="W185" s="123">
        <f t="shared" si="54"/>
        <v>0.28999999999999998</v>
      </c>
      <c r="X185" s="123">
        <f t="shared" si="54"/>
        <v>0.28999999999999998</v>
      </c>
      <c r="Y185" s="123">
        <f t="shared" si="54"/>
        <v>0.28999999999999998</v>
      </c>
      <c r="Z185" s="123">
        <f t="shared" si="54"/>
        <v>0.28999999999999998</v>
      </c>
      <c r="AA185" s="123">
        <f t="shared" si="54"/>
        <v>0.28999999999999998</v>
      </c>
      <c r="AB185" s="123">
        <f t="shared" si="54"/>
        <v>0.28999999999999998</v>
      </c>
      <c r="AC185" s="123">
        <f t="shared" si="54"/>
        <v>0.28999999999999998</v>
      </c>
      <c r="AD185" s="123">
        <f t="shared" si="54"/>
        <v>0.28999999999999998</v>
      </c>
      <c r="AE185" s="123">
        <f t="shared" si="54"/>
        <v>0.28999999999999998</v>
      </c>
      <c r="AF185" s="123">
        <f t="shared" si="54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2"/>
        <v>0.06</v>
      </c>
      <c r="C186" s="124">
        <v>0.06</v>
      </c>
      <c r="D186" s="123">
        <f t="shared" si="53"/>
        <v>0.06</v>
      </c>
      <c r="E186" s="123">
        <f t="shared" si="53"/>
        <v>0.06</v>
      </c>
      <c r="F186" s="123">
        <f t="shared" si="53"/>
        <v>0.06</v>
      </c>
      <c r="G186" s="123">
        <f t="shared" si="53"/>
        <v>0.06</v>
      </c>
      <c r="H186" s="123">
        <f t="shared" si="53"/>
        <v>0.06</v>
      </c>
      <c r="I186" s="123">
        <f t="shared" si="53"/>
        <v>0.06</v>
      </c>
      <c r="J186" s="123">
        <f t="shared" si="53"/>
        <v>0.06</v>
      </c>
      <c r="K186" s="123">
        <f t="shared" si="53"/>
        <v>0.06</v>
      </c>
      <c r="L186" s="123">
        <f t="shared" si="53"/>
        <v>0.06</v>
      </c>
      <c r="M186" s="123">
        <f t="shared" si="53"/>
        <v>0.06</v>
      </c>
      <c r="N186" s="123">
        <f t="shared" si="53"/>
        <v>0.06</v>
      </c>
      <c r="O186" s="123">
        <f t="shared" si="53"/>
        <v>0.06</v>
      </c>
      <c r="P186" s="123">
        <f t="shared" si="53"/>
        <v>0.06</v>
      </c>
      <c r="Q186" s="123">
        <f t="shared" si="53"/>
        <v>0.06</v>
      </c>
      <c r="R186" s="123">
        <f t="shared" si="53"/>
        <v>0.06</v>
      </c>
      <c r="S186" s="123">
        <f t="shared" si="53"/>
        <v>0.06</v>
      </c>
      <c r="T186" s="123">
        <f t="shared" si="54"/>
        <v>0.06</v>
      </c>
      <c r="U186" s="123">
        <f t="shared" si="54"/>
        <v>0.06</v>
      </c>
      <c r="V186" s="123">
        <f t="shared" si="54"/>
        <v>0.06</v>
      </c>
      <c r="W186" s="123">
        <f t="shared" si="54"/>
        <v>0.06</v>
      </c>
      <c r="X186" s="123">
        <f t="shared" si="54"/>
        <v>0.06</v>
      </c>
      <c r="Y186" s="123">
        <f t="shared" si="54"/>
        <v>0.06</v>
      </c>
      <c r="Z186" s="123">
        <f t="shared" si="54"/>
        <v>0.06</v>
      </c>
      <c r="AA186" s="123">
        <f t="shared" si="54"/>
        <v>0.06</v>
      </c>
      <c r="AB186" s="123">
        <f t="shared" si="54"/>
        <v>0.06</v>
      </c>
      <c r="AC186" s="123">
        <f t="shared" si="54"/>
        <v>0.06</v>
      </c>
      <c r="AD186" s="123">
        <f t="shared" si="54"/>
        <v>0.06</v>
      </c>
      <c r="AE186" s="123">
        <f t="shared" si="54"/>
        <v>0.06</v>
      </c>
      <c r="AF186" s="123">
        <f t="shared" si="54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2"/>
        <v>0.11</v>
      </c>
      <c r="C187" s="124">
        <v>0.11</v>
      </c>
      <c r="D187" s="123">
        <f t="shared" si="53"/>
        <v>0.11</v>
      </c>
      <c r="E187" s="123">
        <f t="shared" si="53"/>
        <v>0.11</v>
      </c>
      <c r="F187" s="123">
        <f t="shared" si="53"/>
        <v>0.11</v>
      </c>
      <c r="G187" s="123">
        <f t="shared" si="53"/>
        <v>0.11</v>
      </c>
      <c r="H187" s="123">
        <f t="shared" si="53"/>
        <v>0.11</v>
      </c>
      <c r="I187" s="123">
        <f t="shared" si="53"/>
        <v>0.11</v>
      </c>
      <c r="J187" s="123">
        <f t="shared" si="53"/>
        <v>0.11</v>
      </c>
      <c r="K187" s="123">
        <f t="shared" si="53"/>
        <v>0.11</v>
      </c>
      <c r="L187" s="123">
        <f t="shared" si="53"/>
        <v>0.11</v>
      </c>
      <c r="M187" s="123">
        <f t="shared" si="53"/>
        <v>0.11</v>
      </c>
      <c r="N187" s="123">
        <f t="shared" si="53"/>
        <v>0.11</v>
      </c>
      <c r="O187" s="123">
        <f t="shared" si="53"/>
        <v>0.11</v>
      </c>
      <c r="P187" s="123">
        <f t="shared" si="53"/>
        <v>0.11</v>
      </c>
      <c r="Q187" s="123">
        <f t="shared" si="53"/>
        <v>0.11</v>
      </c>
      <c r="R187" s="123">
        <f t="shared" si="53"/>
        <v>0.11</v>
      </c>
      <c r="S187" s="123">
        <f t="shared" si="53"/>
        <v>0.11</v>
      </c>
      <c r="T187" s="123">
        <f t="shared" si="54"/>
        <v>0.11</v>
      </c>
      <c r="U187" s="123">
        <f t="shared" si="54"/>
        <v>0.11</v>
      </c>
      <c r="V187" s="123">
        <f t="shared" si="54"/>
        <v>0.11</v>
      </c>
      <c r="W187" s="123">
        <f t="shared" si="54"/>
        <v>0.11</v>
      </c>
      <c r="X187" s="123">
        <f t="shared" si="54"/>
        <v>0.11</v>
      </c>
      <c r="Y187" s="123">
        <f t="shared" si="54"/>
        <v>0.11</v>
      </c>
      <c r="Z187" s="123">
        <f t="shared" si="54"/>
        <v>0.11</v>
      </c>
      <c r="AA187" s="123">
        <f t="shared" si="54"/>
        <v>0.11</v>
      </c>
      <c r="AB187" s="123">
        <f t="shared" si="54"/>
        <v>0.11</v>
      </c>
      <c r="AC187" s="123">
        <f t="shared" si="54"/>
        <v>0.11</v>
      </c>
      <c r="AD187" s="123">
        <f t="shared" si="54"/>
        <v>0.11</v>
      </c>
      <c r="AE187" s="123">
        <f t="shared" si="54"/>
        <v>0.11</v>
      </c>
      <c r="AF187" s="123">
        <f t="shared" si="54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2"/>
        <v>0.1</v>
      </c>
      <c r="C188" s="124">
        <v>0.1</v>
      </c>
      <c r="D188" s="123">
        <f t="shared" si="53"/>
        <v>0.1</v>
      </c>
      <c r="E188" s="123">
        <f t="shared" si="53"/>
        <v>0.1</v>
      </c>
      <c r="F188" s="123">
        <f t="shared" si="53"/>
        <v>0.1</v>
      </c>
      <c r="G188" s="123">
        <f t="shared" si="53"/>
        <v>0.1</v>
      </c>
      <c r="H188" s="123">
        <f t="shared" si="53"/>
        <v>0.1</v>
      </c>
      <c r="I188" s="123">
        <f t="shared" si="53"/>
        <v>0.1</v>
      </c>
      <c r="J188" s="123">
        <f t="shared" si="53"/>
        <v>0.1</v>
      </c>
      <c r="K188" s="123">
        <f t="shared" si="53"/>
        <v>0.1</v>
      </c>
      <c r="L188" s="123">
        <f t="shared" si="53"/>
        <v>0.1</v>
      </c>
      <c r="M188" s="123">
        <f t="shared" si="53"/>
        <v>0.1</v>
      </c>
      <c r="N188" s="123">
        <f t="shared" si="53"/>
        <v>0.1</v>
      </c>
      <c r="O188" s="123">
        <f t="shared" si="53"/>
        <v>0.1</v>
      </c>
      <c r="P188" s="123">
        <f t="shared" si="53"/>
        <v>0.1</v>
      </c>
      <c r="Q188" s="123">
        <f t="shared" si="53"/>
        <v>0.1</v>
      </c>
      <c r="R188" s="123">
        <f t="shared" si="53"/>
        <v>0.1</v>
      </c>
      <c r="S188" s="123">
        <f t="shared" si="54"/>
        <v>0.1</v>
      </c>
      <c r="T188" s="123">
        <f t="shared" si="54"/>
        <v>0.1</v>
      </c>
      <c r="U188" s="123">
        <f t="shared" si="54"/>
        <v>0.1</v>
      </c>
      <c r="V188" s="123">
        <f t="shared" si="54"/>
        <v>0.1</v>
      </c>
      <c r="W188" s="123">
        <f t="shared" si="54"/>
        <v>0.1</v>
      </c>
      <c r="X188" s="123">
        <f t="shared" si="54"/>
        <v>0.1</v>
      </c>
      <c r="Y188" s="123">
        <f t="shared" si="54"/>
        <v>0.1</v>
      </c>
      <c r="Z188" s="123">
        <f t="shared" si="54"/>
        <v>0.1</v>
      </c>
      <c r="AA188" s="123">
        <f t="shared" si="54"/>
        <v>0.1</v>
      </c>
      <c r="AB188" s="123">
        <f t="shared" si="54"/>
        <v>0.1</v>
      </c>
      <c r="AC188" s="123">
        <f t="shared" si="54"/>
        <v>0.1</v>
      </c>
      <c r="AD188" s="123">
        <f t="shared" si="54"/>
        <v>0.1</v>
      </c>
      <c r="AE188" s="123">
        <f t="shared" si="54"/>
        <v>0.1</v>
      </c>
      <c r="AF188" s="123">
        <f t="shared" si="54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2"/>
        <v>0.09</v>
      </c>
      <c r="C189" s="124">
        <v>0.09</v>
      </c>
      <c r="D189" s="123">
        <f t="shared" si="53"/>
        <v>0.09</v>
      </c>
      <c r="E189" s="123">
        <f t="shared" si="53"/>
        <v>0.09</v>
      </c>
      <c r="F189" s="123">
        <f t="shared" si="53"/>
        <v>0.09</v>
      </c>
      <c r="G189" s="123">
        <f t="shared" si="53"/>
        <v>0.09</v>
      </c>
      <c r="H189" s="123">
        <f t="shared" si="53"/>
        <v>0.09</v>
      </c>
      <c r="I189" s="123">
        <f t="shared" si="53"/>
        <v>0.09</v>
      </c>
      <c r="J189" s="123">
        <f t="shared" si="53"/>
        <v>0.09</v>
      </c>
      <c r="K189" s="123">
        <f t="shared" si="53"/>
        <v>0.09</v>
      </c>
      <c r="L189" s="123">
        <f t="shared" si="53"/>
        <v>0.09</v>
      </c>
      <c r="M189" s="123">
        <f t="shared" si="53"/>
        <v>0.09</v>
      </c>
      <c r="N189" s="123">
        <f t="shared" si="53"/>
        <v>0.09</v>
      </c>
      <c r="O189" s="123">
        <f t="shared" si="53"/>
        <v>0.09</v>
      </c>
      <c r="P189" s="123">
        <f t="shared" si="53"/>
        <v>0.09</v>
      </c>
      <c r="Q189" s="123">
        <f t="shared" si="53"/>
        <v>0.09</v>
      </c>
      <c r="R189" s="123">
        <f t="shared" si="53"/>
        <v>0.09</v>
      </c>
      <c r="S189" s="123">
        <f t="shared" si="54"/>
        <v>0.09</v>
      </c>
      <c r="T189" s="123">
        <f t="shared" si="54"/>
        <v>0.09</v>
      </c>
      <c r="U189" s="123">
        <f t="shared" si="54"/>
        <v>0.09</v>
      </c>
      <c r="V189" s="123">
        <f t="shared" si="54"/>
        <v>0.09</v>
      </c>
      <c r="W189" s="123">
        <f t="shared" si="54"/>
        <v>0.09</v>
      </c>
      <c r="X189" s="123">
        <f t="shared" si="54"/>
        <v>0.09</v>
      </c>
      <c r="Y189" s="123">
        <f t="shared" si="54"/>
        <v>0.09</v>
      </c>
      <c r="Z189" s="123">
        <f t="shared" si="54"/>
        <v>0.09</v>
      </c>
      <c r="AA189" s="123">
        <f t="shared" si="54"/>
        <v>0.09</v>
      </c>
      <c r="AB189" s="123">
        <f t="shared" si="54"/>
        <v>0.09</v>
      </c>
      <c r="AC189" s="123">
        <f t="shared" si="54"/>
        <v>0.09</v>
      </c>
      <c r="AD189" s="123">
        <f t="shared" si="54"/>
        <v>0.09</v>
      </c>
      <c r="AE189" s="123">
        <f t="shared" si="54"/>
        <v>0.09</v>
      </c>
      <c r="AF189" s="123">
        <f t="shared" si="54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2"/>
        <v>0.04</v>
      </c>
      <c r="C190" s="53">
        <v>0.04</v>
      </c>
      <c r="D190" s="123">
        <f t="shared" si="53"/>
        <v>0.04</v>
      </c>
      <c r="E190" s="123">
        <f t="shared" si="53"/>
        <v>0.04</v>
      </c>
      <c r="F190" s="123">
        <f t="shared" si="53"/>
        <v>0.04</v>
      </c>
      <c r="G190" s="123">
        <f t="shared" si="53"/>
        <v>0.04</v>
      </c>
      <c r="H190" s="123">
        <f t="shared" si="53"/>
        <v>0.04</v>
      </c>
      <c r="I190" s="123">
        <f t="shared" si="53"/>
        <v>0.04</v>
      </c>
      <c r="J190" s="123">
        <f t="shared" si="53"/>
        <v>0.04</v>
      </c>
      <c r="K190" s="123">
        <f t="shared" si="53"/>
        <v>0.04</v>
      </c>
      <c r="L190" s="123">
        <f t="shared" si="53"/>
        <v>0.04</v>
      </c>
      <c r="M190" s="123">
        <f t="shared" si="53"/>
        <v>0.04</v>
      </c>
      <c r="N190" s="123">
        <f t="shared" si="53"/>
        <v>0.04</v>
      </c>
      <c r="O190" s="123">
        <f t="shared" si="53"/>
        <v>0.04</v>
      </c>
      <c r="P190" s="123">
        <f t="shared" si="53"/>
        <v>0.04</v>
      </c>
      <c r="Q190" s="123">
        <f t="shared" si="53"/>
        <v>0.04</v>
      </c>
      <c r="R190" s="123">
        <f t="shared" si="53"/>
        <v>0.04</v>
      </c>
      <c r="S190" s="123">
        <f t="shared" si="54"/>
        <v>0.04</v>
      </c>
      <c r="T190" s="123">
        <f t="shared" si="54"/>
        <v>0.04</v>
      </c>
      <c r="U190" s="123">
        <f t="shared" si="54"/>
        <v>0.04</v>
      </c>
      <c r="V190" s="123">
        <f t="shared" si="54"/>
        <v>0.04</v>
      </c>
      <c r="W190" s="123">
        <f t="shared" si="54"/>
        <v>0.04</v>
      </c>
      <c r="X190" s="123">
        <f t="shared" si="54"/>
        <v>0.04</v>
      </c>
      <c r="Y190" s="123">
        <f t="shared" si="54"/>
        <v>0.04</v>
      </c>
      <c r="Z190" s="123">
        <f t="shared" si="54"/>
        <v>0.04</v>
      </c>
      <c r="AA190" s="123">
        <f t="shared" si="54"/>
        <v>0.04</v>
      </c>
      <c r="AB190" s="123">
        <f t="shared" si="54"/>
        <v>0.04</v>
      </c>
      <c r="AC190" s="123">
        <f t="shared" si="54"/>
        <v>0.04</v>
      </c>
      <c r="AD190" s="123">
        <f t="shared" si="54"/>
        <v>0.04</v>
      </c>
      <c r="AE190" s="123">
        <f t="shared" si="54"/>
        <v>0.04</v>
      </c>
      <c r="AF190" s="123">
        <f t="shared" si="54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2"/>
        <v>2.3E-2</v>
      </c>
      <c r="C191" s="53">
        <v>2.3E-2</v>
      </c>
      <c r="D191" s="123">
        <f>C191</f>
        <v>2.3E-2</v>
      </c>
      <c r="E191" s="123">
        <f t="shared" si="53"/>
        <v>2.3E-2</v>
      </c>
      <c r="F191" s="123">
        <f t="shared" si="53"/>
        <v>2.3E-2</v>
      </c>
      <c r="G191" s="123">
        <f t="shared" si="53"/>
        <v>2.3E-2</v>
      </c>
      <c r="H191" s="123">
        <f t="shared" si="53"/>
        <v>2.3E-2</v>
      </c>
      <c r="I191" s="123">
        <f t="shared" si="53"/>
        <v>2.3E-2</v>
      </c>
      <c r="J191" s="123">
        <f t="shared" si="53"/>
        <v>2.3E-2</v>
      </c>
      <c r="K191" s="123">
        <f t="shared" si="53"/>
        <v>2.3E-2</v>
      </c>
      <c r="L191" s="123">
        <f t="shared" si="53"/>
        <v>2.3E-2</v>
      </c>
      <c r="M191" s="123">
        <f t="shared" si="53"/>
        <v>2.3E-2</v>
      </c>
      <c r="N191" s="123">
        <f t="shared" si="53"/>
        <v>2.3E-2</v>
      </c>
      <c r="O191" s="123">
        <f t="shared" si="53"/>
        <v>2.3E-2</v>
      </c>
      <c r="P191" s="123">
        <f t="shared" si="53"/>
        <v>2.3E-2</v>
      </c>
      <c r="Q191" s="123">
        <f t="shared" si="53"/>
        <v>2.3E-2</v>
      </c>
      <c r="R191" s="123">
        <f t="shared" si="53"/>
        <v>2.3E-2</v>
      </c>
      <c r="S191" s="123">
        <f t="shared" si="54"/>
        <v>2.3E-2</v>
      </c>
      <c r="T191" s="123">
        <f t="shared" si="54"/>
        <v>2.3E-2</v>
      </c>
      <c r="U191" s="123">
        <f t="shared" si="54"/>
        <v>2.3E-2</v>
      </c>
      <c r="V191" s="123">
        <f t="shared" si="54"/>
        <v>2.3E-2</v>
      </c>
      <c r="W191" s="123">
        <f t="shared" si="54"/>
        <v>2.3E-2</v>
      </c>
      <c r="X191" s="123">
        <f t="shared" si="54"/>
        <v>2.3E-2</v>
      </c>
      <c r="Y191" s="123">
        <f t="shared" si="54"/>
        <v>2.3E-2</v>
      </c>
      <c r="Z191" s="123">
        <f t="shared" si="54"/>
        <v>2.3E-2</v>
      </c>
      <c r="AA191" s="123">
        <f t="shared" si="54"/>
        <v>2.3E-2</v>
      </c>
      <c r="AB191" s="123">
        <f t="shared" si="54"/>
        <v>2.3E-2</v>
      </c>
      <c r="AC191" s="123">
        <f t="shared" si="54"/>
        <v>2.3E-2</v>
      </c>
      <c r="AD191" s="123">
        <f t="shared" si="54"/>
        <v>2.3E-2</v>
      </c>
      <c r="AE191" s="123">
        <f t="shared" si="54"/>
        <v>2.3E-2</v>
      </c>
      <c r="AF191" s="123">
        <f t="shared" si="54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5">SUM(C102:C191)</f>
        <v>194.70600000000002</v>
      </c>
      <c r="D192" s="128">
        <f t="shared" si="55"/>
        <v>194.70600000000002</v>
      </c>
      <c r="E192" s="128">
        <f t="shared" si="55"/>
        <v>194.70600000000002</v>
      </c>
      <c r="F192" s="128">
        <f t="shared" si="55"/>
        <v>194.70600000000002</v>
      </c>
      <c r="G192" s="128">
        <f t="shared" si="55"/>
        <v>194.70600000000002</v>
      </c>
      <c r="H192" s="128">
        <f t="shared" si="55"/>
        <v>194.70600000000002</v>
      </c>
      <c r="I192" s="128">
        <f t="shared" si="55"/>
        <v>189.70600000000005</v>
      </c>
      <c r="J192" s="128">
        <f t="shared" si="55"/>
        <v>187.10600000000005</v>
      </c>
      <c r="K192" s="128">
        <f t="shared" si="55"/>
        <v>187.10600000000005</v>
      </c>
      <c r="L192" s="128">
        <f t="shared" si="55"/>
        <v>187.10600000000005</v>
      </c>
      <c r="M192" s="128">
        <f t="shared" si="55"/>
        <v>187.10600000000005</v>
      </c>
      <c r="N192" s="128">
        <f t="shared" si="55"/>
        <v>187.10600000000005</v>
      </c>
      <c r="O192" s="128">
        <f t="shared" si="55"/>
        <v>187.10600000000005</v>
      </c>
      <c r="P192" s="128">
        <f t="shared" si="55"/>
        <v>187.10600000000005</v>
      </c>
      <c r="Q192" s="128">
        <f t="shared" si="55"/>
        <v>187.10600000000005</v>
      </c>
      <c r="R192" s="128">
        <f t="shared" si="55"/>
        <v>187.10600000000005</v>
      </c>
      <c r="S192" s="128">
        <f t="shared" si="55"/>
        <v>187.10600000000005</v>
      </c>
      <c r="T192" s="128">
        <f t="shared" si="55"/>
        <v>187.10600000000005</v>
      </c>
      <c r="U192" s="128">
        <f t="shared" si="55"/>
        <v>187.10600000000005</v>
      </c>
      <c r="V192" s="128">
        <f t="shared" si="55"/>
        <v>187.10600000000005</v>
      </c>
      <c r="W192" s="128">
        <f t="shared" si="55"/>
        <v>187.10600000000005</v>
      </c>
      <c r="X192" s="128">
        <f t="shared" si="55"/>
        <v>187.10600000000005</v>
      </c>
      <c r="Y192" s="128">
        <f t="shared" si="55"/>
        <v>187.10600000000005</v>
      </c>
      <c r="Z192" s="128">
        <f t="shared" si="55"/>
        <v>187.10600000000005</v>
      </c>
      <c r="AA192" s="128">
        <f t="shared" si="55"/>
        <v>187.10600000000005</v>
      </c>
      <c r="AB192" s="128">
        <f t="shared" si="55"/>
        <v>187.10600000000005</v>
      </c>
      <c r="AC192" s="128">
        <f t="shared" si="55"/>
        <v>187.10600000000005</v>
      </c>
      <c r="AD192" s="128">
        <f t="shared" si="55"/>
        <v>187.10600000000005</v>
      </c>
      <c r="AE192" s="128">
        <f t="shared" si="55"/>
        <v>187.10600000000005</v>
      </c>
      <c r="AF192" s="128">
        <f t="shared" si="55"/>
        <v>187.10600000000005</v>
      </c>
      <c r="AG192" s="129">
        <f t="shared" si="55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6">AF194</f>
        <v>0.3</v>
      </c>
      <c r="C194" s="130">
        <v>0.3</v>
      </c>
      <c r="D194" s="130">
        <f t="shared" ref="D194:S199" si="57">C194</f>
        <v>0.3</v>
      </c>
      <c r="E194" s="130">
        <f t="shared" si="57"/>
        <v>0.3</v>
      </c>
      <c r="F194" s="130">
        <f t="shared" si="57"/>
        <v>0.3</v>
      </c>
      <c r="G194" s="130">
        <f t="shared" si="57"/>
        <v>0.3</v>
      </c>
      <c r="H194" s="130">
        <f t="shared" si="57"/>
        <v>0.3</v>
      </c>
      <c r="I194" s="130">
        <f t="shared" si="57"/>
        <v>0.3</v>
      </c>
      <c r="J194" s="130">
        <f t="shared" si="57"/>
        <v>0.3</v>
      </c>
      <c r="K194" s="130">
        <f t="shared" si="57"/>
        <v>0.3</v>
      </c>
      <c r="L194" s="130">
        <f t="shared" si="57"/>
        <v>0.3</v>
      </c>
      <c r="M194" s="130">
        <f t="shared" si="57"/>
        <v>0.3</v>
      </c>
      <c r="N194" s="130">
        <f t="shared" si="57"/>
        <v>0.3</v>
      </c>
      <c r="O194" s="130">
        <f t="shared" si="57"/>
        <v>0.3</v>
      </c>
      <c r="P194" s="130">
        <f t="shared" si="57"/>
        <v>0.3</v>
      </c>
      <c r="Q194" s="130">
        <f t="shared" si="57"/>
        <v>0.3</v>
      </c>
      <c r="R194" s="130">
        <f t="shared" si="57"/>
        <v>0.3</v>
      </c>
      <c r="S194" s="130">
        <f t="shared" si="57"/>
        <v>0.3</v>
      </c>
      <c r="T194" s="130">
        <f t="shared" ref="T194:AF199" si="58">S194</f>
        <v>0.3</v>
      </c>
      <c r="U194" s="130">
        <f t="shared" si="58"/>
        <v>0.3</v>
      </c>
      <c r="V194" s="130">
        <f t="shared" si="58"/>
        <v>0.3</v>
      </c>
      <c r="W194" s="130">
        <f t="shared" si="58"/>
        <v>0.3</v>
      </c>
      <c r="X194" s="130">
        <f t="shared" si="58"/>
        <v>0.3</v>
      </c>
      <c r="Y194" s="130">
        <f t="shared" si="58"/>
        <v>0.3</v>
      </c>
      <c r="Z194" s="130">
        <f t="shared" si="58"/>
        <v>0.3</v>
      </c>
      <c r="AA194" s="130">
        <f t="shared" si="58"/>
        <v>0.3</v>
      </c>
      <c r="AB194" s="130">
        <f t="shared" si="58"/>
        <v>0.3</v>
      </c>
      <c r="AC194" s="130">
        <f t="shared" si="58"/>
        <v>0.3</v>
      </c>
      <c r="AD194" s="130">
        <f t="shared" si="58"/>
        <v>0.3</v>
      </c>
      <c r="AE194" s="130">
        <f t="shared" si="58"/>
        <v>0.3</v>
      </c>
      <c r="AF194" s="130">
        <f t="shared" si="58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6"/>
        <v>0.4</v>
      </c>
      <c r="C195" s="123">
        <v>0.4</v>
      </c>
      <c r="D195" s="123">
        <f t="shared" si="57"/>
        <v>0.4</v>
      </c>
      <c r="E195" s="123">
        <f t="shared" si="57"/>
        <v>0.4</v>
      </c>
      <c r="F195" s="123">
        <f t="shared" si="57"/>
        <v>0.4</v>
      </c>
      <c r="G195" s="123">
        <f t="shared" si="57"/>
        <v>0.4</v>
      </c>
      <c r="H195" s="123">
        <f t="shared" si="57"/>
        <v>0.4</v>
      </c>
      <c r="I195" s="123">
        <f t="shared" si="57"/>
        <v>0.4</v>
      </c>
      <c r="J195" s="123">
        <f t="shared" si="57"/>
        <v>0.4</v>
      </c>
      <c r="K195" s="123">
        <f t="shared" si="57"/>
        <v>0.4</v>
      </c>
      <c r="L195" s="123">
        <f t="shared" si="57"/>
        <v>0.4</v>
      </c>
      <c r="M195" s="123">
        <f t="shared" si="57"/>
        <v>0.4</v>
      </c>
      <c r="N195" s="123">
        <f t="shared" si="57"/>
        <v>0.4</v>
      </c>
      <c r="O195" s="123">
        <f t="shared" si="57"/>
        <v>0.4</v>
      </c>
      <c r="P195" s="123">
        <f t="shared" si="57"/>
        <v>0.4</v>
      </c>
      <c r="Q195" s="123">
        <f t="shared" si="57"/>
        <v>0.4</v>
      </c>
      <c r="R195" s="123">
        <f t="shared" si="57"/>
        <v>0.4</v>
      </c>
      <c r="S195" s="123">
        <f t="shared" si="57"/>
        <v>0.4</v>
      </c>
      <c r="T195" s="123">
        <f t="shared" si="58"/>
        <v>0.4</v>
      </c>
      <c r="U195" s="123">
        <f t="shared" si="58"/>
        <v>0.4</v>
      </c>
      <c r="V195" s="123">
        <f t="shared" si="58"/>
        <v>0.4</v>
      </c>
      <c r="W195" s="123">
        <f>V195</f>
        <v>0.4</v>
      </c>
      <c r="X195" s="123">
        <f>W195</f>
        <v>0.4</v>
      </c>
      <c r="Y195" s="123">
        <f t="shared" si="58"/>
        <v>0.4</v>
      </c>
      <c r="Z195" s="123">
        <f t="shared" si="58"/>
        <v>0.4</v>
      </c>
      <c r="AA195" s="123">
        <f t="shared" si="58"/>
        <v>0.4</v>
      </c>
      <c r="AB195" s="123">
        <f t="shared" si="58"/>
        <v>0.4</v>
      </c>
      <c r="AC195" s="123">
        <f t="shared" si="58"/>
        <v>0.4</v>
      </c>
      <c r="AD195" s="123">
        <f t="shared" si="58"/>
        <v>0.4</v>
      </c>
      <c r="AE195" s="123">
        <f t="shared" si="58"/>
        <v>0.4</v>
      </c>
      <c r="AF195" s="123">
        <f t="shared" si="58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6"/>
        <v>1.5</v>
      </c>
      <c r="C196" s="123">
        <v>1.5</v>
      </c>
      <c r="D196" s="123">
        <f t="shared" si="57"/>
        <v>1.5</v>
      </c>
      <c r="E196" s="123">
        <f t="shared" si="57"/>
        <v>1.5</v>
      </c>
      <c r="F196" s="123">
        <f t="shared" si="57"/>
        <v>1.5</v>
      </c>
      <c r="G196" s="123">
        <f t="shared" si="57"/>
        <v>1.5</v>
      </c>
      <c r="H196" s="123">
        <f t="shared" si="57"/>
        <v>1.5</v>
      </c>
      <c r="I196" s="123">
        <f t="shared" si="57"/>
        <v>1.5</v>
      </c>
      <c r="J196" s="123">
        <f t="shared" si="57"/>
        <v>1.5</v>
      </c>
      <c r="K196" s="123">
        <f t="shared" si="57"/>
        <v>1.5</v>
      </c>
      <c r="L196" s="123">
        <f t="shared" si="57"/>
        <v>1.5</v>
      </c>
      <c r="M196" s="123">
        <f t="shared" si="57"/>
        <v>1.5</v>
      </c>
      <c r="N196" s="123">
        <f t="shared" si="57"/>
        <v>1.5</v>
      </c>
      <c r="O196" s="123">
        <f t="shared" si="57"/>
        <v>1.5</v>
      </c>
      <c r="P196" s="123">
        <f t="shared" si="57"/>
        <v>1.5</v>
      </c>
      <c r="Q196" s="123">
        <f t="shared" si="57"/>
        <v>1.5</v>
      </c>
      <c r="R196" s="123">
        <f t="shared" si="57"/>
        <v>1.5</v>
      </c>
      <c r="S196" s="123">
        <f t="shared" si="57"/>
        <v>1.5</v>
      </c>
      <c r="T196" s="123">
        <f t="shared" si="58"/>
        <v>1.5</v>
      </c>
      <c r="U196" s="123">
        <f t="shared" si="58"/>
        <v>1.5</v>
      </c>
      <c r="V196" s="123">
        <f t="shared" si="58"/>
        <v>1.5</v>
      </c>
      <c r="W196" s="123">
        <f t="shared" si="58"/>
        <v>1.5</v>
      </c>
      <c r="X196" s="123">
        <f t="shared" si="58"/>
        <v>1.5</v>
      </c>
      <c r="Y196" s="123">
        <f t="shared" si="58"/>
        <v>1.5</v>
      </c>
      <c r="Z196" s="123">
        <f t="shared" si="58"/>
        <v>1.5</v>
      </c>
      <c r="AA196" s="123">
        <f t="shared" si="58"/>
        <v>1.5</v>
      </c>
      <c r="AB196" s="123">
        <f t="shared" si="58"/>
        <v>1.5</v>
      </c>
      <c r="AC196" s="123">
        <f t="shared" si="58"/>
        <v>1.5</v>
      </c>
      <c r="AD196" s="123">
        <f t="shared" si="58"/>
        <v>1.5</v>
      </c>
      <c r="AE196" s="123">
        <f t="shared" si="58"/>
        <v>1.5</v>
      </c>
      <c r="AF196" s="123">
        <f t="shared" si="58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6"/>
        <v>0.3</v>
      </c>
      <c r="C197" s="123">
        <v>0.3</v>
      </c>
      <c r="D197" s="123">
        <f t="shared" si="57"/>
        <v>0.3</v>
      </c>
      <c r="E197" s="123">
        <f t="shared" si="57"/>
        <v>0.3</v>
      </c>
      <c r="F197" s="123">
        <f t="shared" si="57"/>
        <v>0.3</v>
      </c>
      <c r="G197" s="123">
        <f t="shared" si="57"/>
        <v>0.3</v>
      </c>
      <c r="H197" s="123">
        <f t="shared" si="57"/>
        <v>0.3</v>
      </c>
      <c r="I197" s="123">
        <f t="shared" si="57"/>
        <v>0.3</v>
      </c>
      <c r="J197" s="123">
        <f t="shared" si="57"/>
        <v>0.3</v>
      </c>
      <c r="K197" s="123">
        <f t="shared" si="57"/>
        <v>0.3</v>
      </c>
      <c r="L197" s="123">
        <f t="shared" si="57"/>
        <v>0.3</v>
      </c>
      <c r="M197" s="123">
        <f t="shared" si="57"/>
        <v>0.3</v>
      </c>
      <c r="N197" s="123">
        <f t="shared" si="57"/>
        <v>0.3</v>
      </c>
      <c r="O197" s="123">
        <f t="shared" si="57"/>
        <v>0.3</v>
      </c>
      <c r="P197" s="123">
        <f t="shared" si="57"/>
        <v>0.3</v>
      </c>
      <c r="Q197" s="123">
        <f t="shared" si="57"/>
        <v>0.3</v>
      </c>
      <c r="R197" s="123">
        <f t="shared" si="57"/>
        <v>0.3</v>
      </c>
      <c r="S197" s="123">
        <f t="shared" si="57"/>
        <v>0.3</v>
      </c>
      <c r="T197" s="123">
        <f t="shared" si="58"/>
        <v>0.3</v>
      </c>
      <c r="U197" s="123">
        <f t="shared" si="58"/>
        <v>0.3</v>
      </c>
      <c r="V197" s="123">
        <f t="shared" si="58"/>
        <v>0.3</v>
      </c>
      <c r="W197" s="123">
        <f t="shared" si="58"/>
        <v>0.3</v>
      </c>
      <c r="X197" s="123">
        <f t="shared" si="58"/>
        <v>0.3</v>
      </c>
      <c r="Y197" s="123">
        <f t="shared" si="58"/>
        <v>0.3</v>
      </c>
      <c r="Z197" s="123">
        <f t="shared" si="58"/>
        <v>0.3</v>
      </c>
      <c r="AA197" s="123">
        <f t="shared" si="58"/>
        <v>0.3</v>
      </c>
      <c r="AB197" s="123">
        <f t="shared" si="58"/>
        <v>0.3</v>
      </c>
      <c r="AC197" s="123">
        <f t="shared" si="58"/>
        <v>0.3</v>
      </c>
      <c r="AD197" s="123">
        <f t="shared" si="58"/>
        <v>0.3</v>
      </c>
      <c r="AE197" s="123">
        <f t="shared" si="58"/>
        <v>0.3</v>
      </c>
      <c r="AF197" s="123">
        <f t="shared" si="58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6"/>
        <v>0.4</v>
      </c>
      <c r="C198" s="123">
        <v>0.4</v>
      </c>
      <c r="D198" s="123">
        <f t="shared" si="57"/>
        <v>0.4</v>
      </c>
      <c r="E198" s="123">
        <f t="shared" si="57"/>
        <v>0.4</v>
      </c>
      <c r="F198" s="123">
        <f t="shared" si="57"/>
        <v>0.4</v>
      </c>
      <c r="G198" s="123">
        <f t="shared" si="57"/>
        <v>0.4</v>
      </c>
      <c r="H198" s="123">
        <f t="shared" si="57"/>
        <v>0.4</v>
      </c>
      <c r="I198" s="123">
        <f t="shared" si="57"/>
        <v>0.4</v>
      </c>
      <c r="J198" s="123">
        <f t="shared" si="57"/>
        <v>0.4</v>
      </c>
      <c r="K198" s="123">
        <f t="shared" si="57"/>
        <v>0.4</v>
      </c>
      <c r="L198" s="123">
        <f t="shared" si="57"/>
        <v>0.4</v>
      </c>
      <c r="M198" s="123">
        <f t="shared" si="57"/>
        <v>0.4</v>
      </c>
      <c r="N198" s="123">
        <f t="shared" si="57"/>
        <v>0.4</v>
      </c>
      <c r="O198" s="123">
        <f t="shared" si="57"/>
        <v>0.4</v>
      </c>
      <c r="P198" s="123">
        <f t="shared" si="57"/>
        <v>0.4</v>
      </c>
      <c r="Q198" s="123">
        <f t="shared" si="57"/>
        <v>0.4</v>
      </c>
      <c r="R198" s="123">
        <f t="shared" si="57"/>
        <v>0.4</v>
      </c>
      <c r="S198" s="123">
        <f t="shared" si="57"/>
        <v>0.4</v>
      </c>
      <c r="T198" s="123">
        <f t="shared" si="58"/>
        <v>0.4</v>
      </c>
      <c r="U198" s="123">
        <f t="shared" si="58"/>
        <v>0.4</v>
      </c>
      <c r="V198" s="123">
        <f t="shared" si="58"/>
        <v>0.4</v>
      </c>
      <c r="W198" s="123">
        <f t="shared" si="58"/>
        <v>0.4</v>
      </c>
      <c r="X198" s="123">
        <f t="shared" si="58"/>
        <v>0.4</v>
      </c>
      <c r="Y198" s="123">
        <f t="shared" si="58"/>
        <v>0.4</v>
      </c>
      <c r="Z198" s="123">
        <f t="shared" si="58"/>
        <v>0.4</v>
      </c>
      <c r="AA198" s="123">
        <f t="shared" si="58"/>
        <v>0.4</v>
      </c>
      <c r="AB198" s="123">
        <f t="shared" si="58"/>
        <v>0.4</v>
      </c>
      <c r="AC198" s="123">
        <f t="shared" si="58"/>
        <v>0.4</v>
      </c>
      <c r="AD198" s="123">
        <f t="shared" si="58"/>
        <v>0.4</v>
      </c>
      <c r="AE198" s="123">
        <f t="shared" si="58"/>
        <v>0.4</v>
      </c>
      <c r="AF198" s="123">
        <f t="shared" si="58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6"/>
        <v>0.64</v>
      </c>
      <c r="C199" s="133">
        <v>0.64</v>
      </c>
      <c r="D199" s="133">
        <f t="shared" si="57"/>
        <v>0.64</v>
      </c>
      <c r="E199" s="133">
        <f t="shared" si="57"/>
        <v>0.64</v>
      </c>
      <c r="F199" s="133">
        <f t="shared" si="57"/>
        <v>0.64</v>
      </c>
      <c r="G199" s="133">
        <f t="shared" si="57"/>
        <v>0.64</v>
      </c>
      <c r="H199" s="133">
        <f t="shared" si="57"/>
        <v>0.64</v>
      </c>
      <c r="I199" s="133">
        <f t="shared" si="57"/>
        <v>0.64</v>
      </c>
      <c r="J199" s="133">
        <f t="shared" si="57"/>
        <v>0.64</v>
      </c>
      <c r="K199" s="133">
        <f t="shared" si="57"/>
        <v>0.64</v>
      </c>
      <c r="L199" s="133">
        <f t="shared" si="57"/>
        <v>0.64</v>
      </c>
      <c r="M199" s="133">
        <f t="shared" si="57"/>
        <v>0.64</v>
      </c>
      <c r="N199" s="133">
        <f t="shared" si="57"/>
        <v>0.64</v>
      </c>
      <c r="O199" s="133">
        <f t="shared" si="57"/>
        <v>0.64</v>
      </c>
      <c r="P199" s="133">
        <f t="shared" si="57"/>
        <v>0.64</v>
      </c>
      <c r="Q199" s="133">
        <f t="shared" si="57"/>
        <v>0.64</v>
      </c>
      <c r="R199" s="133">
        <f t="shared" si="57"/>
        <v>0.64</v>
      </c>
      <c r="S199" s="133">
        <f t="shared" si="57"/>
        <v>0.64</v>
      </c>
      <c r="T199" s="133">
        <f t="shared" si="58"/>
        <v>0.64</v>
      </c>
      <c r="U199" s="133">
        <f t="shared" si="58"/>
        <v>0.64</v>
      </c>
      <c r="V199" s="133">
        <f t="shared" si="58"/>
        <v>0.64</v>
      </c>
      <c r="W199" s="133">
        <f t="shared" si="58"/>
        <v>0.64</v>
      </c>
      <c r="X199" s="133">
        <f t="shared" si="58"/>
        <v>0.64</v>
      </c>
      <c r="Y199" s="133">
        <f t="shared" si="58"/>
        <v>0.64</v>
      </c>
      <c r="Z199" s="133">
        <f t="shared" si="58"/>
        <v>0.64</v>
      </c>
      <c r="AA199" s="133">
        <f t="shared" si="58"/>
        <v>0.64</v>
      </c>
      <c r="AB199" s="133">
        <f t="shared" si="58"/>
        <v>0.64</v>
      </c>
      <c r="AC199" s="133">
        <f t="shared" si="58"/>
        <v>0.64</v>
      </c>
      <c r="AD199" s="133">
        <f t="shared" si="58"/>
        <v>0.64</v>
      </c>
      <c r="AE199" s="133">
        <f t="shared" si="58"/>
        <v>0.64</v>
      </c>
      <c r="AF199" s="133">
        <f t="shared" si="58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9">SUM(D194:D199)</f>
        <v>3.54</v>
      </c>
      <c r="E200" s="136">
        <f t="shared" si="59"/>
        <v>3.54</v>
      </c>
      <c r="F200" s="136">
        <f t="shared" si="59"/>
        <v>3.54</v>
      </c>
      <c r="G200" s="136">
        <f t="shared" si="59"/>
        <v>3.54</v>
      </c>
      <c r="H200" s="136">
        <f t="shared" si="59"/>
        <v>3.54</v>
      </c>
      <c r="I200" s="136">
        <f t="shared" si="59"/>
        <v>3.54</v>
      </c>
      <c r="J200" s="136">
        <f t="shared" si="59"/>
        <v>3.54</v>
      </c>
      <c r="K200" s="136">
        <f t="shared" si="59"/>
        <v>3.54</v>
      </c>
      <c r="L200" s="136">
        <f t="shared" si="59"/>
        <v>3.54</v>
      </c>
      <c r="M200" s="136">
        <f>SUM(M194:M199)</f>
        <v>3.54</v>
      </c>
      <c r="N200" s="136">
        <f t="shared" ref="N200:S200" si="60">SUM(N194:N199)</f>
        <v>3.54</v>
      </c>
      <c r="O200" s="136">
        <f t="shared" si="60"/>
        <v>3.54</v>
      </c>
      <c r="P200" s="136">
        <f t="shared" si="60"/>
        <v>3.54</v>
      </c>
      <c r="Q200" s="136">
        <f t="shared" si="60"/>
        <v>3.54</v>
      </c>
      <c r="R200" s="136">
        <f t="shared" si="60"/>
        <v>3.54</v>
      </c>
      <c r="S200" s="136">
        <f t="shared" si="60"/>
        <v>3.54</v>
      </c>
      <c r="T200" s="136">
        <f>SUM(T194:T199)</f>
        <v>3.54</v>
      </c>
      <c r="U200" s="136">
        <f t="shared" ref="U200:AG200" si="61">SUM(U194:U199)</f>
        <v>3.54</v>
      </c>
      <c r="V200" s="136">
        <f t="shared" si="61"/>
        <v>3.54</v>
      </c>
      <c r="W200" s="136">
        <f t="shared" si="61"/>
        <v>3.54</v>
      </c>
      <c r="X200" s="136">
        <f t="shared" si="61"/>
        <v>3.54</v>
      </c>
      <c r="Y200" s="136">
        <f t="shared" si="61"/>
        <v>3.54</v>
      </c>
      <c r="Z200" s="136">
        <f t="shared" si="61"/>
        <v>3.54</v>
      </c>
      <c r="AA200" s="136">
        <f t="shared" si="61"/>
        <v>3.54</v>
      </c>
      <c r="AB200" s="136">
        <f t="shared" si="61"/>
        <v>3.54</v>
      </c>
      <c r="AC200" s="136">
        <f t="shared" si="61"/>
        <v>3.54</v>
      </c>
      <c r="AD200" s="136">
        <f t="shared" si="61"/>
        <v>3.54</v>
      </c>
      <c r="AE200" s="136">
        <f t="shared" si="61"/>
        <v>3.54</v>
      </c>
      <c r="AF200" s="136">
        <f t="shared" si="61"/>
        <v>3.54</v>
      </c>
      <c r="AG200" s="137">
        <f t="shared" si="61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1500.74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5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2079/02/5)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2079/02/5)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2">B75</f>
        <v>1426.6999999999998</v>
      </c>
      <c r="U214" s="161">
        <f t="shared" si="62"/>
        <v>1409.74</v>
      </c>
      <c r="V214" s="161">
        <f t="shared" si="62"/>
        <v>1385.79</v>
      </c>
      <c r="W214" s="161">
        <f t="shared" si="62"/>
        <v>1337.19</v>
      </c>
      <c r="X214" s="161">
        <f t="shared" si="62"/>
        <v>1373.5400000000002</v>
      </c>
      <c r="Y214" s="161">
        <f t="shared" si="62"/>
        <v>1341.8400000000001</v>
      </c>
      <c r="Z214" s="161">
        <f t="shared" si="62"/>
        <v>1349.54</v>
      </c>
      <c r="AA214" s="161">
        <f t="shared" si="62"/>
        <v>1411.6399999999999</v>
      </c>
      <c r="AB214" s="161">
        <f t="shared" si="62"/>
        <v>1417.54</v>
      </c>
      <c r="AC214" s="161">
        <f t="shared" si="62"/>
        <v>1467.04</v>
      </c>
      <c r="AD214" s="161">
        <f t="shared" si="62"/>
        <v>1500.74</v>
      </c>
      <c r="AE214" s="161">
        <f t="shared" si="62"/>
        <v>1455.6399999999999</v>
      </c>
      <c r="AF214" s="161">
        <f t="shared" si="62"/>
        <v>1494.1400000000003</v>
      </c>
      <c r="AG214" s="161">
        <f t="shared" si="62"/>
        <v>1526.64</v>
      </c>
      <c r="AH214" s="161">
        <f t="shared" si="62"/>
        <v>1548.64</v>
      </c>
      <c r="AI214" s="161">
        <f t="shared" si="62"/>
        <v>1541.1399999999999</v>
      </c>
      <c r="AJ214" s="161">
        <f t="shared" si="62"/>
        <v>1540.04</v>
      </c>
      <c r="AK214" s="161">
        <f t="shared" si="62"/>
        <v>1572.04</v>
      </c>
      <c r="AL214" s="161">
        <f t="shared" si="62"/>
        <v>1456.04</v>
      </c>
      <c r="AM214" s="161">
        <f t="shared" si="62"/>
        <v>1467.8400000000001</v>
      </c>
      <c r="AN214" s="161">
        <f t="shared" si="62"/>
        <v>1446.3500000000001</v>
      </c>
      <c r="AO214" s="161">
        <f t="shared" si="62"/>
        <v>1350.8400000000001</v>
      </c>
      <c r="AP214" s="161">
        <f t="shared" si="62"/>
        <v>1268.74</v>
      </c>
      <c r="AQ214" s="161">
        <f t="shared" si="62"/>
        <v>1380.3400000000001</v>
      </c>
      <c r="AR214" s="161">
        <f t="shared" si="62"/>
        <v>1416.94</v>
      </c>
      <c r="AS214" s="161">
        <f t="shared" si="62"/>
        <v>543.14</v>
      </c>
      <c r="AT214" s="161">
        <f t="shared" si="62"/>
        <v>1517.8400000000001</v>
      </c>
      <c r="AU214" s="161">
        <f t="shared" si="62"/>
        <v>1518.94</v>
      </c>
      <c r="AV214" s="161">
        <f t="shared" si="62"/>
        <v>1512.14</v>
      </c>
      <c r="AW214" s="161">
        <f t="shared" si="62"/>
        <v>1409.64</v>
      </c>
      <c r="AX214" s="161">
        <f t="shared" si="62"/>
        <v>1346.3400000000001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3">C199</f>
        <v>0.64</v>
      </c>
      <c r="C235" s="164">
        <f t="shared" si="63"/>
        <v>0.64</v>
      </c>
      <c r="D235" s="164">
        <f t="shared" si="63"/>
        <v>0.64</v>
      </c>
      <c r="E235" s="164">
        <f t="shared" si="63"/>
        <v>0.64</v>
      </c>
      <c r="F235" s="164">
        <f t="shared" si="63"/>
        <v>0.64</v>
      </c>
      <c r="G235" s="164">
        <f t="shared" si="63"/>
        <v>0.64</v>
      </c>
      <c r="H235" s="164">
        <f t="shared" si="63"/>
        <v>0.64</v>
      </c>
      <c r="I235" s="164">
        <f t="shared" si="63"/>
        <v>0.64</v>
      </c>
      <c r="J235" s="164">
        <f t="shared" si="63"/>
        <v>0.64</v>
      </c>
      <c r="K235" s="164">
        <f t="shared" si="63"/>
        <v>0.64</v>
      </c>
      <c r="L235" s="164">
        <f t="shared" si="63"/>
        <v>0.64</v>
      </c>
      <c r="M235" s="164">
        <f t="shared" si="63"/>
        <v>0.64</v>
      </c>
      <c r="N235" s="164">
        <f t="shared" si="63"/>
        <v>0.64</v>
      </c>
      <c r="O235" s="164">
        <f t="shared" si="63"/>
        <v>0.64</v>
      </c>
      <c r="P235" s="164">
        <f t="shared" si="63"/>
        <v>0.64</v>
      </c>
      <c r="Q235" s="164">
        <f t="shared" si="63"/>
        <v>0.64</v>
      </c>
      <c r="R235" s="164">
        <f t="shared" si="63"/>
        <v>0.64</v>
      </c>
      <c r="S235" s="164">
        <f t="shared" si="63"/>
        <v>0.64</v>
      </c>
      <c r="T235" s="164">
        <f t="shared" si="63"/>
        <v>0.64</v>
      </c>
      <c r="U235" s="164">
        <f t="shared" si="63"/>
        <v>0.64</v>
      </c>
      <c r="V235" s="164">
        <f t="shared" si="63"/>
        <v>0.64</v>
      </c>
      <c r="W235" s="164">
        <f t="shared" si="63"/>
        <v>0.64</v>
      </c>
      <c r="X235" s="164">
        <f t="shared" si="63"/>
        <v>0.64</v>
      </c>
      <c r="Y235" s="164">
        <f t="shared" si="63"/>
        <v>0.64</v>
      </c>
      <c r="Z235" s="164">
        <f t="shared" si="63"/>
        <v>0.64</v>
      </c>
      <c r="AA235" s="164">
        <f t="shared" si="63"/>
        <v>0.64</v>
      </c>
      <c r="AB235" s="164">
        <f t="shared" si="63"/>
        <v>0.64</v>
      </c>
      <c r="AC235" s="164">
        <f t="shared" si="63"/>
        <v>0.64</v>
      </c>
      <c r="AD235" s="164">
        <f t="shared" si="63"/>
        <v>0.64</v>
      </c>
      <c r="AE235" s="164">
        <f t="shared" si="63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4">IF(C203&lt;100,"",C203-520)</f>
        <v/>
      </c>
      <c r="D236" s="107" t="str">
        <f t="shared" si="64"/>
        <v/>
      </c>
      <c r="E236" s="107" t="str">
        <f t="shared" si="64"/>
        <v/>
      </c>
      <c r="F236" s="107" t="str">
        <f t="shared" si="64"/>
        <v/>
      </c>
      <c r="G236" s="107" t="str">
        <f t="shared" si="64"/>
        <v/>
      </c>
      <c r="H236" s="107" t="str">
        <f t="shared" si="64"/>
        <v/>
      </c>
      <c r="I236" s="107" t="str">
        <f t="shared" si="64"/>
        <v/>
      </c>
      <c r="J236" s="107" t="str">
        <f t="shared" si="64"/>
        <v/>
      </c>
      <c r="K236" s="107" t="str">
        <f t="shared" si="64"/>
        <v/>
      </c>
      <c r="L236" s="107" t="str">
        <f t="shared" si="64"/>
        <v/>
      </c>
      <c r="M236" s="107" t="str">
        <f t="shared" si="64"/>
        <v/>
      </c>
      <c r="N236" s="107" t="str">
        <f t="shared" si="64"/>
        <v/>
      </c>
      <c r="O236" s="107" t="str">
        <f t="shared" si="64"/>
        <v/>
      </c>
      <c r="P236" s="107" t="str">
        <f t="shared" si="64"/>
        <v/>
      </c>
      <c r="Q236" s="107" t="str">
        <f t="shared" si="64"/>
        <v/>
      </c>
      <c r="R236" s="107" t="str">
        <f t="shared" si="64"/>
        <v/>
      </c>
      <c r="S236" s="107" t="str">
        <f t="shared" si="64"/>
        <v/>
      </c>
      <c r="T236" s="107" t="str">
        <f t="shared" si="64"/>
        <v/>
      </c>
      <c r="U236" s="107" t="str">
        <f t="shared" si="64"/>
        <v/>
      </c>
      <c r="V236" s="107" t="str">
        <f t="shared" si="64"/>
        <v/>
      </c>
      <c r="W236" s="107" t="str">
        <f t="shared" si="64"/>
        <v/>
      </c>
      <c r="X236" s="107" t="str">
        <f t="shared" si="64"/>
        <v/>
      </c>
      <c r="Y236" s="107" t="str">
        <f t="shared" si="64"/>
        <v/>
      </c>
      <c r="Z236" s="107" t="str">
        <f t="shared" si="64"/>
        <v/>
      </c>
      <c r="AA236" s="107" t="str">
        <f t="shared" si="64"/>
        <v/>
      </c>
      <c r="AB236" s="107" t="str">
        <f t="shared" si="64"/>
        <v/>
      </c>
      <c r="AC236" s="107" t="str">
        <f t="shared" si="64"/>
        <v/>
      </c>
      <c r="AD236" s="107" t="str">
        <f t="shared" si="64"/>
        <v/>
      </c>
      <c r="AE236" s="107" t="str">
        <f t="shared" si="64"/>
        <v/>
      </c>
      <c r="AF236" s="107" t="str">
        <f t="shared" si="64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5">IF(B204&lt;100,"",B204-620)</f>
        <v/>
      </c>
      <c r="C237" s="107" t="str">
        <f t="shared" si="65"/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6">IF(B205&lt;100,"",B205-330)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7">IF(C206&lt;100,"",C206-1500)</f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T11:AF11 J74:AF74 C85:AD91">
    <cfRule type="expression" dxfId="5176" priority="202">
      <formula>B$9&gt;=20/24</formula>
    </cfRule>
    <cfRule type="expression" dxfId="5175" priority="203">
      <formula>AND(B$9&gt;=14/24,B$9&lt;20/24)</formula>
    </cfRule>
    <cfRule type="expression" dxfId="5174" priority="204">
      <formula>AND(B$9&gt;=8/24,B$9&lt;14/24)</formula>
    </cfRule>
    <cfRule type="expression" dxfId="5173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172" priority="197">
      <formula>S$9&gt;=20/24</formula>
    </cfRule>
    <cfRule type="expression" dxfId="5171" priority="198">
      <formula>AND(S$9&gt;=14/24,S$9&lt;20/24)</formula>
    </cfRule>
    <cfRule type="expression" dxfId="5170" priority="199">
      <formula>AND(S$9&gt;=8/24,S$9&lt;14/24)</formula>
    </cfRule>
    <cfRule type="expression" dxfId="5169" priority="200">
      <formula>S$9&lt;8/24</formula>
    </cfRule>
  </conditionalFormatting>
  <conditionalFormatting sqref="AG51 L11:AF11 S37:AF37">
    <cfRule type="expression" dxfId="5168" priority="196">
      <formula>L11&gt;$AG11</formula>
    </cfRule>
  </conditionalFormatting>
  <conditionalFormatting sqref="A101:A157 A84:A97 A11:A14 A16:A32 A45:A72 A80:A82 A74:A78 A35:A43 A170:A200">
    <cfRule type="expression" dxfId="5167" priority="195">
      <formula>$AH11=0</formula>
    </cfRule>
  </conditionalFormatting>
  <conditionalFormatting sqref="A98">
    <cfRule type="expression" dxfId="5166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165" priority="192">
      <formula>$AH34=0</formula>
    </cfRule>
  </conditionalFormatting>
  <conditionalFormatting sqref="A83">
    <cfRule type="expression" dxfId="5164" priority="191">
      <formula>$AH83=0</formula>
    </cfRule>
  </conditionalFormatting>
  <conditionalFormatting sqref="A15">
    <cfRule type="expression" dxfId="5163" priority="190">
      <formula>$AH15=0</formula>
    </cfRule>
  </conditionalFormatting>
  <conditionalFormatting sqref="A164:A169">
    <cfRule type="expression" dxfId="5162" priority="189">
      <formula>$AH164=0</formula>
    </cfRule>
  </conditionalFormatting>
  <conditionalFormatting sqref="A158:A163">
    <cfRule type="expression" dxfId="5161" priority="188">
      <formula>$AH158=0</formula>
    </cfRule>
  </conditionalFormatting>
  <conditionalFormatting sqref="A44">
    <cfRule type="expression" dxfId="5160" priority="187">
      <formula>$AH44=0</formula>
    </cfRule>
  </conditionalFormatting>
  <conditionalFormatting sqref="A79">
    <cfRule type="expression" dxfId="5159" priority="186">
      <formula>$AH79=0</formula>
    </cfRule>
  </conditionalFormatting>
  <conditionalFormatting sqref="A73">
    <cfRule type="expression" dxfId="5158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157" priority="181">
      <formula>C$9&gt;=20/24</formula>
    </cfRule>
    <cfRule type="expression" dxfId="5156" priority="182">
      <formula>AND(C$9&gt;=14/24,C$9&lt;20/24)</formula>
    </cfRule>
    <cfRule type="expression" dxfId="5155" priority="183">
      <formula>AND(C$9&gt;=8/24,C$9&lt;14/24)</formula>
    </cfRule>
    <cfRule type="expression" dxfId="5154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153" priority="209">
      <formula>C$9&gt;=20/24</formula>
    </cfRule>
    <cfRule type="expression" dxfId="5152" priority="210">
      <formula>AND(C$9&gt;=14/24,C$9&lt;20/24)</formula>
    </cfRule>
    <cfRule type="expression" dxfId="5151" priority="211">
      <formula>AND(C$9&gt;=8/24,C$9&lt;14/24)</formula>
    </cfRule>
    <cfRule type="expression" dxfId="5150" priority="212">
      <formula>C$9&lt;8/24</formula>
    </cfRule>
  </conditionalFormatting>
  <conditionalFormatting sqref="A201">
    <cfRule type="expression" dxfId="5149" priority="213">
      <formula>$AH201=0</formula>
    </cfRule>
  </conditionalFormatting>
  <conditionalFormatting sqref="AG213">
    <cfRule type="expression" dxfId="5148" priority="214">
      <formula>B$9&gt;=20/24</formula>
    </cfRule>
    <cfRule type="expression" dxfId="5147" priority="215">
      <formula>AND(B$9&gt;=14/24,B$9&lt;20/24)</formula>
    </cfRule>
    <cfRule type="expression" dxfId="5146" priority="216">
      <formula>AND(B$9&gt;=8/24,B$9&lt;14/24)</formula>
    </cfRule>
    <cfRule type="expression" dxfId="5145" priority="217">
      <formula>B$9&lt;8/24</formula>
    </cfRule>
  </conditionalFormatting>
  <conditionalFormatting sqref="S8">
    <cfRule type="expression" dxfId="5144" priority="175">
      <formula>U$9&gt;=20/24</formula>
    </cfRule>
    <cfRule type="expression" dxfId="5143" priority="176">
      <formula>AND(U$9&gt;=14/24,U$9&lt;20/24)</formula>
    </cfRule>
    <cfRule type="expression" dxfId="5142" priority="177">
      <formula>AND(U$9&gt;=8/24,U$9&lt;14/24)</formula>
    </cfRule>
    <cfRule type="expression" dxfId="5141" priority="178">
      <formula>U$9&lt;8/24</formula>
    </cfRule>
  </conditionalFormatting>
  <conditionalFormatting sqref="AB8">
    <cfRule type="expression" dxfId="5140" priority="171">
      <formula>AD$9&gt;=20/24</formula>
    </cfRule>
    <cfRule type="expression" dxfId="5139" priority="172">
      <formula>AND(AD$9&gt;=14/24,AD$9&lt;20/24)</formula>
    </cfRule>
    <cfRule type="expression" dxfId="5138" priority="173">
      <formula>AND(AD$9&gt;=8/24,AD$9&lt;14/24)</formula>
    </cfRule>
    <cfRule type="expression" dxfId="5137" priority="174">
      <formula>AD$9&lt;8/24</formula>
    </cfRule>
  </conditionalFormatting>
  <conditionalFormatting sqref="AH213:AX213 AF85:AF91">
    <cfRule type="expression" dxfId="5136" priority="218">
      <formula>AE$9&gt;=20/24</formula>
    </cfRule>
    <cfRule type="expression" dxfId="5135" priority="219">
      <formula>AND(AE$9&gt;=14/24,AE$9&lt;20/24)</formula>
    </cfRule>
    <cfRule type="expression" dxfId="5134" priority="220">
      <formula>AND(AE$9&gt;=8/24,AE$9&lt;14/24)</formula>
    </cfRule>
    <cfRule type="expression" dxfId="5133" priority="221">
      <formula>AE$9&lt;8/24</formula>
    </cfRule>
  </conditionalFormatting>
  <conditionalFormatting sqref="T213">
    <cfRule type="expression" dxfId="5132" priority="222">
      <formula>AX$9&gt;=20/24</formula>
    </cfRule>
    <cfRule type="expression" dxfId="5131" priority="223">
      <formula>AND(AX$9&gt;=14/24,AX$9&lt;20/24)</formula>
    </cfRule>
    <cfRule type="expression" dxfId="5130" priority="224">
      <formula>AND(AX$9&gt;=8/24,AX$9&lt;14/24)</formula>
    </cfRule>
    <cfRule type="expression" dxfId="5129" priority="225">
      <formula>AX$9&lt;8/24</formula>
    </cfRule>
  </conditionalFormatting>
  <conditionalFormatting sqref="A99:A100">
    <cfRule type="expression" dxfId="5128" priority="170">
      <formula>$AH99=0</formula>
    </cfRule>
  </conditionalFormatting>
  <conditionalFormatting sqref="E40:L41 E11:K11 C57:AF57 W40:AF41">
    <cfRule type="expression" dxfId="5127" priority="166">
      <formula>C$9&gt;=20/24</formula>
    </cfRule>
    <cfRule type="expression" dxfId="5126" priority="167">
      <formula>AND(C$9&gt;=14/24,C$9&lt;20/24)</formula>
    </cfRule>
    <cfRule type="expression" dxfId="5125" priority="168">
      <formula>AND(C$9&gt;=8/24,C$9&lt;14/24)</formula>
    </cfRule>
    <cfRule type="expression" dxfId="5124" priority="169">
      <formula>C$9&lt;8/24</formula>
    </cfRule>
  </conditionalFormatting>
  <conditionalFormatting sqref="E39:L39 W39:AF39">
    <cfRule type="expression" dxfId="5123" priority="162">
      <formula>E$9&gt;=20/24</formula>
    </cfRule>
    <cfRule type="expression" dxfId="5122" priority="163">
      <formula>AND(E$9&gt;=14/24,E$9&lt;20/24)</formula>
    </cfRule>
    <cfRule type="expression" dxfId="5121" priority="164">
      <formula>AND(E$9&gt;=8/24,E$9&lt;14/24)</formula>
    </cfRule>
    <cfRule type="expression" dxfId="5120" priority="165">
      <formula>E$9&lt;8/24</formula>
    </cfRule>
  </conditionalFormatting>
  <conditionalFormatting sqref="E39:L41 E11:K11 W39:AF41">
    <cfRule type="expression" dxfId="5119" priority="161">
      <formula>E11&gt;$AG11</formula>
    </cfRule>
  </conditionalFormatting>
  <conditionalFormatting sqref="N11:Q11 C83:AF83 C75:AF81 C68:AF73 C58:R60 F67:M67 F61:M63 E12:Q14 N61:R67 R11:S14 Q16:AF16 T12:AF14 I36:AF36 C53:AF56 S58:AF67">
    <cfRule type="expression" dxfId="5118" priority="157">
      <formula>C$9&gt;=20/24</formula>
    </cfRule>
    <cfRule type="expression" dxfId="5117" priority="158">
      <formula>AND(C$9&gt;=14/24,C$9&lt;20/24)</formula>
    </cfRule>
    <cfRule type="expression" dxfId="5116" priority="159">
      <formula>AND(C$9&gt;=8/24,C$9&lt;14/24)</formula>
    </cfRule>
    <cfRule type="expression" dxfId="5115" priority="160">
      <formula>C$9&lt;8/24</formula>
    </cfRule>
  </conditionalFormatting>
  <conditionalFormatting sqref="N11:Q11 C37:L37 C38:AF38 E42:L43 I36:L36 Q12:Q16 E12:P15 M36:R37 R11:S16 T12:AF16 S36:AF36 AB42:AF43 C51:AF56">
    <cfRule type="expression" dxfId="5114" priority="148">
      <formula>C11&gt;$AG11</formula>
    </cfRule>
  </conditionalFormatting>
  <conditionalFormatting sqref="E15:AF15">
    <cfRule type="expression" dxfId="5113" priority="140">
      <formula>E$9&gt;=20/24</formula>
    </cfRule>
    <cfRule type="expression" dxfId="5112" priority="141">
      <formula>AND(E$9&gt;=14/24,E$9&lt;20/24)</formula>
    </cfRule>
    <cfRule type="expression" dxfId="5111" priority="142">
      <formula>AND(E$9&gt;=8/24,E$9&lt;14/24)</formula>
    </cfRule>
    <cfRule type="expression" dxfId="5110" priority="143">
      <formula>E$9&lt;8/24</formula>
    </cfRule>
  </conditionalFormatting>
  <conditionalFormatting sqref="W42:AA43 AB44:AF44">
    <cfRule type="expression" dxfId="5109" priority="127">
      <formula>W$9&gt;=20/24</formula>
    </cfRule>
    <cfRule type="expression" dxfId="5108" priority="128">
      <formula>AND(W$9&gt;=14/24,W$9&lt;20/24)</formula>
    </cfRule>
    <cfRule type="expression" dxfId="5107" priority="129">
      <formula>AND(W$9&gt;=8/24,W$9&lt;14/24)</formula>
    </cfRule>
    <cfRule type="expression" dxfId="5106" priority="130">
      <formula>W$9&lt;8/24</formula>
    </cfRule>
  </conditionalFormatting>
  <conditionalFormatting sqref="W42:AA43 AB44:AF44">
    <cfRule type="expression" dxfId="5105" priority="126">
      <formula>W42&gt;$AG42</formula>
    </cfRule>
  </conditionalFormatting>
  <conditionalFormatting sqref="AA44:AA50 M39:V43 R45:AF50">
    <cfRule type="expression" dxfId="5104" priority="122">
      <formula>M$9&gt;=20/24</formula>
    </cfRule>
    <cfRule type="expression" dxfId="5103" priority="123">
      <formula>AND(M$9&gt;=14/24,M$9&lt;20/24)</formula>
    </cfRule>
    <cfRule type="expression" dxfId="5102" priority="124">
      <formula>AND(M$9&gt;=8/24,M$9&lt;14/24)</formula>
    </cfRule>
    <cfRule type="expression" dxfId="5101" priority="125">
      <formula>M$9&lt;8/24</formula>
    </cfRule>
  </conditionalFormatting>
  <conditionalFormatting sqref="AA44:AA50 M39:V43 R45:AF50">
    <cfRule type="expression" dxfId="5100" priority="121">
      <formula>M39&gt;$AG39</formula>
    </cfRule>
  </conditionalFormatting>
  <conditionalFormatting sqref="C11:D14 C74:I74 F17:F24 B16:F16 G16:P24 Q17:AF24">
    <cfRule type="expression" dxfId="5099" priority="113">
      <formula>B$9&gt;=20/24</formula>
    </cfRule>
    <cfRule type="expression" dxfId="5098" priority="114">
      <formula>AND(B$9&gt;=14/24,B$9&lt;20/24)</formula>
    </cfRule>
    <cfRule type="expression" dxfId="5097" priority="115">
      <formula>AND(B$9&gt;=8/24,B$9&lt;14/24)</formula>
    </cfRule>
    <cfRule type="expression" dxfId="5096" priority="116">
      <formula>B$9&lt;8/24</formula>
    </cfRule>
  </conditionalFormatting>
  <conditionalFormatting sqref="C11:D15 F17:F24 B16:F16 G16:P24 Q17:AF24">
    <cfRule type="expression" dxfId="5095" priority="104">
      <formula>B11&gt;$AG11</formula>
    </cfRule>
  </conditionalFormatting>
  <conditionalFormatting sqref="C15:D15">
    <cfRule type="expression" dxfId="5094" priority="96">
      <formula>C$9&gt;=20/24</formula>
    </cfRule>
    <cfRule type="expression" dxfId="5093" priority="97">
      <formula>AND(C$9&gt;=14/24,C$9&lt;20/24)</formula>
    </cfRule>
    <cfRule type="expression" dxfId="5092" priority="98">
      <formula>AND(C$9&gt;=8/24,C$9&lt;14/24)</formula>
    </cfRule>
    <cfRule type="expression" dxfId="5091" priority="99">
      <formula>C$9&lt;8/24</formula>
    </cfRule>
  </conditionalFormatting>
  <conditionalFormatting sqref="C40:D41">
    <cfRule type="expression" dxfId="5090" priority="87">
      <formula>C$9&gt;=20/24</formula>
    </cfRule>
    <cfRule type="expression" dxfId="5089" priority="88">
      <formula>AND(C$9&gt;=14/24,C$9&lt;20/24)</formula>
    </cfRule>
    <cfRule type="expression" dxfId="5088" priority="89">
      <formula>AND(C$9&gt;=8/24,C$9&lt;14/24)</formula>
    </cfRule>
    <cfRule type="expression" dxfId="5087" priority="90">
      <formula>C$9&lt;8/24</formula>
    </cfRule>
  </conditionalFormatting>
  <conditionalFormatting sqref="C39:D39">
    <cfRule type="expression" dxfId="5086" priority="83">
      <formula>C$9&gt;=20/24</formula>
    </cfRule>
    <cfRule type="expression" dxfId="5085" priority="84">
      <formula>AND(C$9&gt;=14/24,C$9&lt;20/24)</formula>
    </cfRule>
    <cfRule type="expression" dxfId="5084" priority="85">
      <formula>AND(C$9&gt;=8/24,C$9&lt;14/24)</formula>
    </cfRule>
    <cfRule type="expression" dxfId="5083" priority="86">
      <formula>C$9&lt;8/24</formula>
    </cfRule>
  </conditionalFormatting>
  <conditionalFormatting sqref="C39:D41">
    <cfRule type="expression" dxfId="5082" priority="82">
      <formula>C39&gt;$AG39</formula>
    </cfRule>
  </conditionalFormatting>
  <conditionalFormatting sqref="F64:M66">
    <cfRule type="expression" dxfId="5081" priority="78">
      <formula>F$9&gt;=20/24</formula>
    </cfRule>
    <cfRule type="expression" dxfId="5080" priority="79">
      <formula>AND(F$9&gt;=14/24,F$9&lt;20/24)</formula>
    </cfRule>
    <cfRule type="expression" dxfId="5079" priority="80">
      <formula>AND(F$9&gt;=8/24,F$9&lt;14/24)</formula>
    </cfRule>
    <cfRule type="expression" dxfId="5078" priority="81">
      <formula>F$9&lt;8/24</formula>
    </cfRule>
  </conditionalFormatting>
  <conditionalFormatting sqref="C42:D43">
    <cfRule type="expression" dxfId="5077" priority="77">
      <formula>C42&gt;$AG42</formula>
    </cfRule>
  </conditionalFormatting>
  <conditionalFormatting sqref="E44:Z44">
    <cfRule type="expression" dxfId="5076" priority="73">
      <formula>E$9&gt;=20/24</formula>
    </cfRule>
    <cfRule type="expression" dxfId="5075" priority="74">
      <formula>AND(E$9&gt;=14/24,E$9&lt;20/24)</formula>
    </cfRule>
    <cfRule type="expression" dxfId="5074" priority="75">
      <formula>AND(E$9&gt;=8/24,E$9&lt;14/24)</formula>
    </cfRule>
    <cfRule type="expression" dxfId="5073" priority="76">
      <formula>E$9&lt;8/24</formula>
    </cfRule>
  </conditionalFormatting>
  <conditionalFormatting sqref="E44:Z44">
    <cfRule type="expression" dxfId="5072" priority="72">
      <formula>E44&gt;$AG44</formula>
    </cfRule>
  </conditionalFormatting>
  <conditionalFormatting sqref="B82 B74 B94:B100 B11">
    <cfRule type="expression" dxfId="5071" priority="59">
      <formula>B$9&gt;=20/24</formula>
    </cfRule>
    <cfRule type="expression" dxfId="5070" priority="60">
      <formula>AND(B$9&gt;=14/24,B$9&lt;20/24)</formula>
    </cfRule>
    <cfRule type="expression" dxfId="5069" priority="61">
      <formula>AND(B$9&gt;=8/24,B$9&lt;14/24)</formula>
    </cfRule>
    <cfRule type="expression" dxfId="5068" priority="62">
      <formula>B$9&lt;8/24</formula>
    </cfRule>
  </conditionalFormatting>
  <conditionalFormatting sqref="B37">
    <cfRule type="expression" dxfId="5067" priority="55">
      <formula>B$9&gt;=20/24</formula>
    </cfRule>
    <cfRule type="expression" dxfId="5066" priority="56">
      <formula>AND(B$9&gt;=14/24,B$9&lt;20/24)</formula>
    </cfRule>
    <cfRule type="expression" dxfId="5065" priority="57">
      <formula>AND(B$9&gt;=8/24,B$9&lt;14/24)</formula>
    </cfRule>
    <cfRule type="expression" dxfId="5064" priority="58">
      <formula>B$9&lt;8/24</formula>
    </cfRule>
  </conditionalFormatting>
  <conditionalFormatting sqref="B37 B11">
    <cfRule type="expression" dxfId="5063" priority="54">
      <formula>B11&gt;$AG11</formula>
    </cfRule>
  </conditionalFormatting>
  <conditionalFormatting sqref="B84">
    <cfRule type="expression" dxfId="5062" priority="50">
      <formula>B$9&gt;=20/24</formula>
    </cfRule>
    <cfRule type="expression" dxfId="5061" priority="51">
      <formula>AND(B$9&gt;=14/24,B$9&lt;20/24)</formula>
    </cfRule>
    <cfRule type="expression" dxfId="5060" priority="52">
      <formula>AND(B$9&gt;=8/24,B$9&lt;14/24)</formula>
    </cfRule>
    <cfRule type="expression" dxfId="5059" priority="53">
      <formula>B$9&lt;8/24</formula>
    </cfRule>
  </conditionalFormatting>
  <conditionalFormatting sqref="B40:B41 B57 B36:H36">
    <cfRule type="expression" dxfId="5058" priority="46">
      <formula>B$9&gt;=20/24</formula>
    </cfRule>
    <cfRule type="expression" dxfId="5057" priority="47">
      <formula>AND(B$9&gt;=14/24,B$9&lt;20/24)</formula>
    </cfRule>
    <cfRule type="expression" dxfId="5056" priority="48">
      <formula>AND(B$9&gt;=8/24,B$9&lt;14/24)</formula>
    </cfRule>
    <cfRule type="expression" dxfId="5055" priority="49">
      <formula>B$9&lt;8/24</formula>
    </cfRule>
  </conditionalFormatting>
  <conditionalFormatting sqref="B39">
    <cfRule type="expression" dxfId="5054" priority="42">
      <formula>B$9&gt;=20/24</formula>
    </cfRule>
    <cfRule type="expression" dxfId="5053" priority="43">
      <formula>AND(B$9&gt;=14/24,B$9&lt;20/24)</formula>
    </cfRule>
    <cfRule type="expression" dxfId="5052" priority="44">
      <formula>AND(B$9&gt;=8/24,B$9&lt;14/24)</formula>
    </cfRule>
    <cfRule type="expression" dxfId="5051" priority="45">
      <formula>B$9&lt;8/24</formula>
    </cfRule>
  </conditionalFormatting>
  <conditionalFormatting sqref="B39:B41 B36:H36">
    <cfRule type="expression" dxfId="5050" priority="41">
      <formula>B36&gt;$AG36</formula>
    </cfRule>
  </conditionalFormatting>
  <conditionalFormatting sqref="B83 B75:B81 B85:B91 B12:B14 B53:B56 B58:B73 B18:E22 B24:E26 C61:E67 B28:AF31 F25:AF26">
    <cfRule type="expression" dxfId="5049" priority="37">
      <formula>B$9&gt;=20/24</formula>
    </cfRule>
    <cfRule type="expression" dxfId="5048" priority="38">
      <formula>AND(B$9&gt;=14/24,B$9&lt;20/24)</formula>
    </cfRule>
    <cfRule type="expression" dxfId="5047" priority="39">
      <formula>AND(B$9&gt;=8/24,B$9&lt;14/24)</formula>
    </cfRule>
    <cfRule type="expression" dxfId="5046" priority="40">
      <formula>B$9&lt;8/24</formula>
    </cfRule>
  </conditionalFormatting>
  <conditionalFormatting sqref="B32:AF32">
    <cfRule type="expression" dxfId="5045" priority="33">
      <formula>B$9&gt;=20/24</formula>
    </cfRule>
    <cfRule type="expression" dxfId="5044" priority="34">
      <formula>AND(B$9&gt;=14/24,B$9&lt;20/24)</formula>
    </cfRule>
    <cfRule type="expression" dxfId="5043" priority="35">
      <formula>AND(B$9&gt;=8/24,B$9&lt;14/24)</formula>
    </cfRule>
    <cfRule type="expression" dxfId="5042" priority="36">
      <formula>B$9&lt;8/24</formula>
    </cfRule>
  </conditionalFormatting>
  <conditionalFormatting sqref="B35:AF35">
    <cfRule type="expression" dxfId="5041" priority="29">
      <formula>B$9&gt;=20/24</formula>
    </cfRule>
    <cfRule type="expression" dxfId="5040" priority="30">
      <formula>AND(B$9&gt;=14/24,B$9&lt;20/24)</formula>
    </cfRule>
    <cfRule type="expression" dxfId="5039" priority="31">
      <formula>AND(B$9&gt;=8/24,B$9&lt;14/24)</formula>
    </cfRule>
    <cfRule type="expression" dxfId="5038" priority="32">
      <formula>B$9&lt;8/24</formula>
    </cfRule>
  </conditionalFormatting>
  <conditionalFormatting sqref="B38 B42:B43 B12:B15 B51:B56 B18:E22 B24:E32 B34:AF35 F25:AF32">
    <cfRule type="expression" dxfId="5037" priority="28">
      <formula>B12&gt;$AG12</formula>
    </cfRule>
  </conditionalFormatting>
  <conditionalFormatting sqref="B34:AF34">
    <cfRule type="expression" dxfId="5036" priority="24">
      <formula>B$9&gt;=20/24</formula>
    </cfRule>
    <cfRule type="expression" dxfId="5035" priority="25">
      <formula>AND(B$9&gt;=14/24,B$9&lt;20/24)</formula>
    </cfRule>
    <cfRule type="expression" dxfId="5034" priority="26">
      <formula>AND(B$9&gt;=8/24,B$9&lt;14/24)</formula>
    </cfRule>
    <cfRule type="expression" dxfId="5033" priority="27">
      <formula>B$9&lt;8/24</formula>
    </cfRule>
  </conditionalFormatting>
  <conditionalFormatting sqref="B15">
    <cfRule type="expression" dxfId="5032" priority="20">
      <formula>B$9&gt;=20/24</formula>
    </cfRule>
    <cfRule type="expression" dxfId="5031" priority="21">
      <formula>AND(B$9&gt;=14/24,B$9&lt;20/24)</formula>
    </cfRule>
    <cfRule type="expression" dxfId="5030" priority="22">
      <formula>AND(B$9&gt;=8/24,B$9&lt;14/24)</formula>
    </cfRule>
    <cfRule type="expression" dxfId="5029" priority="23">
      <formula>B$9&lt;8/24</formula>
    </cfRule>
  </conditionalFormatting>
  <conditionalFormatting sqref="B33:AF33">
    <cfRule type="expression" dxfId="5028" priority="16">
      <formula>B$9&gt;=20/24</formula>
    </cfRule>
    <cfRule type="expression" dxfId="5027" priority="17">
      <formula>AND(B$9&gt;=14/24,B$9&lt;20/24)</formula>
    </cfRule>
    <cfRule type="expression" dxfId="5026" priority="18">
      <formula>AND(B$9&gt;=8/24,B$9&lt;14/24)</formula>
    </cfRule>
    <cfRule type="expression" dxfId="5025" priority="19">
      <formula>B$9&lt;8/24</formula>
    </cfRule>
  </conditionalFormatting>
  <conditionalFormatting sqref="B33:AF33">
    <cfRule type="expression" dxfId="5024" priority="15">
      <formula>B33&gt;$AG33</formula>
    </cfRule>
  </conditionalFormatting>
  <conditionalFormatting sqref="B44:D50 E45:Q50">
    <cfRule type="expression" dxfId="5023" priority="11">
      <formula>B$9&gt;=20/24</formula>
    </cfRule>
    <cfRule type="expression" dxfId="5022" priority="12">
      <formula>AND(B$9&gt;=14/24,B$9&lt;20/24)</formula>
    </cfRule>
    <cfRule type="expression" dxfId="5021" priority="13">
      <formula>AND(B$9&gt;=8/24,B$9&lt;14/24)</formula>
    </cfRule>
    <cfRule type="expression" dxfId="5020" priority="14">
      <formula>B$9&lt;8/24</formula>
    </cfRule>
  </conditionalFormatting>
  <conditionalFormatting sqref="B44:D50 E45:Q50">
    <cfRule type="expression" dxfId="5019" priority="10">
      <formula>B44&gt;$AG44</formula>
    </cfRule>
  </conditionalFormatting>
  <conditionalFormatting sqref="B27:AF27">
    <cfRule type="expression" dxfId="5018" priority="6">
      <formula>B$9&gt;=20/24</formula>
    </cfRule>
    <cfRule type="expression" dxfId="5017" priority="7">
      <formula>AND(B$9&gt;=14/24,B$9&lt;20/24)</formula>
    </cfRule>
    <cfRule type="expression" dxfId="5016" priority="8">
      <formula>AND(B$9&gt;=8/24,B$9&lt;14/24)</formula>
    </cfRule>
    <cfRule type="expression" dxfId="5015" priority="9">
      <formula>B$9&lt;8/24</formula>
    </cfRule>
  </conditionalFormatting>
  <conditionalFormatting sqref="B17:E17 B23:E23">
    <cfRule type="expression" dxfId="5014" priority="2">
      <formula>B$9&gt;=20/24</formula>
    </cfRule>
    <cfRule type="expression" dxfId="5013" priority="3">
      <formula>AND(B$9&gt;=14/24,B$9&lt;20/24)</formula>
    </cfRule>
    <cfRule type="expression" dxfId="5012" priority="4">
      <formula>AND(B$9&gt;=8/24,B$9&lt;14/24)</formula>
    </cfRule>
    <cfRule type="expression" dxfId="5011" priority="5">
      <formula>B$9&lt;8/24</formula>
    </cfRule>
  </conditionalFormatting>
  <conditionalFormatting sqref="B17:E17 B23:E23">
    <cfRule type="expression" dxfId="5010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0DDF99D3-073E-4EE4-BCDA-FF7236944D3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56" activePane="bottomRight" state="frozen"/>
      <selection activeCell="AF88" sqref="AF88"/>
      <selection pane="topRight" activeCell="AF88" sqref="AF88"/>
      <selection pane="bottomLeft" activeCell="AF88" sqref="AF88"/>
      <selection pane="bottomRight" activeCell="F99" sqref="F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2079/02/6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121</v>
      </c>
      <c r="C5" s="32">
        <f t="shared" si="0"/>
        <v>132</v>
      </c>
      <c r="D5" s="32">
        <f t="shared" si="0"/>
        <v>136</v>
      </c>
      <c r="E5" s="32">
        <f t="shared" si="0"/>
        <v>138</v>
      </c>
      <c r="F5" s="32">
        <f t="shared" si="0"/>
        <v>123</v>
      </c>
      <c r="G5" s="32">
        <f t="shared" si="0"/>
        <v>102</v>
      </c>
      <c r="H5" s="32">
        <f t="shared" si="0"/>
        <v>250</v>
      </c>
      <c r="I5" s="32">
        <f t="shared" si="0"/>
        <v>249</v>
      </c>
      <c r="J5" s="32">
        <f t="shared" si="0"/>
        <v>314</v>
      </c>
      <c r="K5" s="32">
        <f t="shared" si="0"/>
        <v>310</v>
      </c>
      <c r="L5" s="32">
        <f t="shared" si="0"/>
        <v>347</v>
      </c>
      <c r="M5" s="32">
        <f t="shared" si="0"/>
        <v>358.7</v>
      </c>
      <c r="N5" s="32">
        <f t="shared" si="0"/>
        <v>350.8</v>
      </c>
      <c r="O5" s="32">
        <f t="shared" si="0"/>
        <v>349.8</v>
      </c>
      <c r="P5" s="32">
        <f t="shared" si="0"/>
        <v>368.1</v>
      </c>
      <c r="Q5" s="32">
        <f t="shared" si="0"/>
        <v>354.3</v>
      </c>
      <c r="R5" s="32">
        <f t="shared" si="0"/>
        <v>353.5</v>
      </c>
      <c r="S5" s="32">
        <f t="shared" si="0"/>
        <v>347.3</v>
      </c>
      <c r="T5" s="32">
        <f t="shared" si="0"/>
        <v>244.9</v>
      </c>
      <c r="U5" s="32">
        <f t="shared" si="0"/>
        <v>232.8</v>
      </c>
      <c r="V5" s="32">
        <f t="shared" si="0"/>
        <v>271.2</v>
      </c>
      <c r="W5" s="32">
        <f t="shared" si="0"/>
        <v>225.2</v>
      </c>
      <c r="X5" s="32">
        <f t="shared" si="0"/>
        <v>0</v>
      </c>
      <c r="Y5" s="32">
        <f t="shared" si="0"/>
        <v>44.1</v>
      </c>
      <c r="Z5" s="32">
        <f t="shared" si="0"/>
        <v>120.62</v>
      </c>
      <c r="AA5" s="32">
        <f t="shared" si="0"/>
        <v>83.15</v>
      </c>
      <c r="AB5" s="32">
        <f t="shared" si="0"/>
        <v>96.5</v>
      </c>
      <c r="AC5" s="32">
        <f t="shared" si="0"/>
        <v>25</v>
      </c>
      <c r="AD5" s="32">
        <f t="shared" si="0"/>
        <v>39.700000000000003</v>
      </c>
      <c r="AE5" s="32">
        <f t="shared" si="0"/>
        <v>40.299999999999997</v>
      </c>
      <c r="AF5" s="32">
        <f>B68</f>
        <v>105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1425MW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1336.7</v>
      </c>
      <c r="C7" s="37">
        <f t="shared" ref="C7:AF7" si="1">C75</f>
        <v>1315.6399999999999</v>
      </c>
      <c r="D7" s="37">
        <f t="shared" si="1"/>
        <v>1265.94</v>
      </c>
      <c r="E7" s="37">
        <f t="shared" si="1"/>
        <v>1259.94</v>
      </c>
      <c r="F7" s="37">
        <f t="shared" si="1"/>
        <v>1224.04</v>
      </c>
      <c r="G7" s="37">
        <f t="shared" si="1"/>
        <v>1218.6399999999999</v>
      </c>
      <c r="H7" s="37">
        <f t="shared" si="1"/>
        <v>1183.24</v>
      </c>
      <c r="I7" s="37">
        <f t="shared" si="1"/>
        <v>1239.74</v>
      </c>
      <c r="J7" s="37">
        <f t="shared" si="1"/>
        <v>1266.04</v>
      </c>
      <c r="K7" s="37">
        <f t="shared" si="1"/>
        <v>1306.74</v>
      </c>
      <c r="L7" s="37">
        <f t="shared" si="1"/>
        <v>1347.44</v>
      </c>
      <c r="M7" s="37">
        <f t="shared" si="1"/>
        <v>1424.94</v>
      </c>
      <c r="N7" s="37">
        <f t="shared" si="1"/>
        <v>1405.04</v>
      </c>
      <c r="O7" s="37">
        <f t="shared" si="1"/>
        <v>1419.1399999999999</v>
      </c>
      <c r="P7" s="37">
        <f t="shared" si="1"/>
        <v>1422.74</v>
      </c>
      <c r="Q7" s="37">
        <f t="shared" si="1"/>
        <v>1431.1399999999999</v>
      </c>
      <c r="R7" s="37">
        <f t="shared" si="1"/>
        <v>1447.04</v>
      </c>
      <c r="S7" s="37">
        <f t="shared" si="1"/>
        <v>1490.6399999999999</v>
      </c>
      <c r="T7" s="37">
        <f t="shared" si="1"/>
        <v>1498.04</v>
      </c>
      <c r="U7" s="37">
        <f t="shared" si="1"/>
        <v>1415.44</v>
      </c>
      <c r="V7" s="37">
        <f t="shared" si="1"/>
        <v>1402.94</v>
      </c>
      <c r="W7" s="37">
        <f t="shared" si="1"/>
        <v>1382.94</v>
      </c>
      <c r="X7" s="37">
        <f t="shared" si="1"/>
        <v>1282.3400000000001</v>
      </c>
      <c r="Y7" s="37">
        <f t="shared" si="1"/>
        <v>3.54</v>
      </c>
      <c r="Z7" s="37">
        <f t="shared" si="1"/>
        <v>1195.74</v>
      </c>
      <c r="AA7" s="37">
        <f t="shared" si="1"/>
        <v>1195.3600000000001</v>
      </c>
      <c r="AB7" s="37">
        <f t="shared" si="1"/>
        <v>1194.3900000000001</v>
      </c>
      <c r="AC7" s="37">
        <f t="shared" si="1"/>
        <v>1235.04</v>
      </c>
      <c r="AD7" s="37">
        <f t="shared" si="1"/>
        <v>1125.6400000000001</v>
      </c>
      <c r="AE7" s="37">
        <f t="shared" si="1"/>
        <v>1082.44</v>
      </c>
      <c r="AF7" s="37">
        <f t="shared" si="1"/>
        <v>1060.54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220</v>
      </c>
      <c r="C11" s="50">
        <v>200</v>
      </c>
      <c r="D11" s="50">
        <v>140</v>
      </c>
      <c r="E11" s="51">
        <v>140</v>
      </c>
      <c r="F11" s="51">
        <v>150</v>
      </c>
      <c r="G11" s="51">
        <v>200</v>
      </c>
      <c r="H11" s="51">
        <v>215</v>
      </c>
      <c r="I11" s="51">
        <v>100</v>
      </c>
      <c r="J11" s="52">
        <v>130</v>
      </c>
      <c r="K11" s="52">
        <v>110</v>
      </c>
      <c r="L11" s="52">
        <v>135</v>
      </c>
      <c r="M11" s="51">
        <v>115</v>
      </c>
      <c r="N11" s="51">
        <v>90</v>
      </c>
      <c r="O11" s="51">
        <v>90</v>
      </c>
      <c r="P11" s="51">
        <v>86.6</v>
      </c>
      <c r="Q11" s="51">
        <v>75</v>
      </c>
      <c r="R11" s="51">
        <v>100</v>
      </c>
      <c r="S11" s="49">
        <v>140</v>
      </c>
      <c r="T11" s="49">
        <v>120</v>
      </c>
      <c r="U11" s="49">
        <v>200</v>
      </c>
      <c r="V11" s="49">
        <v>200</v>
      </c>
      <c r="W11" s="49">
        <v>170</v>
      </c>
      <c r="X11" s="49">
        <v>150</v>
      </c>
      <c r="Y11" s="49"/>
      <c r="Z11" s="49">
        <v>230</v>
      </c>
      <c r="AA11" s="49">
        <v>230</v>
      </c>
      <c r="AB11" s="49">
        <v>240</v>
      </c>
      <c r="AC11" s="49">
        <v>260</v>
      </c>
      <c r="AD11" s="49">
        <v>250</v>
      </c>
      <c r="AE11" s="49">
        <v>230</v>
      </c>
      <c r="AF11" s="49">
        <v>200</v>
      </c>
      <c r="AG11" s="53">
        <v>456</v>
      </c>
      <c r="AH11" s="54">
        <f>MAX(B11:AF11)</f>
        <v>260</v>
      </c>
      <c r="AI11" s="55">
        <f>MIN(B11:AF11)</f>
        <v>75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30</v>
      </c>
      <c r="C12" s="51">
        <v>30</v>
      </c>
      <c r="D12" s="51">
        <v>30</v>
      </c>
      <c r="E12" s="51">
        <v>30</v>
      </c>
      <c r="F12" s="51">
        <v>30</v>
      </c>
      <c r="G12" s="51">
        <v>30</v>
      </c>
      <c r="H12" s="51">
        <v>30</v>
      </c>
      <c r="I12" s="51">
        <v>30</v>
      </c>
      <c r="J12" s="51">
        <v>30</v>
      </c>
      <c r="K12" s="51">
        <v>30</v>
      </c>
      <c r="L12" s="51">
        <v>30</v>
      </c>
      <c r="M12" s="51">
        <v>30</v>
      </c>
      <c r="N12" s="51">
        <v>30</v>
      </c>
      <c r="O12" s="51">
        <v>30</v>
      </c>
      <c r="P12" s="51">
        <v>24</v>
      </c>
      <c r="Q12" s="51">
        <v>24</v>
      </c>
      <c r="R12" s="51">
        <v>24</v>
      </c>
      <c r="S12" s="51">
        <v>24</v>
      </c>
      <c r="T12" s="51">
        <v>24</v>
      </c>
      <c r="U12" s="51">
        <v>24</v>
      </c>
      <c r="V12" s="51">
        <v>24</v>
      </c>
      <c r="W12" s="51">
        <v>24</v>
      </c>
      <c r="X12" s="51">
        <v>24</v>
      </c>
      <c r="Y12" s="51"/>
      <c r="Z12" s="51">
        <v>24</v>
      </c>
      <c r="AA12" s="51">
        <v>24</v>
      </c>
      <c r="AB12" s="51">
        <v>32</v>
      </c>
      <c r="AC12" s="51">
        <v>34</v>
      </c>
      <c r="AD12" s="51">
        <v>34</v>
      </c>
      <c r="AE12" s="51">
        <v>34</v>
      </c>
      <c r="AF12" s="51">
        <v>34</v>
      </c>
      <c r="AG12" s="58">
        <v>60</v>
      </c>
      <c r="AH12" s="54">
        <f t="shared" ref="AH12:AH75" si="2">MAX(B12:AF12)</f>
        <v>34</v>
      </c>
      <c r="AI12" s="55">
        <f t="shared" ref="AI12:AI75" si="3">MIN(B12:AF12)</f>
        <v>24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19.3</v>
      </c>
      <c r="C13" s="51">
        <v>18.7</v>
      </c>
      <c r="D13" s="51">
        <v>18.7</v>
      </c>
      <c r="E13" s="51">
        <v>18.7</v>
      </c>
      <c r="F13" s="51">
        <v>18.7</v>
      </c>
      <c r="G13" s="51">
        <v>18.7</v>
      </c>
      <c r="H13" s="51">
        <v>18.7</v>
      </c>
      <c r="I13" s="51">
        <v>18.7</v>
      </c>
      <c r="J13" s="51">
        <v>18.7</v>
      </c>
      <c r="K13" s="51">
        <v>18.7</v>
      </c>
      <c r="L13" s="51">
        <v>18.7</v>
      </c>
      <c r="M13" s="51">
        <v>19.8</v>
      </c>
      <c r="N13" s="51">
        <v>18.8</v>
      </c>
      <c r="O13" s="51">
        <v>18.8</v>
      </c>
      <c r="P13" s="51">
        <v>18.8</v>
      </c>
      <c r="Q13" s="51">
        <v>18.8</v>
      </c>
      <c r="R13" s="51">
        <v>18.2</v>
      </c>
      <c r="S13" s="51">
        <v>18.2</v>
      </c>
      <c r="T13" s="51">
        <v>18.2</v>
      </c>
      <c r="U13" s="51">
        <v>18.2</v>
      </c>
      <c r="V13" s="51">
        <v>18.2</v>
      </c>
      <c r="W13" s="51">
        <v>18.100000000000001</v>
      </c>
      <c r="X13" s="51">
        <v>18.100000000000001</v>
      </c>
      <c r="Y13" s="51"/>
      <c r="Z13" s="51">
        <v>18.100000000000001</v>
      </c>
      <c r="AA13" s="51">
        <v>18.100000000000001</v>
      </c>
      <c r="AB13" s="51">
        <v>18.100000000000001</v>
      </c>
      <c r="AC13" s="51">
        <v>18.100000000000001</v>
      </c>
      <c r="AD13" s="51">
        <v>18.100000000000001</v>
      </c>
      <c r="AE13" s="51">
        <v>18.100000000000001</v>
      </c>
      <c r="AF13" s="51">
        <v>18.100000000000001</v>
      </c>
      <c r="AG13" s="58">
        <v>52.4</v>
      </c>
      <c r="AH13" s="54">
        <f t="shared" si="2"/>
        <v>19.8</v>
      </c>
      <c r="AI13" s="55">
        <f t="shared" si="3"/>
        <v>18.100000000000001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50.3</v>
      </c>
      <c r="C14" s="51">
        <v>50.3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50.5</v>
      </c>
      <c r="N14" s="51">
        <v>50.5</v>
      </c>
      <c r="O14" s="51">
        <v>50.5</v>
      </c>
      <c r="P14" s="51">
        <v>50.4</v>
      </c>
      <c r="Q14" s="51">
        <v>50.4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50.2</v>
      </c>
      <c r="X14" s="51">
        <v>50.2</v>
      </c>
      <c r="Y14" s="51"/>
      <c r="Z14" s="51">
        <v>50.2</v>
      </c>
      <c r="AA14" s="51">
        <v>50.2</v>
      </c>
      <c r="AB14" s="51">
        <v>50.2</v>
      </c>
      <c r="AC14" s="51">
        <v>50.2</v>
      </c>
      <c r="AD14" s="51">
        <v>50.6</v>
      </c>
      <c r="AE14" s="51">
        <v>50.3</v>
      </c>
      <c r="AF14" s="51">
        <v>50.3</v>
      </c>
      <c r="AG14" s="58">
        <v>50</v>
      </c>
      <c r="AH14" s="54">
        <f t="shared" si="2"/>
        <v>50.6</v>
      </c>
      <c r="AI14" s="55">
        <f t="shared" si="3"/>
        <v>50.2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24.3</v>
      </c>
      <c r="C15" s="51">
        <v>24.3</v>
      </c>
      <c r="D15" s="51">
        <v>24.3</v>
      </c>
      <c r="E15" s="51">
        <v>24.3</v>
      </c>
      <c r="F15" s="51">
        <v>24.3</v>
      </c>
      <c r="G15" s="51">
        <v>24.3</v>
      </c>
      <c r="H15" s="51">
        <v>24.3</v>
      </c>
      <c r="I15" s="51">
        <v>24.3</v>
      </c>
      <c r="J15" s="51">
        <v>24.3</v>
      </c>
      <c r="K15" s="51">
        <v>24.3</v>
      </c>
      <c r="L15" s="51">
        <v>23.9</v>
      </c>
      <c r="M15" s="51">
        <v>24</v>
      </c>
      <c r="N15" s="51">
        <v>24</v>
      </c>
      <c r="O15" s="51">
        <v>24</v>
      </c>
      <c r="P15" s="51">
        <v>24.2</v>
      </c>
      <c r="Q15" s="51">
        <v>24.2</v>
      </c>
      <c r="R15" s="51">
        <v>24.1</v>
      </c>
      <c r="S15" s="51">
        <v>24.1</v>
      </c>
      <c r="T15" s="51">
        <v>24.1</v>
      </c>
      <c r="U15" s="51">
        <v>24.1</v>
      </c>
      <c r="V15" s="51">
        <v>24.1</v>
      </c>
      <c r="W15" s="51">
        <v>24.2</v>
      </c>
      <c r="X15" s="51">
        <v>24.2</v>
      </c>
      <c r="Y15" s="51"/>
      <c r="Z15" s="51">
        <v>24.2</v>
      </c>
      <c r="AA15" s="51">
        <v>24.2</v>
      </c>
      <c r="AB15" s="51">
        <v>24.2</v>
      </c>
      <c r="AC15" s="51">
        <v>24.2</v>
      </c>
      <c r="AD15" s="51">
        <v>24.2</v>
      </c>
      <c r="AE15" s="51">
        <v>24.3</v>
      </c>
      <c r="AF15" s="51">
        <v>24.2</v>
      </c>
      <c r="AG15" s="59">
        <v>45</v>
      </c>
      <c r="AH15" s="54">
        <f t="shared" si="2"/>
        <v>24.3</v>
      </c>
      <c r="AI15" s="55">
        <f t="shared" si="3"/>
        <v>23.9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21</v>
      </c>
      <c r="C16" s="51">
        <v>21</v>
      </c>
      <c r="D16" s="51">
        <v>21</v>
      </c>
      <c r="E16" s="51">
        <v>21</v>
      </c>
      <c r="F16" s="51">
        <v>21</v>
      </c>
      <c r="G16" s="51">
        <v>21</v>
      </c>
      <c r="H16" s="51">
        <v>21</v>
      </c>
      <c r="I16" s="51">
        <v>21</v>
      </c>
      <c r="J16" s="51">
        <v>21</v>
      </c>
      <c r="K16" s="51">
        <v>21</v>
      </c>
      <c r="L16" s="51">
        <v>21</v>
      </c>
      <c r="M16" s="51">
        <v>23</v>
      </c>
      <c r="N16" s="51">
        <v>23</v>
      </c>
      <c r="O16" s="51">
        <v>23</v>
      </c>
      <c r="P16" s="51">
        <v>23</v>
      </c>
      <c r="Q16" s="51">
        <v>23</v>
      </c>
      <c r="R16" s="51">
        <v>23</v>
      </c>
      <c r="S16" s="51">
        <v>23</v>
      </c>
      <c r="T16" s="51">
        <v>23</v>
      </c>
      <c r="U16" s="51">
        <v>23</v>
      </c>
      <c r="V16" s="51">
        <v>23</v>
      </c>
      <c r="W16" s="51">
        <v>23</v>
      </c>
      <c r="X16" s="51">
        <v>23</v>
      </c>
      <c r="Y16" s="51"/>
      <c r="Z16" s="51">
        <v>23</v>
      </c>
      <c r="AA16" s="51">
        <v>23</v>
      </c>
      <c r="AB16" s="51">
        <v>23</v>
      </c>
      <c r="AC16" s="51">
        <v>23</v>
      </c>
      <c r="AD16" s="51">
        <v>23</v>
      </c>
      <c r="AE16" s="51">
        <v>23</v>
      </c>
      <c r="AF16" s="51">
        <v>23</v>
      </c>
      <c r="AG16" s="58">
        <v>45</v>
      </c>
      <c r="AH16" s="54">
        <f t="shared" si="2"/>
        <v>23</v>
      </c>
      <c r="AI16" s="55">
        <f t="shared" si="3"/>
        <v>21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/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13.2</v>
      </c>
      <c r="C18" s="51">
        <v>13.2</v>
      </c>
      <c r="D18" s="51">
        <v>13.2</v>
      </c>
      <c r="E18" s="51">
        <v>13.2</v>
      </c>
      <c r="F18" s="51">
        <v>13.2</v>
      </c>
      <c r="G18" s="51">
        <v>13.2</v>
      </c>
      <c r="H18" s="51">
        <v>13.2</v>
      </c>
      <c r="I18" s="51">
        <v>13.2</v>
      </c>
      <c r="J18" s="51">
        <v>13.2</v>
      </c>
      <c r="K18" s="51">
        <v>13.2</v>
      </c>
      <c r="L18" s="51">
        <v>13.2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/>
      <c r="Z18" s="51">
        <v>13</v>
      </c>
      <c r="AA18" s="51">
        <v>13</v>
      </c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13.2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19</v>
      </c>
      <c r="C19" s="51">
        <v>19</v>
      </c>
      <c r="D19" s="51">
        <v>19</v>
      </c>
      <c r="E19" s="51">
        <v>19</v>
      </c>
      <c r="F19" s="51">
        <v>19</v>
      </c>
      <c r="G19" s="51">
        <v>20.5</v>
      </c>
      <c r="H19" s="51">
        <v>20.5</v>
      </c>
      <c r="I19" s="51">
        <v>24.7</v>
      </c>
      <c r="J19" s="51">
        <v>24.7</v>
      </c>
      <c r="K19" s="51">
        <v>23.2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>
        <v>26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/>
      <c r="Z19" s="51">
        <v>26</v>
      </c>
      <c r="AA19" s="51">
        <v>26</v>
      </c>
      <c r="AB19" s="51">
        <v>26</v>
      </c>
      <c r="AC19" s="51">
        <v>24.1</v>
      </c>
      <c r="AD19" s="51">
        <v>24.1</v>
      </c>
      <c r="AE19" s="51">
        <v>23.8</v>
      </c>
      <c r="AF19" s="51">
        <v>23.9</v>
      </c>
      <c r="AG19" s="58">
        <v>30</v>
      </c>
      <c r="AH19" s="54">
        <f t="shared" si="2"/>
        <v>26</v>
      </c>
      <c r="AI19" s="55">
        <f t="shared" si="3"/>
        <v>19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12</v>
      </c>
      <c r="C20" s="51">
        <v>12</v>
      </c>
      <c r="D20" s="51">
        <v>12</v>
      </c>
      <c r="E20" s="51">
        <v>12</v>
      </c>
      <c r="F20" s="51">
        <v>12</v>
      </c>
      <c r="G20" s="51">
        <v>12</v>
      </c>
      <c r="H20" s="51">
        <v>12</v>
      </c>
      <c r="I20" s="51">
        <v>12</v>
      </c>
      <c r="J20" s="51">
        <v>12</v>
      </c>
      <c r="K20" s="51">
        <v>12</v>
      </c>
      <c r="L20" s="51">
        <v>12</v>
      </c>
      <c r="M20" s="51">
        <v>12</v>
      </c>
      <c r="N20" s="51">
        <v>12</v>
      </c>
      <c r="O20" s="51">
        <v>12</v>
      </c>
      <c r="P20" s="51">
        <v>12</v>
      </c>
      <c r="Q20" s="51">
        <v>12</v>
      </c>
      <c r="R20" s="51">
        <v>12</v>
      </c>
      <c r="S20" s="51">
        <v>12</v>
      </c>
      <c r="T20" s="51">
        <v>12</v>
      </c>
      <c r="U20" s="51">
        <v>12</v>
      </c>
      <c r="V20" s="51">
        <v>12</v>
      </c>
      <c r="W20" s="51">
        <v>12</v>
      </c>
      <c r="X20" s="51">
        <v>12</v>
      </c>
      <c r="Y20" s="51"/>
      <c r="Z20" s="51">
        <v>12</v>
      </c>
      <c r="AA20" s="51">
        <v>12</v>
      </c>
      <c r="AB20" s="51">
        <v>12</v>
      </c>
      <c r="AC20" s="51">
        <v>12</v>
      </c>
      <c r="AD20" s="51">
        <v>12</v>
      </c>
      <c r="AE20" s="51">
        <v>12</v>
      </c>
      <c r="AF20" s="51">
        <v>12</v>
      </c>
      <c r="AG20" s="58">
        <v>27</v>
      </c>
      <c r="AH20" s="54">
        <f t="shared" si="2"/>
        <v>12</v>
      </c>
      <c r="AI20" s="55">
        <f t="shared" si="3"/>
        <v>12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/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19</v>
      </c>
      <c r="C22" s="51">
        <v>19</v>
      </c>
      <c r="D22" s="51">
        <v>19</v>
      </c>
      <c r="E22" s="51">
        <v>19</v>
      </c>
      <c r="F22" s="51">
        <v>19</v>
      </c>
      <c r="G22" s="51">
        <v>19</v>
      </c>
      <c r="H22" s="51">
        <v>19</v>
      </c>
      <c r="I22" s="51">
        <v>19</v>
      </c>
      <c r="J22" s="51">
        <v>19</v>
      </c>
      <c r="K22" s="51">
        <v>19</v>
      </c>
      <c r="L22" s="51">
        <v>19</v>
      </c>
      <c r="M22" s="51">
        <v>21</v>
      </c>
      <c r="N22" s="51">
        <v>21</v>
      </c>
      <c r="O22" s="51">
        <v>21</v>
      </c>
      <c r="P22" s="51">
        <v>21</v>
      </c>
      <c r="Q22" s="51">
        <v>21</v>
      </c>
      <c r="R22" s="51">
        <v>21</v>
      </c>
      <c r="S22" s="51">
        <v>21</v>
      </c>
      <c r="T22" s="51">
        <v>21</v>
      </c>
      <c r="U22" s="51">
        <v>21</v>
      </c>
      <c r="V22" s="51">
        <v>21</v>
      </c>
      <c r="W22" s="51">
        <v>21</v>
      </c>
      <c r="X22" s="51">
        <v>21</v>
      </c>
      <c r="Y22" s="51"/>
      <c r="Z22" s="51">
        <v>21</v>
      </c>
      <c r="AA22" s="51">
        <v>21</v>
      </c>
      <c r="AB22" s="51">
        <v>21</v>
      </c>
      <c r="AC22" s="51">
        <v>22</v>
      </c>
      <c r="AD22" s="51">
        <v>20</v>
      </c>
      <c r="AE22" s="51">
        <v>22</v>
      </c>
      <c r="AF22" s="51">
        <v>20</v>
      </c>
      <c r="AG22" s="58">
        <v>25</v>
      </c>
      <c r="AH22" s="54">
        <f t="shared" si="2"/>
        <v>22</v>
      </c>
      <c r="AI22" s="55">
        <f t="shared" si="3"/>
        <v>19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/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12.1</v>
      </c>
      <c r="C24" s="51">
        <v>12.1</v>
      </c>
      <c r="D24" s="51">
        <v>12.1</v>
      </c>
      <c r="E24" s="51">
        <v>12.1</v>
      </c>
      <c r="F24" s="51">
        <v>12.1</v>
      </c>
      <c r="G24" s="51">
        <v>12.1</v>
      </c>
      <c r="H24" s="51">
        <v>16.899999999999999</v>
      </c>
      <c r="I24" s="51">
        <v>16.899999999999999</v>
      </c>
      <c r="J24" s="51">
        <v>16.899999999999999</v>
      </c>
      <c r="K24" s="51">
        <v>16.899999999999999</v>
      </c>
      <c r="L24" s="51">
        <v>15.9</v>
      </c>
      <c r="M24" s="51">
        <v>16.899999999999999</v>
      </c>
      <c r="N24" s="51">
        <v>16.899999999999999</v>
      </c>
      <c r="O24" s="51">
        <v>16.899999999999999</v>
      </c>
      <c r="P24" s="51">
        <v>16.899999999999999</v>
      </c>
      <c r="Q24" s="51">
        <v>16.899999999999999</v>
      </c>
      <c r="R24" s="51">
        <v>16.899999999999999</v>
      </c>
      <c r="S24" s="51">
        <v>16.899999999999999</v>
      </c>
      <c r="T24" s="51">
        <v>16.899999999999999</v>
      </c>
      <c r="U24" s="51">
        <v>16.899999999999999</v>
      </c>
      <c r="V24" s="51">
        <v>16.899999999999999</v>
      </c>
      <c r="W24" s="51">
        <v>16.899999999999999</v>
      </c>
      <c r="X24" s="51">
        <v>16.899999999999999</v>
      </c>
      <c r="Y24" s="51"/>
      <c r="Z24" s="51">
        <v>16.899999999999999</v>
      </c>
      <c r="AA24" s="51">
        <v>16.899999999999999</v>
      </c>
      <c r="AB24" s="51">
        <v>21</v>
      </c>
      <c r="AC24" s="51">
        <v>21</v>
      </c>
      <c r="AD24" s="51">
        <v>22</v>
      </c>
      <c r="AE24" s="51">
        <v>21.9</v>
      </c>
      <c r="AF24" s="51">
        <v>19.899999999999999</v>
      </c>
      <c r="AG24" s="58">
        <v>25</v>
      </c>
      <c r="AH24" s="54">
        <f t="shared" si="2"/>
        <v>22</v>
      </c>
      <c r="AI24" s="55">
        <f t="shared" si="3"/>
        <v>12.1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/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8</v>
      </c>
      <c r="C26" s="51">
        <v>8</v>
      </c>
      <c r="D26" s="51">
        <v>8</v>
      </c>
      <c r="E26" s="51">
        <v>8</v>
      </c>
      <c r="F26" s="51">
        <v>8</v>
      </c>
      <c r="G26" s="51">
        <v>8</v>
      </c>
      <c r="H26" s="51">
        <v>8</v>
      </c>
      <c r="I26" s="51">
        <v>8</v>
      </c>
      <c r="J26" s="51">
        <v>8</v>
      </c>
      <c r="K26" s="51">
        <v>8</v>
      </c>
      <c r="L26" s="51">
        <v>8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/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0</v>
      </c>
      <c r="AF26" s="51">
        <v>0</v>
      </c>
      <c r="AG26" s="58">
        <v>20</v>
      </c>
      <c r="AH26" s="54">
        <f t="shared" si="2"/>
        <v>10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/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/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/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/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8">
        <v>22.1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/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5</v>
      </c>
      <c r="C32" s="51">
        <v>5</v>
      </c>
      <c r="D32" s="51">
        <v>5</v>
      </c>
      <c r="E32" s="51">
        <v>5</v>
      </c>
      <c r="F32" s="51">
        <v>5</v>
      </c>
      <c r="G32" s="51">
        <v>5</v>
      </c>
      <c r="H32" s="51">
        <v>5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/>
      <c r="Z32" s="51">
        <v>6.6</v>
      </c>
      <c r="AA32" s="51">
        <v>6.6</v>
      </c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/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4</v>
      </c>
      <c r="C34" s="51">
        <v>4</v>
      </c>
      <c r="D34" s="51">
        <v>4</v>
      </c>
      <c r="E34" s="51">
        <v>4</v>
      </c>
      <c r="F34" s="51">
        <v>4</v>
      </c>
      <c r="G34" s="51">
        <v>4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4</v>
      </c>
      <c r="N34" s="51">
        <v>4</v>
      </c>
      <c r="O34" s="51">
        <v>4</v>
      </c>
      <c r="P34" s="51">
        <v>4</v>
      </c>
      <c r="Q34" s="51">
        <v>4</v>
      </c>
      <c r="R34" s="51">
        <v>4</v>
      </c>
      <c r="S34" s="51">
        <v>4</v>
      </c>
      <c r="T34" s="51">
        <v>4</v>
      </c>
      <c r="U34" s="51">
        <v>4</v>
      </c>
      <c r="V34" s="51">
        <v>4</v>
      </c>
      <c r="W34" s="51">
        <v>4</v>
      </c>
      <c r="X34" s="51">
        <v>4</v>
      </c>
      <c r="Y34" s="51"/>
      <c r="Z34" s="51">
        <v>4</v>
      </c>
      <c r="AA34" s="51">
        <v>4</v>
      </c>
      <c r="AB34" s="51">
        <v>4</v>
      </c>
      <c r="AC34" s="51">
        <v>4</v>
      </c>
      <c r="AD34" s="51">
        <v>4</v>
      </c>
      <c r="AE34" s="51">
        <v>4</v>
      </c>
      <c r="AF34" s="51">
        <v>4</v>
      </c>
      <c r="AG34" s="63">
        <v>20</v>
      </c>
      <c r="AH34" s="54">
        <f t="shared" si="2"/>
        <v>4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/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/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98</v>
      </c>
      <c r="C37" s="67">
        <v>98</v>
      </c>
      <c r="D37" s="67">
        <v>98</v>
      </c>
      <c r="E37" s="67">
        <v>99</v>
      </c>
      <c r="F37" s="67">
        <v>99</v>
      </c>
      <c r="G37" s="67">
        <v>93</v>
      </c>
      <c r="H37" s="67">
        <v>93</v>
      </c>
      <c r="I37" s="67"/>
      <c r="J37" s="65"/>
      <c r="K37" s="65"/>
      <c r="L37" s="65"/>
      <c r="M37" s="65">
        <v>88</v>
      </c>
      <c r="N37" s="65">
        <v>87</v>
      </c>
      <c r="O37" s="65">
        <v>87</v>
      </c>
      <c r="P37" s="65">
        <f>87</f>
        <v>87</v>
      </c>
      <c r="Q37" s="65">
        <f>87</f>
        <v>87</v>
      </c>
      <c r="R37" s="65">
        <f>85</f>
        <v>85</v>
      </c>
      <c r="S37" s="67">
        <f>85</f>
        <v>85</v>
      </c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3">
        <v>240</v>
      </c>
      <c r="AH37" s="54">
        <f t="shared" si="2"/>
        <v>99</v>
      </c>
      <c r="AI37" s="55">
        <f t="shared" si="3"/>
        <v>85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706.7</v>
      </c>
      <c r="C38" s="69">
        <f t="shared" si="4"/>
        <v>686.1</v>
      </c>
      <c r="D38" s="69">
        <f t="shared" si="4"/>
        <v>626.1</v>
      </c>
      <c r="E38" s="69">
        <f t="shared" si="4"/>
        <v>626.1</v>
      </c>
      <c r="F38" s="69">
        <f t="shared" si="4"/>
        <v>636.1</v>
      </c>
      <c r="G38" s="69">
        <f t="shared" si="4"/>
        <v>687.6</v>
      </c>
      <c r="H38" s="69">
        <f t="shared" si="4"/>
        <v>707.4</v>
      </c>
      <c r="I38" s="69">
        <f t="shared" si="4"/>
        <v>598.20000000000005</v>
      </c>
      <c r="J38" s="69">
        <f t="shared" si="4"/>
        <v>628.20000000000005</v>
      </c>
      <c r="K38" s="69">
        <f t="shared" si="4"/>
        <v>606.70000000000005</v>
      </c>
      <c r="L38" s="69">
        <f t="shared" si="4"/>
        <v>633.09999999999991</v>
      </c>
      <c r="M38" s="69">
        <f t="shared" si="4"/>
        <v>646.29999999999995</v>
      </c>
      <c r="N38" s="69">
        <f t="shared" si="4"/>
        <v>620.29999999999995</v>
      </c>
      <c r="O38" s="69">
        <f t="shared" si="4"/>
        <v>620.29999999999995</v>
      </c>
      <c r="P38" s="69">
        <f t="shared" si="4"/>
        <v>611</v>
      </c>
      <c r="Q38" s="69">
        <f t="shared" si="4"/>
        <v>599.4</v>
      </c>
      <c r="R38" s="69">
        <f t="shared" si="4"/>
        <v>623.5</v>
      </c>
      <c r="S38" s="69">
        <f t="shared" si="4"/>
        <v>663.5</v>
      </c>
      <c r="T38" s="69">
        <f t="shared" si="4"/>
        <v>643.5</v>
      </c>
      <c r="U38" s="69">
        <f t="shared" si="4"/>
        <v>723.5</v>
      </c>
      <c r="V38" s="69">
        <f t="shared" si="4"/>
        <v>723.5</v>
      </c>
      <c r="W38" s="69">
        <f t="shared" si="4"/>
        <v>693.5</v>
      </c>
      <c r="X38" s="69">
        <f t="shared" si="4"/>
        <v>673.5</v>
      </c>
      <c r="Y38" s="69">
        <f t="shared" si="4"/>
        <v>0</v>
      </c>
      <c r="Z38" s="69">
        <f t="shared" si="4"/>
        <v>753.5</v>
      </c>
      <c r="AA38" s="69">
        <f t="shared" si="4"/>
        <v>753.5</v>
      </c>
      <c r="AB38" s="69">
        <f t="shared" si="4"/>
        <v>775.6</v>
      </c>
      <c r="AC38" s="69">
        <f t="shared" si="4"/>
        <v>796.7</v>
      </c>
      <c r="AD38" s="69">
        <f t="shared" si="4"/>
        <v>786.1</v>
      </c>
      <c r="AE38" s="69">
        <f t="shared" si="4"/>
        <v>757.50000000000011</v>
      </c>
      <c r="AF38" s="69">
        <f t="shared" si="4"/>
        <v>723.49999999999989</v>
      </c>
      <c r="AG38" s="63">
        <f>SUM(AG11:AG37)</f>
        <v>1492.8299999999997</v>
      </c>
      <c r="AH38" s="54">
        <f t="shared" si="2"/>
        <v>796.7</v>
      </c>
      <c r="AI38" s="55">
        <f t="shared" si="3"/>
        <v>0</v>
      </c>
      <c r="AK38" s="56"/>
    </row>
    <row r="39" spans="1:88" x14ac:dyDescent="0.25">
      <c r="A39" s="57" t="s">
        <v>47</v>
      </c>
      <c r="B39" s="51">
        <v>145</v>
      </c>
      <c r="C39" s="51">
        <v>145</v>
      </c>
      <c r="D39" s="51">
        <v>144</v>
      </c>
      <c r="E39" s="51">
        <v>144</v>
      </c>
      <c r="F39" s="51">
        <v>141</v>
      </c>
      <c r="G39" s="51">
        <v>141</v>
      </c>
      <c r="H39" s="51">
        <v>121</v>
      </c>
      <c r="I39" s="51">
        <v>127</v>
      </c>
      <c r="J39" s="51">
        <v>135</v>
      </c>
      <c r="K39" s="51">
        <v>132</v>
      </c>
      <c r="L39" s="51">
        <v>143</v>
      </c>
      <c r="M39" s="51">
        <v>145</v>
      </c>
      <c r="N39" s="51">
        <v>144.69999999999999</v>
      </c>
      <c r="O39" s="51">
        <v>136.6</v>
      </c>
      <c r="P39" s="51">
        <v>140</v>
      </c>
      <c r="Q39" s="51">
        <v>140</v>
      </c>
      <c r="R39" s="51">
        <v>130</v>
      </c>
      <c r="S39" s="51">
        <v>130.69999999999999</v>
      </c>
      <c r="T39" s="51">
        <v>144.80000000000001</v>
      </c>
      <c r="U39" s="51">
        <v>141</v>
      </c>
      <c r="V39" s="51">
        <v>121</v>
      </c>
      <c r="W39" s="51">
        <v>128</v>
      </c>
      <c r="X39" s="51">
        <v>106</v>
      </c>
      <c r="Y39" s="51"/>
      <c r="Z39" s="51">
        <v>141</v>
      </c>
      <c r="AA39" s="51">
        <v>130.1</v>
      </c>
      <c r="AB39" s="51">
        <v>111.6</v>
      </c>
      <c r="AC39" s="51">
        <v>111.1</v>
      </c>
      <c r="AD39" s="51">
        <v>111</v>
      </c>
      <c r="AE39" s="51">
        <v>95.4</v>
      </c>
      <c r="AF39" s="51">
        <v>95</v>
      </c>
      <c r="AG39" s="59">
        <v>144</v>
      </c>
      <c r="AH39" s="54">
        <f t="shared" si="2"/>
        <v>145</v>
      </c>
      <c r="AI39" s="55">
        <f t="shared" si="3"/>
        <v>95</v>
      </c>
      <c r="AK39" s="56"/>
    </row>
    <row r="40" spans="1:88" x14ac:dyDescent="0.25">
      <c r="A40" s="62" t="s">
        <v>48</v>
      </c>
      <c r="B40" s="70">
        <v>70.900000000000006</v>
      </c>
      <c r="C40" s="70">
        <v>60</v>
      </c>
      <c r="D40" s="70">
        <v>60.3</v>
      </c>
      <c r="E40" s="70">
        <v>60.3</v>
      </c>
      <c r="F40" s="70">
        <v>69</v>
      </c>
      <c r="G40" s="70">
        <v>70</v>
      </c>
      <c r="H40" s="70">
        <v>70.8</v>
      </c>
      <c r="I40" s="70">
        <v>70.8</v>
      </c>
      <c r="J40" s="70">
        <v>70.8</v>
      </c>
      <c r="K40" s="70">
        <v>71</v>
      </c>
      <c r="L40" s="70">
        <v>71.8</v>
      </c>
      <c r="M40" s="51">
        <v>71.599999999999994</v>
      </c>
      <c r="N40" s="51">
        <v>70.400000000000006</v>
      </c>
      <c r="O40" s="51">
        <v>70.3</v>
      </c>
      <c r="P40" s="51">
        <v>65.5</v>
      </c>
      <c r="Q40" s="51">
        <v>65.5</v>
      </c>
      <c r="R40" s="51">
        <v>70.599999999999994</v>
      </c>
      <c r="S40" s="70">
        <v>71.7</v>
      </c>
      <c r="T40" s="70">
        <v>71.7</v>
      </c>
      <c r="U40" s="70">
        <v>70</v>
      </c>
      <c r="V40" s="70">
        <v>70</v>
      </c>
      <c r="W40" s="70">
        <v>70</v>
      </c>
      <c r="X40" s="70">
        <v>59.4</v>
      </c>
      <c r="Y40" s="70"/>
      <c r="Z40" s="70">
        <v>69.599999999999994</v>
      </c>
      <c r="AA40" s="70">
        <v>44.9</v>
      </c>
      <c r="AB40" s="70">
        <v>45</v>
      </c>
      <c r="AC40" s="70">
        <v>49.7</v>
      </c>
      <c r="AD40" s="70">
        <v>40</v>
      </c>
      <c r="AE40" s="70">
        <v>41.8</v>
      </c>
      <c r="AF40" s="70">
        <v>45.2</v>
      </c>
      <c r="AG40" s="63">
        <v>70</v>
      </c>
      <c r="AH40" s="54">
        <f t="shared" si="2"/>
        <v>71.8</v>
      </c>
      <c r="AI40" s="55">
        <f t="shared" si="3"/>
        <v>40</v>
      </c>
      <c r="AK40" s="56"/>
    </row>
    <row r="41" spans="1:88" x14ac:dyDescent="0.25">
      <c r="A41" s="62" t="s">
        <v>49</v>
      </c>
      <c r="B41" s="70">
        <v>68.3</v>
      </c>
      <c r="C41" s="70">
        <v>68.3</v>
      </c>
      <c r="D41" s="70">
        <v>68.3</v>
      </c>
      <c r="E41" s="70">
        <v>68.3</v>
      </c>
      <c r="F41" s="70">
        <v>68.3</v>
      </c>
      <c r="G41" s="70">
        <v>68</v>
      </c>
      <c r="H41" s="70">
        <v>61</v>
      </c>
      <c r="I41" s="70">
        <v>63.7</v>
      </c>
      <c r="J41" s="70">
        <v>53</v>
      </c>
      <c r="K41" s="70">
        <v>53</v>
      </c>
      <c r="L41" s="70">
        <v>61.5</v>
      </c>
      <c r="M41" s="51">
        <v>69</v>
      </c>
      <c r="N41" s="51">
        <v>68.900000000000006</v>
      </c>
      <c r="O41" s="51">
        <v>69.099999999999994</v>
      </c>
      <c r="P41" s="51">
        <v>68</v>
      </c>
      <c r="Q41" s="51">
        <v>68</v>
      </c>
      <c r="R41" s="51">
        <v>66</v>
      </c>
      <c r="S41" s="70">
        <v>65.900000000000006</v>
      </c>
      <c r="T41" s="70">
        <v>65.900000000000006</v>
      </c>
      <c r="U41" s="70">
        <v>65.900000000000006</v>
      </c>
      <c r="V41" s="70">
        <v>65.900000000000006</v>
      </c>
      <c r="W41" s="70">
        <v>65.8</v>
      </c>
      <c r="X41" s="70">
        <v>66</v>
      </c>
      <c r="Y41" s="70"/>
      <c r="Z41" s="70">
        <v>43.3</v>
      </c>
      <c r="AA41" s="70">
        <v>0</v>
      </c>
      <c r="AB41" s="70">
        <v>33.9</v>
      </c>
      <c r="AC41" s="70">
        <v>33.5</v>
      </c>
      <c r="AD41" s="70">
        <v>33</v>
      </c>
      <c r="AE41" s="70">
        <v>34.6</v>
      </c>
      <c r="AF41" s="70">
        <v>47</v>
      </c>
      <c r="AG41" s="63">
        <v>69</v>
      </c>
      <c r="AH41" s="54">
        <f t="shared" si="2"/>
        <v>69.099999999999994</v>
      </c>
      <c r="AI41" s="55">
        <f t="shared" si="3"/>
        <v>0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51">
        <v>60.9</v>
      </c>
      <c r="N42" s="51">
        <v>60.9</v>
      </c>
      <c r="O42" s="51">
        <v>60.9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70">
        <v>60.9</v>
      </c>
      <c r="X42" s="70">
        <v>60.9</v>
      </c>
      <c r="Y42" s="70"/>
      <c r="Z42" s="70">
        <v>60.9</v>
      </c>
      <c r="AA42" s="70">
        <v>60.9</v>
      </c>
      <c r="AB42" s="70">
        <v>60.9</v>
      </c>
      <c r="AC42" s="65">
        <v>61.7</v>
      </c>
      <c r="AD42" s="65">
        <v>60.7</v>
      </c>
      <c r="AE42" s="65">
        <v>60.7</v>
      </c>
      <c r="AF42" s="65">
        <v>60.2</v>
      </c>
      <c r="AG42" s="63">
        <v>60</v>
      </c>
      <c r="AH42" s="54">
        <f t="shared" si="2"/>
        <v>61.7</v>
      </c>
      <c r="AI42" s="55">
        <f t="shared" si="3"/>
        <v>60.2</v>
      </c>
      <c r="AK42" s="56"/>
    </row>
    <row r="43" spans="1:88" x14ac:dyDescent="0.25">
      <c r="A43" s="62" t="s">
        <v>51</v>
      </c>
      <c r="B43" s="65">
        <v>15</v>
      </c>
      <c r="C43" s="65">
        <v>10</v>
      </c>
      <c r="D43" s="65">
        <v>10</v>
      </c>
      <c r="E43" s="65">
        <v>10</v>
      </c>
      <c r="F43" s="65">
        <v>6</v>
      </c>
      <c r="G43" s="65">
        <v>6</v>
      </c>
      <c r="H43" s="65">
        <v>6</v>
      </c>
      <c r="I43" s="65">
        <v>15</v>
      </c>
      <c r="J43" s="65">
        <v>15</v>
      </c>
      <c r="K43" s="65">
        <v>15</v>
      </c>
      <c r="L43" s="65">
        <v>13</v>
      </c>
      <c r="M43" s="51">
        <v>15</v>
      </c>
      <c r="N43" s="51">
        <v>10</v>
      </c>
      <c r="O43" s="51">
        <v>10</v>
      </c>
      <c r="P43" s="51">
        <v>10</v>
      </c>
      <c r="Q43" s="51">
        <v>10</v>
      </c>
      <c r="R43" s="51">
        <v>24.7</v>
      </c>
      <c r="S43" s="51">
        <v>27</v>
      </c>
      <c r="T43" s="51">
        <v>27</v>
      </c>
      <c r="U43" s="51">
        <v>0</v>
      </c>
      <c r="V43" s="51">
        <v>20.3</v>
      </c>
      <c r="W43" s="70">
        <v>20</v>
      </c>
      <c r="X43" s="70">
        <v>16.3</v>
      </c>
      <c r="Y43" s="70"/>
      <c r="Z43" s="70">
        <v>0</v>
      </c>
      <c r="AA43" s="70">
        <v>20</v>
      </c>
      <c r="AB43" s="70">
        <v>20</v>
      </c>
      <c r="AC43" s="65">
        <v>20</v>
      </c>
      <c r="AD43" s="65">
        <v>20</v>
      </c>
      <c r="AE43" s="65">
        <v>20</v>
      </c>
      <c r="AF43" s="65">
        <v>23</v>
      </c>
      <c r="AG43" s="63">
        <v>30</v>
      </c>
      <c r="AH43" s="54">
        <f t="shared" si="2"/>
        <v>27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4</v>
      </c>
      <c r="C44" s="70">
        <v>4</v>
      </c>
      <c r="D44" s="70">
        <v>4</v>
      </c>
      <c r="E44" s="70">
        <v>4</v>
      </c>
      <c r="F44" s="70">
        <v>4</v>
      </c>
      <c r="G44" s="70">
        <v>4</v>
      </c>
      <c r="H44" s="70">
        <v>4</v>
      </c>
      <c r="I44" s="70">
        <v>4</v>
      </c>
      <c r="J44" s="70">
        <v>4</v>
      </c>
      <c r="K44" s="70">
        <v>4</v>
      </c>
      <c r="L44" s="70">
        <v>4</v>
      </c>
      <c r="M44" s="51">
        <v>4</v>
      </c>
      <c r="N44" s="51">
        <v>4</v>
      </c>
      <c r="O44" s="51">
        <v>4</v>
      </c>
      <c r="P44" s="51">
        <v>4</v>
      </c>
      <c r="Q44" s="51">
        <v>4</v>
      </c>
      <c r="R44" s="51">
        <v>4</v>
      </c>
      <c r="S44" s="51">
        <v>4</v>
      </c>
      <c r="T44" s="51">
        <v>4</v>
      </c>
      <c r="U44" s="51">
        <v>4</v>
      </c>
      <c r="V44" s="51">
        <v>4</v>
      </c>
      <c r="W44" s="51">
        <v>4</v>
      </c>
      <c r="X44" s="51">
        <v>4</v>
      </c>
      <c r="Y44" s="51"/>
      <c r="Z44" s="51">
        <v>0</v>
      </c>
      <c r="AA44" s="51">
        <v>0</v>
      </c>
      <c r="AB44" s="51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4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14.3</v>
      </c>
      <c r="C45" s="70">
        <v>14.3</v>
      </c>
      <c r="D45" s="70">
        <v>14.3</v>
      </c>
      <c r="E45" s="70">
        <v>14.3</v>
      </c>
      <c r="F45" s="70">
        <v>14.3</v>
      </c>
      <c r="G45" s="70">
        <v>14.3</v>
      </c>
      <c r="H45" s="70">
        <v>14.3</v>
      </c>
      <c r="I45" s="70">
        <v>14.3</v>
      </c>
      <c r="J45" s="70">
        <v>14.3</v>
      </c>
      <c r="K45" s="70">
        <v>14.3</v>
      </c>
      <c r="L45" s="70">
        <v>14.3</v>
      </c>
      <c r="M45" s="51">
        <v>14.3</v>
      </c>
      <c r="N45" s="51">
        <v>14.3</v>
      </c>
      <c r="O45" s="51">
        <v>14.3</v>
      </c>
      <c r="P45" s="51">
        <v>14.3</v>
      </c>
      <c r="Q45" s="51">
        <v>14.3</v>
      </c>
      <c r="R45" s="51">
        <v>12.7</v>
      </c>
      <c r="S45" s="51">
        <v>12.7</v>
      </c>
      <c r="T45" s="51">
        <v>12.7</v>
      </c>
      <c r="U45" s="51">
        <v>12.7</v>
      </c>
      <c r="V45" s="51">
        <v>12.7</v>
      </c>
      <c r="W45" s="51">
        <v>12.7</v>
      </c>
      <c r="X45" s="51">
        <v>12.7</v>
      </c>
      <c r="Y45" s="51"/>
      <c r="Z45" s="51">
        <v>12.7</v>
      </c>
      <c r="AA45" s="51">
        <v>14</v>
      </c>
      <c r="AB45" s="51">
        <v>14</v>
      </c>
      <c r="AC45" s="51">
        <v>14</v>
      </c>
      <c r="AD45" s="51">
        <v>14</v>
      </c>
      <c r="AE45" s="51">
        <v>3.9</v>
      </c>
      <c r="AF45" s="70">
        <v>1.5</v>
      </c>
      <c r="AG45" s="63">
        <v>24</v>
      </c>
      <c r="AH45" s="54">
        <f t="shared" si="2"/>
        <v>14.3</v>
      </c>
      <c r="AI45" s="55">
        <f t="shared" si="3"/>
        <v>1.5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/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12</v>
      </c>
      <c r="C47" s="70">
        <v>12</v>
      </c>
      <c r="D47" s="70">
        <v>12</v>
      </c>
      <c r="E47" s="70">
        <v>12</v>
      </c>
      <c r="F47" s="70">
        <v>12</v>
      </c>
      <c r="G47" s="70">
        <v>12</v>
      </c>
      <c r="H47" s="70">
        <v>12</v>
      </c>
      <c r="I47" s="70">
        <v>12</v>
      </c>
      <c r="J47" s="70">
        <v>12</v>
      </c>
      <c r="K47" s="70">
        <v>12</v>
      </c>
      <c r="L47" s="70">
        <v>12</v>
      </c>
      <c r="M47" s="51">
        <v>12</v>
      </c>
      <c r="N47" s="51">
        <v>12</v>
      </c>
      <c r="O47" s="51">
        <v>12</v>
      </c>
      <c r="P47" s="51">
        <v>12</v>
      </c>
      <c r="Q47" s="51">
        <v>12</v>
      </c>
      <c r="R47" s="51">
        <v>12</v>
      </c>
      <c r="S47" s="51">
        <v>12</v>
      </c>
      <c r="T47" s="51">
        <v>12</v>
      </c>
      <c r="U47" s="51">
        <v>12</v>
      </c>
      <c r="V47" s="51">
        <v>12</v>
      </c>
      <c r="W47" s="51">
        <v>12</v>
      </c>
      <c r="X47" s="51">
        <v>12</v>
      </c>
      <c r="Y47" s="51"/>
      <c r="Z47" s="51">
        <v>12</v>
      </c>
      <c r="AA47" s="51">
        <v>12</v>
      </c>
      <c r="AB47" s="51">
        <v>12</v>
      </c>
      <c r="AC47" s="51">
        <v>12</v>
      </c>
      <c r="AD47" s="51">
        <v>12</v>
      </c>
      <c r="AE47" s="51">
        <v>5</v>
      </c>
      <c r="AF47" s="51">
        <v>1</v>
      </c>
      <c r="AG47" s="63">
        <v>14.1</v>
      </c>
      <c r="AH47" s="54">
        <f t="shared" si="2"/>
        <v>12</v>
      </c>
      <c r="AI47" s="55">
        <f t="shared" si="3"/>
        <v>1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10.199999999999999</v>
      </c>
      <c r="C48" s="70">
        <v>10.199999999999999</v>
      </c>
      <c r="D48" s="70">
        <v>10.199999999999999</v>
      </c>
      <c r="E48" s="70">
        <v>10.199999999999999</v>
      </c>
      <c r="F48" s="70">
        <v>10.199999999999999</v>
      </c>
      <c r="G48" s="70">
        <v>10.199999999999999</v>
      </c>
      <c r="H48" s="70">
        <v>10.199999999999999</v>
      </c>
      <c r="I48" s="70">
        <v>10.199999999999999</v>
      </c>
      <c r="J48" s="70">
        <v>10.199999999999999</v>
      </c>
      <c r="K48" s="70">
        <v>10.199999999999999</v>
      </c>
      <c r="L48" s="70">
        <v>10.199999999999999</v>
      </c>
      <c r="M48" s="51">
        <v>10.199999999999999</v>
      </c>
      <c r="N48" s="51">
        <v>10.199999999999999</v>
      </c>
      <c r="O48" s="51">
        <v>10.199999999999999</v>
      </c>
      <c r="P48" s="51">
        <v>10.199999999999999</v>
      </c>
      <c r="Q48" s="51">
        <v>10.199999999999999</v>
      </c>
      <c r="R48" s="51">
        <v>10.199999999999999</v>
      </c>
      <c r="S48" s="51">
        <v>10.199999999999999</v>
      </c>
      <c r="T48" s="51">
        <v>10.199999999999999</v>
      </c>
      <c r="U48" s="51">
        <v>10.199999999999999</v>
      </c>
      <c r="V48" s="51">
        <v>10.199999999999999</v>
      </c>
      <c r="W48" s="51">
        <v>10.199999999999999</v>
      </c>
      <c r="X48" s="51">
        <v>10.199999999999999</v>
      </c>
      <c r="Y48" s="51"/>
      <c r="Z48" s="51">
        <v>10.199999999999999</v>
      </c>
      <c r="AA48" s="51">
        <v>10.199999999999999</v>
      </c>
      <c r="AB48" s="51">
        <v>10.199999999999999</v>
      </c>
      <c r="AC48" s="51">
        <v>10.199999999999999</v>
      </c>
      <c r="AD48" s="51">
        <v>10.199999999999999</v>
      </c>
      <c r="AE48" s="51">
        <v>10.199999999999999</v>
      </c>
      <c r="AF48" s="51">
        <v>10.199999999999999</v>
      </c>
      <c r="AG48" s="63">
        <v>14</v>
      </c>
      <c r="AH48" s="54">
        <f t="shared" si="2"/>
        <v>10.199999999999999</v>
      </c>
      <c r="AI48" s="55">
        <f t="shared" si="3"/>
        <v>10.199999999999999</v>
      </c>
      <c r="AK48" s="56"/>
    </row>
    <row r="49" spans="1:37" x14ac:dyDescent="0.25">
      <c r="A49" s="62" t="s">
        <v>57</v>
      </c>
      <c r="B49" s="70">
        <v>6</v>
      </c>
      <c r="C49" s="70">
        <v>6</v>
      </c>
      <c r="D49" s="70">
        <v>6</v>
      </c>
      <c r="E49" s="70">
        <v>6</v>
      </c>
      <c r="F49" s="70">
        <v>6</v>
      </c>
      <c r="G49" s="70">
        <v>6</v>
      </c>
      <c r="H49" s="70">
        <v>6</v>
      </c>
      <c r="I49" s="70">
        <v>6</v>
      </c>
      <c r="J49" s="70">
        <v>6</v>
      </c>
      <c r="K49" s="70">
        <v>6</v>
      </c>
      <c r="L49" s="70">
        <v>6</v>
      </c>
      <c r="M49" s="51">
        <v>6</v>
      </c>
      <c r="N49" s="51">
        <v>6</v>
      </c>
      <c r="O49" s="51">
        <v>6</v>
      </c>
      <c r="P49" s="51">
        <v>6</v>
      </c>
      <c r="Q49" s="51">
        <v>6</v>
      </c>
      <c r="R49" s="51">
        <v>6</v>
      </c>
      <c r="S49" s="51">
        <v>6</v>
      </c>
      <c r="T49" s="51">
        <v>6</v>
      </c>
      <c r="U49" s="51">
        <v>6</v>
      </c>
      <c r="V49" s="51">
        <v>6</v>
      </c>
      <c r="W49" s="51">
        <v>6</v>
      </c>
      <c r="X49" s="51">
        <v>6</v>
      </c>
      <c r="Y49" s="51"/>
      <c r="Z49" s="51">
        <v>6</v>
      </c>
      <c r="AA49" s="51">
        <v>6</v>
      </c>
      <c r="AB49" s="51">
        <v>6</v>
      </c>
      <c r="AC49" s="51">
        <v>6</v>
      </c>
      <c r="AD49" s="51">
        <v>6</v>
      </c>
      <c r="AE49" s="51">
        <v>6</v>
      </c>
      <c r="AF49" s="51">
        <v>6</v>
      </c>
      <c r="AG49" s="63">
        <v>10.050000000000001</v>
      </c>
      <c r="AH49" s="54">
        <f t="shared" si="2"/>
        <v>6</v>
      </c>
      <c r="AI49" s="55">
        <f t="shared" si="3"/>
        <v>6</v>
      </c>
      <c r="AK49" s="56"/>
    </row>
    <row r="50" spans="1:37" x14ac:dyDescent="0.25">
      <c r="A50" s="62" t="s">
        <v>58</v>
      </c>
      <c r="B50" s="70">
        <v>4.0999999999999996</v>
      </c>
      <c r="C50" s="70">
        <v>4.0999999999999996</v>
      </c>
      <c r="D50" s="70">
        <v>4.0999999999999996</v>
      </c>
      <c r="E50" s="70">
        <v>4.0999999999999996</v>
      </c>
      <c r="F50" s="70">
        <v>4.0999999999999996</v>
      </c>
      <c r="G50" s="70">
        <v>4.0999999999999996</v>
      </c>
      <c r="H50" s="70">
        <v>4.0999999999999996</v>
      </c>
      <c r="I50" s="70">
        <v>4.0999999999999996</v>
      </c>
      <c r="J50" s="70">
        <v>4.0999999999999996</v>
      </c>
      <c r="K50" s="70">
        <v>4.0999999999999996</v>
      </c>
      <c r="L50" s="70">
        <v>4.0999999999999996</v>
      </c>
      <c r="M50" s="51">
        <v>4.0999999999999996</v>
      </c>
      <c r="N50" s="51">
        <v>4.0999999999999996</v>
      </c>
      <c r="O50" s="51">
        <v>4.0999999999999996</v>
      </c>
      <c r="P50" s="51">
        <v>4.0999999999999996</v>
      </c>
      <c r="Q50" s="51">
        <v>4.0999999999999996</v>
      </c>
      <c r="R50" s="51">
        <v>4.0999999999999996</v>
      </c>
      <c r="S50" s="51">
        <v>4.0999999999999996</v>
      </c>
      <c r="T50" s="51">
        <v>4.0999999999999996</v>
      </c>
      <c r="U50" s="51">
        <v>4.0999999999999996</v>
      </c>
      <c r="V50" s="51">
        <v>4.0999999999999996</v>
      </c>
      <c r="W50" s="51">
        <v>4.0999999999999996</v>
      </c>
      <c r="X50" s="51">
        <v>4.0999999999999996</v>
      </c>
      <c r="Y50" s="51"/>
      <c r="Z50" s="51">
        <v>4.0999999999999996</v>
      </c>
      <c r="AA50" s="51">
        <v>4.0999999999999996</v>
      </c>
      <c r="AB50" s="51">
        <v>4.0999999999999996</v>
      </c>
      <c r="AC50" s="51">
        <v>4.0999999999999996</v>
      </c>
      <c r="AD50" s="51">
        <v>4.0999999999999996</v>
      </c>
      <c r="AE50" s="51">
        <v>4.0999999999999996</v>
      </c>
      <c r="AF50" s="51">
        <v>4.0999999999999996</v>
      </c>
      <c r="AG50" s="63">
        <v>6.2</v>
      </c>
      <c r="AH50" s="54">
        <f t="shared" si="2"/>
        <v>4.0999999999999996</v>
      </c>
      <c r="AI50" s="55">
        <f t="shared" si="3"/>
        <v>4.0999999999999996</v>
      </c>
      <c r="AK50" s="56"/>
    </row>
    <row r="51" spans="1:37" ht="15.75" thickBot="1" x14ac:dyDescent="0.3">
      <c r="A51" s="64" t="s">
        <v>59</v>
      </c>
      <c r="B51" s="73">
        <v>4.0999999999999996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4.0999999999999996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414.8</v>
      </c>
      <c r="C52" s="69">
        <f t="shared" si="6"/>
        <v>398.34000000000003</v>
      </c>
      <c r="D52" s="69">
        <f t="shared" si="6"/>
        <v>397.64000000000004</v>
      </c>
      <c r="E52" s="69">
        <f t="shared" si="6"/>
        <v>397.64000000000004</v>
      </c>
      <c r="F52" s="69">
        <f t="shared" si="6"/>
        <v>399.34000000000003</v>
      </c>
      <c r="G52" s="69">
        <f t="shared" si="6"/>
        <v>400.04</v>
      </c>
      <c r="H52" s="69">
        <f t="shared" si="6"/>
        <v>373.84000000000003</v>
      </c>
      <c r="I52" s="69">
        <f t="shared" si="6"/>
        <v>391.54</v>
      </c>
      <c r="J52" s="69">
        <f t="shared" si="6"/>
        <v>388.84000000000003</v>
      </c>
      <c r="K52" s="69">
        <f t="shared" si="6"/>
        <v>386.04</v>
      </c>
      <c r="L52" s="69">
        <f t="shared" si="6"/>
        <v>404.34000000000003</v>
      </c>
      <c r="M52" s="69">
        <f t="shared" si="6"/>
        <v>415.64000000000004</v>
      </c>
      <c r="N52" s="69">
        <f t="shared" si="6"/>
        <v>409.04</v>
      </c>
      <c r="O52" s="69">
        <f t="shared" si="6"/>
        <v>401.04</v>
      </c>
      <c r="P52" s="69">
        <f t="shared" si="6"/>
        <v>398.54</v>
      </c>
      <c r="Q52" s="69">
        <f t="shared" si="6"/>
        <v>398.54</v>
      </c>
      <c r="R52" s="69">
        <f t="shared" si="6"/>
        <v>404.74</v>
      </c>
      <c r="S52" s="69">
        <f t="shared" si="6"/>
        <v>408.73999999999995</v>
      </c>
      <c r="T52" s="69">
        <f t="shared" si="6"/>
        <v>422.84</v>
      </c>
      <c r="U52" s="69">
        <f t="shared" si="6"/>
        <v>390.34</v>
      </c>
      <c r="V52" s="69">
        <f t="shared" si="6"/>
        <v>390.64</v>
      </c>
      <c r="W52" s="69">
        <f t="shared" si="6"/>
        <v>397.24</v>
      </c>
      <c r="X52" s="69">
        <f>SUM(X39:X51)</f>
        <v>361.14000000000004</v>
      </c>
      <c r="Y52" s="69">
        <f t="shared" si="6"/>
        <v>3.54</v>
      </c>
      <c r="Z52" s="69">
        <f t="shared" si="6"/>
        <v>363.34</v>
      </c>
      <c r="AA52" s="69">
        <f t="shared" si="6"/>
        <v>305.74</v>
      </c>
      <c r="AB52" s="69">
        <f t="shared" si="6"/>
        <v>321.24</v>
      </c>
      <c r="AC52" s="69">
        <f t="shared" si="6"/>
        <v>325.84000000000003</v>
      </c>
      <c r="AD52" s="69">
        <f t="shared" si="6"/>
        <v>314.54000000000002</v>
      </c>
      <c r="AE52" s="69">
        <f t="shared" si="6"/>
        <v>285.24</v>
      </c>
      <c r="AF52" s="69">
        <f t="shared" si="6"/>
        <v>296.74</v>
      </c>
      <c r="AG52" s="74">
        <f>SUM(AG39:AG51)</f>
        <v>489.91</v>
      </c>
      <c r="AH52" s="54">
        <f t="shared" si="2"/>
        <v>422.84</v>
      </c>
      <c r="AI52" s="55">
        <f t="shared" si="3"/>
        <v>3.54</v>
      </c>
      <c r="AK52" s="56"/>
    </row>
    <row r="53" spans="1:37" x14ac:dyDescent="0.25">
      <c r="A53" s="57" t="s">
        <v>61</v>
      </c>
      <c r="B53" s="51">
        <v>59.4</v>
      </c>
      <c r="C53" s="51">
        <v>59.4</v>
      </c>
      <c r="D53" s="51">
        <v>59.4</v>
      </c>
      <c r="E53" s="51">
        <v>59.4</v>
      </c>
      <c r="F53" s="51">
        <v>29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10</v>
      </c>
      <c r="N53" s="51">
        <v>11</v>
      </c>
      <c r="O53" s="51">
        <v>29.8</v>
      </c>
      <c r="P53" s="51">
        <v>39.799999999999997</v>
      </c>
      <c r="Q53" s="51">
        <v>40</v>
      </c>
      <c r="R53" s="51">
        <v>40</v>
      </c>
      <c r="S53" s="51">
        <v>40</v>
      </c>
      <c r="T53" s="51">
        <v>49.4</v>
      </c>
      <c r="U53" s="51">
        <v>35</v>
      </c>
      <c r="V53" s="51">
        <v>30</v>
      </c>
      <c r="W53" s="51">
        <v>13.8</v>
      </c>
      <c r="X53" s="51">
        <v>13.8</v>
      </c>
      <c r="Y53" s="51"/>
      <c r="Z53" s="51">
        <v>10.199999999999999</v>
      </c>
      <c r="AA53" s="51">
        <v>10.3</v>
      </c>
      <c r="AB53" s="51">
        <v>10.4</v>
      </c>
      <c r="AC53" s="51">
        <v>10.4</v>
      </c>
      <c r="AD53" s="51">
        <v>0</v>
      </c>
      <c r="AE53" s="51">
        <v>0</v>
      </c>
      <c r="AF53" s="51">
        <v>0</v>
      </c>
      <c r="AG53" s="59">
        <v>60</v>
      </c>
      <c r="AH53" s="54">
        <f t="shared" si="2"/>
        <v>59.4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29.9</v>
      </c>
      <c r="C54" s="70">
        <v>29.9</v>
      </c>
      <c r="D54" s="70">
        <v>29.9</v>
      </c>
      <c r="E54" s="70">
        <v>29.9</v>
      </c>
      <c r="F54" s="70">
        <v>15.8</v>
      </c>
      <c r="G54" s="70">
        <v>6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4</v>
      </c>
      <c r="N54" s="70">
        <v>4</v>
      </c>
      <c r="O54" s="70">
        <v>12.6</v>
      </c>
      <c r="P54" s="70">
        <v>17.3</v>
      </c>
      <c r="Q54" s="70">
        <v>18.399999999999999</v>
      </c>
      <c r="R54" s="70">
        <v>18</v>
      </c>
      <c r="S54" s="70">
        <v>18.2</v>
      </c>
      <c r="T54" s="70">
        <v>25</v>
      </c>
      <c r="U54" s="70">
        <v>15.9</v>
      </c>
      <c r="V54" s="70">
        <v>19</v>
      </c>
      <c r="W54" s="70">
        <v>5.3</v>
      </c>
      <c r="X54" s="70">
        <v>6.4</v>
      </c>
      <c r="Y54" s="70"/>
      <c r="Z54" s="70">
        <v>18</v>
      </c>
      <c r="AA54" s="70">
        <v>3.8</v>
      </c>
      <c r="AB54" s="70">
        <v>2.9</v>
      </c>
      <c r="AC54" s="70">
        <v>4.0999999999999996</v>
      </c>
      <c r="AD54" s="70">
        <v>0</v>
      </c>
      <c r="AE54" s="70">
        <v>0</v>
      </c>
      <c r="AF54" s="70">
        <v>0</v>
      </c>
      <c r="AG54" s="63">
        <v>32</v>
      </c>
      <c r="AH54" s="54">
        <f t="shared" si="2"/>
        <v>29.9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10.9</v>
      </c>
      <c r="C55" s="75">
        <v>10.9</v>
      </c>
      <c r="D55" s="75">
        <v>10.9</v>
      </c>
      <c r="E55" s="75">
        <v>10.9</v>
      </c>
      <c r="F55" s="75">
        <v>5.8</v>
      </c>
      <c r="G55" s="75">
        <v>2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2</v>
      </c>
      <c r="N55" s="75">
        <v>2</v>
      </c>
      <c r="O55" s="75">
        <v>4.5999999999999996</v>
      </c>
      <c r="P55" s="75">
        <v>6.3</v>
      </c>
      <c r="Q55" s="75">
        <v>6.7</v>
      </c>
      <c r="R55" s="75">
        <v>6.5</v>
      </c>
      <c r="S55" s="75">
        <v>6.7</v>
      </c>
      <c r="T55" s="75">
        <v>10</v>
      </c>
      <c r="U55" s="75">
        <v>5.8</v>
      </c>
      <c r="V55" s="75">
        <v>7</v>
      </c>
      <c r="W55" s="75">
        <v>1.9</v>
      </c>
      <c r="X55" s="75">
        <v>2.2999999999999998</v>
      </c>
      <c r="Y55" s="75"/>
      <c r="Z55" s="75">
        <v>6.6</v>
      </c>
      <c r="AA55" s="75">
        <v>1.4</v>
      </c>
      <c r="AB55" s="75">
        <v>1.1000000000000001</v>
      </c>
      <c r="AC55" s="75">
        <v>1.5</v>
      </c>
      <c r="AD55" s="75">
        <v>0</v>
      </c>
      <c r="AE55" s="75">
        <v>0</v>
      </c>
      <c r="AF55" s="75">
        <v>0</v>
      </c>
      <c r="AG55" s="76">
        <v>14</v>
      </c>
      <c r="AH55" s="54">
        <f t="shared" si="2"/>
        <v>10.9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100.2</v>
      </c>
      <c r="C56" s="69">
        <f t="shared" si="7"/>
        <v>100.2</v>
      </c>
      <c r="D56" s="69">
        <f t="shared" si="7"/>
        <v>100.2</v>
      </c>
      <c r="E56" s="69">
        <f t="shared" si="7"/>
        <v>100.2</v>
      </c>
      <c r="F56" s="69">
        <f t="shared" si="7"/>
        <v>50.599999999999994</v>
      </c>
      <c r="G56" s="69">
        <f t="shared" si="7"/>
        <v>8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16</v>
      </c>
      <c r="N56" s="69">
        <f t="shared" si="7"/>
        <v>17</v>
      </c>
      <c r="O56" s="69">
        <f t="shared" si="7"/>
        <v>47</v>
      </c>
      <c r="P56" s="69">
        <f t="shared" si="7"/>
        <v>63.399999999999991</v>
      </c>
      <c r="Q56" s="69">
        <f t="shared" si="7"/>
        <v>65.099999999999994</v>
      </c>
      <c r="R56" s="69">
        <f t="shared" si="7"/>
        <v>64.5</v>
      </c>
      <c r="S56" s="69">
        <f t="shared" si="7"/>
        <v>64.900000000000006</v>
      </c>
      <c r="T56" s="69">
        <f t="shared" si="7"/>
        <v>84.4</v>
      </c>
      <c r="U56" s="69">
        <f t="shared" si="7"/>
        <v>56.699999999999996</v>
      </c>
      <c r="V56" s="69">
        <f t="shared" si="7"/>
        <v>56</v>
      </c>
      <c r="W56" s="69">
        <f t="shared" si="7"/>
        <v>21</v>
      </c>
      <c r="X56" s="69">
        <f t="shared" si="7"/>
        <v>22.500000000000004</v>
      </c>
      <c r="Y56" s="69">
        <f t="shared" si="7"/>
        <v>0</v>
      </c>
      <c r="Z56" s="69">
        <f t="shared" si="7"/>
        <v>34.799999999999997</v>
      </c>
      <c r="AA56" s="69">
        <f t="shared" si="7"/>
        <v>15.500000000000002</v>
      </c>
      <c r="AB56" s="69">
        <f t="shared" si="7"/>
        <v>14.4</v>
      </c>
      <c r="AC56" s="69">
        <f t="shared" si="7"/>
        <v>16</v>
      </c>
      <c r="AD56" s="69">
        <f t="shared" si="7"/>
        <v>0</v>
      </c>
      <c r="AE56" s="69">
        <f t="shared" si="7"/>
        <v>0</v>
      </c>
      <c r="AF56" s="69">
        <f t="shared" si="7"/>
        <v>0</v>
      </c>
      <c r="AG56" s="74">
        <f>SUM(AG53:AG55)</f>
        <v>106</v>
      </c>
      <c r="AH56" s="54">
        <f t="shared" si="2"/>
        <v>100.2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75</v>
      </c>
      <c r="C57" s="51">
        <v>77</v>
      </c>
      <c r="D57" s="51">
        <v>75</v>
      </c>
      <c r="E57" s="51">
        <v>73</v>
      </c>
      <c r="F57" s="51">
        <v>73</v>
      </c>
      <c r="G57" s="51">
        <v>70</v>
      </c>
      <c r="H57" s="51">
        <v>64</v>
      </c>
      <c r="I57" s="51">
        <v>60</v>
      </c>
      <c r="J57" s="51">
        <v>63</v>
      </c>
      <c r="K57" s="51">
        <v>63</v>
      </c>
      <c r="L57" s="51">
        <v>64</v>
      </c>
      <c r="M57" s="51">
        <v>67</v>
      </c>
      <c r="N57" s="51">
        <v>68.7</v>
      </c>
      <c r="O57" s="51">
        <v>74</v>
      </c>
      <c r="P57" s="51">
        <v>66.7</v>
      </c>
      <c r="Q57" s="51">
        <v>78</v>
      </c>
      <c r="R57" s="51">
        <v>68.7</v>
      </c>
      <c r="S57" s="51">
        <v>75.5</v>
      </c>
      <c r="T57" s="51">
        <v>68</v>
      </c>
      <c r="U57" s="51">
        <v>61</v>
      </c>
      <c r="V57" s="51">
        <v>65</v>
      </c>
      <c r="W57" s="51">
        <v>68.400000000000006</v>
      </c>
      <c r="X57" s="51">
        <v>67.3</v>
      </c>
      <c r="Y57" s="51"/>
      <c r="Z57" s="51">
        <v>0</v>
      </c>
      <c r="AA57" s="51">
        <v>35.22</v>
      </c>
      <c r="AB57" s="51">
        <v>36.15</v>
      </c>
      <c r="AC57" s="51">
        <v>49.5</v>
      </c>
      <c r="AD57" s="51">
        <v>42</v>
      </c>
      <c r="AE57" s="51">
        <v>39.700000000000003</v>
      </c>
      <c r="AF57" s="51">
        <v>40.299999999999997</v>
      </c>
      <c r="AG57" s="59"/>
      <c r="AH57" s="54">
        <f t="shared" si="2"/>
        <v>78</v>
      </c>
      <c r="AI57" s="55">
        <f t="shared" si="3"/>
        <v>0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/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22</v>
      </c>
      <c r="C59" s="70">
        <v>36</v>
      </c>
      <c r="D59" s="70">
        <v>34</v>
      </c>
      <c r="E59" s="70">
        <v>40</v>
      </c>
      <c r="F59" s="70">
        <v>45</v>
      </c>
      <c r="G59" s="70">
        <v>45</v>
      </c>
      <c r="H59" s="70">
        <v>30</v>
      </c>
      <c r="I59" s="70">
        <v>182</v>
      </c>
      <c r="J59" s="70">
        <v>165</v>
      </c>
      <c r="K59" s="70">
        <v>230</v>
      </c>
      <c r="L59" s="70">
        <v>225</v>
      </c>
      <c r="M59" s="70">
        <v>259</v>
      </c>
      <c r="N59" s="70">
        <v>250</v>
      </c>
      <c r="O59" s="70">
        <v>243.6</v>
      </c>
      <c r="P59" s="70">
        <v>250</v>
      </c>
      <c r="Q59" s="70">
        <v>257</v>
      </c>
      <c r="R59" s="70">
        <v>244.8</v>
      </c>
      <c r="S59" s="70">
        <v>240</v>
      </c>
      <c r="T59" s="70">
        <v>246</v>
      </c>
      <c r="U59" s="70">
        <v>150.6</v>
      </c>
      <c r="V59" s="70">
        <v>135</v>
      </c>
      <c r="W59" s="70">
        <v>170</v>
      </c>
      <c r="X59" s="70">
        <v>122.1</v>
      </c>
      <c r="Y59" s="70"/>
      <c r="Z59" s="70">
        <v>7.9</v>
      </c>
      <c r="AA59" s="70">
        <v>77.400000000000006</v>
      </c>
      <c r="AB59" s="70">
        <v>39</v>
      </c>
      <c r="AC59" s="70">
        <v>39</v>
      </c>
      <c r="AD59" s="70">
        <v>-25</v>
      </c>
      <c r="AE59" s="70">
        <v>0</v>
      </c>
      <c r="AF59" s="70">
        <v>0</v>
      </c>
      <c r="AG59" s="77"/>
      <c r="AH59" s="54">
        <f t="shared" si="2"/>
        <v>259</v>
      </c>
      <c r="AI59" s="55">
        <f t="shared" si="3"/>
        <v>-25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15</v>
      </c>
      <c r="E60" s="78">
        <v>15</v>
      </c>
      <c r="F60" s="78">
        <v>12</v>
      </c>
      <c r="G60" s="78">
        <v>0</v>
      </c>
      <c r="H60" s="78">
        <v>0</v>
      </c>
      <c r="I60" s="78">
        <v>0</v>
      </c>
      <c r="J60" s="78">
        <v>13</v>
      </c>
      <c r="K60" s="78">
        <v>13</v>
      </c>
      <c r="L60" s="78">
        <v>13</v>
      </c>
      <c r="M60" s="78">
        <v>13</v>
      </c>
      <c r="N60" s="78">
        <v>32</v>
      </c>
      <c r="O60" s="78">
        <v>25.2</v>
      </c>
      <c r="P60" s="78">
        <v>25.1</v>
      </c>
      <c r="Q60" s="78">
        <v>25.1</v>
      </c>
      <c r="R60" s="78">
        <v>32.799999999999997</v>
      </c>
      <c r="S60" s="78">
        <v>30</v>
      </c>
      <c r="T60" s="78">
        <v>25.3</v>
      </c>
      <c r="U60" s="78">
        <v>25.3</v>
      </c>
      <c r="V60" s="78">
        <v>24.8</v>
      </c>
      <c r="W60" s="78">
        <v>24.8</v>
      </c>
      <c r="X60" s="78">
        <v>27.8</v>
      </c>
      <c r="Y60" s="78"/>
      <c r="Z60" s="78">
        <v>28.2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32.799999999999997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/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78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/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0</v>
      </c>
      <c r="AF62" s="78">
        <v>0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/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8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/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9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/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9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/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79">
        <v>0</v>
      </c>
      <c r="AF66" s="78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/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79">
        <v>0</v>
      </c>
      <c r="AF67" s="78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105</v>
      </c>
      <c r="C68" s="69">
        <f t="shared" si="8"/>
        <v>121</v>
      </c>
      <c r="D68" s="69">
        <f t="shared" si="8"/>
        <v>132</v>
      </c>
      <c r="E68" s="69">
        <f t="shared" si="8"/>
        <v>136</v>
      </c>
      <c r="F68" s="69">
        <f t="shared" si="8"/>
        <v>138</v>
      </c>
      <c r="G68" s="69">
        <f t="shared" si="8"/>
        <v>123</v>
      </c>
      <c r="H68" s="69">
        <f t="shared" si="8"/>
        <v>102</v>
      </c>
      <c r="I68" s="69">
        <f t="shared" si="8"/>
        <v>250</v>
      </c>
      <c r="J68" s="69">
        <f t="shared" si="8"/>
        <v>249</v>
      </c>
      <c r="K68" s="69">
        <f t="shared" si="8"/>
        <v>314</v>
      </c>
      <c r="L68" s="69">
        <f t="shared" si="8"/>
        <v>310</v>
      </c>
      <c r="M68" s="69">
        <f t="shared" si="8"/>
        <v>347</v>
      </c>
      <c r="N68" s="69">
        <f t="shared" si="8"/>
        <v>358.7</v>
      </c>
      <c r="O68" s="69">
        <f t="shared" si="8"/>
        <v>350.8</v>
      </c>
      <c r="P68" s="69">
        <f t="shared" si="8"/>
        <v>349.8</v>
      </c>
      <c r="Q68" s="69">
        <f t="shared" si="8"/>
        <v>368.1</v>
      </c>
      <c r="R68" s="69">
        <f t="shared" si="8"/>
        <v>354.3</v>
      </c>
      <c r="S68" s="69">
        <f t="shared" si="8"/>
        <v>353.5</v>
      </c>
      <c r="T68" s="69">
        <f t="shared" si="8"/>
        <v>347.3</v>
      </c>
      <c r="U68" s="69">
        <f t="shared" si="8"/>
        <v>244.9</v>
      </c>
      <c r="V68" s="69">
        <f>SUM(V57:V67)</f>
        <v>232.8</v>
      </c>
      <c r="W68" s="69">
        <f t="shared" si="8"/>
        <v>271.2</v>
      </c>
      <c r="X68" s="69">
        <f t="shared" si="8"/>
        <v>225.2</v>
      </c>
      <c r="Y68" s="69">
        <f t="shared" si="8"/>
        <v>0</v>
      </c>
      <c r="Z68" s="69">
        <f t="shared" si="8"/>
        <v>44.1</v>
      </c>
      <c r="AA68" s="69">
        <f t="shared" si="8"/>
        <v>120.62</v>
      </c>
      <c r="AB68" s="69">
        <f t="shared" si="8"/>
        <v>83.15</v>
      </c>
      <c r="AC68" s="69">
        <f t="shared" si="8"/>
        <v>96.5</v>
      </c>
      <c r="AD68" s="69">
        <f t="shared" si="8"/>
        <v>25</v>
      </c>
      <c r="AE68" s="69">
        <f t="shared" si="8"/>
        <v>39.700000000000003</v>
      </c>
      <c r="AF68" s="69">
        <f t="shared" si="8"/>
        <v>40.299999999999997</v>
      </c>
      <c r="AG68" s="74">
        <f>SUM(AG57:AG67)</f>
        <v>0</v>
      </c>
      <c r="AH68" s="54">
        <f t="shared" si="2"/>
        <v>368.1</v>
      </c>
      <c r="AI68" s="55">
        <f t="shared" si="3"/>
        <v>0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10</v>
      </c>
      <c r="C74" s="86">
        <v>10</v>
      </c>
      <c r="D74" s="86">
        <v>10</v>
      </c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10</v>
      </c>
      <c r="AI74" s="55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1336.7</v>
      </c>
      <c r="C75" s="84">
        <f t="shared" si="10"/>
        <v>1315.6399999999999</v>
      </c>
      <c r="D75" s="84">
        <f t="shared" si="10"/>
        <v>1265.94</v>
      </c>
      <c r="E75" s="84">
        <f t="shared" si="10"/>
        <v>1259.94</v>
      </c>
      <c r="F75" s="84">
        <f t="shared" si="10"/>
        <v>1224.04</v>
      </c>
      <c r="G75" s="84">
        <f t="shared" si="10"/>
        <v>1218.6399999999999</v>
      </c>
      <c r="H75" s="84">
        <f t="shared" si="10"/>
        <v>1183.24</v>
      </c>
      <c r="I75" s="84">
        <f t="shared" si="10"/>
        <v>1239.74</v>
      </c>
      <c r="J75" s="84">
        <f t="shared" si="10"/>
        <v>1266.04</v>
      </c>
      <c r="K75" s="84">
        <f t="shared" si="10"/>
        <v>1306.74</v>
      </c>
      <c r="L75" s="84">
        <f t="shared" si="10"/>
        <v>1347.44</v>
      </c>
      <c r="M75" s="84">
        <f t="shared" si="10"/>
        <v>1424.94</v>
      </c>
      <c r="N75" s="84">
        <f t="shared" si="10"/>
        <v>1405.04</v>
      </c>
      <c r="O75" s="84">
        <f t="shared" si="10"/>
        <v>1419.1399999999999</v>
      </c>
      <c r="P75" s="84">
        <f t="shared" si="10"/>
        <v>1422.74</v>
      </c>
      <c r="Q75" s="84">
        <f t="shared" si="10"/>
        <v>1431.1399999999999</v>
      </c>
      <c r="R75" s="84">
        <f t="shared" si="10"/>
        <v>1447.04</v>
      </c>
      <c r="S75" s="84">
        <f t="shared" si="10"/>
        <v>1490.6399999999999</v>
      </c>
      <c r="T75" s="84">
        <f t="shared" si="10"/>
        <v>1498.04</v>
      </c>
      <c r="U75" s="84">
        <f t="shared" si="10"/>
        <v>1415.44</v>
      </c>
      <c r="V75" s="84">
        <f t="shared" si="10"/>
        <v>1402.94</v>
      </c>
      <c r="W75" s="84">
        <f t="shared" si="10"/>
        <v>1382.94</v>
      </c>
      <c r="X75" s="84">
        <f t="shared" si="10"/>
        <v>1282.3400000000001</v>
      </c>
      <c r="Y75" s="84">
        <f t="shared" si="10"/>
        <v>3.54</v>
      </c>
      <c r="Z75" s="84">
        <f t="shared" si="10"/>
        <v>1195.74</v>
      </c>
      <c r="AA75" s="84">
        <f t="shared" si="10"/>
        <v>1195.3600000000001</v>
      </c>
      <c r="AB75" s="84">
        <f t="shared" si="10"/>
        <v>1194.3900000000001</v>
      </c>
      <c r="AC75" s="84">
        <f t="shared" si="10"/>
        <v>1235.04</v>
      </c>
      <c r="AD75" s="84">
        <f t="shared" si="10"/>
        <v>1125.6400000000001</v>
      </c>
      <c r="AE75" s="84">
        <f t="shared" si="10"/>
        <v>1082.44</v>
      </c>
      <c r="AF75" s="84">
        <f t="shared" si="10"/>
        <v>1060.54</v>
      </c>
      <c r="AG75" s="74">
        <f>AG72+AG68+AG56+AG52+AG38+AG74</f>
        <v>2144.14</v>
      </c>
      <c r="AH75" s="54">
        <f t="shared" si="2"/>
        <v>1498.04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2548.59</v>
      </c>
      <c r="C83" s="69">
        <f t="shared" si="14"/>
        <v>2527.5299999999997</v>
      </c>
      <c r="D83" s="69">
        <f t="shared" si="14"/>
        <v>2477.83</v>
      </c>
      <c r="E83" s="69">
        <f t="shared" si="14"/>
        <v>2461.83</v>
      </c>
      <c r="F83" s="69">
        <f t="shared" si="14"/>
        <v>2425.9299999999998</v>
      </c>
      <c r="G83" s="69">
        <f t="shared" si="14"/>
        <v>2420.5299999999997</v>
      </c>
      <c r="H83" s="69">
        <f t="shared" si="14"/>
        <v>2385.13</v>
      </c>
      <c r="I83" s="69">
        <f t="shared" si="14"/>
        <v>2441.63</v>
      </c>
      <c r="J83" s="69">
        <f t="shared" si="14"/>
        <v>2467.9299999999998</v>
      </c>
      <c r="K83" s="69">
        <f t="shared" si="14"/>
        <v>2508.63</v>
      </c>
      <c r="L83" s="69">
        <f t="shared" si="14"/>
        <v>2549.33</v>
      </c>
      <c r="M83" s="69">
        <f t="shared" si="14"/>
        <v>2626.83</v>
      </c>
      <c r="N83" s="69">
        <f t="shared" si="14"/>
        <v>2606.9299999999998</v>
      </c>
      <c r="O83" s="69">
        <f t="shared" si="14"/>
        <v>2621.0299999999997</v>
      </c>
      <c r="P83" s="69">
        <f t="shared" si="14"/>
        <v>2624.63</v>
      </c>
      <c r="Q83" s="69">
        <f t="shared" si="14"/>
        <v>2633.0299999999997</v>
      </c>
      <c r="R83" s="69">
        <f t="shared" si="14"/>
        <v>2648.93</v>
      </c>
      <c r="S83" s="69">
        <f t="shared" si="14"/>
        <v>2692.5299999999997</v>
      </c>
      <c r="T83" s="69">
        <f t="shared" si="14"/>
        <v>2699.93</v>
      </c>
      <c r="U83" s="69">
        <f t="shared" si="14"/>
        <v>2617.33</v>
      </c>
      <c r="V83" s="69">
        <f t="shared" si="14"/>
        <v>2604.83</v>
      </c>
      <c r="W83" s="69">
        <f t="shared" si="14"/>
        <v>2584.83</v>
      </c>
      <c r="X83" s="69">
        <f t="shared" si="14"/>
        <v>2484.23</v>
      </c>
      <c r="Y83" s="69">
        <f t="shared" si="14"/>
        <v>1205.4299999999998</v>
      </c>
      <c r="Z83" s="69">
        <f t="shared" si="14"/>
        <v>2397.63</v>
      </c>
      <c r="AA83" s="69">
        <f t="shared" si="14"/>
        <v>2397.25</v>
      </c>
      <c r="AB83" s="69">
        <f t="shared" si="14"/>
        <v>2396.2799999999997</v>
      </c>
      <c r="AC83" s="69">
        <f t="shared" si="14"/>
        <v>2436.9299999999998</v>
      </c>
      <c r="AD83" s="69">
        <f t="shared" si="14"/>
        <v>2327.5299999999997</v>
      </c>
      <c r="AE83" s="69">
        <f t="shared" si="14"/>
        <v>2284.33</v>
      </c>
      <c r="AF83" s="69">
        <f t="shared" si="14"/>
        <v>2262.4299999999998</v>
      </c>
      <c r="AG83" s="74">
        <f t="shared" si="14"/>
        <v>4360.08</v>
      </c>
      <c r="AH83" s="54">
        <f t="shared" si="11"/>
        <v>2699.93</v>
      </c>
      <c r="AI83" s="55">
        <f t="shared" si="12"/>
        <v>1205.4299999999998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50.03</v>
      </c>
      <c r="C84" s="90">
        <v>49.92</v>
      </c>
      <c r="D84" s="90">
        <v>49.96</v>
      </c>
      <c r="E84" s="90">
        <v>50.06</v>
      </c>
      <c r="F84" s="90">
        <v>50.042000000000002</v>
      </c>
      <c r="G84" s="90">
        <v>50.015999999999998</v>
      </c>
      <c r="H84" s="90">
        <v>49.899000000000001</v>
      </c>
      <c r="I84" s="90">
        <v>50.042999999999999</v>
      </c>
      <c r="J84" s="90">
        <v>50.064999999999998</v>
      </c>
      <c r="K84" s="90">
        <v>50.064999999999998</v>
      </c>
      <c r="L84" s="90">
        <v>50.042999999999999</v>
      </c>
      <c r="M84" s="90">
        <v>50.046999999999997</v>
      </c>
      <c r="N84" s="90">
        <v>50</v>
      </c>
      <c r="O84" s="90">
        <v>50</v>
      </c>
      <c r="P84" s="90">
        <v>50.05</v>
      </c>
      <c r="Q84" s="90">
        <v>49.93</v>
      </c>
      <c r="R84" s="90">
        <v>49.97</v>
      </c>
      <c r="S84" s="90">
        <v>49.951000000000001</v>
      </c>
      <c r="T84" s="90">
        <v>50.057000000000002</v>
      </c>
      <c r="U84" s="90">
        <v>50.042999999999999</v>
      </c>
      <c r="V84" s="90">
        <v>50.015999999999998</v>
      </c>
      <c r="W84" s="90">
        <v>50.030999999999999</v>
      </c>
      <c r="X84" s="90">
        <v>50.002000000000002</v>
      </c>
      <c r="Y84" s="90"/>
      <c r="Z84" s="90">
        <v>49.98</v>
      </c>
      <c r="AA84" s="90">
        <v>50.030999999999999</v>
      </c>
      <c r="AB84" s="90">
        <v>50.027999999999999</v>
      </c>
      <c r="AC84" s="90">
        <v>49.96</v>
      </c>
      <c r="AD84" s="90">
        <v>50.01</v>
      </c>
      <c r="AE84" s="90">
        <v>50.03</v>
      </c>
      <c r="AF84" s="90">
        <v>50</v>
      </c>
      <c r="AG84" s="91"/>
      <c r="AH84" s="54">
        <f t="shared" si="11"/>
        <v>50.064999999999998</v>
      </c>
      <c r="AI84" s="55">
        <f t="shared" si="12"/>
        <v>49.899000000000001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124.5</v>
      </c>
      <c r="C85" s="70">
        <v>125</v>
      </c>
      <c r="D85" s="70">
        <v>125</v>
      </c>
      <c r="E85" s="70">
        <v>126</v>
      </c>
      <c r="F85" s="70">
        <v>123</v>
      </c>
      <c r="G85" s="70">
        <v>121</v>
      </c>
      <c r="H85" s="70">
        <v>123.7</v>
      </c>
      <c r="I85" s="70">
        <v>123.7</v>
      </c>
      <c r="J85" s="70">
        <v>123</v>
      </c>
      <c r="K85" s="70">
        <v>123</v>
      </c>
      <c r="L85" s="70">
        <v>121</v>
      </c>
      <c r="M85" s="70">
        <v>120</v>
      </c>
      <c r="N85" s="70">
        <v>122</v>
      </c>
      <c r="O85" s="70">
        <v>119.5</v>
      </c>
      <c r="P85" s="70">
        <v>120.8</v>
      </c>
      <c r="Q85" s="70">
        <v>120.9</v>
      </c>
      <c r="R85" s="70">
        <v>123</v>
      </c>
      <c r="S85" s="70">
        <v>120.4</v>
      </c>
      <c r="T85" s="70"/>
      <c r="U85" s="70">
        <v>122.6</v>
      </c>
      <c r="V85" s="70">
        <v>123</v>
      </c>
      <c r="W85" s="70">
        <v>123.1</v>
      </c>
      <c r="X85" s="70">
        <v>125.6</v>
      </c>
      <c r="Y85" s="70"/>
      <c r="Z85" s="70">
        <v>126.8</v>
      </c>
      <c r="AA85" s="70">
        <v>125</v>
      </c>
      <c r="AB85" s="70">
        <v>126.3</v>
      </c>
      <c r="AC85" s="70">
        <v>126.1</v>
      </c>
      <c r="AD85" s="70">
        <v>127</v>
      </c>
      <c r="AE85" s="70">
        <v>128</v>
      </c>
      <c r="AF85" s="70">
        <v>125.2</v>
      </c>
      <c r="AG85" s="93"/>
      <c r="AH85" s="54">
        <f t="shared" si="11"/>
        <v>128</v>
      </c>
      <c r="AI85" s="55">
        <f t="shared" si="12"/>
        <v>119.5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129.30000000000001</v>
      </c>
      <c r="C86" s="70">
        <v>130</v>
      </c>
      <c r="D86" s="70">
        <v>130</v>
      </c>
      <c r="E86" s="70">
        <v>130</v>
      </c>
      <c r="F86" s="70">
        <v>128</v>
      </c>
      <c r="G86" s="70">
        <v>127</v>
      </c>
      <c r="H86" s="70">
        <v>128.30000000000001</v>
      </c>
      <c r="I86" s="70">
        <v>128.30000000000001</v>
      </c>
      <c r="J86" s="70">
        <v>128</v>
      </c>
      <c r="K86" s="70">
        <v>128</v>
      </c>
      <c r="L86" s="70">
        <v>125</v>
      </c>
      <c r="M86" s="70">
        <v>125</v>
      </c>
      <c r="N86" s="70">
        <v>126</v>
      </c>
      <c r="O86" s="70">
        <v>124.2</v>
      </c>
      <c r="P86" s="70">
        <v>125.4</v>
      </c>
      <c r="Q86" s="70">
        <v>125.4</v>
      </c>
      <c r="R86" s="70">
        <v>127.1</v>
      </c>
      <c r="S86" s="70">
        <v>125.6</v>
      </c>
      <c r="T86" s="70"/>
      <c r="U86" s="70">
        <v>126.9</v>
      </c>
      <c r="V86" s="70">
        <v>127.3</v>
      </c>
      <c r="W86" s="70">
        <v>126.8</v>
      </c>
      <c r="X86" s="70">
        <v>128.80000000000001</v>
      </c>
      <c r="Y86" s="70"/>
      <c r="Z86" s="70">
        <v>129.80000000000001</v>
      </c>
      <c r="AA86" s="70">
        <v>130.19999999999999</v>
      </c>
      <c r="AB86" s="70">
        <v>129.9</v>
      </c>
      <c r="AC86" s="70">
        <v>130.1</v>
      </c>
      <c r="AD86" s="70">
        <v>130.69999999999999</v>
      </c>
      <c r="AE86" s="70">
        <v>131.6</v>
      </c>
      <c r="AF86" s="70">
        <v>129.19999999999999</v>
      </c>
      <c r="AG86" s="93"/>
      <c r="AH86" s="54">
        <f t="shared" si="11"/>
        <v>131.6</v>
      </c>
      <c r="AI86" s="55">
        <f t="shared" si="12"/>
        <v>124.2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130</v>
      </c>
      <c r="C87" s="70">
        <v>131</v>
      </c>
      <c r="D87" s="70">
        <v>131</v>
      </c>
      <c r="E87" s="70">
        <v>131</v>
      </c>
      <c r="F87" s="70">
        <v>131</v>
      </c>
      <c r="G87" s="70">
        <v>131</v>
      </c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93"/>
      <c r="AH87" s="54">
        <f t="shared" si="11"/>
        <v>131</v>
      </c>
      <c r="AI87" s="55">
        <f t="shared" si="12"/>
        <v>130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133</v>
      </c>
      <c r="C88" s="70">
        <v>135</v>
      </c>
      <c r="D88" s="70">
        <v>135</v>
      </c>
      <c r="E88" s="70">
        <v>133</v>
      </c>
      <c r="F88" s="70">
        <v>133</v>
      </c>
      <c r="G88" s="70">
        <v>133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93"/>
      <c r="AH88" s="54">
        <f t="shared" si="11"/>
        <v>135</v>
      </c>
      <c r="AI88" s="55">
        <f t="shared" si="12"/>
        <v>133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130</v>
      </c>
      <c r="C89" s="95">
        <v>132</v>
      </c>
      <c r="D89" s="95">
        <v>132</v>
      </c>
      <c r="E89" s="95">
        <v>135</v>
      </c>
      <c r="F89" s="95">
        <v>129</v>
      </c>
      <c r="G89" s="95">
        <v>134</v>
      </c>
      <c r="H89" s="95">
        <v>131</v>
      </c>
      <c r="I89" s="95">
        <v>131</v>
      </c>
      <c r="J89" s="95">
        <v>135</v>
      </c>
      <c r="K89" s="95">
        <v>135</v>
      </c>
      <c r="L89" s="95">
        <v>133</v>
      </c>
      <c r="M89" s="95">
        <v>129</v>
      </c>
      <c r="N89" s="95">
        <v>131</v>
      </c>
      <c r="O89" s="95">
        <v>128.30000000000001</v>
      </c>
      <c r="P89" s="95">
        <v>132.4</v>
      </c>
      <c r="Q89" s="95">
        <v>132.4</v>
      </c>
      <c r="R89" s="95">
        <v>132.30000000000001</v>
      </c>
      <c r="S89" s="95">
        <v>129.80000000000001</v>
      </c>
      <c r="T89" s="95">
        <v>131</v>
      </c>
      <c r="U89" s="95">
        <v>135.19999999999999</v>
      </c>
      <c r="V89" s="95">
        <v>131.80000000000001</v>
      </c>
      <c r="W89" s="95">
        <v>135.5</v>
      </c>
      <c r="X89" s="95">
        <v>136.4</v>
      </c>
      <c r="Y89" s="95"/>
      <c r="Z89" s="95">
        <v>136.19999999999999</v>
      </c>
      <c r="AA89" s="95">
        <v>135.19999999999999</v>
      </c>
      <c r="AB89" s="95">
        <v>130.6</v>
      </c>
      <c r="AC89" s="95">
        <v>132.6</v>
      </c>
      <c r="AD89" s="95">
        <v>131.4</v>
      </c>
      <c r="AE89" s="95">
        <v>133.9</v>
      </c>
      <c r="AF89" s="95">
        <v>131.69999999999999</v>
      </c>
      <c r="AG89" s="96"/>
      <c r="AH89" s="54">
        <f t="shared" si="11"/>
        <v>136.4</v>
      </c>
      <c r="AI89" s="55">
        <f t="shared" si="12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124</v>
      </c>
      <c r="C90" s="70">
        <v>126</v>
      </c>
      <c r="D90" s="70">
        <v>124</v>
      </c>
      <c r="E90" s="70">
        <v>131</v>
      </c>
      <c r="F90" s="70">
        <v>134</v>
      </c>
      <c r="G90" s="70">
        <v>128</v>
      </c>
      <c r="H90" s="70">
        <v>126</v>
      </c>
      <c r="I90" s="70">
        <v>126</v>
      </c>
      <c r="J90" s="70">
        <v>133</v>
      </c>
      <c r="K90" s="70">
        <v>133</v>
      </c>
      <c r="L90" s="70">
        <v>126</v>
      </c>
      <c r="M90" s="70">
        <v>126</v>
      </c>
      <c r="N90" s="70">
        <v>132</v>
      </c>
      <c r="O90" s="70">
        <v>116.2</v>
      </c>
      <c r="P90" s="70">
        <v>126.6</v>
      </c>
      <c r="Q90" s="70">
        <v>126.6</v>
      </c>
      <c r="R90" s="70">
        <v>126.7</v>
      </c>
      <c r="S90" s="70">
        <v>125.4</v>
      </c>
      <c r="T90" s="70">
        <v>125.5</v>
      </c>
      <c r="U90" s="70">
        <v>132.30000000000001</v>
      </c>
      <c r="V90" s="70">
        <v>128.30000000000001</v>
      </c>
      <c r="W90" s="70">
        <v>135.1</v>
      </c>
      <c r="X90" s="70">
        <v>135</v>
      </c>
      <c r="Y90" s="70"/>
      <c r="Z90" s="70">
        <v>133.4</v>
      </c>
      <c r="AA90" s="70">
        <v>133.5</v>
      </c>
      <c r="AB90" s="70">
        <v>130.5</v>
      </c>
      <c r="AC90" s="70">
        <v>129.69999999999999</v>
      </c>
      <c r="AD90" s="70">
        <v>128.19999999999999</v>
      </c>
      <c r="AE90" s="70">
        <v>130.80000000000001</v>
      </c>
      <c r="AF90" s="70">
        <v>128.69999999999999</v>
      </c>
      <c r="AG90" s="93"/>
      <c r="AH90" s="54">
        <f t="shared" si="11"/>
        <v>135.1</v>
      </c>
      <c r="AI90" s="55">
        <f t="shared" si="12"/>
        <v>116.2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65.400000000000006</v>
      </c>
      <c r="C91" s="97">
        <v>65.400000000000006</v>
      </c>
      <c r="D91" s="97">
        <v>65.400000000000006</v>
      </c>
      <c r="E91" s="97">
        <v>66</v>
      </c>
      <c r="F91" s="97">
        <v>66.400000000000006</v>
      </c>
      <c r="G91" s="97">
        <v>63.7</v>
      </c>
      <c r="H91" s="97">
        <v>64.7</v>
      </c>
      <c r="I91" s="97">
        <v>64.7</v>
      </c>
      <c r="J91" s="97">
        <v>64</v>
      </c>
      <c r="K91" s="97">
        <v>64</v>
      </c>
      <c r="L91" s="97">
        <v>63</v>
      </c>
      <c r="M91" s="97">
        <v>63</v>
      </c>
      <c r="N91" s="97">
        <v>63</v>
      </c>
      <c r="O91" s="97">
        <v>62.7</v>
      </c>
      <c r="P91" s="97">
        <v>62.8</v>
      </c>
      <c r="Q91" s="97">
        <v>62.8</v>
      </c>
      <c r="R91" s="97">
        <v>63.4</v>
      </c>
      <c r="S91" s="97">
        <v>62.9</v>
      </c>
      <c r="T91" s="97"/>
      <c r="U91" s="97">
        <v>63.3</v>
      </c>
      <c r="V91" s="97">
        <v>63.6</v>
      </c>
      <c r="W91" s="97">
        <v>63.4</v>
      </c>
      <c r="X91" s="97">
        <v>64.400000000000006</v>
      </c>
      <c r="Y91" s="97"/>
      <c r="Z91" s="97">
        <v>65.2</v>
      </c>
      <c r="AA91" s="97">
        <v>65.099999999999994</v>
      </c>
      <c r="AB91" s="97">
        <v>65.400000000000006</v>
      </c>
      <c r="AC91" s="97">
        <v>65.5</v>
      </c>
      <c r="AD91" s="97">
        <v>66</v>
      </c>
      <c r="AE91" s="97">
        <v>66</v>
      </c>
      <c r="AF91" s="97">
        <v>64.8</v>
      </c>
      <c r="AG91" s="98"/>
      <c r="AH91" s="54">
        <f t="shared" si="11"/>
        <v>66.400000000000006</v>
      </c>
      <c r="AI91" s="55">
        <f t="shared" si="12"/>
        <v>62.7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>
        <v>65.5</v>
      </c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200.14</v>
      </c>
      <c r="C93" s="103">
        <f t="shared" si="15"/>
        <v>194.84</v>
      </c>
      <c r="D93" s="103">
        <f t="shared" si="15"/>
        <v>185.54</v>
      </c>
      <c r="E93" s="103">
        <f t="shared" si="15"/>
        <v>179.54</v>
      </c>
      <c r="F93" s="103">
        <f t="shared" si="15"/>
        <v>174.54</v>
      </c>
      <c r="G93" s="103">
        <f t="shared" si="15"/>
        <v>168.93999999999997</v>
      </c>
      <c r="H93" s="103">
        <f t="shared" si="15"/>
        <v>194.23999999999998</v>
      </c>
      <c r="I93" s="103">
        <f t="shared" si="15"/>
        <v>232.54</v>
      </c>
      <c r="J93" s="103">
        <f t="shared" si="15"/>
        <v>253.64</v>
      </c>
      <c r="K93" s="103">
        <f t="shared" si="15"/>
        <v>192.54</v>
      </c>
      <c r="L93" s="103">
        <f t="shared" si="15"/>
        <v>294.14000000000004</v>
      </c>
      <c r="M93" s="103">
        <f t="shared" si="15"/>
        <v>297.24000000000007</v>
      </c>
      <c r="N93" s="103">
        <f t="shared" si="15"/>
        <v>289.74000000000007</v>
      </c>
      <c r="O93" s="103">
        <f t="shared" si="15"/>
        <v>312.14000000000004</v>
      </c>
      <c r="P93" s="103">
        <f t="shared" si="15"/>
        <v>307.54000000000008</v>
      </c>
      <c r="Q93" s="103">
        <f t="shared" si="15"/>
        <v>305.34000000000003</v>
      </c>
      <c r="R93" s="103">
        <f t="shared" si="15"/>
        <v>315.94</v>
      </c>
      <c r="S93" s="103">
        <f t="shared" si="15"/>
        <v>313.34000000000003</v>
      </c>
      <c r="T93" s="103">
        <f t="shared" si="15"/>
        <v>70.539999999999978</v>
      </c>
      <c r="U93" s="103">
        <f t="shared" si="15"/>
        <v>322.64</v>
      </c>
      <c r="V93" s="103">
        <f t="shared" si="15"/>
        <v>320.54000000000002</v>
      </c>
      <c r="W93" s="103">
        <f>SUM(W15,W18,W21:W22,W42,W44:W45,W47,W49,W94:W97,W103,W109,W115,W124,W126,W138,W145,W148:W149,W156,W158,W160,W164:W166,W168:W170,W175,W181:W182,W184:W186,W194,W199)</f>
        <v>334.44000000000005</v>
      </c>
      <c r="X93" s="103">
        <f>SUM(X15,X18,X21:X22,X42,X44:X45,X47,X49,X94:X97,X103,X109,X115,X124,X126,X138,X145,X148:X149,X156,X158,X160,X164:X166,X168:X170,X175,X181:X182,X184:X186,X194,X199)</f>
        <v>334.34000000000003</v>
      </c>
      <c r="Y93" s="103">
        <f t="shared" si="15"/>
        <v>34.840000000000003</v>
      </c>
      <c r="Z93" s="103">
        <f t="shared" si="15"/>
        <v>295.44</v>
      </c>
      <c r="AA93" s="103">
        <f t="shared" si="15"/>
        <v>272.83999999999997</v>
      </c>
      <c r="AB93" s="103">
        <f t="shared" si="15"/>
        <v>272.94</v>
      </c>
      <c r="AC93" s="103">
        <f t="shared" si="15"/>
        <v>285.34000000000003</v>
      </c>
      <c r="AD93" s="103">
        <f t="shared" si="15"/>
        <v>228.24</v>
      </c>
      <c r="AE93" s="103">
        <f t="shared" si="15"/>
        <v>192.03999999999996</v>
      </c>
      <c r="AF93" s="103">
        <f t="shared" si="15"/>
        <v>157.63999999999999</v>
      </c>
      <c r="AG93" s="104"/>
      <c r="AH93" s="54">
        <f>MAX(C93:AF93)</f>
        <v>334.44000000000005</v>
      </c>
      <c r="AI93" s="55">
        <f>MIN(C93:AF93)</f>
        <v>34.840000000000003</v>
      </c>
    </row>
    <row r="94" spans="1:88" x14ac:dyDescent="0.25">
      <c r="A94" s="105" t="s">
        <v>99</v>
      </c>
      <c r="B94" s="106">
        <v>33</v>
      </c>
      <c r="C94" s="106">
        <v>31</v>
      </c>
      <c r="D94" s="106">
        <v>37</v>
      </c>
      <c r="E94" s="106">
        <v>41</v>
      </c>
      <c r="F94" s="106">
        <v>46</v>
      </c>
      <c r="G94" s="106">
        <v>38.799999999999997</v>
      </c>
      <c r="H94" s="106">
        <v>42</v>
      </c>
      <c r="I94" s="106">
        <v>38</v>
      </c>
      <c r="J94" s="106">
        <v>41</v>
      </c>
      <c r="K94" s="106"/>
      <c r="L94" s="106">
        <v>37</v>
      </c>
      <c r="M94" s="106">
        <v>35.700000000000003</v>
      </c>
      <c r="N94" s="106">
        <v>56.9</v>
      </c>
      <c r="O94" s="106">
        <v>45.2</v>
      </c>
      <c r="P94" s="106">
        <v>40.700000000000003</v>
      </c>
      <c r="Q94" s="106">
        <v>40.700000000000003</v>
      </c>
      <c r="R94" s="106">
        <v>37.200000000000003</v>
      </c>
      <c r="S94" s="106">
        <v>34.799999999999997</v>
      </c>
      <c r="T94" s="106">
        <v>-122</v>
      </c>
      <c r="U94" s="106">
        <v>36.700000000000003</v>
      </c>
      <c r="V94" s="106">
        <v>35.5</v>
      </c>
      <c r="W94" s="106">
        <v>47.7</v>
      </c>
      <c r="X94" s="106">
        <v>59.1</v>
      </c>
      <c r="Y94" s="106"/>
      <c r="Z94" s="106">
        <v>73.400000000000006</v>
      </c>
      <c r="AA94" s="106">
        <v>62.1</v>
      </c>
      <c r="AB94" s="106">
        <v>68.400000000000006</v>
      </c>
      <c r="AC94" s="106">
        <v>62</v>
      </c>
      <c r="AD94" s="106">
        <v>65.2</v>
      </c>
      <c r="AE94" s="106">
        <v>39.299999999999997</v>
      </c>
      <c r="AF94" s="106">
        <v>45.1</v>
      </c>
      <c r="AG94" s="107">
        <v>75</v>
      </c>
      <c r="AH94" s="54">
        <f t="shared" ref="AH94:AH100" si="16">IF(ABS(MAX(C94:AF94))&gt;ABS(MIN(C94:AF94)),MAX(C94:AF94),MIN(C94:AF94))</f>
        <v>-122</v>
      </c>
      <c r="AI94" s="108">
        <f t="shared" ref="AI94:AI100" si="17">INDEX($C$9:$AF$9,1,MATCH(AH94,C94:AF94,0))</f>
        <v>0.625</v>
      </c>
    </row>
    <row r="95" spans="1:88" x14ac:dyDescent="0.25">
      <c r="A95" s="109" t="s">
        <v>100</v>
      </c>
      <c r="B95" s="110">
        <v>-67</v>
      </c>
      <c r="C95" s="110">
        <v>-65</v>
      </c>
      <c r="D95" s="110">
        <v>-74</v>
      </c>
      <c r="E95" s="110">
        <v>-75</v>
      </c>
      <c r="F95" s="110">
        <v>-74</v>
      </c>
      <c r="G95" s="110">
        <v>-65</v>
      </c>
      <c r="H95" s="110">
        <v>-61</v>
      </c>
      <c r="I95" s="110">
        <v>-60</v>
      </c>
      <c r="J95" s="110">
        <v>-57</v>
      </c>
      <c r="K95" s="110"/>
      <c r="L95" s="110">
        <v>-33</v>
      </c>
      <c r="M95" s="110">
        <v>-37</v>
      </c>
      <c r="N95" s="110">
        <v>-36</v>
      </c>
      <c r="O95" s="110">
        <f>-13.2-21.2</f>
        <v>-34.4</v>
      </c>
      <c r="P95" s="110">
        <f>-16-22.9</f>
        <v>-38.9</v>
      </c>
      <c r="Q95" s="110">
        <f>-8.1-15</f>
        <v>-23.1</v>
      </c>
      <c r="R95" s="110">
        <f>-11.9-19.6</f>
        <v>-31.5</v>
      </c>
      <c r="S95" s="110">
        <v>-37</v>
      </c>
      <c r="T95" s="110"/>
      <c r="U95" s="110">
        <v>-30</v>
      </c>
      <c r="V95" s="110">
        <v>-28</v>
      </c>
      <c r="W95" s="110">
        <v>-24</v>
      </c>
      <c r="X95" s="110">
        <f>-6.7-9.8</f>
        <v>-16.5</v>
      </c>
      <c r="Y95" s="110"/>
      <c r="Z95" s="110">
        <f>-9.8-17.5</f>
        <v>-27.3</v>
      </c>
      <c r="AA95" s="110">
        <v>-35</v>
      </c>
      <c r="AB95" s="110">
        <v>-45</v>
      </c>
      <c r="AC95" s="110">
        <f>-18.1-21.8</f>
        <v>-39.900000000000006</v>
      </c>
      <c r="AD95" s="110">
        <f>-32.6-36.3</f>
        <v>-68.900000000000006</v>
      </c>
      <c r="AE95" s="110">
        <f>-25.5-28.6</f>
        <v>-54.1</v>
      </c>
      <c r="AF95" s="110">
        <f>-28.3-32.1</f>
        <v>-60.400000000000006</v>
      </c>
      <c r="AG95" s="107">
        <v>240</v>
      </c>
      <c r="AH95" s="54">
        <f t="shared" si="16"/>
        <v>-75</v>
      </c>
      <c r="AI95" s="108">
        <f t="shared" si="17"/>
        <v>0.125</v>
      </c>
    </row>
    <row r="96" spans="1:88" x14ac:dyDescent="0.25">
      <c r="A96" s="109" t="s">
        <v>101</v>
      </c>
      <c r="B96" s="110">
        <v>33</v>
      </c>
      <c r="C96" s="110">
        <v>34</v>
      </c>
      <c r="D96" s="110">
        <v>30</v>
      </c>
      <c r="E96" s="110">
        <v>24</v>
      </c>
      <c r="F96" s="110">
        <v>12.6</v>
      </c>
      <c r="G96" s="110">
        <v>-2</v>
      </c>
      <c r="H96" s="110">
        <v>3.7</v>
      </c>
      <c r="I96" s="110">
        <v>4</v>
      </c>
      <c r="J96" s="110">
        <v>13.5</v>
      </c>
      <c r="K96" s="110"/>
      <c r="L96" s="110">
        <v>9</v>
      </c>
      <c r="M96" s="110">
        <v>24.6</v>
      </c>
      <c r="N96" s="110">
        <v>16</v>
      </c>
      <c r="O96" s="110">
        <v>38.799999999999997</v>
      </c>
      <c r="P96" s="110">
        <v>36.9</v>
      </c>
      <c r="Q96" s="110">
        <v>38.299999999999997</v>
      </c>
      <c r="R96" s="110">
        <v>39.700000000000003</v>
      </c>
      <c r="S96" s="110">
        <v>37.9</v>
      </c>
      <c r="T96" s="110"/>
      <c r="U96" s="110">
        <v>37.799999999999997</v>
      </c>
      <c r="V96" s="110">
        <v>36.299999999999997</v>
      </c>
      <c r="W96" s="110">
        <v>29.7</v>
      </c>
      <c r="X96" s="110">
        <v>30.7</v>
      </c>
      <c r="Y96" s="110"/>
      <c r="Z96" s="110">
        <v>26</v>
      </c>
      <c r="AA96" s="110">
        <v>20.7</v>
      </c>
      <c r="AB96" s="110">
        <v>21</v>
      </c>
      <c r="AC96" s="110">
        <v>21.4</v>
      </c>
      <c r="AD96" s="110">
        <v>10.8</v>
      </c>
      <c r="AE96" s="110">
        <v>11.6</v>
      </c>
      <c r="AF96" s="110">
        <v>4.8</v>
      </c>
      <c r="AG96" s="107">
        <v>60</v>
      </c>
      <c r="AH96" s="54">
        <f t="shared" si="16"/>
        <v>39.700000000000003</v>
      </c>
      <c r="AI96" s="108">
        <f t="shared" si="17"/>
        <v>0.54166666666666696</v>
      </c>
    </row>
    <row r="97" spans="1:37" x14ac:dyDescent="0.25">
      <c r="A97" s="111" t="s">
        <v>102</v>
      </c>
      <c r="B97" s="112">
        <v>8.6</v>
      </c>
      <c r="C97" s="112">
        <v>2.2999999999999998</v>
      </c>
      <c r="D97" s="112">
        <v>0</v>
      </c>
      <c r="E97" s="112">
        <v>-3</v>
      </c>
      <c r="F97" s="112">
        <v>-2.6</v>
      </c>
      <c r="G97" s="112">
        <v>4.5999999999999996</v>
      </c>
      <c r="H97" s="112">
        <v>17</v>
      </c>
      <c r="I97" s="112">
        <v>58</v>
      </c>
      <c r="J97" s="112">
        <v>63.6</v>
      </c>
      <c r="K97" s="112"/>
      <c r="L97" s="112">
        <v>89</v>
      </c>
      <c r="M97" s="112">
        <v>79.900000000000006</v>
      </c>
      <c r="N97" s="112">
        <v>58.8</v>
      </c>
      <c r="O97" s="112">
        <v>68.5</v>
      </c>
      <c r="P97" s="112">
        <v>74.599999999999994</v>
      </c>
      <c r="Q97" s="112">
        <v>55.2</v>
      </c>
      <c r="R97" s="112">
        <v>78</v>
      </c>
      <c r="S97" s="112">
        <v>85.1</v>
      </c>
      <c r="T97" s="112"/>
      <c r="U97" s="112">
        <v>85.6</v>
      </c>
      <c r="V97" s="112">
        <v>84.2</v>
      </c>
      <c r="W97" s="112">
        <v>88.4</v>
      </c>
      <c r="X97" s="112">
        <v>68.400000000000006</v>
      </c>
      <c r="Y97" s="112"/>
      <c r="Z97" s="112">
        <v>34.700000000000003</v>
      </c>
      <c r="AA97" s="112">
        <v>35.1</v>
      </c>
      <c r="AB97" s="112">
        <v>38.6</v>
      </c>
      <c r="AC97" s="112">
        <v>50.1</v>
      </c>
      <c r="AD97" s="112">
        <v>32.4</v>
      </c>
      <c r="AE97" s="112">
        <v>21.5</v>
      </c>
      <c r="AF97" s="112">
        <v>3.4</v>
      </c>
      <c r="AG97" s="113">
        <v>120</v>
      </c>
      <c r="AH97" s="54">
        <f t="shared" si="16"/>
        <v>89</v>
      </c>
      <c r="AI97" s="108">
        <f t="shared" si="17"/>
        <v>0.3125</v>
      </c>
    </row>
    <row r="98" spans="1:37" x14ac:dyDescent="0.25">
      <c r="A98" s="111" t="s">
        <v>103</v>
      </c>
      <c r="B98" s="112">
        <v>58</v>
      </c>
      <c r="C98" s="112">
        <v>62</v>
      </c>
      <c r="D98" s="112">
        <v>43</v>
      </c>
      <c r="E98" s="112">
        <v>46</v>
      </c>
      <c r="F98" s="112">
        <v>61</v>
      </c>
      <c r="G98" s="112">
        <v>80</v>
      </c>
      <c r="H98" s="112">
        <v>71</v>
      </c>
      <c r="I98" s="112">
        <v>71</v>
      </c>
      <c r="J98" s="112">
        <v>73</v>
      </c>
      <c r="K98" s="112"/>
      <c r="L98" s="112">
        <v>93</v>
      </c>
      <c r="M98" s="112">
        <v>92</v>
      </c>
      <c r="N98" s="112">
        <v>73</v>
      </c>
      <c r="O98" s="112">
        <v>83.9</v>
      </c>
      <c r="P98" s="112">
        <v>86.6</v>
      </c>
      <c r="Q98" s="112">
        <v>93.1</v>
      </c>
      <c r="R98" s="112">
        <v>86.9</v>
      </c>
      <c r="S98" s="112">
        <v>92.2</v>
      </c>
      <c r="T98" s="112"/>
      <c r="U98" s="112">
        <v>90</v>
      </c>
      <c r="V98" s="112">
        <v>86.2</v>
      </c>
      <c r="W98" s="112">
        <v>90</v>
      </c>
      <c r="X98" s="112">
        <v>62.6</v>
      </c>
      <c r="Y98" s="112"/>
      <c r="Z98" s="112">
        <v>30.8</v>
      </c>
      <c r="AA98" s="112">
        <v>35</v>
      </c>
      <c r="AB98" s="112">
        <v>40</v>
      </c>
      <c r="AC98" s="112">
        <v>56.7</v>
      </c>
      <c r="AD98" s="112">
        <v>16</v>
      </c>
      <c r="AE98" s="112">
        <v>40</v>
      </c>
      <c r="AF98" s="112">
        <v>54.1</v>
      </c>
      <c r="AG98" s="113"/>
      <c r="AH98" s="54">
        <f t="shared" si="16"/>
        <v>93.1</v>
      </c>
      <c r="AI98" s="108">
        <f t="shared" si="17"/>
        <v>0.5</v>
      </c>
    </row>
    <row r="99" spans="1:37" x14ac:dyDescent="0.25">
      <c r="A99" s="111" t="s">
        <v>104</v>
      </c>
      <c r="B99" s="112">
        <v>70</v>
      </c>
      <c r="C99" s="112">
        <v>82</v>
      </c>
      <c r="D99" s="112">
        <v>7</v>
      </c>
      <c r="E99" s="112">
        <v>54</v>
      </c>
      <c r="F99" s="112">
        <v>49</v>
      </c>
      <c r="G99" s="112">
        <v>73</v>
      </c>
      <c r="H99" s="112">
        <v>75</v>
      </c>
      <c r="I99" s="112">
        <v>85</v>
      </c>
      <c r="J99" s="112">
        <v>70</v>
      </c>
      <c r="K99" s="112"/>
      <c r="L99" s="112">
        <v>70</v>
      </c>
      <c r="M99" s="112">
        <v>77.599999999999994</v>
      </c>
      <c r="N99" s="112">
        <v>53</v>
      </c>
      <c r="O99" s="112">
        <v>69.7</v>
      </c>
      <c r="P99" s="112">
        <v>73</v>
      </c>
      <c r="Q99" s="112">
        <v>75.2</v>
      </c>
      <c r="R99" s="112">
        <v>71.5</v>
      </c>
      <c r="S99" s="112">
        <v>74.3</v>
      </c>
      <c r="T99" s="112"/>
      <c r="U99" s="112">
        <v>67.2</v>
      </c>
      <c r="V99" s="112">
        <v>71.8</v>
      </c>
      <c r="W99" s="112">
        <v>62.1</v>
      </c>
      <c r="X99" s="112">
        <v>45.4</v>
      </c>
      <c r="Y99" s="112"/>
      <c r="Z99" s="112">
        <v>0</v>
      </c>
      <c r="AA99" s="112">
        <v>0</v>
      </c>
      <c r="AB99" s="112">
        <v>1.8</v>
      </c>
      <c r="AC99" s="112">
        <v>4.0999999999999996</v>
      </c>
      <c r="AD99" s="112">
        <v>5.5</v>
      </c>
      <c r="AE99" s="112">
        <v>6.4</v>
      </c>
      <c r="AF99" s="112">
        <v>8.3000000000000007</v>
      </c>
      <c r="AG99" s="114"/>
      <c r="AH99" s="54">
        <f t="shared" si="16"/>
        <v>85</v>
      </c>
      <c r="AI99" s="108">
        <f t="shared" si="17"/>
        <v>0.25</v>
      </c>
    </row>
    <row r="100" spans="1:37" ht="15.75" thickBot="1" x14ac:dyDescent="0.3">
      <c r="A100" s="115" t="s">
        <v>105</v>
      </c>
      <c r="B100" s="95">
        <v>53</v>
      </c>
      <c r="C100" s="95">
        <v>51</v>
      </c>
      <c r="D100" s="95">
        <v>48</v>
      </c>
      <c r="E100" s="95">
        <v>46</v>
      </c>
      <c r="F100" s="95">
        <v>42</v>
      </c>
      <c r="G100" s="95">
        <v>43</v>
      </c>
      <c r="H100" s="95">
        <v>48</v>
      </c>
      <c r="I100" s="95">
        <v>50</v>
      </c>
      <c r="J100" s="95">
        <v>65</v>
      </c>
      <c r="K100" s="95"/>
      <c r="L100" s="95">
        <v>58</v>
      </c>
      <c r="M100" s="95">
        <v>67</v>
      </c>
      <c r="N100" s="95">
        <v>65</v>
      </c>
      <c r="O100" s="95">
        <v>56.9</v>
      </c>
      <c r="P100" s="95">
        <v>56.5</v>
      </c>
      <c r="Q100" s="95">
        <v>57.6</v>
      </c>
      <c r="R100" s="95">
        <v>56.3</v>
      </c>
      <c r="S100" s="95">
        <v>65</v>
      </c>
      <c r="T100" s="95"/>
      <c r="U100" s="95">
        <v>51</v>
      </c>
      <c r="V100" s="95">
        <v>56.3</v>
      </c>
      <c r="W100" s="95">
        <v>49</v>
      </c>
      <c r="X100" s="95">
        <v>48.7</v>
      </c>
      <c r="Y100" s="95"/>
      <c r="Z100" s="95">
        <v>72</v>
      </c>
      <c r="AA100" s="95">
        <v>74</v>
      </c>
      <c r="AB100" s="95">
        <v>74</v>
      </c>
      <c r="AC100" s="95">
        <v>73</v>
      </c>
      <c r="AD100" s="95">
        <v>68.3</v>
      </c>
      <c r="AE100" s="95">
        <v>69.599999999999994</v>
      </c>
      <c r="AF100" s="95">
        <v>64.900000000000006</v>
      </c>
      <c r="AG100" s="114"/>
      <c r="AH100" s="54">
        <f t="shared" si="16"/>
        <v>74</v>
      </c>
      <c r="AI100" s="108">
        <f t="shared" si="17"/>
        <v>0.8125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1424.94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6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2079/02/6)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2079/02/6)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1336.7</v>
      </c>
      <c r="U214" s="161">
        <f t="shared" si="54"/>
        <v>1315.6399999999999</v>
      </c>
      <c r="V214" s="161">
        <f t="shared" si="54"/>
        <v>1265.94</v>
      </c>
      <c r="W214" s="161">
        <f t="shared" si="54"/>
        <v>1259.94</v>
      </c>
      <c r="X214" s="161">
        <f t="shared" si="54"/>
        <v>1224.04</v>
      </c>
      <c r="Y214" s="161">
        <f t="shared" si="54"/>
        <v>1218.6399999999999</v>
      </c>
      <c r="Z214" s="161">
        <f t="shared" si="54"/>
        <v>1183.24</v>
      </c>
      <c r="AA214" s="161">
        <f t="shared" si="54"/>
        <v>1239.74</v>
      </c>
      <c r="AB214" s="161">
        <f t="shared" si="54"/>
        <v>1266.04</v>
      </c>
      <c r="AC214" s="161">
        <f t="shared" si="54"/>
        <v>1306.74</v>
      </c>
      <c r="AD214" s="161">
        <f t="shared" si="54"/>
        <v>1347.44</v>
      </c>
      <c r="AE214" s="161">
        <f t="shared" si="54"/>
        <v>1424.94</v>
      </c>
      <c r="AF214" s="161">
        <f t="shared" si="54"/>
        <v>1405.04</v>
      </c>
      <c r="AG214" s="161">
        <f t="shared" si="54"/>
        <v>1419.1399999999999</v>
      </c>
      <c r="AH214" s="161">
        <f t="shared" si="54"/>
        <v>1422.74</v>
      </c>
      <c r="AI214" s="161">
        <f t="shared" si="54"/>
        <v>1431.1399999999999</v>
      </c>
      <c r="AJ214" s="161">
        <f t="shared" si="54"/>
        <v>1447.04</v>
      </c>
      <c r="AK214" s="161">
        <f t="shared" si="54"/>
        <v>1490.6399999999999</v>
      </c>
      <c r="AL214" s="161">
        <f t="shared" si="54"/>
        <v>1498.04</v>
      </c>
      <c r="AM214" s="161">
        <f t="shared" si="54"/>
        <v>1415.44</v>
      </c>
      <c r="AN214" s="161">
        <f t="shared" si="54"/>
        <v>1402.94</v>
      </c>
      <c r="AO214" s="161">
        <f t="shared" si="54"/>
        <v>1382.94</v>
      </c>
      <c r="AP214" s="161">
        <f t="shared" si="54"/>
        <v>1282.3400000000001</v>
      </c>
      <c r="AQ214" s="161">
        <f t="shared" si="54"/>
        <v>3.54</v>
      </c>
      <c r="AR214" s="161">
        <f t="shared" si="54"/>
        <v>1195.74</v>
      </c>
      <c r="AS214" s="161">
        <f t="shared" si="54"/>
        <v>1195.3600000000001</v>
      </c>
      <c r="AT214" s="161">
        <f t="shared" si="54"/>
        <v>1194.3900000000001</v>
      </c>
      <c r="AU214" s="161">
        <f t="shared" si="54"/>
        <v>1235.04</v>
      </c>
      <c r="AV214" s="161">
        <f t="shared" si="54"/>
        <v>1125.6400000000001</v>
      </c>
      <c r="AW214" s="161">
        <f t="shared" si="54"/>
        <v>1082.44</v>
      </c>
      <c r="AX214" s="161">
        <f t="shared" si="54"/>
        <v>1060.54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W11:Y11 AA11:AF11">
    <cfRule type="expression" dxfId="5008" priority="269">
      <formula>B$9&gt;=20/24</formula>
    </cfRule>
    <cfRule type="expression" dxfId="5007" priority="270">
      <formula>AND(B$9&gt;=14/24,B$9&lt;20/24)</formula>
    </cfRule>
    <cfRule type="expression" dxfId="5006" priority="271">
      <formula>AND(B$9&gt;=8/24,B$9&lt;14/24)</formula>
    </cfRule>
    <cfRule type="expression" dxfId="5005" priority="272">
      <formula>B$9&lt;8/24</formula>
    </cfRule>
  </conditionalFormatting>
  <conditionalFormatting sqref="AL4:AL6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004" priority="264">
      <formula>S$9&gt;=20/24</formula>
    </cfRule>
    <cfRule type="expression" dxfId="5003" priority="265">
      <formula>AND(S$9&gt;=14/24,S$9&lt;20/24)</formula>
    </cfRule>
    <cfRule type="expression" dxfId="5002" priority="266">
      <formula>AND(S$9&gt;=8/24,S$9&lt;14/24)</formula>
    </cfRule>
    <cfRule type="expression" dxfId="5001" priority="267">
      <formula>S$9&lt;8/24</formula>
    </cfRule>
  </conditionalFormatting>
  <conditionalFormatting sqref="AG51 J11:Y11 AA11:AF11 S37:AF37">
    <cfRule type="expression" dxfId="5000" priority="263">
      <formula>J11&gt;$AG11</formula>
    </cfRule>
  </conditionalFormatting>
  <conditionalFormatting sqref="A101:A157 A84:A97 A11:A14 A16:A32 A45:A72 A80:A82 A74:A78 A35:A43 A170:A200">
    <cfRule type="expression" dxfId="4999" priority="262">
      <formula>$AH11=0</formula>
    </cfRule>
  </conditionalFormatting>
  <conditionalFormatting sqref="A98">
    <cfRule type="expression" dxfId="4998" priority="261">
      <formula>$AH98=0</formula>
    </cfRule>
  </conditionalFormatting>
  <conditionalFormatting sqref="AL3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997" priority="259">
      <formula>$AH34=0</formula>
    </cfRule>
  </conditionalFormatting>
  <conditionalFormatting sqref="A83">
    <cfRule type="expression" dxfId="4996" priority="258">
      <formula>$AH83=0</formula>
    </cfRule>
  </conditionalFormatting>
  <conditionalFormatting sqref="A15">
    <cfRule type="expression" dxfId="4995" priority="257">
      <formula>$AH15=0</formula>
    </cfRule>
  </conditionalFormatting>
  <conditionalFormatting sqref="A164:A169">
    <cfRule type="expression" dxfId="4994" priority="256">
      <formula>$AH164=0</formula>
    </cfRule>
  </conditionalFormatting>
  <conditionalFormatting sqref="A158:A163">
    <cfRule type="expression" dxfId="4993" priority="255">
      <formula>$AH158=0</formula>
    </cfRule>
  </conditionalFormatting>
  <conditionalFormatting sqref="A44">
    <cfRule type="expression" dxfId="4992" priority="254">
      <formula>$AH44=0</formula>
    </cfRule>
  </conditionalFormatting>
  <conditionalFormatting sqref="A79">
    <cfRule type="expression" dxfId="4991" priority="253">
      <formula>$AH79=0</formula>
    </cfRule>
  </conditionalFormatting>
  <conditionalFormatting sqref="A73">
    <cfRule type="expression" dxfId="4990" priority="252">
      <formula>$AH73=0</formula>
    </cfRule>
  </conditionalFormatting>
  <conditionalFormatting sqref="AL34:AL35 AL7:AL31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989" priority="248">
      <formula>C$9&gt;=20/24</formula>
    </cfRule>
    <cfRule type="expression" dxfId="4988" priority="249">
      <formula>AND(C$9&gt;=14/24,C$9&lt;20/24)</formula>
    </cfRule>
    <cfRule type="expression" dxfId="4987" priority="250">
      <formula>AND(C$9&gt;=8/24,C$9&lt;14/24)</formula>
    </cfRule>
    <cfRule type="expression" dxfId="4986" priority="251">
      <formula>C$9&lt;8/24</formula>
    </cfRule>
  </conditionalFormatting>
  <conditionalFormatting sqref="AL3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985" priority="276">
      <formula>C$9&gt;=20/24</formula>
    </cfRule>
    <cfRule type="expression" dxfId="4984" priority="277">
      <formula>AND(C$9&gt;=14/24,C$9&lt;20/24)</formula>
    </cfRule>
    <cfRule type="expression" dxfId="4983" priority="278">
      <formula>AND(C$9&gt;=8/24,C$9&lt;14/24)</formula>
    </cfRule>
    <cfRule type="expression" dxfId="4982" priority="279">
      <formula>C$9&lt;8/24</formula>
    </cfRule>
  </conditionalFormatting>
  <conditionalFormatting sqref="A201">
    <cfRule type="expression" dxfId="4981" priority="280">
      <formula>$AH201=0</formula>
    </cfRule>
  </conditionalFormatting>
  <conditionalFormatting sqref="AG213">
    <cfRule type="expression" dxfId="4980" priority="281">
      <formula>B$9&gt;=20/24</formula>
    </cfRule>
    <cfRule type="expression" dxfId="4979" priority="282">
      <formula>AND(B$9&gt;=14/24,B$9&lt;20/24)</formula>
    </cfRule>
    <cfRule type="expression" dxfId="4978" priority="283">
      <formula>AND(B$9&gt;=8/24,B$9&lt;14/24)</formula>
    </cfRule>
    <cfRule type="expression" dxfId="4977" priority="284">
      <formula>B$9&lt;8/24</formula>
    </cfRule>
  </conditionalFormatting>
  <conditionalFormatting sqref="S8">
    <cfRule type="expression" dxfId="4976" priority="242">
      <formula>U$9&gt;=20/24</formula>
    </cfRule>
    <cfRule type="expression" dxfId="4975" priority="243">
      <formula>AND(U$9&gt;=14/24,U$9&lt;20/24)</formula>
    </cfRule>
    <cfRule type="expression" dxfId="4974" priority="244">
      <formula>AND(U$9&gt;=8/24,U$9&lt;14/24)</formula>
    </cfRule>
    <cfRule type="expression" dxfId="4973" priority="245">
      <formula>U$9&lt;8/24</formula>
    </cfRule>
  </conditionalFormatting>
  <conditionalFormatting sqref="AB8">
    <cfRule type="expression" dxfId="4972" priority="238">
      <formula>AD$9&gt;=20/24</formula>
    </cfRule>
    <cfRule type="expression" dxfId="4971" priority="239">
      <formula>AND(AD$9&gt;=14/24,AD$9&lt;20/24)</formula>
    </cfRule>
    <cfRule type="expression" dxfId="4970" priority="240">
      <formula>AND(AD$9&gt;=8/24,AD$9&lt;14/24)</formula>
    </cfRule>
    <cfRule type="expression" dxfId="4969" priority="241">
      <formula>AD$9&lt;8/24</formula>
    </cfRule>
  </conditionalFormatting>
  <conditionalFormatting sqref="AH213:AX213">
    <cfRule type="expression" dxfId="4968" priority="285">
      <formula>AG$9&gt;=20/24</formula>
    </cfRule>
    <cfRule type="expression" dxfId="4967" priority="286">
      <formula>AND(AG$9&gt;=14/24,AG$9&lt;20/24)</formula>
    </cfRule>
    <cfRule type="expression" dxfId="4966" priority="287">
      <formula>AND(AG$9&gt;=8/24,AG$9&lt;14/24)</formula>
    </cfRule>
    <cfRule type="expression" dxfId="4965" priority="288">
      <formula>AG$9&lt;8/24</formula>
    </cfRule>
  </conditionalFormatting>
  <conditionalFormatting sqref="T213">
    <cfRule type="expression" dxfId="4964" priority="289">
      <formula>AX$9&gt;=20/24</formula>
    </cfRule>
    <cfRule type="expression" dxfId="4963" priority="290">
      <formula>AND(AX$9&gt;=14/24,AX$9&lt;20/24)</formula>
    </cfRule>
    <cfRule type="expression" dxfId="4962" priority="291">
      <formula>AND(AX$9&gt;=8/24,AX$9&lt;14/24)</formula>
    </cfRule>
    <cfRule type="expression" dxfId="4961" priority="292">
      <formula>AX$9&lt;8/24</formula>
    </cfRule>
  </conditionalFormatting>
  <conditionalFormatting sqref="A99:A100">
    <cfRule type="expression" dxfId="4960" priority="237">
      <formula>$AH99=0</formula>
    </cfRule>
  </conditionalFormatting>
  <conditionalFormatting sqref="E11:I11 F40:I40 G41:I41 J40:L41 S40:Y41 C57:Y57 AA40:AF41 AA57:AF57 AA36:AF36">
    <cfRule type="expression" dxfId="4959" priority="233">
      <formula>C$9&gt;=20/24</formula>
    </cfRule>
    <cfRule type="expression" dxfId="4958" priority="234">
      <formula>AND(C$9&gt;=14/24,C$9&lt;20/24)</formula>
    </cfRule>
    <cfRule type="expression" dxfId="4957" priority="235">
      <formula>AND(C$9&gt;=8/24,C$9&lt;14/24)</formula>
    </cfRule>
    <cfRule type="expression" dxfId="4956" priority="236">
      <formula>C$9&lt;8/24</formula>
    </cfRule>
  </conditionalFormatting>
  <conditionalFormatting sqref="F39:L39 S39:Y39 AA39:AF39">
    <cfRule type="expression" dxfId="4955" priority="229">
      <formula>F$9&gt;=20/24</formula>
    </cfRule>
    <cfRule type="expression" dxfId="4954" priority="230">
      <formula>AND(F$9&gt;=14/24,F$9&lt;20/24)</formula>
    </cfRule>
    <cfRule type="expression" dxfId="4953" priority="231">
      <formula>AND(F$9&gt;=8/24,F$9&lt;14/24)</formula>
    </cfRule>
    <cfRule type="expression" dxfId="4952" priority="232">
      <formula>F$9&lt;8/24</formula>
    </cfRule>
  </conditionalFormatting>
  <conditionalFormatting sqref="E11:I11 F39:L39 G41:I41 F40:I40 J40:L41 S39:Y41 AA39:AF41 AA36:AF36">
    <cfRule type="expression" dxfId="4951" priority="228">
      <formula>E11&gt;$AG11</formula>
    </cfRule>
  </conditionalFormatting>
  <conditionalFormatting sqref="C58:P60 C61:L61 M37:N37 K36:N36 M61:P67 C85:AF91 O36:R37 M11:R14 C83:AF83 C75:AF81 C68:AF73 C56:AF56 M16:Y16 S12:Y14 M28:Y31 M18:Y22 M24:Y26 S36:Y36 Q58:Y67 AA24:AF26 AA18:AF22 AA28:AF31 AA12:AF14 AA16:AF16 F53:AF55 AA58:AF67">
    <cfRule type="expression" dxfId="4950" priority="224">
      <formula>C$9&gt;=20/24</formula>
    </cfRule>
    <cfRule type="expression" dxfId="4949" priority="225">
      <formula>AND(C$9&gt;=14/24,C$9&lt;20/24)</formula>
    </cfRule>
    <cfRule type="expression" dxfId="4948" priority="226">
      <formula>AND(C$9&gt;=8/24,C$9&lt;14/24)</formula>
    </cfRule>
    <cfRule type="expression" dxfId="4947" priority="227">
      <formula>C$9&lt;8/24</formula>
    </cfRule>
  </conditionalFormatting>
  <conditionalFormatting sqref="M32:Y32 AA32:AF32">
    <cfRule type="expression" dxfId="4946" priority="220">
      <formula>M$9&gt;=20/24</formula>
    </cfRule>
    <cfRule type="expression" dxfId="4945" priority="221">
      <formula>AND(M$9&gt;=14/24,M$9&lt;20/24)</formula>
    </cfRule>
    <cfRule type="expression" dxfId="4944" priority="222">
      <formula>AND(M$9&gt;=8/24,M$9&lt;14/24)</formula>
    </cfRule>
    <cfRule type="expression" dxfId="4943" priority="223">
      <formula>M$9&lt;8/24</formula>
    </cfRule>
  </conditionalFormatting>
  <conditionalFormatting sqref="M35:Y35 AA35:AF35">
    <cfRule type="expression" dxfId="4942" priority="216">
      <formula>M$9&gt;=20/24</formula>
    </cfRule>
    <cfRule type="expression" dxfId="4941" priority="217">
      <formula>AND(M$9&gt;=14/24,M$9&lt;20/24)</formula>
    </cfRule>
    <cfRule type="expression" dxfId="4940" priority="218">
      <formula>AND(M$9&gt;=8/24,M$9&lt;14/24)</formula>
    </cfRule>
    <cfRule type="expression" dxfId="4939" priority="219">
      <formula>M$9&lt;8/24</formula>
    </cfRule>
  </conditionalFormatting>
  <conditionalFormatting sqref="M34:M35 K36:M36 J37:N37 S34:Y36 N34:N36 O34:R37 M11:R16 C51:AF52 C38:AF38 C56:AF56 S12:Y16 M18:Y22 M24:Y32 AC42:AF43 AA24:AF32 AA18:AF22 AA12:AF16 AA34:AF35 F53:AF55">
    <cfRule type="expression" dxfId="4938" priority="215">
      <formula>C11&gt;$AG11</formula>
    </cfRule>
  </conditionalFormatting>
  <conditionalFormatting sqref="M34:Y34 AA34:AF34">
    <cfRule type="expression" dxfId="4937" priority="211">
      <formula>M$9&gt;=20/24</formula>
    </cfRule>
    <cfRule type="expression" dxfId="4936" priority="212">
      <formula>AND(M$9&gt;=14/24,M$9&lt;20/24)</formula>
    </cfRule>
    <cfRule type="expression" dxfId="4935" priority="213">
      <formula>AND(M$9&gt;=8/24,M$9&lt;14/24)</formula>
    </cfRule>
    <cfRule type="expression" dxfId="4934" priority="214">
      <formula>M$9&lt;8/24</formula>
    </cfRule>
  </conditionalFormatting>
  <conditionalFormatting sqref="M15:Y15 AA15:AF15">
    <cfRule type="expression" dxfId="4933" priority="207">
      <formula>M$9&gt;=20/24</formula>
    </cfRule>
    <cfRule type="expression" dxfId="4932" priority="208">
      <formula>AND(M$9&gt;=14/24,M$9&lt;20/24)</formula>
    </cfRule>
    <cfRule type="expression" dxfId="4931" priority="209">
      <formula>AND(M$9&gt;=8/24,M$9&lt;14/24)</formula>
    </cfRule>
    <cfRule type="expression" dxfId="4930" priority="210">
      <formula>M$9&lt;8/24</formula>
    </cfRule>
  </conditionalFormatting>
  <conditionalFormatting sqref="M33:Y33 AA33:AF33">
    <cfRule type="expression" dxfId="4929" priority="203">
      <formula>M$9&gt;=20/24</formula>
    </cfRule>
    <cfRule type="expression" dxfId="4928" priority="204">
      <formula>AND(M$9&gt;=14/24,M$9&lt;20/24)</formula>
    </cfRule>
    <cfRule type="expression" dxfId="4927" priority="205">
      <formula>AND(M$9&gt;=8/24,M$9&lt;14/24)</formula>
    </cfRule>
    <cfRule type="expression" dxfId="4926" priority="206">
      <formula>M$9&lt;8/24</formula>
    </cfRule>
  </conditionalFormatting>
  <conditionalFormatting sqref="M33:Y33 AA33:AF33">
    <cfRule type="expression" dxfId="4925" priority="202">
      <formula>M33&gt;$AG33</formula>
    </cfRule>
  </conditionalFormatting>
  <conditionalFormatting sqref="S11:V11">
    <cfRule type="expression" dxfId="4924" priority="198">
      <formula>S$9&gt;=20/24</formula>
    </cfRule>
    <cfRule type="expression" dxfId="4923" priority="199">
      <formula>AND(S$9&gt;=14/24,S$9&lt;20/24)</formula>
    </cfRule>
    <cfRule type="expression" dxfId="4922" priority="200">
      <formula>AND(S$9&gt;=8/24,S$9&lt;14/24)</formula>
    </cfRule>
    <cfRule type="expression" dxfId="4921" priority="201">
      <formula>S$9&lt;8/24</formula>
    </cfRule>
  </conditionalFormatting>
  <conditionalFormatting sqref="W42:Y43 AA42:AB43 AF44:AF45 AC44:AE44">
    <cfRule type="expression" dxfId="4920" priority="194">
      <formula>W$9&gt;=20/24</formula>
    </cfRule>
    <cfRule type="expression" dxfId="4919" priority="195">
      <formula>AND(W$9&gt;=14/24,W$9&lt;20/24)</formula>
    </cfRule>
    <cfRule type="expression" dxfId="4918" priority="196">
      <formula>AND(W$9&gt;=8/24,W$9&lt;14/24)</formula>
    </cfRule>
    <cfRule type="expression" dxfId="4917" priority="197">
      <formula>W$9&lt;8/24</formula>
    </cfRule>
  </conditionalFormatting>
  <conditionalFormatting sqref="W42:Y43 AA42:AB43 AF44:AF45 AC44:AE44">
    <cfRule type="expression" dxfId="4916" priority="193">
      <formula>W42&gt;$AG42</formula>
    </cfRule>
  </conditionalFormatting>
  <conditionalFormatting sqref="M39:R50 S42:V50 W44:Y50 AA44:AB50 AC45:AE50 AF46:AF50">
    <cfRule type="expression" dxfId="4915" priority="189">
      <formula>M$9&gt;=20/24</formula>
    </cfRule>
    <cfRule type="expression" dxfId="4914" priority="190">
      <formula>AND(M$9&gt;=14/24,M$9&lt;20/24)</formula>
    </cfRule>
    <cfRule type="expression" dxfId="4913" priority="191">
      <formula>AND(M$9&gt;=8/24,M$9&lt;14/24)</formula>
    </cfRule>
    <cfRule type="expression" dxfId="4912" priority="192">
      <formula>M$9&lt;8/24</formula>
    </cfRule>
  </conditionalFormatting>
  <conditionalFormatting sqref="M39:R50 S42:V50 W44:Y50 AA44:AB50 AC45:AE50 AF46:AF50">
    <cfRule type="expression" dxfId="4911" priority="188">
      <formula>M39&gt;$AG39</formula>
    </cfRule>
  </conditionalFormatting>
  <conditionalFormatting sqref="M27:Y27 AA27:AF27">
    <cfRule type="expression" dxfId="4910" priority="184">
      <formula>M$9&gt;=20/24</formula>
    </cfRule>
    <cfRule type="expression" dxfId="4909" priority="185">
      <formula>AND(M$9&gt;=14/24,M$9&lt;20/24)</formula>
    </cfRule>
    <cfRule type="expression" dxfId="4908" priority="186">
      <formula>AND(M$9&gt;=8/24,M$9&lt;14/24)</formula>
    </cfRule>
    <cfRule type="expression" dxfId="4907" priority="187">
      <formula>M$9&lt;8/24</formula>
    </cfRule>
  </conditionalFormatting>
  <conditionalFormatting sqref="C11:D11 C74:I74 M17:Y17 M23:Y23 AA23:AF23 AA17:AF17">
    <cfRule type="expression" dxfId="4906" priority="180">
      <formula>C$9&gt;=20/24</formula>
    </cfRule>
    <cfRule type="expression" dxfId="4905" priority="181">
      <formula>AND(C$9&gt;=14/24,C$9&lt;20/24)</formula>
    </cfRule>
    <cfRule type="expression" dxfId="4904" priority="182">
      <formula>AND(C$9&gt;=8/24,C$9&lt;14/24)</formula>
    </cfRule>
    <cfRule type="expression" dxfId="4903" priority="183">
      <formula>C$9&lt;8/24</formula>
    </cfRule>
  </conditionalFormatting>
  <conditionalFormatting sqref="B39">
    <cfRule type="expression" dxfId="4902" priority="109">
      <formula>B$9&gt;=20/24</formula>
    </cfRule>
    <cfRule type="expression" dxfId="4901" priority="110">
      <formula>AND(B$9&gt;=14/24,B$9&lt;20/24)</formula>
    </cfRule>
    <cfRule type="expression" dxfId="4900" priority="111">
      <formula>AND(B$9&gt;=8/24,B$9&lt;14/24)</formula>
    </cfRule>
    <cfRule type="expression" dxfId="4899" priority="112">
      <formula>B$9&lt;8/24</formula>
    </cfRule>
  </conditionalFormatting>
  <conditionalFormatting sqref="C11:D11 M17:Y17 M23:Y23 AA23:AF23 AA17:AF17">
    <cfRule type="expression" dxfId="4898" priority="171">
      <formula>C11&gt;$AG11</formula>
    </cfRule>
  </conditionalFormatting>
  <conditionalFormatting sqref="B32:L32">
    <cfRule type="expression" dxfId="4897" priority="100">
      <formula>B$9&gt;=20/24</formula>
    </cfRule>
    <cfRule type="expression" dxfId="4896" priority="101">
      <formula>AND(B$9&gt;=14/24,B$9&lt;20/24)</formula>
    </cfRule>
    <cfRule type="expression" dxfId="4895" priority="102">
      <formula>AND(B$9&gt;=8/24,B$9&lt;14/24)</formula>
    </cfRule>
    <cfRule type="expression" dxfId="4894" priority="103">
      <formula>B$9&lt;8/24</formula>
    </cfRule>
  </conditionalFormatting>
  <conditionalFormatting sqref="B35:L35">
    <cfRule type="expression" dxfId="4893" priority="96">
      <formula>B$9&gt;=20/24</formula>
    </cfRule>
    <cfRule type="expression" dxfId="4892" priority="97">
      <formula>AND(B$9&gt;=14/24,B$9&lt;20/24)</formula>
    </cfRule>
    <cfRule type="expression" dxfId="4891" priority="98">
      <formula>AND(B$9&gt;=8/24,B$9&lt;14/24)</formula>
    </cfRule>
    <cfRule type="expression" dxfId="4890" priority="99">
      <formula>B$9&lt;8/24</formula>
    </cfRule>
  </conditionalFormatting>
  <conditionalFormatting sqref="C40:E40">
    <cfRule type="expression" dxfId="4889" priority="154">
      <formula>C$9&gt;=20/24</formula>
    </cfRule>
    <cfRule type="expression" dxfId="4888" priority="155">
      <formula>AND(C$9&gt;=14/24,C$9&lt;20/24)</formula>
    </cfRule>
    <cfRule type="expression" dxfId="4887" priority="156">
      <formula>AND(C$9&gt;=8/24,C$9&lt;14/24)</formula>
    </cfRule>
    <cfRule type="expression" dxfId="4886" priority="157">
      <formula>C$9&lt;8/24</formula>
    </cfRule>
  </conditionalFormatting>
  <conditionalFormatting sqref="C39:E39">
    <cfRule type="expression" dxfId="4885" priority="150">
      <formula>C$9&gt;=20/24</formula>
    </cfRule>
    <cfRule type="expression" dxfId="4884" priority="151">
      <formula>AND(C$9&gt;=14/24,C$9&lt;20/24)</formula>
    </cfRule>
    <cfRule type="expression" dxfId="4883" priority="152">
      <formula>AND(C$9&gt;=8/24,C$9&lt;14/24)</formula>
    </cfRule>
    <cfRule type="expression" dxfId="4882" priority="153">
      <formula>C$9&lt;8/24</formula>
    </cfRule>
  </conditionalFormatting>
  <conditionalFormatting sqref="C39:E40">
    <cfRule type="expression" dxfId="4881" priority="149">
      <formula>C39&gt;$AG39</formula>
    </cfRule>
  </conditionalFormatting>
  <conditionalFormatting sqref="B44:B50">
    <cfRule type="expression" dxfId="4880" priority="78">
      <formula>B$9&gt;=20/24</formula>
    </cfRule>
    <cfRule type="expression" dxfId="4879" priority="79">
      <formula>AND(B$9&gt;=14/24,B$9&lt;20/24)</formula>
    </cfRule>
    <cfRule type="expression" dxfId="4878" priority="80">
      <formula>AND(B$9&gt;=8/24,B$9&lt;14/24)</formula>
    </cfRule>
    <cfRule type="expression" dxfId="4877" priority="81">
      <formula>B$9&lt;8/24</formula>
    </cfRule>
  </conditionalFormatting>
  <conditionalFormatting sqref="C42:L43">
    <cfRule type="expression" dxfId="4876" priority="144">
      <formula>C42&gt;$AG42</formula>
    </cfRule>
  </conditionalFormatting>
  <conditionalFormatting sqref="C44:L50">
    <cfRule type="expression" dxfId="4875" priority="140">
      <formula>C$9&gt;=20/24</formula>
    </cfRule>
    <cfRule type="expression" dxfId="4874" priority="141">
      <formula>AND(C$9&gt;=14/24,C$9&lt;20/24)</formula>
    </cfRule>
    <cfRule type="expression" dxfId="4873" priority="142">
      <formula>AND(C$9&gt;=8/24,C$9&lt;14/24)</formula>
    </cfRule>
    <cfRule type="expression" dxfId="4872" priority="143">
      <formula>C$9&lt;8/24</formula>
    </cfRule>
  </conditionalFormatting>
  <conditionalFormatting sqref="C44:L50">
    <cfRule type="expression" dxfId="4871" priority="139">
      <formula>C44&gt;$AG44</formula>
    </cfRule>
  </conditionalFormatting>
  <conditionalFormatting sqref="Z11">
    <cfRule type="expression" dxfId="4870" priority="64">
      <formula>Z$9&gt;=20/24</formula>
    </cfRule>
    <cfRule type="expression" dxfId="4869" priority="65">
      <formula>AND(Z$9&gt;=14/24,Z$9&lt;20/24)</formula>
    </cfRule>
    <cfRule type="expression" dxfId="4868" priority="66">
      <formula>AND(Z$9&gt;=8/24,Z$9&lt;14/24)</formula>
    </cfRule>
    <cfRule type="expression" dxfId="4867" priority="67">
      <formula>Z$9&lt;8/24</formula>
    </cfRule>
  </conditionalFormatting>
  <conditionalFormatting sqref="Z11">
    <cfRule type="expression" dxfId="4866" priority="63">
      <formula>Z11&gt;$AG11</formula>
    </cfRule>
  </conditionalFormatting>
  <conditionalFormatting sqref="B82 B74 B94:B100 B11">
    <cfRule type="expression" dxfId="4865" priority="126">
      <formula>B$9&gt;=20/24</formula>
    </cfRule>
    <cfRule type="expression" dxfId="4864" priority="127">
      <formula>AND(B$9&gt;=14/24,B$9&lt;20/24)</formula>
    </cfRule>
    <cfRule type="expression" dxfId="4863" priority="128">
      <formula>AND(B$9&gt;=8/24,B$9&lt;14/24)</formula>
    </cfRule>
    <cfRule type="expression" dxfId="4862" priority="129">
      <formula>B$9&lt;8/24</formula>
    </cfRule>
  </conditionalFormatting>
  <conditionalFormatting sqref="B37:I37">
    <cfRule type="expression" dxfId="4861" priority="122">
      <formula>B$9&gt;=20/24</formula>
    </cfRule>
    <cfRule type="expression" dxfId="4860" priority="123">
      <formula>AND(B$9&gt;=14/24,B$9&lt;20/24)</formula>
    </cfRule>
    <cfRule type="expression" dxfId="4859" priority="124">
      <formula>AND(B$9&gt;=8/24,B$9&lt;14/24)</formula>
    </cfRule>
    <cfRule type="expression" dxfId="4858" priority="125">
      <formula>B$9&lt;8/24</formula>
    </cfRule>
  </conditionalFormatting>
  <conditionalFormatting sqref="B11 B37:I37">
    <cfRule type="expression" dxfId="4857" priority="121">
      <formula>B11&gt;$AG11</formula>
    </cfRule>
  </conditionalFormatting>
  <conditionalFormatting sqref="B84">
    <cfRule type="expression" dxfId="4856" priority="117">
      <formula>B$9&gt;=20/24</formula>
    </cfRule>
    <cfRule type="expression" dxfId="4855" priority="118">
      <formula>AND(B$9&gt;=14/24,B$9&lt;20/24)</formula>
    </cfRule>
    <cfRule type="expression" dxfId="4854" priority="119">
      <formula>AND(B$9&gt;=8/24,B$9&lt;14/24)</formula>
    </cfRule>
    <cfRule type="expression" dxfId="4853" priority="120">
      <formula>B$9&lt;8/24</formula>
    </cfRule>
  </conditionalFormatting>
  <conditionalFormatting sqref="B40:B41 B57 C41:F41 B36:J36">
    <cfRule type="expression" dxfId="4852" priority="113">
      <formula>B$9&gt;=20/24</formula>
    </cfRule>
    <cfRule type="expression" dxfId="4851" priority="114">
      <formula>AND(B$9&gt;=14/24,B$9&lt;20/24)</formula>
    </cfRule>
    <cfRule type="expression" dxfId="4850" priority="115">
      <formula>AND(B$9&gt;=8/24,B$9&lt;14/24)</formula>
    </cfRule>
    <cfRule type="expression" dxfId="4849" priority="116">
      <formula>B$9&lt;8/24</formula>
    </cfRule>
  </conditionalFormatting>
  <conditionalFormatting sqref="B39:B41 C41:F41 B36:J36">
    <cfRule type="expression" dxfId="4848" priority="108">
      <formula>B36&gt;$AG36</formula>
    </cfRule>
  </conditionalFormatting>
  <conditionalFormatting sqref="B83 B75:B81 B85:B91 B53:B56 B58:B73 C62:L67 C53:E55 B12:L14 B16:L16 B28:L31 B18:L22 B24:L26">
    <cfRule type="expression" dxfId="4847" priority="104">
      <formula>B$9&gt;=20/24</formula>
    </cfRule>
    <cfRule type="expression" dxfId="4846" priority="105">
      <formula>AND(B$9&gt;=14/24,B$9&lt;20/24)</formula>
    </cfRule>
    <cfRule type="expression" dxfId="4845" priority="106">
      <formula>AND(B$9&gt;=8/24,B$9&lt;14/24)</formula>
    </cfRule>
    <cfRule type="expression" dxfId="4844" priority="107">
      <formula>B$9&lt;8/24</formula>
    </cfRule>
  </conditionalFormatting>
  <conditionalFormatting sqref="B38 B42:B43 B51:B56 C53:E55 B34:L35 B12:L16 B18:L22 B24:L32">
    <cfRule type="expression" dxfId="4843" priority="95">
      <formula>B12&gt;$AG12</formula>
    </cfRule>
  </conditionalFormatting>
  <conditionalFormatting sqref="B34:L34">
    <cfRule type="expression" dxfId="4842" priority="91">
      <formula>B$9&gt;=20/24</formula>
    </cfRule>
    <cfRule type="expression" dxfId="4841" priority="92">
      <formula>AND(B$9&gt;=14/24,B$9&lt;20/24)</formula>
    </cfRule>
    <cfRule type="expression" dxfId="4840" priority="93">
      <formula>AND(B$9&gt;=8/24,B$9&lt;14/24)</formula>
    </cfRule>
    <cfRule type="expression" dxfId="4839" priority="94">
      <formula>B$9&lt;8/24</formula>
    </cfRule>
  </conditionalFormatting>
  <conditionalFormatting sqref="B15:L15">
    <cfRule type="expression" dxfId="4838" priority="87">
      <formula>B$9&gt;=20/24</formula>
    </cfRule>
    <cfRule type="expression" dxfId="4837" priority="88">
      <formula>AND(B$9&gt;=14/24,B$9&lt;20/24)</formula>
    </cfRule>
    <cfRule type="expression" dxfId="4836" priority="89">
      <formula>AND(B$9&gt;=8/24,B$9&lt;14/24)</formula>
    </cfRule>
    <cfRule type="expression" dxfId="4835" priority="90">
      <formula>B$9&lt;8/24</formula>
    </cfRule>
  </conditionalFormatting>
  <conditionalFormatting sqref="B33:L33">
    <cfRule type="expression" dxfId="4834" priority="83">
      <formula>B$9&gt;=20/24</formula>
    </cfRule>
    <cfRule type="expression" dxfId="4833" priority="84">
      <formula>AND(B$9&gt;=14/24,B$9&lt;20/24)</formula>
    </cfRule>
    <cfRule type="expression" dxfId="4832" priority="85">
      <formula>AND(B$9&gt;=8/24,B$9&lt;14/24)</formula>
    </cfRule>
    <cfRule type="expression" dxfId="4831" priority="86">
      <formula>B$9&lt;8/24</formula>
    </cfRule>
  </conditionalFormatting>
  <conditionalFormatting sqref="B33:L33">
    <cfRule type="expression" dxfId="4830" priority="82">
      <formula>B33&gt;$AG33</formula>
    </cfRule>
  </conditionalFormatting>
  <conditionalFormatting sqref="B44:B50">
    <cfRule type="expression" dxfId="4829" priority="77">
      <formula>B44&gt;$AG44</formula>
    </cfRule>
  </conditionalFormatting>
  <conditionalFormatting sqref="B27:L27">
    <cfRule type="expression" dxfId="4828" priority="73">
      <formula>B$9&gt;=20/24</formula>
    </cfRule>
    <cfRule type="expression" dxfId="4827" priority="74">
      <formula>AND(B$9&gt;=14/24,B$9&lt;20/24)</formula>
    </cfRule>
    <cfRule type="expression" dxfId="4826" priority="75">
      <formula>AND(B$9&gt;=8/24,B$9&lt;14/24)</formula>
    </cfRule>
    <cfRule type="expression" dxfId="4825" priority="76">
      <formula>B$9&lt;8/24</formula>
    </cfRule>
  </conditionalFormatting>
  <conditionalFormatting sqref="B17:L17 B23:L23">
    <cfRule type="expression" dxfId="4824" priority="69">
      <formula>B$9&gt;=20/24</formula>
    </cfRule>
    <cfRule type="expression" dxfId="4823" priority="70">
      <formula>AND(B$9&gt;=14/24,B$9&lt;20/24)</formula>
    </cfRule>
    <cfRule type="expression" dxfId="4822" priority="71">
      <formula>AND(B$9&gt;=8/24,B$9&lt;14/24)</formula>
    </cfRule>
    <cfRule type="expression" dxfId="4821" priority="72">
      <formula>B$9&lt;8/24</formula>
    </cfRule>
  </conditionalFormatting>
  <conditionalFormatting sqref="B17:L17 B23:L23">
    <cfRule type="expression" dxfId="4820" priority="68">
      <formula>B17&gt;$AG17</formula>
    </cfRule>
  </conditionalFormatting>
  <conditionalFormatting sqref="Z16 Z12:Z14 Z28:Z31 Z18:Z22 Z24:Z26 Z36">
    <cfRule type="expression" dxfId="4819" priority="59">
      <formula>Z$9&gt;=20/24</formula>
    </cfRule>
    <cfRule type="expression" dxfId="4818" priority="60">
      <formula>AND(Z$9&gt;=14/24,Z$9&lt;20/24)</formula>
    </cfRule>
    <cfRule type="expression" dxfId="4817" priority="61">
      <formula>AND(Z$9&gt;=8/24,Z$9&lt;14/24)</formula>
    </cfRule>
    <cfRule type="expression" dxfId="4816" priority="62">
      <formula>Z$9&lt;8/24</formula>
    </cfRule>
  </conditionalFormatting>
  <conditionalFormatting sqref="Z32">
    <cfRule type="expression" dxfId="4815" priority="55">
      <formula>Z$9&gt;=20/24</formula>
    </cfRule>
    <cfRule type="expression" dxfId="4814" priority="56">
      <formula>AND(Z$9&gt;=14/24,Z$9&lt;20/24)</formula>
    </cfRule>
    <cfRule type="expression" dxfId="4813" priority="57">
      <formula>AND(Z$9&gt;=8/24,Z$9&lt;14/24)</formula>
    </cfRule>
    <cfRule type="expression" dxfId="4812" priority="58">
      <formula>Z$9&lt;8/24</formula>
    </cfRule>
  </conditionalFormatting>
  <conditionalFormatting sqref="Z35">
    <cfRule type="expression" dxfId="4811" priority="51">
      <formula>Z$9&gt;=20/24</formula>
    </cfRule>
    <cfRule type="expression" dxfId="4810" priority="52">
      <formula>AND(Z$9&gt;=14/24,Z$9&lt;20/24)</formula>
    </cfRule>
    <cfRule type="expression" dxfId="4809" priority="53">
      <formula>AND(Z$9&gt;=8/24,Z$9&lt;14/24)</formula>
    </cfRule>
    <cfRule type="expression" dxfId="4808" priority="54">
      <formula>Z$9&lt;8/24</formula>
    </cfRule>
  </conditionalFormatting>
  <conditionalFormatting sqref="Z34:Z36 Z12:Z16 Z18:Z22 Z24:Z32">
    <cfRule type="expression" dxfId="4807" priority="50">
      <formula>Z12&gt;$AG12</formula>
    </cfRule>
  </conditionalFormatting>
  <conditionalFormatting sqref="Z34">
    <cfRule type="expression" dxfId="4806" priority="46">
      <formula>Z$9&gt;=20/24</formula>
    </cfRule>
    <cfRule type="expression" dxfId="4805" priority="47">
      <formula>AND(Z$9&gt;=14/24,Z$9&lt;20/24)</formula>
    </cfRule>
    <cfRule type="expression" dxfId="4804" priority="48">
      <formula>AND(Z$9&gt;=8/24,Z$9&lt;14/24)</formula>
    </cfRule>
    <cfRule type="expression" dxfId="4803" priority="49">
      <formula>Z$9&lt;8/24</formula>
    </cfRule>
  </conditionalFormatting>
  <conditionalFormatting sqref="Z15">
    <cfRule type="expression" dxfId="4802" priority="42">
      <formula>Z$9&gt;=20/24</formula>
    </cfRule>
    <cfRule type="expression" dxfId="4801" priority="43">
      <formula>AND(Z$9&gt;=14/24,Z$9&lt;20/24)</formula>
    </cfRule>
    <cfRule type="expression" dxfId="4800" priority="44">
      <formula>AND(Z$9&gt;=8/24,Z$9&lt;14/24)</formula>
    </cfRule>
    <cfRule type="expression" dxfId="4799" priority="45">
      <formula>Z$9&lt;8/24</formula>
    </cfRule>
  </conditionalFormatting>
  <conditionalFormatting sqref="Z33">
    <cfRule type="expression" dxfId="4798" priority="38">
      <formula>Z$9&gt;=20/24</formula>
    </cfRule>
    <cfRule type="expression" dxfId="4797" priority="39">
      <formula>AND(Z$9&gt;=14/24,Z$9&lt;20/24)</formula>
    </cfRule>
    <cfRule type="expression" dxfId="4796" priority="40">
      <formula>AND(Z$9&gt;=8/24,Z$9&lt;14/24)</formula>
    </cfRule>
    <cfRule type="expression" dxfId="4795" priority="41">
      <formula>Z$9&lt;8/24</formula>
    </cfRule>
  </conditionalFormatting>
  <conditionalFormatting sqref="Z33">
    <cfRule type="expression" dxfId="4794" priority="37">
      <formula>Z33&gt;$AG33</formula>
    </cfRule>
  </conditionalFormatting>
  <conditionalFormatting sqref="Z27">
    <cfRule type="expression" dxfId="4793" priority="33">
      <formula>Z$9&gt;=20/24</formula>
    </cfRule>
    <cfRule type="expression" dxfId="4792" priority="34">
      <formula>AND(Z$9&gt;=14/24,Z$9&lt;20/24)</formula>
    </cfRule>
    <cfRule type="expression" dxfId="4791" priority="35">
      <formula>AND(Z$9&gt;=8/24,Z$9&lt;14/24)</formula>
    </cfRule>
    <cfRule type="expression" dxfId="4790" priority="36">
      <formula>Z$9&lt;8/24</formula>
    </cfRule>
  </conditionalFormatting>
  <conditionalFormatting sqref="Z17 Z23">
    <cfRule type="expression" dxfId="4789" priority="29">
      <formula>Z$9&gt;=20/24</formula>
    </cfRule>
    <cfRule type="expression" dxfId="4788" priority="30">
      <formula>AND(Z$9&gt;=14/24,Z$9&lt;20/24)</formula>
    </cfRule>
    <cfRule type="expression" dxfId="4787" priority="31">
      <formula>AND(Z$9&gt;=8/24,Z$9&lt;14/24)</formula>
    </cfRule>
    <cfRule type="expression" dxfId="4786" priority="32">
      <formula>Z$9&lt;8/24</formula>
    </cfRule>
  </conditionalFormatting>
  <conditionalFormatting sqref="Z17 Z23">
    <cfRule type="expression" dxfId="4785" priority="28">
      <formula>Z17&gt;$AG17</formula>
    </cfRule>
  </conditionalFormatting>
  <conditionalFormatting sqref="Z40:Z41">
    <cfRule type="expression" dxfId="4784" priority="24">
      <formula>Z$9&gt;=20/24</formula>
    </cfRule>
    <cfRule type="expression" dxfId="4783" priority="25">
      <formula>AND(Z$9&gt;=14/24,Z$9&lt;20/24)</formula>
    </cfRule>
    <cfRule type="expression" dxfId="4782" priority="26">
      <formula>AND(Z$9&gt;=8/24,Z$9&lt;14/24)</formula>
    </cfRule>
    <cfRule type="expression" dxfId="4781" priority="27">
      <formula>Z$9&lt;8/24</formula>
    </cfRule>
  </conditionalFormatting>
  <conditionalFormatting sqref="Z39">
    <cfRule type="expression" dxfId="4780" priority="20">
      <formula>Z$9&gt;=20/24</formula>
    </cfRule>
    <cfRule type="expression" dxfId="4779" priority="21">
      <formula>AND(Z$9&gt;=14/24,Z$9&lt;20/24)</formula>
    </cfRule>
    <cfRule type="expression" dxfId="4778" priority="22">
      <formula>AND(Z$9&gt;=8/24,Z$9&lt;14/24)</formula>
    </cfRule>
    <cfRule type="expression" dxfId="4777" priority="23">
      <formula>Z$9&lt;8/24</formula>
    </cfRule>
  </conditionalFormatting>
  <conditionalFormatting sqref="Z39:Z41">
    <cfRule type="expression" dxfId="4776" priority="19">
      <formula>Z39&gt;$AG39</formula>
    </cfRule>
  </conditionalFormatting>
  <conditionalFormatting sqref="Z42:Z43">
    <cfRule type="expression" dxfId="4775" priority="15">
      <formula>Z$9&gt;=20/24</formula>
    </cfRule>
    <cfRule type="expression" dxfId="4774" priority="16">
      <formula>AND(Z$9&gt;=14/24,Z$9&lt;20/24)</formula>
    </cfRule>
    <cfRule type="expression" dxfId="4773" priority="17">
      <formula>AND(Z$9&gt;=8/24,Z$9&lt;14/24)</formula>
    </cfRule>
    <cfRule type="expression" dxfId="4772" priority="18">
      <formula>Z$9&lt;8/24</formula>
    </cfRule>
  </conditionalFormatting>
  <conditionalFormatting sqref="Z42:Z43">
    <cfRule type="expression" dxfId="4771" priority="14">
      <formula>Z42&gt;$AG42</formula>
    </cfRule>
  </conditionalFormatting>
  <conditionalFormatting sqref="Z44:Z50">
    <cfRule type="expression" dxfId="4770" priority="10">
      <formula>Z$9&gt;=20/24</formula>
    </cfRule>
    <cfRule type="expression" dxfId="4769" priority="11">
      <formula>AND(Z$9&gt;=14/24,Z$9&lt;20/24)</formula>
    </cfRule>
    <cfRule type="expression" dxfId="4768" priority="12">
      <formula>AND(Z$9&gt;=8/24,Z$9&lt;14/24)</formula>
    </cfRule>
    <cfRule type="expression" dxfId="4767" priority="13">
      <formula>Z$9&lt;8/24</formula>
    </cfRule>
  </conditionalFormatting>
  <conditionalFormatting sqref="Z44:Z50">
    <cfRule type="expression" dxfId="4766" priority="9">
      <formula>Z44&gt;$AG44</formula>
    </cfRule>
  </conditionalFormatting>
  <conditionalFormatting sqref="Z57">
    <cfRule type="expression" dxfId="4765" priority="5">
      <formula>Z$9&gt;=20/24</formula>
    </cfRule>
    <cfRule type="expression" dxfId="4764" priority="6">
      <formula>AND(Z$9&gt;=14/24,Z$9&lt;20/24)</formula>
    </cfRule>
    <cfRule type="expression" dxfId="4763" priority="7">
      <formula>AND(Z$9&gt;=8/24,Z$9&lt;14/24)</formula>
    </cfRule>
    <cfRule type="expression" dxfId="4762" priority="8">
      <formula>Z$9&lt;8/24</formula>
    </cfRule>
  </conditionalFormatting>
  <conditionalFormatting sqref="Z58:Z67">
    <cfRule type="expression" dxfId="4761" priority="1">
      <formula>Z$9&gt;=20/24</formula>
    </cfRule>
    <cfRule type="expression" dxfId="4760" priority="2">
      <formula>AND(Z$9&gt;=14/24,Z$9&lt;20/24)</formula>
    </cfRule>
    <cfRule type="expression" dxfId="4759" priority="3">
      <formula>AND(Z$9&gt;=8/24,Z$9&lt;14/24)</formula>
    </cfRule>
    <cfRule type="expression" dxfId="4758" priority="4">
      <formula>Z$9&lt;8/24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7" id="{2DEAA8E4-F6A9-46F9-BD48-1C0866ED6F8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C11" activePane="bottomRight" state="frozen"/>
      <selection activeCell="AF88" sqref="AF88"/>
      <selection pane="topRight" activeCell="AF88" sqref="AF88"/>
      <selection pane="bottomLeft" activeCell="AF88" sqref="AF88"/>
      <selection pane="bottomRight" activeCell="H7" sqref="H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2079/02/7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43.1</v>
      </c>
      <c r="C5" s="32">
        <f t="shared" si="0"/>
        <v>48.6</v>
      </c>
      <c r="D5" s="32">
        <f t="shared" si="0"/>
        <v>32.200000000000003</v>
      </c>
      <c r="E5" s="32">
        <f t="shared" si="0"/>
        <v>27.6</v>
      </c>
      <c r="F5" s="32">
        <f t="shared" si="0"/>
        <v>27.6</v>
      </c>
      <c r="G5" s="32">
        <f t="shared" si="0"/>
        <v>27.6</v>
      </c>
      <c r="H5" s="32">
        <f t="shared" si="0"/>
        <v>13.7</v>
      </c>
      <c r="I5" s="32">
        <f t="shared" si="0"/>
        <v>27.6</v>
      </c>
      <c r="J5" s="32">
        <f t="shared" si="0"/>
        <v>49.099999999999994</v>
      </c>
      <c r="K5" s="32">
        <f t="shared" si="0"/>
        <v>57</v>
      </c>
      <c r="L5" s="32">
        <f t="shared" si="0"/>
        <v>45.120000000000005</v>
      </c>
      <c r="M5" s="32">
        <f t="shared" si="0"/>
        <v>66.3</v>
      </c>
      <c r="N5" s="32">
        <f t="shared" si="0"/>
        <v>47.4</v>
      </c>
      <c r="O5" s="32">
        <f t="shared" si="0"/>
        <v>-5.4000000000000057</v>
      </c>
      <c r="P5" s="32">
        <f t="shared" si="0"/>
        <v>41.5</v>
      </c>
      <c r="Q5" s="32">
        <f t="shared" si="0"/>
        <v>69</v>
      </c>
      <c r="R5" s="32">
        <f t="shared" si="0"/>
        <v>72</v>
      </c>
      <c r="S5" s="32">
        <f t="shared" si="0"/>
        <v>65</v>
      </c>
      <c r="T5" s="32">
        <f t="shared" si="0"/>
        <v>91</v>
      </c>
      <c r="U5" s="32">
        <f t="shared" si="0"/>
        <v>80</v>
      </c>
      <c r="V5" s="32">
        <f t="shared" si="0"/>
        <v>85</v>
      </c>
      <c r="W5" s="32">
        <f t="shared" si="0"/>
        <v>97</v>
      </c>
      <c r="X5" s="32">
        <f t="shared" si="0"/>
        <v>124</v>
      </c>
      <c r="Y5" s="32">
        <f t="shared" si="0"/>
        <v>119</v>
      </c>
      <c r="Z5" s="32">
        <f t="shared" si="0"/>
        <v>139</v>
      </c>
      <c r="AA5" s="32">
        <f t="shared" si="0"/>
        <v>124.6</v>
      </c>
      <c r="AB5" s="32">
        <f t="shared" si="0"/>
        <v>89.4</v>
      </c>
      <c r="AC5" s="32">
        <f t="shared" si="0"/>
        <v>104.19999999999999</v>
      </c>
      <c r="AD5" s="32">
        <f t="shared" si="0"/>
        <v>134.25</v>
      </c>
      <c r="AE5" s="32">
        <f t="shared" si="0"/>
        <v>112.4</v>
      </c>
      <c r="AF5" s="32">
        <f>B68</f>
        <v>40.299999999999997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1188MW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Load=926</v>
      </c>
      <c r="B7" s="37">
        <f>B75</f>
        <v>1004.74</v>
      </c>
      <c r="C7" s="37">
        <f t="shared" ref="C7:AF7" si="1">C75</f>
        <v>1053.24</v>
      </c>
      <c r="D7" s="37">
        <f t="shared" si="1"/>
        <v>1042.44</v>
      </c>
      <c r="E7" s="37">
        <f t="shared" si="1"/>
        <v>997.94</v>
      </c>
      <c r="F7" s="37">
        <f t="shared" si="1"/>
        <v>980.54000000000008</v>
      </c>
      <c r="G7" s="37">
        <f t="shared" si="1"/>
        <v>925.54000000000008</v>
      </c>
      <c r="H7" s="37">
        <f t="shared" si="1"/>
        <v>963.54</v>
      </c>
      <c r="I7" s="37">
        <f t="shared" si="1"/>
        <v>981.1400000000001</v>
      </c>
      <c r="J7" s="37">
        <f t="shared" si="1"/>
        <v>1025.54</v>
      </c>
      <c r="K7" s="37">
        <f t="shared" si="1"/>
        <v>1107.44</v>
      </c>
      <c r="L7" s="37">
        <f t="shared" si="1"/>
        <v>1141.6400000000001</v>
      </c>
      <c r="M7" s="37">
        <f t="shared" si="1"/>
        <v>1142.0600000000002</v>
      </c>
      <c r="N7" s="37">
        <f t="shared" si="1"/>
        <v>1187.6400000000001</v>
      </c>
      <c r="O7" s="37">
        <f t="shared" si="1"/>
        <v>1214.94</v>
      </c>
      <c r="P7" s="37">
        <f t="shared" si="1"/>
        <v>1187.54</v>
      </c>
      <c r="Q7" s="37">
        <f t="shared" si="1"/>
        <v>1173.6400000000001</v>
      </c>
      <c r="R7" s="37">
        <f t="shared" si="1"/>
        <v>1211.94</v>
      </c>
      <c r="S7" s="37">
        <f t="shared" si="1"/>
        <v>1234.24</v>
      </c>
      <c r="T7" s="37">
        <f t="shared" si="1"/>
        <v>1248.6399999999999</v>
      </c>
      <c r="U7" s="37">
        <f t="shared" si="1"/>
        <v>1269.3400000000001</v>
      </c>
      <c r="V7" s="37">
        <f t="shared" si="1"/>
        <v>1229.6399999999999</v>
      </c>
      <c r="W7" s="37">
        <f t="shared" si="1"/>
        <v>1227.6399999999999</v>
      </c>
      <c r="X7" s="37">
        <f t="shared" si="1"/>
        <v>1175.24</v>
      </c>
      <c r="Y7" s="37">
        <f t="shared" si="1"/>
        <v>1262.94</v>
      </c>
      <c r="Z7" s="37">
        <f t="shared" si="1"/>
        <v>1331.8400000000001</v>
      </c>
      <c r="AA7" s="37">
        <f t="shared" si="1"/>
        <v>1455.7399999999998</v>
      </c>
      <c r="AB7" s="37">
        <f t="shared" si="1"/>
        <v>1492.2399999999998</v>
      </c>
      <c r="AC7" s="37">
        <f t="shared" si="1"/>
        <v>1405.04</v>
      </c>
      <c r="AD7" s="37">
        <f t="shared" si="1"/>
        <v>1411.2399999999998</v>
      </c>
      <c r="AE7" s="37">
        <f t="shared" si="1"/>
        <v>1357.0900000000001</v>
      </c>
      <c r="AF7" s="37">
        <f t="shared" si="1"/>
        <v>1311.54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140</v>
      </c>
      <c r="C11" s="49">
        <v>140</v>
      </c>
      <c r="D11" s="49">
        <v>160</v>
      </c>
      <c r="E11" s="51">
        <v>100</v>
      </c>
      <c r="F11" s="51">
        <v>70</v>
      </c>
      <c r="G11" s="51">
        <v>160</v>
      </c>
      <c r="H11" s="51">
        <v>100</v>
      </c>
      <c r="I11" s="51">
        <v>80</v>
      </c>
      <c r="J11" s="52">
        <v>110</v>
      </c>
      <c r="K11" s="52">
        <v>140</v>
      </c>
      <c r="L11" s="52">
        <v>150</v>
      </c>
      <c r="M11" s="51">
        <v>175</v>
      </c>
      <c r="N11" s="51">
        <v>185</v>
      </c>
      <c r="O11" s="51">
        <v>225</v>
      </c>
      <c r="P11" s="51">
        <v>235</v>
      </c>
      <c r="Q11" s="51">
        <v>245</v>
      </c>
      <c r="R11" s="51">
        <v>245</v>
      </c>
      <c r="S11" s="49">
        <v>260</v>
      </c>
      <c r="T11" s="49">
        <v>260</v>
      </c>
      <c r="U11" s="49">
        <v>250</v>
      </c>
      <c r="V11" s="49">
        <v>220</v>
      </c>
      <c r="W11" s="49">
        <v>220</v>
      </c>
      <c r="X11" s="49">
        <v>180</v>
      </c>
      <c r="Y11" s="49">
        <v>220</v>
      </c>
      <c r="Z11" s="49">
        <v>280</v>
      </c>
      <c r="AA11" s="49">
        <v>340</v>
      </c>
      <c r="AB11" s="49">
        <v>370</v>
      </c>
      <c r="AC11" s="49">
        <v>360</v>
      </c>
      <c r="AD11" s="49">
        <v>360</v>
      </c>
      <c r="AE11" s="49">
        <v>270</v>
      </c>
      <c r="AF11" s="49">
        <v>260</v>
      </c>
      <c r="AG11" s="53">
        <v>456</v>
      </c>
      <c r="AH11" s="54">
        <f>MAX(B11:AF11)</f>
        <v>370</v>
      </c>
      <c r="AI11" s="55">
        <f>MIN(B11:AF11)</f>
        <v>70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34</v>
      </c>
      <c r="C12" s="51">
        <v>34</v>
      </c>
      <c r="D12" s="51">
        <v>34</v>
      </c>
      <c r="E12" s="51">
        <v>36</v>
      </c>
      <c r="F12" s="51">
        <v>36</v>
      </c>
      <c r="G12" s="51">
        <v>36</v>
      </c>
      <c r="H12" s="51">
        <v>38</v>
      </c>
      <c r="I12" s="51">
        <v>40</v>
      </c>
      <c r="J12" s="51">
        <v>42</v>
      </c>
      <c r="K12" s="51">
        <v>42</v>
      </c>
      <c r="L12" s="51">
        <v>42</v>
      </c>
      <c r="M12" s="51">
        <v>34</v>
      </c>
      <c r="N12" s="51">
        <v>34</v>
      </c>
      <c r="O12" s="51">
        <v>34</v>
      </c>
      <c r="P12" s="51">
        <v>34</v>
      </c>
      <c r="Q12" s="51">
        <v>34</v>
      </c>
      <c r="R12" s="51">
        <v>34</v>
      </c>
      <c r="S12" s="51">
        <v>34</v>
      </c>
      <c r="T12" s="51">
        <v>34</v>
      </c>
      <c r="U12" s="51">
        <v>34</v>
      </c>
      <c r="V12" s="51">
        <v>34</v>
      </c>
      <c r="W12" s="51">
        <v>34</v>
      </c>
      <c r="X12" s="51">
        <v>34</v>
      </c>
      <c r="Y12" s="51">
        <v>34</v>
      </c>
      <c r="Z12" s="51">
        <v>34</v>
      </c>
      <c r="AA12" s="51">
        <v>34</v>
      </c>
      <c r="AB12" s="51">
        <v>34</v>
      </c>
      <c r="AC12" s="51">
        <v>34</v>
      </c>
      <c r="AD12" s="51">
        <v>34</v>
      </c>
      <c r="AE12" s="51">
        <v>34</v>
      </c>
      <c r="AF12" s="51">
        <v>34</v>
      </c>
      <c r="AG12" s="58">
        <v>60</v>
      </c>
      <c r="AH12" s="54">
        <f t="shared" ref="AH12:AH75" si="2">MAX(B12:AF12)</f>
        <v>42</v>
      </c>
      <c r="AI12" s="55">
        <f t="shared" ref="AI12:AI75" si="3">MIN(B12:AF12)</f>
        <v>34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18.100000000000001</v>
      </c>
      <c r="C13" s="51">
        <v>19.5</v>
      </c>
      <c r="D13" s="51">
        <v>21</v>
      </c>
      <c r="E13" s="51">
        <v>20.9</v>
      </c>
      <c r="F13" s="51">
        <v>20.9</v>
      </c>
      <c r="G13" s="51">
        <v>20.9</v>
      </c>
      <c r="H13" s="51">
        <v>20.9</v>
      </c>
      <c r="I13" s="51">
        <v>21</v>
      </c>
      <c r="J13" s="51">
        <v>21</v>
      </c>
      <c r="K13" s="51">
        <v>21</v>
      </c>
      <c r="L13" s="51">
        <v>21</v>
      </c>
      <c r="M13" s="51">
        <v>18.399999999999999</v>
      </c>
      <c r="N13" s="51">
        <v>20.2</v>
      </c>
      <c r="O13" s="51">
        <v>18.899999999999999</v>
      </c>
      <c r="P13" s="51">
        <v>19.3</v>
      </c>
      <c r="Q13" s="51">
        <v>19.399999999999999</v>
      </c>
      <c r="R13" s="51">
        <v>19.399999999999999</v>
      </c>
      <c r="S13" s="51">
        <v>18.2</v>
      </c>
      <c r="T13" s="51">
        <v>18.2</v>
      </c>
      <c r="U13" s="51">
        <v>20</v>
      </c>
      <c r="V13" s="51">
        <v>20</v>
      </c>
      <c r="W13" s="51">
        <v>20</v>
      </c>
      <c r="X13" s="51">
        <v>20</v>
      </c>
      <c r="Y13" s="51">
        <v>20</v>
      </c>
      <c r="Z13" s="51">
        <v>20</v>
      </c>
      <c r="AA13" s="51">
        <v>18.899999999999999</v>
      </c>
      <c r="AB13" s="51">
        <v>17.8</v>
      </c>
      <c r="AC13" s="51">
        <v>17.8</v>
      </c>
      <c r="AD13" s="51">
        <v>17.8</v>
      </c>
      <c r="AE13" s="51">
        <v>17.8</v>
      </c>
      <c r="AF13" s="51">
        <v>17.8</v>
      </c>
      <c r="AG13" s="58">
        <v>52.4</v>
      </c>
      <c r="AH13" s="54">
        <f t="shared" si="2"/>
        <v>21</v>
      </c>
      <c r="AI13" s="55">
        <f t="shared" si="3"/>
        <v>17.8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50.3</v>
      </c>
      <c r="C14" s="51">
        <v>50.3</v>
      </c>
      <c r="D14" s="51">
        <v>50.5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50.2</v>
      </c>
      <c r="N14" s="51">
        <v>50.3</v>
      </c>
      <c r="O14" s="51">
        <v>50.2</v>
      </c>
      <c r="P14" s="51">
        <v>50.2</v>
      </c>
      <c r="Q14" s="51">
        <v>50.5</v>
      </c>
      <c r="R14" s="51">
        <v>50.5</v>
      </c>
      <c r="S14" s="51">
        <v>50.5</v>
      </c>
      <c r="T14" s="51">
        <v>50.5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8">
        <v>50</v>
      </c>
      <c r="AH14" s="54">
        <f t="shared" si="2"/>
        <v>50.5</v>
      </c>
      <c r="AI14" s="55">
        <f t="shared" si="3"/>
        <v>50.2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24.2</v>
      </c>
      <c r="C15" s="51">
        <v>24.1</v>
      </c>
      <c r="D15" s="51">
        <v>24.1</v>
      </c>
      <c r="E15" s="51">
        <v>24.1</v>
      </c>
      <c r="F15" s="51">
        <v>24.1</v>
      </c>
      <c r="G15" s="51">
        <v>24.1</v>
      </c>
      <c r="H15" s="51">
        <v>24.1</v>
      </c>
      <c r="I15" s="51">
        <v>24.1</v>
      </c>
      <c r="J15" s="51">
        <v>24.1</v>
      </c>
      <c r="K15" s="51">
        <v>24.1</v>
      </c>
      <c r="L15" s="51">
        <v>24.1</v>
      </c>
      <c r="M15" s="51">
        <v>24.1</v>
      </c>
      <c r="N15" s="51">
        <v>24.1</v>
      </c>
      <c r="O15" s="51">
        <v>24.2</v>
      </c>
      <c r="P15" s="51">
        <v>24.1</v>
      </c>
      <c r="Q15" s="51">
        <v>24.1</v>
      </c>
      <c r="R15" s="51">
        <v>24.1</v>
      </c>
      <c r="S15" s="51">
        <v>24.1</v>
      </c>
      <c r="T15" s="51">
        <v>24.1</v>
      </c>
      <c r="U15" s="51">
        <v>24</v>
      </c>
      <c r="V15" s="51">
        <v>24</v>
      </c>
      <c r="W15" s="51">
        <v>24</v>
      </c>
      <c r="X15" s="51">
        <v>24</v>
      </c>
      <c r="Y15" s="51">
        <v>24</v>
      </c>
      <c r="Z15" s="51">
        <v>24</v>
      </c>
      <c r="AA15" s="51">
        <v>23.9</v>
      </c>
      <c r="AB15" s="51">
        <v>23.9</v>
      </c>
      <c r="AC15" s="51">
        <v>23.9</v>
      </c>
      <c r="AD15" s="51">
        <v>23.9</v>
      </c>
      <c r="AE15" s="51">
        <v>23.9</v>
      </c>
      <c r="AF15" s="51">
        <v>23.9</v>
      </c>
      <c r="AG15" s="59">
        <v>45</v>
      </c>
      <c r="AH15" s="54">
        <f t="shared" si="2"/>
        <v>24.2</v>
      </c>
      <c r="AI15" s="55">
        <f t="shared" si="3"/>
        <v>23.9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23</v>
      </c>
      <c r="C16" s="51">
        <v>23</v>
      </c>
      <c r="D16" s="51">
        <v>23</v>
      </c>
      <c r="E16" s="51">
        <v>23</v>
      </c>
      <c r="F16" s="51">
        <v>23</v>
      </c>
      <c r="G16" s="51">
        <v>23</v>
      </c>
      <c r="H16" s="51">
        <v>23</v>
      </c>
      <c r="I16" s="51">
        <v>23</v>
      </c>
      <c r="J16" s="51">
        <v>23</v>
      </c>
      <c r="K16" s="51">
        <v>23</v>
      </c>
      <c r="L16" s="51">
        <v>23</v>
      </c>
      <c r="M16" s="51">
        <v>23</v>
      </c>
      <c r="N16" s="51">
        <v>23</v>
      </c>
      <c r="O16" s="51">
        <v>23</v>
      </c>
      <c r="P16" s="51">
        <v>23</v>
      </c>
      <c r="Q16" s="51">
        <v>23</v>
      </c>
      <c r="R16" s="51">
        <v>23</v>
      </c>
      <c r="S16" s="51">
        <v>23</v>
      </c>
      <c r="T16" s="51">
        <v>23</v>
      </c>
      <c r="U16" s="51">
        <v>23</v>
      </c>
      <c r="V16" s="51">
        <v>23</v>
      </c>
      <c r="W16" s="51">
        <v>23</v>
      </c>
      <c r="X16" s="51">
        <v>23</v>
      </c>
      <c r="Y16" s="51">
        <v>23</v>
      </c>
      <c r="Z16" s="51">
        <v>23</v>
      </c>
      <c r="AA16" s="51">
        <v>21</v>
      </c>
      <c r="AB16" s="51">
        <v>21</v>
      </c>
      <c r="AC16" s="51">
        <v>21</v>
      </c>
      <c r="AD16" s="51">
        <v>21</v>
      </c>
      <c r="AE16" s="51">
        <v>21</v>
      </c>
      <c r="AF16" s="51">
        <v>21</v>
      </c>
      <c r="AG16" s="58">
        <v>45</v>
      </c>
      <c r="AH16" s="54">
        <f t="shared" si="2"/>
        <v>23</v>
      </c>
      <c r="AI16" s="55">
        <f t="shared" si="3"/>
        <v>21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0</v>
      </c>
      <c r="S17" s="51">
        <v>0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>
        <v>13</v>
      </c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25.2</v>
      </c>
      <c r="C19" s="51">
        <v>23.4</v>
      </c>
      <c r="D19" s="51">
        <v>24.1</v>
      </c>
      <c r="E19" s="51">
        <v>24.1</v>
      </c>
      <c r="F19" s="51">
        <v>22</v>
      </c>
      <c r="G19" s="51">
        <v>22</v>
      </c>
      <c r="H19" s="51">
        <v>22</v>
      </c>
      <c r="I19" s="51">
        <v>22</v>
      </c>
      <c r="J19" s="51">
        <v>22</v>
      </c>
      <c r="K19" s="51">
        <v>22</v>
      </c>
      <c r="L19" s="51">
        <v>22</v>
      </c>
      <c r="M19" s="51">
        <v>22</v>
      </c>
      <c r="N19" s="51">
        <v>22</v>
      </c>
      <c r="O19" s="51">
        <v>22</v>
      </c>
      <c r="P19" s="51">
        <v>22</v>
      </c>
      <c r="Q19" s="51">
        <v>22</v>
      </c>
      <c r="R19" s="51">
        <v>22</v>
      </c>
      <c r="S19" s="51">
        <v>22</v>
      </c>
      <c r="T19" s="51">
        <v>22</v>
      </c>
      <c r="U19" s="51">
        <v>22</v>
      </c>
      <c r="V19" s="51">
        <v>22</v>
      </c>
      <c r="W19" s="51">
        <v>22</v>
      </c>
      <c r="X19" s="51">
        <v>22</v>
      </c>
      <c r="Y19" s="51">
        <v>22</v>
      </c>
      <c r="Z19" s="51">
        <v>22</v>
      </c>
      <c r="AA19" s="51">
        <v>18.8</v>
      </c>
      <c r="AB19" s="51">
        <v>18.8</v>
      </c>
      <c r="AC19" s="51">
        <v>18.8</v>
      </c>
      <c r="AD19" s="51">
        <v>18.8</v>
      </c>
      <c r="AE19" s="51">
        <v>18.8</v>
      </c>
      <c r="AF19" s="51">
        <v>18.8</v>
      </c>
      <c r="AG19" s="58">
        <v>30</v>
      </c>
      <c r="AH19" s="54">
        <f t="shared" si="2"/>
        <v>25.2</v>
      </c>
      <c r="AI19" s="55">
        <f t="shared" si="3"/>
        <v>18.8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12</v>
      </c>
      <c r="C20" s="51">
        <v>12</v>
      </c>
      <c r="D20" s="51">
        <v>12</v>
      </c>
      <c r="E20" s="51">
        <v>12</v>
      </c>
      <c r="F20" s="51">
        <v>12</v>
      </c>
      <c r="G20" s="51">
        <v>12</v>
      </c>
      <c r="H20" s="51">
        <v>12</v>
      </c>
      <c r="I20" s="51">
        <v>12</v>
      </c>
      <c r="J20" s="51">
        <v>12</v>
      </c>
      <c r="K20" s="51">
        <v>12</v>
      </c>
      <c r="L20" s="51">
        <v>12</v>
      </c>
      <c r="M20" s="51">
        <v>12</v>
      </c>
      <c r="N20" s="51">
        <v>12</v>
      </c>
      <c r="O20" s="51">
        <v>12</v>
      </c>
      <c r="P20" s="51">
        <v>12</v>
      </c>
      <c r="Q20" s="51">
        <v>12</v>
      </c>
      <c r="R20" s="51">
        <v>12</v>
      </c>
      <c r="S20" s="51">
        <v>12</v>
      </c>
      <c r="T20" s="51">
        <v>12</v>
      </c>
      <c r="U20" s="51">
        <v>12</v>
      </c>
      <c r="V20" s="51">
        <v>12</v>
      </c>
      <c r="W20" s="51">
        <v>12</v>
      </c>
      <c r="X20" s="51">
        <v>12</v>
      </c>
      <c r="Y20" s="51">
        <v>12</v>
      </c>
      <c r="Z20" s="51">
        <v>12</v>
      </c>
      <c r="AA20" s="51">
        <v>7.1</v>
      </c>
      <c r="AB20" s="51">
        <v>7.1</v>
      </c>
      <c r="AC20" s="51">
        <v>7.1</v>
      </c>
      <c r="AD20" s="51">
        <v>7.1</v>
      </c>
      <c r="AE20" s="51">
        <v>7.1</v>
      </c>
      <c r="AF20" s="51">
        <v>7.1</v>
      </c>
      <c r="AG20" s="58">
        <v>27</v>
      </c>
      <c r="AH20" s="54">
        <f t="shared" si="2"/>
        <v>12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20</v>
      </c>
      <c r="G22" s="51">
        <v>20</v>
      </c>
      <c r="H22" s="51">
        <v>20</v>
      </c>
      <c r="I22" s="51">
        <v>20</v>
      </c>
      <c r="J22" s="51">
        <v>20</v>
      </c>
      <c r="K22" s="51">
        <v>20</v>
      </c>
      <c r="L22" s="51">
        <v>20</v>
      </c>
      <c r="M22" s="51">
        <v>20</v>
      </c>
      <c r="N22" s="51">
        <v>19</v>
      </c>
      <c r="O22" s="51">
        <v>19</v>
      </c>
      <c r="P22" s="51">
        <v>19</v>
      </c>
      <c r="Q22" s="51">
        <v>19</v>
      </c>
      <c r="R22" s="51">
        <v>19</v>
      </c>
      <c r="S22" s="51">
        <v>19</v>
      </c>
      <c r="T22" s="51">
        <v>19</v>
      </c>
      <c r="U22" s="51">
        <v>19</v>
      </c>
      <c r="V22" s="51">
        <v>19</v>
      </c>
      <c r="W22" s="51">
        <v>19</v>
      </c>
      <c r="X22" s="51">
        <v>19</v>
      </c>
      <c r="Y22" s="51">
        <v>19</v>
      </c>
      <c r="Z22" s="51">
        <v>19</v>
      </c>
      <c r="AA22" s="51">
        <v>20</v>
      </c>
      <c r="AB22" s="51">
        <v>20</v>
      </c>
      <c r="AC22" s="51">
        <v>20</v>
      </c>
      <c r="AD22" s="51">
        <v>20</v>
      </c>
      <c r="AE22" s="51">
        <v>20</v>
      </c>
      <c r="AF22" s="51">
        <v>20</v>
      </c>
      <c r="AG22" s="58">
        <v>25</v>
      </c>
      <c r="AH22" s="54">
        <f t="shared" si="2"/>
        <v>22</v>
      </c>
      <c r="AI22" s="55">
        <f t="shared" si="3"/>
        <v>19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19.899999999999999</v>
      </c>
      <c r="C24" s="51">
        <v>23.2</v>
      </c>
      <c r="D24" s="51">
        <v>23.2</v>
      </c>
      <c r="E24" s="51">
        <v>23.2</v>
      </c>
      <c r="F24" s="51">
        <v>22.9</v>
      </c>
      <c r="G24" s="51">
        <v>22.9</v>
      </c>
      <c r="H24" s="51">
        <v>22.9</v>
      </c>
      <c r="I24" s="51">
        <v>22.9</v>
      </c>
      <c r="J24" s="51">
        <v>22.9</v>
      </c>
      <c r="K24" s="51">
        <v>22.9</v>
      </c>
      <c r="L24" s="51">
        <v>22.9</v>
      </c>
      <c r="M24" s="51">
        <v>22.9</v>
      </c>
      <c r="N24" s="51">
        <v>22.9</v>
      </c>
      <c r="O24" s="51">
        <v>22.9</v>
      </c>
      <c r="P24" s="51">
        <v>22.9</v>
      </c>
      <c r="Q24" s="51">
        <v>22.9</v>
      </c>
      <c r="R24" s="51">
        <v>22.9</v>
      </c>
      <c r="S24" s="51">
        <v>22.9</v>
      </c>
      <c r="T24" s="51">
        <v>21</v>
      </c>
      <c r="U24" s="51">
        <v>21</v>
      </c>
      <c r="V24" s="51">
        <v>21</v>
      </c>
      <c r="W24" s="51">
        <v>21</v>
      </c>
      <c r="X24" s="51">
        <v>21</v>
      </c>
      <c r="Y24" s="51">
        <v>21</v>
      </c>
      <c r="Z24" s="51">
        <v>21</v>
      </c>
      <c r="AA24" s="51">
        <v>20</v>
      </c>
      <c r="AB24" s="51">
        <v>20</v>
      </c>
      <c r="AC24" s="51">
        <v>20</v>
      </c>
      <c r="AD24" s="51">
        <v>20</v>
      </c>
      <c r="AE24" s="51">
        <v>20</v>
      </c>
      <c r="AF24" s="51">
        <v>20</v>
      </c>
      <c r="AG24" s="58">
        <v>25</v>
      </c>
      <c r="AH24" s="54">
        <f t="shared" si="2"/>
        <v>23.2</v>
      </c>
      <c r="AI24" s="55">
        <f t="shared" si="3"/>
        <v>19.899999999999999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 t="s">
        <v>231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7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0</v>
      </c>
      <c r="C30" s="51">
        <v>0</v>
      </c>
      <c r="D30" s="51">
        <v>0</v>
      </c>
      <c r="E30" s="51">
        <v>0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>
        <v>11</v>
      </c>
      <c r="AB30" s="51">
        <v>11</v>
      </c>
      <c r="AC30" s="51">
        <v>11</v>
      </c>
      <c r="AD30" s="51">
        <v>11</v>
      </c>
      <c r="AE30" s="51">
        <v>11</v>
      </c>
      <c r="AF30" s="51">
        <v>11</v>
      </c>
      <c r="AG30" s="58">
        <v>22.1</v>
      </c>
      <c r="AH30" s="54">
        <f t="shared" si="2"/>
        <v>11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>
        <v>6.6</v>
      </c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6.6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4</v>
      </c>
      <c r="C34" s="51">
        <v>4</v>
      </c>
      <c r="D34" s="51">
        <v>4</v>
      </c>
      <c r="E34" s="51">
        <v>4</v>
      </c>
      <c r="F34" s="51">
        <v>4</v>
      </c>
      <c r="G34" s="51">
        <v>4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4</v>
      </c>
      <c r="N34" s="51">
        <v>4</v>
      </c>
      <c r="O34" s="51">
        <v>4</v>
      </c>
      <c r="P34" s="51">
        <v>4</v>
      </c>
      <c r="Q34" s="51">
        <v>4</v>
      </c>
      <c r="R34" s="51">
        <v>4</v>
      </c>
      <c r="S34" s="51">
        <v>4</v>
      </c>
      <c r="T34" s="51">
        <v>4</v>
      </c>
      <c r="U34" s="51">
        <v>4</v>
      </c>
      <c r="V34" s="51">
        <v>4</v>
      </c>
      <c r="W34" s="51">
        <v>4</v>
      </c>
      <c r="X34" s="51">
        <v>4</v>
      </c>
      <c r="Y34" s="51">
        <v>4</v>
      </c>
      <c r="Z34" s="51">
        <v>4</v>
      </c>
      <c r="AA34" s="51">
        <v>4</v>
      </c>
      <c r="AB34" s="51">
        <v>4</v>
      </c>
      <c r="AC34" s="51">
        <v>4</v>
      </c>
      <c r="AD34" s="51">
        <v>4</v>
      </c>
      <c r="AE34" s="51">
        <v>4</v>
      </c>
      <c r="AF34" s="51">
        <v>4</v>
      </c>
      <c r="AG34" s="63">
        <v>20</v>
      </c>
      <c r="AH34" s="54">
        <f t="shared" si="2"/>
        <v>4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/>
      <c r="C37" s="67"/>
      <c r="D37" s="67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>
        <f>52.6+38.26</f>
        <v>90.86</v>
      </c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3">
        <v>240</v>
      </c>
      <c r="AH37" s="54">
        <f t="shared" si="2"/>
        <v>90.86</v>
      </c>
      <c r="AI37" s="55">
        <f t="shared" si="3"/>
        <v>90.86</v>
      </c>
      <c r="AK37" s="56"/>
    </row>
    <row r="38" spans="1:88" ht="15.75" thickBot="1" x14ac:dyDescent="0.3">
      <c r="A38" s="68" t="s">
        <v>46</v>
      </c>
      <c r="B38" s="69">
        <f t="shared" ref="B38" si="4">SUM(B11:B36)</f>
        <v>666.8</v>
      </c>
      <c r="C38" s="69">
        <f t="shared" ref="C38:AF38" si="5">SUM(C11:C36)</f>
        <v>679.6</v>
      </c>
      <c r="D38" s="69">
        <f t="shared" si="5"/>
        <v>702</v>
      </c>
      <c r="E38" s="69">
        <f t="shared" si="5"/>
        <v>643.79999999999995</v>
      </c>
      <c r="F38" s="69">
        <f t="shared" si="5"/>
        <v>627.4</v>
      </c>
      <c r="G38" s="69">
        <f t="shared" si="5"/>
        <v>717.40000000000009</v>
      </c>
      <c r="H38" s="69">
        <f t="shared" si="5"/>
        <v>659.4</v>
      </c>
      <c r="I38" s="69">
        <f t="shared" si="5"/>
        <v>641.5</v>
      </c>
      <c r="J38" s="69">
        <f t="shared" si="5"/>
        <v>673.5</v>
      </c>
      <c r="K38" s="69">
        <f t="shared" si="5"/>
        <v>703.5</v>
      </c>
      <c r="L38" s="69">
        <f t="shared" si="5"/>
        <v>713.5</v>
      </c>
      <c r="M38" s="69">
        <f t="shared" si="5"/>
        <v>727.7</v>
      </c>
      <c r="N38" s="69">
        <f t="shared" si="5"/>
        <v>738.6</v>
      </c>
      <c r="O38" s="69">
        <f t="shared" si="5"/>
        <v>777.3</v>
      </c>
      <c r="P38" s="69">
        <f t="shared" si="5"/>
        <v>787.6</v>
      </c>
      <c r="Q38" s="69">
        <f t="shared" si="5"/>
        <v>788</v>
      </c>
      <c r="R38" s="69">
        <f t="shared" si="5"/>
        <v>763</v>
      </c>
      <c r="S38" s="69">
        <f t="shared" si="5"/>
        <v>776.80000000000007</v>
      </c>
      <c r="T38" s="69">
        <f t="shared" si="5"/>
        <v>799.9</v>
      </c>
      <c r="U38" s="69">
        <f t="shared" si="5"/>
        <v>791.5</v>
      </c>
      <c r="V38" s="69">
        <f t="shared" si="5"/>
        <v>761.5</v>
      </c>
      <c r="W38" s="69">
        <f t="shared" si="5"/>
        <v>761.5</v>
      </c>
      <c r="X38" s="69">
        <f t="shared" si="5"/>
        <v>721.5</v>
      </c>
      <c r="Y38" s="69">
        <f t="shared" si="5"/>
        <v>761.5</v>
      </c>
      <c r="Z38" s="69">
        <f t="shared" si="5"/>
        <v>821.5</v>
      </c>
      <c r="AA38" s="69">
        <f t="shared" si="5"/>
        <v>863.19999999999993</v>
      </c>
      <c r="AB38" s="69">
        <f t="shared" si="5"/>
        <v>892.09999999999991</v>
      </c>
      <c r="AC38" s="69">
        <f t="shared" si="5"/>
        <v>882.09999999999991</v>
      </c>
      <c r="AD38" s="69">
        <f t="shared" si="5"/>
        <v>882.09999999999991</v>
      </c>
      <c r="AE38" s="69">
        <f t="shared" si="5"/>
        <v>802.1</v>
      </c>
      <c r="AF38" s="69">
        <f t="shared" si="5"/>
        <v>784.1</v>
      </c>
      <c r="AG38" s="63">
        <f>SUM(AG11:AG37)</f>
        <v>1492.8299999999997</v>
      </c>
      <c r="AH38" s="54">
        <f t="shared" si="2"/>
        <v>892.09999999999991</v>
      </c>
      <c r="AI38" s="55">
        <f t="shared" si="3"/>
        <v>627.4</v>
      </c>
      <c r="AK38" s="56"/>
    </row>
    <row r="39" spans="1:88" ht="15.75" x14ac:dyDescent="0.25">
      <c r="A39" s="57" t="s">
        <v>47</v>
      </c>
      <c r="B39" s="51">
        <v>112</v>
      </c>
      <c r="C39" s="51">
        <v>126.3</v>
      </c>
      <c r="D39" s="51">
        <v>96.2</v>
      </c>
      <c r="E39" s="51">
        <v>145.5</v>
      </c>
      <c r="F39" s="51">
        <v>145</v>
      </c>
      <c r="G39" s="51">
        <v>0</v>
      </c>
      <c r="H39" s="51">
        <v>96</v>
      </c>
      <c r="I39" s="51">
        <v>146.80000000000001</v>
      </c>
      <c r="J39" s="51">
        <v>145.30000000000001</v>
      </c>
      <c r="K39" s="51">
        <v>145.69999999999999</v>
      </c>
      <c r="L39" s="51">
        <v>132</v>
      </c>
      <c r="M39" s="51">
        <v>131.4</v>
      </c>
      <c r="N39" s="51">
        <v>131.4</v>
      </c>
      <c r="O39" s="51">
        <v>139.9</v>
      </c>
      <c r="P39" s="51">
        <v>139.5</v>
      </c>
      <c r="Q39" s="51">
        <v>97</v>
      </c>
      <c r="R39" s="51">
        <v>146</v>
      </c>
      <c r="S39" s="51">
        <v>145.69999999999999</v>
      </c>
      <c r="T39" s="51">
        <v>145</v>
      </c>
      <c r="U39" s="51">
        <v>145.6</v>
      </c>
      <c r="V39" s="51">
        <v>145.6</v>
      </c>
      <c r="W39" s="51">
        <v>145.6</v>
      </c>
      <c r="X39" s="51">
        <v>143</v>
      </c>
      <c r="Y39" s="51">
        <v>145.19999999999999</v>
      </c>
      <c r="Z39" s="51">
        <v>145.6</v>
      </c>
      <c r="AA39" s="166">
        <v>145</v>
      </c>
      <c r="AB39" s="51">
        <v>145.19999999999999</v>
      </c>
      <c r="AC39" s="51">
        <v>145.19999999999999</v>
      </c>
      <c r="AD39" s="51">
        <v>145.19999999999999</v>
      </c>
      <c r="AE39" s="51">
        <v>145.19999999999999</v>
      </c>
      <c r="AF39" s="51">
        <v>145.19999999999999</v>
      </c>
      <c r="AG39" s="59">
        <v>144</v>
      </c>
      <c r="AH39" s="54">
        <f t="shared" si="2"/>
        <v>146.80000000000001</v>
      </c>
      <c r="AI39" s="55">
        <f t="shared" si="3"/>
        <v>0</v>
      </c>
      <c r="AK39" s="56"/>
    </row>
    <row r="40" spans="1:88" ht="15.75" x14ac:dyDescent="0.25">
      <c r="A40" s="62" t="s">
        <v>48</v>
      </c>
      <c r="B40" s="70">
        <v>43.7</v>
      </c>
      <c r="C40" s="70">
        <v>45.9</v>
      </c>
      <c r="D40" s="70">
        <v>46.8</v>
      </c>
      <c r="E40" s="70">
        <v>46.4</v>
      </c>
      <c r="F40" s="70">
        <v>46.4</v>
      </c>
      <c r="G40" s="70">
        <v>46.4</v>
      </c>
      <c r="H40" s="70">
        <v>46.4</v>
      </c>
      <c r="I40" s="70">
        <v>49.8</v>
      </c>
      <c r="J40" s="70">
        <v>49.2</v>
      </c>
      <c r="K40" s="70">
        <v>49.2</v>
      </c>
      <c r="L40" s="70">
        <v>49.2</v>
      </c>
      <c r="M40" s="51">
        <v>45.6</v>
      </c>
      <c r="N40" s="51">
        <v>46.3</v>
      </c>
      <c r="O40" s="51">
        <v>55.4</v>
      </c>
      <c r="P40" s="51">
        <v>64.599999999999994</v>
      </c>
      <c r="Q40" s="51">
        <v>65.599999999999994</v>
      </c>
      <c r="R40" s="51">
        <v>65.599999999999994</v>
      </c>
      <c r="S40" s="70">
        <v>56</v>
      </c>
      <c r="T40" s="70">
        <v>60</v>
      </c>
      <c r="U40" s="70">
        <v>67.7</v>
      </c>
      <c r="V40" s="70">
        <v>69</v>
      </c>
      <c r="W40" s="70">
        <v>69</v>
      </c>
      <c r="X40" s="70">
        <v>53</v>
      </c>
      <c r="Y40" s="70">
        <v>64.5</v>
      </c>
      <c r="Z40" s="70">
        <v>66</v>
      </c>
      <c r="AA40" s="166">
        <v>70</v>
      </c>
      <c r="AB40" s="70">
        <v>70.7</v>
      </c>
      <c r="AC40" s="70">
        <v>70.7</v>
      </c>
      <c r="AD40" s="70">
        <v>70.7</v>
      </c>
      <c r="AE40" s="70">
        <v>66.5</v>
      </c>
      <c r="AF40" s="70">
        <v>65.8</v>
      </c>
      <c r="AG40" s="63">
        <v>70</v>
      </c>
      <c r="AH40" s="54">
        <f t="shared" si="2"/>
        <v>70.7</v>
      </c>
      <c r="AI40" s="55">
        <f t="shared" si="3"/>
        <v>43.7</v>
      </c>
      <c r="AK40" s="56"/>
    </row>
    <row r="41" spans="1:88" ht="15.75" x14ac:dyDescent="0.25">
      <c r="A41" s="62" t="s">
        <v>49</v>
      </c>
      <c r="B41" s="70">
        <v>35.6</v>
      </c>
      <c r="C41" s="70">
        <v>51.6</v>
      </c>
      <c r="D41" s="70">
        <v>51.6</v>
      </c>
      <c r="E41" s="70">
        <v>32.1</v>
      </c>
      <c r="F41" s="70">
        <v>32.1</v>
      </c>
      <c r="G41" s="70">
        <v>32.1</v>
      </c>
      <c r="H41" s="70">
        <v>32.1</v>
      </c>
      <c r="I41" s="70">
        <v>34.4</v>
      </c>
      <c r="J41" s="70">
        <v>34.5</v>
      </c>
      <c r="K41" s="70">
        <v>34.5</v>
      </c>
      <c r="L41" s="70">
        <v>34.5</v>
      </c>
      <c r="M41" s="51">
        <v>40.200000000000003</v>
      </c>
      <c r="N41" s="51">
        <v>55</v>
      </c>
      <c r="O41" s="51">
        <v>54.9</v>
      </c>
      <c r="P41" s="51">
        <v>61.2</v>
      </c>
      <c r="Q41" s="51">
        <v>44.3</v>
      </c>
      <c r="R41" s="51">
        <v>58.6</v>
      </c>
      <c r="S41" s="70">
        <v>68</v>
      </c>
      <c r="T41" s="70">
        <v>68</v>
      </c>
      <c r="U41" s="70">
        <v>67.8</v>
      </c>
      <c r="V41" s="70">
        <v>67.8</v>
      </c>
      <c r="W41" s="70">
        <v>67.8</v>
      </c>
      <c r="X41" s="70">
        <v>62</v>
      </c>
      <c r="Y41" s="70">
        <v>69</v>
      </c>
      <c r="Z41" s="70">
        <v>69</v>
      </c>
      <c r="AA41" s="166">
        <v>69</v>
      </c>
      <c r="AB41" s="70">
        <v>68.7</v>
      </c>
      <c r="AC41" s="70">
        <v>68.7</v>
      </c>
      <c r="AD41" s="70">
        <v>68.7</v>
      </c>
      <c r="AE41" s="70">
        <v>68.7</v>
      </c>
      <c r="AF41" s="70">
        <v>68.7</v>
      </c>
      <c r="AG41" s="63">
        <v>69</v>
      </c>
      <c r="AH41" s="54">
        <f t="shared" si="2"/>
        <v>69</v>
      </c>
      <c r="AI41" s="55">
        <f t="shared" si="3"/>
        <v>32.1</v>
      </c>
      <c r="AK41" s="56"/>
    </row>
    <row r="42" spans="1:88" ht="15.75" x14ac:dyDescent="0.25">
      <c r="A42" s="62" t="s">
        <v>50</v>
      </c>
      <c r="B42" s="65">
        <v>60</v>
      </c>
      <c r="C42" s="65">
        <v>60.4</v>
      </c>
      <c r="D42" s="65">
        <v>55.9</v>
      </c>
      <c r="E42" s="65">
        <v>55.6</v>
      </c>
      <c r="F42" s="65">
        <v>55.6</v>
      </c>
      <c r="G42" s="65">
        <v>55.6</v>
      </c>
      <c r="H42" s="65">
        <v>55.6</v>
      </c>
      <c r="I42" s="65">
        <v>55.6</v>
      </c>
      <c r="J42" s="65">
        <v>55.4</v>
      </c>
      <c r="K42" s="65">
        <v>55.4</v>
      </c>
      <c r="L42" s="65">
        <v>55.4</v>
      </c>
      <c r="M42" s="51">
        <v>54</v>
      </c>
      <c r="N42" s="51">
        <v>54</v>
      </c>
      <c r="O42" s="51">
        <v>54</v>
      </c>
      <c r="P42" s="51">
        <v>54</v>
      </c>
      <c r="Q42" s="51">
        <v>54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166">
        <v>60.9</v>
      </c>
      <c r="AB42" s="65">
        <v>60.9</v>
      </c>
      <c r="AC42" s="65">
        <v>60.9</v>
      </c>
      <c r="AD42" s="65">
        <v>60.9</v>
      </c>
      <c r="AE42" s="65">
        <v>60.9</v>
      </c>
      <c r="AF42" s="65">
        <v>60.9</v>
      </c>
      <c r="AG42" s="63">
        <v>60</v>
      </c>
      <c r="AH42" s="54">
        <f t="shared" si="2"/>
        <v>60.9</v>
      </c>
      <c r="AI42" s="55">
        <f t="shared" si="3"/>
        <v>54</v>
      </c>
      <c r="AK42" s="56"/>
    </row>
    <row r="43" spans="1:88" ht="15.75" x14ac:dyDescent="0.25">
      <c r="A43" s="62" t="s">
        <v>51</v>
      </c>
      <c r="B43" s="65">
        <v>20</v>
      </c>
      <c r="C43" s="65">
        <v>15</v>
      </c>
      <c r="D43" s="65">
        <v>10</v>
      </c>
      <c r="E43" s="65">
        <v>10</v>
      </c>
      <c r="F43" s="65">
        <v>10</v>
      </c>
      <c r="G43" s="65">
        <v>10</v>
      </c>
      <c r="H43" s="65">
        <v>10</v>
      </c>
      <c r="I43" s="65">
        <v>10</v>
      </c>
      <c r="J43" s="65">
        <v>10</v>
      </c>
      <c r="K43" s="65">
        <v>10</v>
      </c>
      <c r="L43" s="65">
        <v>10</v>
      </c>
      <c r="M43" s="65">
        <v>0</v>
      </c>
      <c r="N43" s="51">
        <v>20</v>
      </c>
      <c r="O43" s="51">
        <v>20</v>
      </c>
      <c r="P43" s="51">
        <v>20</v>
      </c>
      <c r="Q43" s="51">
        <v>25</v>
      </c>
      <c r="R43" s="51">
        <v>25</v>
      </c>
      <c r="S43" s="51">
        <v>25</v>
      </c>
      <c r="T43" s="51">
        <v>20</v>
      </c>
      <c r="U43" s="51">
        <v>15</v>
      </c>
      <c r="V43" s="51">
        <v>15</v>
      </c>
      <c r="W43" s="51">
        <v>8</v>
      </c>
      <c r="X43" s="51">
        <v>8</v>
      </c>
      <c r="Y43" s="51">
        <v>8</v>
      </c>
      <c r="Z43" s="51">
        <v>20</v>
      </c>
      <c r="AA43" s="167">
        <v>30</v>
      </c>
      <c r="AB43" s="65">
        <v>30</v>
      </c>
      <c r="AC43" s="65">
        <v>30</v>
      </c>
      <c r="AD43" s="65">
        <v>25</v>
      </c>
      <c r="AE43" s="65">
        <v>25</v>
      </c>
      <c r="AF43" s="65">
        <v>20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ht="15.75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65">
        <v>0</v>
      </c>
      <c r="K44" s="65">
        <v>0</v>
      </c>
      <c r="L44" s="65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167">
        <v>0</v>
      </c>
      <c r="AB44" s="167">
        <v>0</v>
      </c>
      <c r="AC44" s="167">
        <v>0</v>
      </c>
      <c r="AD44" s="167">
        <v>0</v>
      </c>
      <c r="AE44" s="167">
        <v>0</v>
      </c>
      <c r="AF44" s="167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ht="15.75" x14ac:dyDescent="0.25">
      <c r="A45" s="62" t="s">
        <v>53</v>
      </c>
      <c r="B45" s="70">
        <v>1.5</v>
      </c>
      <c r="C45" s="70">
        <v>3</v>
      </c>
      <c r="D45" s="70">
        <v>3</v>
      </c>
      <c r="E45" s="70">
        <v>3</v>
      </c>
      <c r="F45" s="70">
        <v>7.1</v>
      </c>
      <c r="G45" s="70">
        <v>7.1</v>
      </c>
      <c r="H45" s="70">
        <v>7.1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167">
        <v>0</v>
      </c>
      <c r="AB45" s="167">
        <v>0</v>
      </c>
      <c r="AC45" s="167">
        <v>0</v>
      </c>
      <c r="AD45" s="167">
        <v>0</v>
      </c>
      <c r="AE45" s="167">
        <v>0</v>
      </c>
      <c r="AF45" s="167">
        <v>0</v>
      </c>
      <c r="AG45" s="63">
        <v>24</v>
      </c>
      <c r="AH45" s="54">
        <f t="shared" si="2"/>
        <v>7.1</v>
      </c>
      <c r="AI45" s="55">
        <f t="shared" si="3"/>
        <v>0</v>
      </c>
      <c r="AK45" s="56"/>
    </row>
    <row r="46" spans="1:88" ht="15.75" x14ac:dyDescent="0.25">
      <c r="A46" s="62" t="s">
        <v>54</v>
      </c>
      <c r="B46" s="51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168">
        <v>0</v>
      </c>
      <c r="AB46" s="168">
        <v>0</v>
      </c>
      <c r="AC46" s="168">
        <v>0</v>
      </c>
      <c r="AD46" s="168">
        <v>0</v>
      </c>
      <c r="AE46" s="168">
        <v>0</v>
      </c>
      <c r="AF46" s="168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ht="15.75" x14ac:dyDescent="0.25">
      <c r="A47" s="62" t="s">
        <v>55</v>
      </c>
      <c r="B47" s="51">
        <v>1</v>
      </c>
      <c r="C47" s="70">
        <v>2</v>
      </c>
      <c r="D47" s="70">
        <v>2</v>
      </c>
      <c r="E47" s="70">
        <v>2</v>
      </c>
      <c r="F47" s="70">
        <v>2</v>
      </c>
      <c r="G47" s="70">
        <v>2</v>
      </c>
      <c r="H47" s="70">
        <v>2</v>
      </c>
      <c r="I47" s="70">
        <v>2</v>
      </c>
      <c r="J47" s="70">
        <v>2</v>
      </c>
      <c r="K47" s="70">
        <v>2</v>
      </c>
      <c r="L47" s="70">
        <v>2</v>
      </c>
      <c r="M47" s="70">
        <v>2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168">
        <v>0</v>
      </c>
      <c r="AB47" s="168">
        <v>0</v>
      </c>
      <c r="AC47" s="168">
        <v>0</v>
      </c>
      <c r="AD47" s="168">
        <v>0</v>
      </c>
      <c r="AE47" s="168">
        <v>0</v>
      </c>
      <c r="AF47" s="168">
        <v>0</v>
      </c>
      <c r="AG47" s="63">
        <v>14.1</v>
      </c>
      <c r="AH47" s="54">
        <f t="shared" si="2"/>
        <v>2</v>
      </c>
      <c r="AI47" s="55">
        <f t="shared" si="3"/>
        <v>0</v>
      </c>
      <c r="AJ47" s="1"/>
      <c r="AK47" s="56"/>
      <c r="AL47"/>
      <c r="AM47"/>
      <c r="AN47"/>
      <c r="AO47"/>
    </row>
    <row r="48" spans="1:88" ht="15.75" x14ac:dyDescent="0.25">
      <c r="A48" s="72" t="s">
        <v>56</v>
      </c>
      <c r="B48" s="51">
        <v>10.199999999999999</v>
      </c>
      <c r="C48" s="70">
        <v>10.9</v>
      </c>
      <c r="D48" s="70">
        <v>10.9</v>
      </c>
      <c r="E48" s="70">
        <v>11.9</v>
      </c>
      <c r="F48" s="70">
        <v>11.9</v>
      </c>
      <c r="G48" s="70">
        <v>11.9</v>
      </c>
      <c r="H48" s="70">
        <v>11.9</v>
      </c>
      <c r="I48" s="70">
        <v>11.9</v>
      </c>
      <c r="J48" s="70">
        <v>12.6</v>
      </c>
      <c r="K48" s="70">
        <v>12.6</v>
      </c>
      <c r="L48" s="70">
        <v>12.6</v>
      </c>
      <c r="M48" s="70">
        <v>12.6</v>
      </c>
      <c r="N48" s="70">
        <v>12.6</v>
      </c>
      <c r="O48" s="70">
        <v>12.6</v>
      </c>
      <c r="P48" s="70">
        <v>12.6</v>
      </c>
      <c r="Q48" s="70">
        <v>12.6</v>
      </c>
      <c r="R48" s="51">
        <v>8.1999999999999993</v>
      </c>
      <c r="S48" s="51">
        <v>8.1999999999999993</v>
      </c>
      <c r="T48" s="51">
        <v>8.1999999999999993</v>
      </c>
      <c r="U48" s="51">
        <v>8.1999999999999993</v>
      </c>
      <c r="V48" s="51">
        <v>8.1999999999999993</v>
      </c>
      <c r="W48" s="51">
        <v>8.1999999999999993</v>
      </c>
      <c r="X48" s="51">
        <v>8.1999999999999993</v>
      </c>
      <c r="Y48" s="51">
        <v>8.1999999999999993</v>
      </c>
      <c r="Z48" s="51">
        <v>8.1999999999999993</v>
      </c>
      <c r="AA48" s="168">
        <v>8.1999999999999993</v>
      </c>
      <c r="AB48" s="168">
        <v>8.1999999999999993</v>
      </c>
      <c r="AC48" s="168">
        <v>8.1999999999999993</v>
      </c>
      <c r="AD48" s="168">
        <v>8.1999999999999993</v>
      </c>
      <c r="AE48" s="168">
        <v>8.1999999999999993</v>
      </c>
      <c r="AF48" s="168">
        <v>8.1999999999999993</v>
      </c>
      <c r="AG48" s="63">
        <v>14</v>
      </c>
      <c r="AH48" s="54">
        <f t="shared" si="2"/>
        <v>12.6</v>
      </c>
      <c r="AI48" s="55">
        <f t="shared" si="3"/>
        <v>8.1999999999999993</v>
      </c>
      <c r="AK48" s="56"/>
    </row>
    <row r="49" spans="1:37" ht="15.75" x14ac:dyDescent="0.25">
      <c r="A49" s="62" t="s">
        <v>57</v>
      </c>
      <c r="B49" s="51">
        <v>6</v>
      </c>
      <c r="C49" s="70">
        <v>7.8</v>
      </c>
      <c r="D49" s="70">
        <v>7.8</v>
      </c>
      <c r="E49" s="70">
        <v>7.8</v>
      </c>
      <c r="F49" s="70">
        <v>7.8</v>
      </c>
      <c r="G49" s="70">
        <v>7.8</v>
      </c>
      <c r="H49" s="70">
        <v>7.8</v>
      </c>
      <c r="I49" s="70">
        <v>7.8</v>
      </c>
      <c r="J49" s="70">
        <v>7.8</v>
      </c>
      <c r="K49" s="70">
        <v>7.8</v>
      </c>
      <c r="L49" s="70">
        <v>7.8</v>
      </c>
      <c r="M49" s="70">
        <v>7.8</v>
      </c>
      <c r="N49" s="70">
        <v>7.8</v>
      </c>
      <c r="O49" s="70">
        <v>7.8</v>
      </c>
      <c r="P49" s="70">
        <v>7.8</v>
      </c>
      <c r="Q49" s="70">
        <v>0</v>
      </c>
      <c r="R49" s="51">
        <v>0</v>
      </c>
      <c r="S49" s="51">
        <v>6</v>
      </c>
      <c r="T49" s="51">
        <v>6</v>
      </c>
      <c r="U49" s="51">
        <v>6</v>
      </c>
      <c r="V49" s="51">
        <v>6</v>
      </c>
      <c r="W49" s="51">
        <v>6</v>
      </c>
      <c r="X49" s="51">
        <v>6</v>
      </c>
      <c r="Y49" s="51">
        <v>6</v>
      </c>
      <c r="Z49" s="51">
        <v>6</v>
      </c>
      <c r="AA49" s="168">
        <v>6.5</v>
      </c>
      <c r="AB49" s="168">
        <v>6.5</v>
      </c>
      <c r="AC49" s="168">
        <v>6.5</v>
      </c>
      <c r="AD49" s="168">
        <v>6.5</v>
      </c>
      <c r="AE49" s="168">
        <v>6.5</v>
      </c>
      <c r="AF49" s="168">
        <v>6.5</v>
      </c>
      <c r="AG49" s="63">
        <v>10.050000000000001</v>
      </c>
      <c r="AH49" s="54">
        <f t="shared" si="2"/>
        <v>7.8</v>
      </c>
      <c r="AI49" s="55">
        <f t="shared" si="3"/>
        <v>0</v>
      </c>
      <c r="AK49" s="56"/>
    </row>
    <row r="50" spans="1:37" ht="15.75" x14ac:dyDescent="0.25">
      <c r="A50" s="62" t="s">
        <v>58</v>
      </c>
      <c r="B50" s="51">
        <v>4.0999999999999996</v>
      </c>
      <c r="C50" s="70">
        <v>4.0999999999999996</v>
      </c>
      <c r="D50" s="70">
        <v>4.0999999999999996</v>
      </c>
      <c r="E50" s="70">
        <v>4.0999999999999996</v>
      </c>
      <c r="F50" s="70">
        <v>4.0999999999999996</v>
      </c>
      <c r="G50" s="70">
        <v>4.0999999999999996</v>
      </c>
      <c r="H50" s="70">
        <v>4.0999999999999996</v>
      </c>
      <c r="I50" s="70">
        <v>4.0999999999999996</v>
      </c>
      <c r="J50" s="70">
        <v>4.0999999999999996</v>
      </c>
      <c r="K50" s="70">
        <v>4.0999999999999996</v>
      </c>
      <c r="L50" s="70">
        <v>4.0999999999999996</v>
      </c>
      <c r="M50" s="70">
        <v>4.0999999999999996</v>
      </c>
      <c r="N50" s="70">
        <v>4.0999999999999996</v>
      </c>
      <c r="O50" s="70">
        <v>4.0999999999999996</v>
      </c>
      <c r="P50" s="70">
        <v>4.0999999999999996</v>
      </c>
      <c r="Q50" s="70">
        <v>4.0999999999999996</v>
      </c>
      <c r="R50" s="70">
        <v>4.0999999999999996</v>
      </c>
      <c r="S50" s="70">
        <v>4.0999999999999996</v>
      </c>
      <c r="T50" s="70">
        <v>4.0999999999999996</v>
      </c>
      <c r="U50" s="70">
        <v>4.0999999999999996</v>
      </c>
      <c r="V50" s="70">
        <v>4.0999999999999996</v>
      </c>
      <c r="W50" s="70">
        <v>4.0999999999999996</v>
      </c>
      <c r="X50" s="70">
        <v>4.0999999999999996</v>
      </c>
      <c r="Y50" s="70">
        <v>4.0999999999999996</v>
      </c>
      <c r="Z50" s="70">
        <v>4.0999999999999996</v>
      </c>
      <c r="AA50" s="168">
        <v>3</v>
      </c>
      <c r="AB50" s="168">
        <v>3</v>
      </c>
      <c r="AC50" s="168">
        <v>3</v>
      </c>
      <c r="AD50" s="168">
        <v>3</v>
      </c>
      <c r="AE50" s="168">
        <v>3</v>
      </c>
      <c r="AF50" s="168">
        <v>3</v>
      </c>
      <c r="AG50" s="63">
        <v>6.2</v>
      </c>
      <c r="AH50" s="54">
        <f t="shared" si="2"/>
        <v>4.0999999999999996</v>
      </c>
      <c r="AI50" s="55">
        <f t="shared" si="3"/>
        <v>3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7">SUM(B39:B51)</f>
        <v>297.64</v>
      </c>
      <c r="C52" s="69">
        <f t="shared" ref="C52:AF52" si="8">SUM(C39:C51)</f>
        <v>330.54</v>
      </c>
      <c r="D52" s="69">
        <f t="shared" si="8"/>
        <v>291.84000000000003</v>
      </c>
      <c r="E52" s="69">
        <f t="shared" si="8"/>
        <v>321.94000000000005</v>
      </c>
      <c r="F52" s="69">
        <f t="shared" si="8"/>
        <v>325.54000000000008</v>
      </c>
      <c r="G52" s="69">
        <f t="shared" si="8"/>
        <v>180.54</v>
      </c>
      <c r="H52" s="69">
        <f t="shared" si="8"/>
        <v>276.54000000000002</v>
      </c>
      <c r="I52" s="69">
        <f t="shared" si="8"/>
        <v>325.94000000000005</v>
      </c>
      <c r="J52" s="69">
        <f t="shared" si="8"/>
        <v>324.44000000000005</v>
      </c>
      <c r="K52" s="69">
        <f t="shared" si="8"/>
        <v>324.84000000000003</v>
      </c>
      <c r="L52" s="69">
        <f t="shared" si="8"/>
        <v>311.14000000000004</v>
      </c>
      <c r="M52" s="69">
        <f t="shared" si="8"/>
        <v>309.24000000000007</v>
      </c>
      <c r="N52" s="69">
        <f t="shared" si="8"/>
        <v>342.74000000000007</v>
      </c>
      <c r="O52" s="69">
        <f t="shared" si="8"/>
        <v>360.24000000000012</v>
      </c>
      <c r="P52" s="69">
        <f t="shared" si="8"/>
        <v>375.34000000000009</v>
      </c>
      <c r="Q52" s="69">
        <f t="shared" si="8"/>
        <v>314.14000000000004</v>
      </c>
      <c r="R52" s="69">
        <f t="shared" si="8"/>
        <v>379.94</v>
      </c>
      <c r="S52" s="69">
        <f t="shared" si="8"/>
        <v>385.44</v>
      </c>
      <c r="T52" s="69">
        <f t="shared" si="8"/>
        <v>383.74</v>
      </c>
      <c r="U52" s="69">
        <f t="shared" si="8"/>
        <v>386.84000000000003</v>
      </c>
      <c r="V52" s="69">
        <f t="shared" si="8"/>
        <v>388.14</v>
      </c>
      <c r="W52" s="69">
        <f t="shared" si="8"/>
        <v>381.14</v>
      </c>
      <c r="X52" s="69">
        <f>SUM(X39:X51)</f>
        <v>356.74</v>
      </c>
      <c r="Y52" s="69">
        <f t="shared" si="8"/>
        <v>377.44</v>
      </c>
      <c r="Z52" s="69">
        <f t="shared" si="8"/>
        <v>391.34000000000003</v>
      </c>
      <c r="AA52" s="69">
        <f t="shared" si="8"/>
        <v>396.14</v>
      </c>
      <c r="AB52" s="69">
        <f t="shared" si="8"/>
        <v>396.73999999999995</v>
      </c>
      <c r="AC52" s="69">
        <f t="shared" si="8"/>
        <v>396.73999999999995</v>
      </c>
      <c r="AD52" s="69">
        <f t="shared" si="8"/>
        <v>391.73999999999995</v>
      </c>
      <c r="AE52" s="69">
        <f t="shared" si="8"/>
        <v>387.53999999999996</v>
      </c>
      <c r="AF52" s="69">
        <f t="shared" si="8"/>
        <v>381.84</v>
      </c>
      <c r="AG52" s="74">
        <f>SUM(AG39:AG51)</f>
        <v>489.91</v>
      </c>
      <c r="AH52" s="54">
        <f t="shared" si="2"/>
        <v>396.73999999999995</v>
      </c>
      <c r="AI52" s="55">
        <f t="shared" si="3"/>
        <v>180.54</v>
      </c>
      <c r="AK52" s="56"/>
    </row>
    <row r="53" spans="1:37" ht="15.75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169">
        <v>34</v>
      </c>
      <c r="AB53" s="51">
        <v>55.5</v>
      </c>
      <c r="AC53" s="51">
        <v>20</v>
      </c>
      <c r="AD53" s="51">
        <v>20</v>
      </c>
      <c r="AE53" s="51">
        <v>20</v>
      </c>
      <c r="AF53" s="51">
        <v>20</v>
      </c>
      <c r="AG53" s="59">
        <v>60</v>
      </c>
      <c r="AH53" s="54">
        <f t="shared" si="2"/>
        <v>55.5</v>
      </c>
      <c r="AI53" s="55">
        <f t="shared" si="3"/>
        <v>0</v>
      </c>
      <c r="AK53" s="56"/>
    </row>
    <row r="54" spans="1:37" ht="15.75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165">
        <v>17</v>
      </c>
      <c r="AB54" s="70">
        <v>16.7</v>
      </c>
      <c r="AC54" s="70">
        <v>12.3</v>
      </c>
      <c r="AD54" s="70">
        <v>9.6999999999999993</v>
      </c>
      <c r="AE54" s="70">
        <v>9.6999999999999993</v>
      </c>
      <c r="AF54" s="70">
        <v>9.6999999999999993</v>
      </c>
      <c r="AG54" s="63">
        <v>32</v>
      </c>
      <c r="AH54" s="54">
        <f t="shared" si="2"/>
        <v>17</v>
      </c>
      <c r="AI54" s="55">
        <f t="shared" si="3"/>
        <v>0</v>
      </c>
      <c r="AK54" s="56"/>
    </row>
    <row r="55" spans="1:37" ht="16.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170">
        <v>6.4</v>
      </c>
      <c r="AB55" s="75">
        <v>6.6</v>
      </c>
      <c r="AC55" s="75">
        <v>4.5</v>
      </c>
      <c r="AD55" s="75">
        <v>3.5</v>
      </c>
      <c r="AE55" s="75">
        <v>3.5</v>
      </c>
      <c r="AF55" s="75">
        <v>3.5</v>
      </c>
      <c r="AG55" s="76">
        <v>14</v>
      </c>
      <c r="AH55" s="54">
        <f t="shared" si="2"/>
        <v>6.6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9">SUM(B53:B55)</f>
        <v>0</v>
      </c>
      <c r="C56" s="69">
        <f t="shared" ref="C56:AF56" si="10">SUM(C53:C55)</f>
        <v>0</v>
      </c>
      <c r="D56" s="69">
        <f t="shared" si="10"/>
        <v>0</v>
      </c>
      <c r="E56" s="69">
        <f t="shared" si="10"/>
        <v>0</v>
      </c>
      <c r="F56" s="69">
        <f t="shared" si="10"/>
        <v>0</v>
      </c>
      <c r="G56" s="69">
        <f t="shared" si="10"/>
        <v>0</v>
      </c>
      <c r="H56" s="69">
        <f t="shared" si="10"/>
        <v>0</v>
      </c>
      <c r="I56" s="69">
        <f t="shared" si="10"/>
        <v>0</v>
      </c>
      <c r="J56" s="69">
        <f t="shared" si="10"/>
        <v>0</v>
      </c>
      <c r="K56" s="69">
        <f t="shared" si="10"/>
        <v>0</v>
      </c>
      <c r="L56" s="69">
        <f t="shared" si="10"/>
        <v>0</v>
      </c>
      <c r="M56" s="69">
        <f t="shared" si="10"/>
        <v>0</v>
      </c>
      <c r="N56" s="69">
        <f t="shared" si="10"/>
        <v>0</v>
      </c>
      <c r="O56" s="69">
        <f t="shared" si="10"/>
        <v>0</v>
      </c>
      <c r="P56" s="69">
        <f t="shared" si="10"/>
        <v>0</v>
      </c>
      <c r="Q56" s="69">
        <f t="shared" si="10"/>
        <v>0</v>
      </c>
      <c r="R56" s="69">
        <f t="shared" si="10"/>
        <v>0</v>
      </c>
      <c r="S56" s="69">
        <f t="shared" si="10"/>
        <v>0</v>
      </c>
      <c r="T56" s="69">
        <f t="shared" si="10"/>
        <v>0</v>
      </c>
      <c r="U56" s="69">
        <f t="shared" si="10"/>
        <v>0</v>
      </c>
      <c r="V56" s="69">
        <f t="shared" si="10"/>
        <v>0</v>
      </c>
      <c r="W56" s="69">
        <f t="shared" si="10"/>
        <v>0</v>
      </c>
      <c r="X56" s="69">
        <f t="shared" si="10"/>
        <v>0</v>
      </c>
      <c r="Y56" s="69">
        <f t="shared" si="10"/>
        <v>0</v>
      </c>
      <c r="Z56" s="69">
        <f t="shared" si="10"/>
        <v>0</v>
      </c>
      <c r="AA56" s="69">
        <f t="shared" si="10"/>
        <v>57.4</v>
      </c>
      <c r="AB56" s="69">
        <f t="shared" si="10"/>
        <v>78.8</v>
      </c>
      <c r="AC56" s="69">
        <f t="shared" si="10"/>
        <v>36.799999999999997</v>
      </c>
      <c r="AD56" s="69">
        <f t="shared" si="10"/>
        <v>33.200000000000003</v>
      </c>
      <c r="AE56" s="69">
        <f t="shared" si="10"/>
        <v>33.200000000000003</v>
      </c>
      <c r="AF56" s="69">
        <f t="shared" si="10"/>
        <v>33.200000000000003</v>
      </c>
      <c r="AG56" s="74">
        <f>SUM(AG53:AG55)</f>
        <v>106</v>
      </c>
      <c r="AH56" s="54">
        <f t="shared" si="2"/>
        <v>78.8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40.299999999999997</v>
      </c>
      <c r="C57" s="51">
        <v>48.1</v>
      </c>
      <c r="D57" s="51">
        <v>48.6</v>
      </c>
      <c r="E57" s="51">
        <v>47.5</v>
      </c>
      <c r="F57" s="51">
        <v>44.6</v>
      </c>
      <c r="G57" s="51">
        <v>44.6</v>
      </c>
      <c r="H57" s="51">
        <v>44.6</v>
      </c>
      <c r="I57" s="51">
        <v>28</v>
      </c>
      <c r="J57" s="51">
        <v>44.6</v>
      </c>
      <c r="K57" s="51">
        <v>35.299999999999997</v>
      </c>
      <c r="L57" s="51">
        <v>26</v>
      </c>
      <c r="M57" s="51">
        <v>30.12</v>
      </c>
      <c r="N57" s="51">
        <v>38.299999999999997</v>
      </c>
      <c r="O57" s="51">
        <v>35.4</v>
      </c>
      <c r="P57" s="51">
        <v>35.799999999999997</v>
      </c>
      <c r="Q57" s="51">
        <v>58.2</v>
      </c>
      <c r="R57" s="51">
        <v>54</v>
      </c>
      <c r="S57" s="51">
        <v>59</v>
      </c>
      <c r="T57" s="51">
        <v>61</v>
      </c>
      <c r="U57" s="51">
        <v>65</v>
      </c>
      <c r="V57" s="51">
        <v>45</v>
      </c>
      <c r="W57" s="51">
        <v>45</v>
      </c>
      <c r="X57" s="51">
        <v>47</v>
      </c>
      <c r="Y57" s="51">
        <v>50</v>
      </c>
      <c r="Z57" s="51">
        <v>54</v>
      </c>
      <c r="AA57" s="51">
        <v>59</v>
      </c>
      <c r="AB57" s="51">
        <v>70.3</v>
      </c>
      <c r="AC57" s="51">
        <v>66</v>
      </c>
      <c r="AD57" s="51">
        <v>71</v>
      </c>
      <c r="AE57" s="51">
        <v>76.650000000000006</v>
      </c>
      <c r="AF57" s="51">
        <v>67</v>
      </c>
      <c r="AG57" s="59"/>
      <c r="AH57" s="54">
        <f t="shared" si="2"/>
        <v>76.650000000000006</v>
      </c>
      <c r="AI57" s="55">
        <f t="shared" si="3"/>
        <v>26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0</v>
      </c>
      <c r="C59" s="70">
        <v>-5</v>
      </c>
      <c r="D59" s="70">
        <v>0</v>
      </c>
      <c r="E59" s="70">
        <v>-15.3</v>
      </c>
      <c r="F59" s="70">
        <v>-17</v>
      </c>
      <c r="G59" s="70">
        <v>-17</v>
      </c>
      <c r="H59" s="70">
        <v>-17</v>
      </c>
      <c r="I59" s="70">
        <v>-14.3</v>
      </c>
      <c r="J59" s="70">
        <v>-17</v>
      </c>
      <c r="K59" s="70">
        <v>13.8</v>
      </c>
      <c r="L59" s="70">
        <v>31</v>
      </c>
      <c r="M59" s="70">
        <v>15</v>
      </c>
      <c r="N59" s="70">
        <v>28</v>
      </c>
      <c r="O59" s="70">
        <v>12</v>
      </c>
      <c r="P59" s="70">
        <v>-41.2</v>
      </c>
      <c r="Q59" s="70">
        <v>-16.7</v>
      </c>
      <c r="R59" s="70">
        <v>15</v>
      </c>
      <c r="S59" s="70">
        <v>13</v>
      </c>
      <c r="T59" s="70">
        <v>4</v>
      </c>
      <c r="U59" s="70">
        <v>26</v>
      </c>
      <c r="V59" s="70">
        <v>35</v>
      </c>
      <c r="W59" s="70">
        <v>40</v>
      </c>
      <c r="X59" s="70">
        <v>50</v>
      </c>
      <c r="Y59" s="70">
        <v>74</v>
      </c>
      <c r="Z59" s="70">
        <v>65</v>
      </c>
      <c r="AA59" s="70">
        <v>67</v>
      </c>
      <c r="AB59" s="70">
        <v>30.9</v>
      </c>
      <c r="AC59" s="70">
        <v>0</v>
      </c>
      <c r="AD59" s="70">
        <v>9.8000000000000007</v>
      </c>
      <c r="AE59" s="70">
        <v>34.200000000000003</v>
      </c>
      <c r="AF59" s="70">
        <v>45.4</v>
      </c>
      <c r="AG59" s="77"/>
      <c r="AH59" s="54">
        <f t="shared" si="2"/>
        <v>74</v>
      </c>
      <c r="AI59" s="55">
        <f t="shared" si="3"/>
        <v>-41.2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13</v>
      </c>
      <c r="AB60" s="78">
        <v>23.4</v>
      </c>
      <c r="AC60" s="78">
        <v>23.4</v>
      </c>
      <c r="AD60" s="78">
        <v>23.4</v>
      </c>
      <c r="AE60" s="78">
        <v>23.4</v>
      </c>
      <c r="AF60" s="78">
        <v>0</v>
      </c>
      <c r="AG60" s="77"/>
      <c r="AH60" s="54">
        <f t="shared" si="2"/>
        <v>23.4</v>
      </c>
      <c r="AI60" s="55">
        <f t="shared" si="3"/>
        <v>0</v>
      </c>
      <c r="AK60" s="56"/>
    </row>
    <row r="61" spans="1:37" x14ac:dyDescent="0.25">
      <c r="A61" s="62" t="s">
        <v>69</v>
      </c>
      <c r="B61" s="78">
        <v>0</v>
      </c>
      <c r="C61" s="78">
        <v>0</v>
      </c>
      <c r="D61" s="78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8">
        <v>0</v>
      </c>
      <c r="C62" s="78">
        <v>0</v>
      </c>
      <c r="D62" s="78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7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2" t="s">
        <v>71</v>
      </c>
      <c r="B63" s="78">
        <v>0</v>
      </c>
      <c r="C63" s="78">
        <v>0</v>
      </c>
      <c r="D63" s="78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78">
        <v>0</v>
      </c>
      <c r="C66" s="78">
        <v>0</v>
      </c>
      <c r="D66" s="78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78">
        <v>0</v>
      </c>
      <c r="C67" s="78">
        <v>0</v>
      </c>
      <c r="D67" s="78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1">SUM(B57:B67)</f>
        <v>40.299999999999997</v>
      </c>
      <c r="C68" s="69">
        <f t="shared" ref="C68:AF68" si="12">SUM(C57:C67)</f>
        <v>43.1</v>
      </c>
      <c r="D68" s="69">
        <f t="shared" si="12"/>
        <v>48.6</v>
      </c>
      <c r="E68" s="69">
        <f t="shared" si="12"/>
        <v>32.200000000000003</v>
      </c>
      <c r="F68" s="69">
        <f t="shared" si="12"/>
        <v>27.6</v>
      </c>
      <c r="G68" s="69">
        <f t="shared" si="12"/>
        <v>27.6</v>
      </c>
      <c r="H68" s="69">
        <f t="shared" si="12"/>
        <v>27.6</v>
      </c>
      <c r="I68" s="69">
        <f t="shared" si="12"/>
        <v>13.7</v>
      </c>
      <c r="J68" s="69">
        <f t="shared" si="12"/>
        <v>27.6</v>
      </c>
      <c r="K68" s="69">
        <f t="shared" si="12"/>
        <v>49.099999999999994</v>
      </c>
      <c r="L68" s="69">
        <f t="shared" si="12"/>
        <v>57</v>
      </c>
      <c r="M68" s="69">
        <f t="shared" si="12"/>
        <v>45.120000000000005</v>
      </c>
      <c r="N68" s="69">
        <f t="shared" si="12"/>
        <v>66.3</v>
      </c>
      <c r="O68" s="69">
        <f t="shared" si="12"/>
        <v>47.4</v>
      </c>
      <c r="P68" s="69">
        <f t="shared" si="12"/>
        <v>-5.4000000000000057</v>
      </c>
      <c r="Q68" s="69">
        <f t="shared" si="12"/>
        <v>41.5</v>
      </c>
      <c r="R68" s="69">
        <f t="shared" si="12"/>
        <v>69</v>
      </c>
      <c r="S68" s="69">
        <f t="shared" si="12"/>
        <v>72</v>
      </c>
      <c r="T68" s="69">
        <f t="shared" si="12"/>
        <v>65</v>
      </c>
      <c r="U68" s="69">
        <f t="shared" si="12"/>
        <v>91</v>
      </c>
      <c r="V68" s="69">
        <f>SUM(V57:V67)</f>
        <v>80</v>
      </c>
      <c r="W68" s="69">
        <f t="shared" si="12"/>
        <v>85</v>
      </c>
      <c r="X68" s="69">
        <f t="shared" si="12"/>
        <v>97</v>
      </c>
      <c r="Y68" s="69">
        <f t="shared" si="12"/>
        <v>124</v>
      </c>
      <c r="Z68" s="69">
        <f t="shared" si="12"/>
        <v>119</v>
      </c>
      <c r="AA68" s="69">
        <f t="shared" si="12"/>
        <v>139</v>
      </c>
      <c r="AB68" s="69">
        <f t="shared" si="12"/>
        <v>124.6</v>
      </c>
      <c r="AC68" s="69">
        <f t="shared" si="12"/>
        <v>89.4</v>
      </c>
      <c r="AD68" s="69">
        <f t="shared" si="12"/>
        <v>104.19999999999999</v>
      </c>
      <c r="AE68" s="69">
        <f t="shared" si="12"/>
        <v>134.25</v>
      </c>
      <c r="AF68" s="69">
        <f t="shared" si="12"/>
        <v>112.4</v>
      </c>
      <c r="AG68" s="74">
        <f>SUM(AG57:AG67)</f>
        <v>0</v>
      </c>
      <c r="AH68" s="54">
        <f t="shared" si="2"/>
        <v>139</v>
      </c>
      <c r="AI68" s="55">
        <f t="shared" si="3"/>
        <v>-5.4000000000000057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3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>
        <v>30</v>
      </c>
      <c r="L74" s="86">
        <v>60</v>
      </c>
      <c r="M74" s="86">
        <v>60</v>
      </c>
      <c r="N74" s="86">
        <v>40</v>
      </c>
      <c r="O74" s="86">
        <v>30</v>
      </c>
      <c r="P74" s="86">
        <v>30</v>
      </c>
      <c r="Q74" s="86">
        <v>30</v>
      </c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60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4">B72+B68+B56+B52+B38+B74</f>
        <v>1004.74</v>
      </c>
      <c r="C75" s="84">
        <f t="shared" ref="C75:AF75" si="15">C72+C68+C56+C52+C38+C74</f>
        <v>1053.24</v>
      </c>
      <c r="D75" s="84">
        <f t="shared" si="15"/>
        <v>1042.44</v>
      </c>
      <c r="E75" s="84">
        <f t="shared" si="15"/>
        <v>997.94</v>
      </c>
      <c r="F75" s="84">
        <f t="shared" si="15"/>
        <v>980.54000000000008</v>
      </c>
      <c r="G75" s="84">
        <f t="shared" si="15"/>
        <v>925.54000000000008</v>
      </c>
      <c r="H75" s="84">
        <f t="shared" si="15"/>
        <v>963.54</v>
      </c>
      <c r="I75" s="84">
        <f t="shared" si="15"/>
        <v>981.1400000000001</v>
      </c>
      <c r="J75" s="84">
        <f t="shared" si="15"/>
        <v>1025.54</v>
      </c>
      <c r="K75" s="84">
        <f t="shared" si="15"/>
        <v>1107.44</v>
      </c>
      <c r="L75" s="84">
        <f t="shared" si="15"/>
        <v>1141.6400000000001</v>
      </c>
      <c r="M75" s="84">
        <f t="shared" si="15"/>
        <v>1142.0600000000002</v>
      </c>
      <c r="N75" s="84">
        <f t="shared" si="15"/>
        <v>1187.6400000000001</v>
      </c>
      <c r="O75" s="84">
        <f t="shared" si="15"/>
        <v>1214.94</v>
      </c>
      <c r="P75" s="84">
        <f t="shared" si="15"/>
        <v>1187.54</v>
      </c>
      <c r="Q75" s="84">
        <f t="shared" si="15"/>
        <v>1173.6400000000001</v>
      </c>
      <c r="R75" s="84">
        <f t="shared" si="15"/>
        <v>1211.94</v>
      </c>
      <c r="S75" s="84">
        <f t="shared" si="15"/>
        <v>1234.24</v>
      </c>
      <c r="T75" s="84">
        <f t="shared" si="15"/>
        <v>1248.6399999999999</v>
      </c>
      <c r="U75" s="84">
        <f t="shared" si="15"/>
        <v>1269.3400000000001</v>
      </c>
      <c r="V75" s="84">
        <f t="shared" si="15"/>
        <v>1229.6399999999999</v>
      </c>
      <c r="W75" s="84">
        <f t="shared" si="15"/>
        <v>1227.6399999999999</v>
      </c>
      <c r="X75" s="84">
        <f t="shared" si="15"/>
        <v>1175.24</v>
      </c>
      <c r="Y75" s="84">
        <f t="shared" si="15"/>
        <v>1262.94</v>
      </c>
      <c r="Z75" s="84">
        <f t="shared" si="15"/>
        <v>1331.8400000000001</v>
      </c>
      <c r="AA75" s="84">
        <f t="shared" si="15"/>
        <v>1455.7399999999998</v>
      </c>
      <c r="AB75" s="84">
        <f t="shared" si="15"/>
        <v>1492.2399999999998</v>
      </c>
      <c r="AC75" s="84">
        <f t="shared" si="15"/>
        <v>1405.04</v>
      </c>
      <c r="AD75" s="84">
        <f t="shared" si="15"/>
        <v>1411.2399999999998</v>
      </c>
      <c r="AE75" s="84">
        <f t="shared" si="15"/>
        <v>1357.0900000000001</v>
      </c>
      <c r="AF75" s="84">
        <f t="shared" si="15"/>
        <v>1311.54</v>
      </c>
      <c r="AG75" s="74">
        <f>AG72+AG68+AG56+AG52+AG38+AG74</f>
        <v>2144.14</v>
      </c>
      <c r="AH75" s="54">
        <f t="shared" si="2"/>
        <v>1492.2399999999998</v>
      </c>
      <c r="AI75" s="55">
        <f t="shared" si="3"/>
        <v>925.54000000000008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6">MAX(B76:AF76)</f>
        <v>0</v>
      </c>
      <c r="AI76" s="55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6"/>
        <v>0</v>
      </c>
      <c r="AI77" s="55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6"/>
        <v>0</v>
      </c>
      <c r="AI78" s="55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6"/>
        <v>0</v>
      </c>
      <c r="AI79" s="55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6"/>
        <v>0</v>
      </c>
      <c r="AI80" s="55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6"/>
        <v>0</v>
      </c>
      <c r="AI81" s="55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8">SUM(AG76:AG81)</f>
        <v>0</v>
      </c>
      <c r="AH82" s="54">
        <f t="shared" si="16"/>
        <v>0</v>
      </c>
      <c r="AI82" s="55">
        <f t="shared" si="17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19">SUM(B70:B82)</f>
        <v>2206.63</v>
      </c>
      <c r="C83" s="69">
        <f t="shared" ref="C83:AG83" si="20">SUM(C70:C82)</f>
        <v>2255.13</v>
      </c>
      <c r="D83" s="69">
        <f t="shared" si="20"/>
        <v>2244.33</v>
      </c>
      <c r="E83" s="69">
        <f t="shared" si="20"/>
        <v>2199.83</v>
      </c>
      <c r="F83" s="69">
        <f t="shared" si="20"/>
        <v>2182.4299999999998</v>
      </c>
      <c r="G83" s="69">
        <f t="shared" si="20"/>
        <v>2127.4299999999998</v>
      </c>
      <c r="H83" s="69">
        <f t="shared" si="20"/>
        <v>2165.4299999999998</v>
      </c>
      <c r="I83" s="69">
        <f t="shared" si="20"/>
        <v>2183.0299999999997</v>
      </c>
      <c r="J83" s="69">
        <f t="shared" si="20"/>
        <v>2227.4299999999998</v>
      </c>
      <c r="K83" s="69">
        <f t="shared" si="20"/>
        <v>2339.33</v>
      </c>
      <c r="L83" s="69">
        <f t="shared" si="20"/>
        <v>2403.5299999999997</v>
      </c>
      <c r="M83" s="69">
        <f t="shared" si="20"/>
        <v>2403.9499999999998</v>
      </c>
      <c r="N83" s="69">
        <f t="shared" si="20"/>
        <v>2429.5299999999997</v>
      </c>
      <c r="O83" s="69">
        <f t="shared" si="20"/>
        <v>2446.83</v>
      </c>
      <c r="P83" s="69">
        <f t="shared" si="20"/>
        <v>2419.4299999999998</v>
      </c>
      <c r="Q83" s="69">
        <f t="shared" si="20"/>
        <v>2405.5299999999997</v>
      </c>
      <c r="R83" s="69">
        <f t="shared" si="20"/>
        <v>2413.83</v>
      </c>
      <c r="S83" s="69">
        <f t="shared" si="20"/>
        <v>2436.13</v>
      </c>
      <c r="T83" s="69">
        <f t="shared" si="20"/>
        <v>2450.5299999999997</v>
      </c>
      <c r="U83" s="69">
        <f t="shared" si="20"/>
        <v>2471.23</v>
      </c>
      <c r="V83" s="69">
        <f t="shared" si="20"/>
        <v>2431.5299999999997</v>
      </c>
      <c r="W83" s="69">
        <f t="shared" si="20"/>
        <v>2429.5299999999997</v>
      </c>
      <c r="X83" s="69">
        <f t="shared" si="20"/>
        <v>2377.13</v>
      </c>
      <c r="Y83" s="69">
        <f t="shared" si="20"/>
        <v>2464.83</v>
      </c>
      <c r="Z83" s="69">
        <f t="shared" si="20"/>
        <v>2533.73</v>
      </c>
      <c r="AA83" s="69">
        <f t="shared" si="20"/>
        <v>2657.6299999999997</v>
      </c>
      <c r="AB83" s="69">
        <f t="shared" si="20"/>
        <v>2694.1299999999997</v>
      </c>
      <c r="AC83" s="69">
        <f t="shared" si="20"/>
        <v>2606.9299999999998</v>
      </c>
      <c r="AD83" s="69">
        <f t="shared" si="20"/>
        <v>2613.1299999999997</v>
      </c>
      <c r="AE83" s="69">
        <f t="shared" si="20"/>
        <v>2558.98</v>
      </c>
      <c r="AF83" s="69">
        <f t="shared" si="20"/>
        <v>2513.4299999999998</v>
      </c>
      <c r="AG83" s="74">
        <f t="shared" si="20"/>
        <v>4360.08</v>
      </c>
      <c r="AH83" s="54">
        <f t="shared" si="16"/>
        <v>2694.1299999999997</v>
      </c>
      <c r="AI83" s="55">
        <f t="shared" si="17"/>
        <v>2127.4299999999998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</v>
      </c>
      <c r="C84" s="90">
        <v>50.05</v>
      </c>
      <c r="D84" s="90">
        <v>50.03</v>
      </c>
      <c r="E84" s="90">
        <v>50.042999999999999</v>
      </c>
      <c r="F84" s="90">
        <v>50.01</v>
      </c>
      <c r="G84" s="90">
        <v>50.01</v>
      </c>
      <c r="H84" s="90">
        <v>50.01</v>
      </c>
      <c r="I84" s="90">
        <v>50.006999999999998</v>
      </c>
      <c r="J84" s="90">
        <v>50.09</v>
      </c>
      <c r="K84" s="90">
        <v>50.097999999999999</v>
      </c>
      <c r="L84" s="90">
        <v>50.067999999999998</v>
      </c>
      <c r="M84" s="90">
        <v>50.072000000000003</v>
      </c>
      <c r="N84" s="90">
        <v>50.093000000000004</v>
      </c>
      <c r="O84" s="90">
        <v>50.003999999999998</v>
      </c>
      <c r="P84" s="90">
        <v>50.072000000000003</v>
      </c>
      <c r="Q84" s="90">
        <v>50.015000000000001</v>
      </c>
      <c r="R84" s="90">
        <v>50.018000000000001</v>
      </c>
      <c r="S84" s="90">
        <v>50.02</v>
      </c>
      <c r="T84" s="90">
        <v>49.896999999999998</v>
      </c>
      <c r="U84" s="90">
        <v>49.988999999999997</v>
      </c>
      <c r="V84" s="90">
        <v>50.067</v>
      </c>
      <c r="W84" s="90">
        <v>50.067</v>
      </c>
      <c r="X84" s="90">
        <v>50.095999999999997</v>
      </c>
      <c r="Y84" s="90">
        <v>50.103000000000002</v>
      </c>
      <c r="Z84" s="90">
        <v>50.023000000000003</v>
      </c>
      <c r="AA84" s="90"/>
      <c r="AB84" s="90">
        <v>50.046999999999997</v>
      </c>
      <c r="AC84" s="90">
        <v>50.021999999999998</v>
      </c>
      <c r="AD84" s="90">
        <v>49.978000000000002</v>
      </c>
      <c r="AE84" s="90">
        <v>50.027000000000001</v>
      </c>
      <c r="AF84" s="90">
        <v>49.962000000000003</v>
      </c>
      <c r="AG84" s="91"/>
      <c r="AH84" s="54">
        <f t="shared" si="16"/>
        <v>50.103000000000002</v>
      </c>
      <c r="AI84" s="55">
        <f t="shared" si="17"/>
        <v>49.896999999999998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125.2</v>
      </c>
      <c r="C85" s="70">
        <v>124.8</v>
      </c>
      <c r="D85" s="70">
        <v>124</v>
      </c>
      <c r="E85" s="70">
        <v>123.9</v>
      </c>
      <c r="F85" s="70">
        <v>125</v>
      </c>
      <c r="G85" s="70">
        <v>125</v>
      </c>
      <c r="H85" s="70">
        <v>125</v>
      </c>
      <c r="I85" s="70">
        <v>124.2</v>
      </c>
      <c r="J85" s="70">
        <v>124.9</v>
      </c>
      <c r="K85" s="70">
        <v>124.2</v>
      </c>
      <c r="L85" s="70">
        <v>124.4</v>
      </c>
      <c r="M85" s="70">
        <v>125</v>
      </c>
      <c r="N85" s="70">
        <v>124</v>
      </c>
      <c r="O85" s="70">
        <v>123.2</v>
      </c>
      <c r="P85" s="70">
        <v>124.1</v>
      </c>
      <c r="Q85" s="70">
        <v>121.3</v>
      </c>
      <c r="R85" s="70">
        <v>121.5</v>
      </c>
      <c r="S85" s="70">
        <v>122</v>
      </c>
      <c r="T85" s="70">
        <v>123</v>
      </c>
      <c r="U85" s="70">
        <v>122</v>
      </c>
      <c r="V85" s="70">
        <v>125</v>
      </c>
      <c r="W85" s="70">
        <v>125</v>
      </c>
      <c r="X85" s="70">
        <v>125</v>
      </c>
      <c r="Y85" s="70">
        <v>124</v>
      </c>
      <c r="Z85" s="70">
        <v>123</v>
      </c>
      <c r="AA85" s="70"/>
      <c r="AB85" s="70">
        <v>126.4</v>
      </c>
      <c r="AC85" s="70">
        <v>124.6</v>
      </c>
      <c r="AD85" s="70">
        <v>124.2</v>
      </c>
      <c r="AE85" s="70">
        <v>125.1</v>
      </c>
      <c r="AF85" s="70">
        <v>124.6</v>
      </c>
      <c r="AG85" s="93"/>
      <c r="AH85" s="54">
        <f t="shared" si="16"/>
        <v>126.4</v>
      </c>
      <c r="AI85" s="55">
        <f t="shared" si="17"/>
        <v>121.3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129.19999999999999</v>
      </c>
      <c r="C86" s="70">
        <v>129.4</v>
      </c>
      <c r="D86" s="70">
        <v>128.69999999999999</v>
      </c>
      <c r="E86" s="70">
        <v>128.30000000000001</v>
      </c>
      <c r="F86" s="70">
        <v>129.5</v>
      </c>
      <c r="G86" s="70">
        <v>129.5</v>
      </c>
      <c r="H86" s="70">
        <v>129.5</v>
      </c>
      <c r="I86" s="70">
        <v>128.5</v>
      </c>
      <c r="J86" s="70">
        <v>129.19999999999999</v>
      </c>
      <c r="K86" s="70">
        <v>128.19999999999999</v>
      </c>
      <c r="L86" s="70">
        <v>128.4</v>
      </c>
      <c r="M86" s="70">
        <v>1289</v>
      </c>
      <c r="N86" s="70">
        <v>128.1</v>
      </c>
      <c r="O86" s="70">
        <v>63.5</v>
      </c>
      <c r="P86" s="70">
        <v>64</v>
      </c>
      <c r="Q86" s="70">
        <v>63</v>
      </c>
      <c r="R86" s="70">
        <v>126.3</v>
      </c>
      <c r="S86" s="70">
        <v>127</v>
      </c>
      <c r="T86" s="70">
        <v>126</v>
      </c>
      <c r="U86" s="70">
        <v>126</v>
      </c>
      <c r="V86" s="70">
        <v>129</v>
      </c>
      <c r="W86" s="70">
        <v>129</v>
      </c>
      <c r="X86" s="70">
        <v>129</v>
      </c>
      <c r="Y86" s="70">
        <v>128</v>
      </c>
      <c r="Z86" s="70">
        <v>127</v>
      </c>
      <c r="AA86" s="70"/>
      <c r="AB86" s="70">
        <v>130.19999999999999</v>
      </c>
      <c r="AC86" s="70">
        <v>128.30000000000001</v>
      </c>
      <c r="AD86" s="70">
        <v>128.19999999999999</v>
      </c>
      <c r="AE86" s="70">
        <v>129.6</v>
      </c>
      <c r="AF86" s="70">
        <v>129.4</v>
      </c>
      <c r="AG86" s="93"/>
      <c r="AH86" s="54">
        <f t="shared" si="16"/>
        <v>1289</v>
      </c>
      <c r="AI86" s="55">
        <f t="shared" si="17"/>
        <v>63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93"/>
      <c r="AH87" s="54">
        <f t="shared" si="16"/>
        <v>0</v>
      </c>
      <c r="AI87" s="55">
        <f t="shared" si="17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93"/>
      <c r="AH88" s="54">
        <f t="shared" si="16"/>
        <v>0</v>
      </c>
      <c r="AI88" s="55">
        <f t="shared" si="17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131.69999999999999</v>
      </c>
      <c r="C89" s="95">
        <v>129.9</v>
      </c>
      <c r="D89" s="95">
        <v>129.19999999999999</v>
      </c>
      <c r="E89" s="95">
        <v>133.80000000000001</v>
      </c>
      <c r="F89" s="95">
        <v>130.9</v>
      </c>
      <c r="G89" s="95">
        <v>130.9</v>
      </c>
      <c r="H89" s="95">
        <v>130.9</v>
      </c>
      <c r="I89" s="95">
        <v>131.6</v>
      </c>
      <c r="J89" s="95">
        <v>134.6</v>
      </c>
      <c r="K89" s="95">
        <v>136.19999999999999</v>
      </c>
      <c r="L89" s="95">
        <v>135.6</v>
      </c>
      <c r="M89" s="95">
        <v>130.80000000000001</v>
      </c>
      <c r="N89" s="95">
        <v>131.80000000000001</v>
      </c>
      <c r="O89" s="95">
        <v>134.5</v>
      </c>
      <c r="P89" s="95">
        <v>130.30000000000001</v>
      </c>
      <c r="Q89" s="95">
        <v>132.9</v>
      </c>
      <c r="R89" s="95">
        <v>133.6</v>
      </c>
      <c r="S89" s="95">
        <v>134</v>
      </c>
      <c r="T89" s="95">
        <v>132.6</v>
      </c>
      <c r="U89" s="95">
        <v>128</v>
      </c>
      <c r="V89" s="95">
        <v>130</v>
      </c>
      <c r="W89" s="95">
        <v>132</v>
      </c>
      <c r="X89" s="95">
        <v>133</v>
      </c>
      <c r="Y89" s="95">
        <v>133</v>
      </c>
      <c r="Z89" s="95">
        <v>131</v>
      </c>
      <c r="AA89" s="95"/>
      <c r="AB89" s="95">
        <v>134.1</v>
      </c>
      <c r="AC89" s="95">
        <v>129.30000000000001</v>
      </c>
      <c r="AD89" s="95">
        <v>130.9</v>
      </c>
      <c r="AE89" s="95">
        <v>133.30000000000001</v>
      </c>
      <c r="AF89" s="95">
        <v>130.19999999999999</v>
      </c>
      <c r="AG89" s="96"/>
      <c r="AH89" s="54">
        <f t="shared" si="16"/>
        <v>136.19999999999999</v>
      </c>
      <c r="AI89" s="55">
        <f t="shared" si="17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128.69999999999999</v>
      </c>
      <c r="C90" s="70">
        <v>125.3</v>
      </c>
      <c r="D90" s="70">
        <v>124.2</v>
      </c>
      <c r="E90" s="70">
        <v>132.80000000000001</v>
      </c>
      <c r="F90" s="70">
        <v>126.5</v>
      </c>
      <c r="G90" s="70">
        <v>126.5</v>
      </c>
      <c r="H90" s="70">
        <v>126.5</v>
      </c>
      <c r="I90" s="70">
        <v>125</v>
      </c>
      <c r="J90" s="70">
        <v>132.19999999999999</v>
      </c>
      <c r="K90" s="70">
        <v>133.30000000000001</v>
      </c>
      <c r="L90" s="70">
        <v>127.7</v>
      </c>
      <c r="M90" s="70">
        <v>123.2</v>
      </c>
      <c r="N90" s="70">
        <v>130.4</v>
      </c>
      <c r="O90" s="70">
        <v>131.80000000000001</v>
      </c>
      <c r="P90" s="70">
        <v>123.2</v>
      </c>
      <c r="Q90" s="70">
        <v>125.9</v>
      </c>
      <c r="R90" s="70">
        <v>127.4</v>
      </c>
      <c r="S90" s="70">
        <v>130</v>
      </c>
      <c r="T90" s="70">
        <v>128.5</v>
      </c>
      <c r="U90" s="70">
        <v>123</v>
      </c>
      <c r="V90" s="70">
        <v>130</v>
      </c>
      <c r="W90" s="70">
        <v>130</v>
      </c>
      <c r="X90" s="70">
        <v>127</v>
      </c>
      <c r="Y90" s="70">
        <v>130</v>
      </c>
      <c r="Z90" s="70">
        <v>129</v>
      </c>
      <c r="AA90" s="70"/>
      <c r="AB90" s="70">
        <v>131.5</v>
      </c>
      <c r="AC90" s="70">
        <v>123.1</v>
      </c>
      <c r="AD90" s="70">
        <v>128.6</v>
      </c>
      <c r="AE90" s="70">
        <v>133</v>
      </c>
      <c r="AF90" s="70">
        <v>126</v>
      </c>
      <c r="AG90" s="93"/>
      <c r="AH90" s="54">
        <f t="shared" si="16"/>
        <v>133.30000000000001</v>
      </c>
      <c r="AI90" s="55">
        <f t="shared" si="17"/>
        <v>123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64.8</v>
      </c>
      <c r="C91" s="97">
        <v>64.8</v>
      </c>
      <c r="D91" s="97">
        <v>64.3</v>
      </c>
      <c r="E91" s="97">
        <v>64.3</v>
      </c>
      <c r="F91" s="97">
        <v>65.2</v>
      </c>
      <c r="G91" s="97">
        <v>65.2</v>
      </c>
      <c r="H91" s="97">
        <v>65.2</v>
      </c>
      <c r="I91" s="97">
        <v>64.8</v>
      </c>
      <c r="J91" s="97">
        <v>64.900000000000006</v>
      </c>
      <c r="K91" s="97">
        <v>64.400000000000006</v>
      </c>
      <c r="L91" s="97">
        <v>64.3</v>
      </c>
      <c r="M91" s="97">
        <v>64.400000000000006</v>
      </c>
      <c r="N91" s="97">
        <v>64.099999999999994</v>
      </c>
      <c r="O91" s="97">
        <v>63.5</v>
      </c>
      <c r="P91" s="97">
        <v>64.3</v>
      </c>
      <c r="Q91" s="97">
        <v>63</v>
      </c>
      <c r="R91" s="97">
        <v>63</v>
      </c>
      <c r="S91" s="97">
        <v>63</v>
      </c>
      <c r="T91" s="97">
        <v>63.3</v>
      </c>
      <c r="U91" s="97">
        <v>63</v>
      </c>
      <c r="V91" s="97">
        <v>64.599999999999994</v>
      </c>
      <c r="W91" s="97">
        <v>65</v>
      </c>
      <c r="X91" s="97">
        <v>64.8</v>
      </c>
      <c r="Y91" s="97">
        <v>64.3</v>
      </c>
      <c r="Z91" s="97">
        <v>63.6</v>
      </c>
      <c r="AA91" s="97"/>
      <c r="AB91" s="97">
        <v>65.400000000000006</v>
      </c>
      <c r="AC91" s="97">
        <v>64.599999999999994</v>
      </c>
      <c r="AD91" s="97">
        <v>64.8</v>
      </c>
      <c r="AE91" s="97">
        <v>65.5</v>
      </c>
      <c r="AF91" s="97">
        <v>65.5</v>
      </c>
      <c r="AG91" s="98"/>
      <c r="AH91" s="54">
        <f t="shared" si="16"/>
        <v>65.5</v>
      </c>
      <c r="AI91" s="55">
        <f t="shared" si="17"/>
        <v>63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21">SUM(B15,B18,B21:B22,B42,B44:B45,B47,B49,B94:B97,B103,B109,B115,B124,B126,B138,B145,B148:B149,B156,B158,B160,B164:B166,B168:B170,B175,B181:B182,B184:B186,B194,B199)</f>
        <v>159.43999999999997</v>
      </c>
      <c r="C93" s="103">
        <f t="shared" ref="C93:AF93" si="22">SUM(C15,C18,C21:C22,C42,C44:C45,C47,C49,C94:C97,C103,C109,C115,C124,C126,C138,C145,C148:C149,C156,C158,C160,C164:C166,C168:C170,C175,C181:C182,C184:C186,C194,C199)</f>
        <v>143.83999999999997</v>
      </c>
      <c r="D93" s="103">
        <f t="shared" si="22"/>
        <v>139.23999999999998</v>
      </c>
      <c r="E93" s="103">
        <f t="shared" si="22"/>
        <v>138.63999999999999</v>
      </c>
      <c r="F93" s="103">
        <f t="shared" si="22"/>
        <v>144.23999999999998</v>
      </c>
      <c r="G93" s="103">
        <f t="shared" si="22"/>
        <v>173.23999999999995</v>
      </c>
      <c r="H93" s="103">
        <f t="shared" si="22"/>
        <v>178.23999999999995</v>
      </c>
      <c r="I93" s="103">
        <f t="shared" si="22"/>
        <v>199.54</v>
      </c>
      <c r="J93" s="103">
        <f t="shared" si="22"/>
        <v>222.93999999999997</v>
      </c>
      <c r="K93" s="103">
        <f t="shared" si="22"/>
        <v>245.23999999999998</v>
      </c>
      <c r="L93" s="103">
        <f t="shared" si="22"/>
        <v>275.24</v>
      </c>
      <c r="M93" s="103">
        <f t="shared" si="22"/>
        <v>283.74</v>
      </c>
      <c r="N93" s="103">
        <f t="shared" si="22"/>
        <v>292.84000000000003</v>
      </c>
      <c r="O93" s="103">
        <f t="shared" si="22"/>
        <v>283.84000000000003</v>
      </c>
      <c r="P93" s="103">
        <f t="shared" si="22"/>
        <v>269.53999999999996</v>
      </c>
      <c r="Q93" s="103">
        <f t="shared" si="22"/>
        <v>252.24</v>
      </c>
      <c r="R93" s="103">
        <f t="shared" si="22"/>
        <v>247.43999999999997</v>
      </c>
      <c r="S93" s="103">
        <f t="shared" si="22"/>
        <v>250.43999999999997</v>
      </c>
      <c r="T93" s="103">
        <f t="shared" si="22"/>
        <v>249.23999999999998</v>
      </c>
      <c r="U93" s="103">
        <f t="shared" si="22"/>
        <v>254.23999999999998</v>
      </c>
      <c r="V93" s="103">
        <f t="shared" si="22"/>
        <v>260.74000000000007</v>
      </c>
      <c r="W93" s="103">
        <f>SUM(W15,W18,W21:W22,W42,W44:W45,W47,W49,W94:W97,W103,W109,W115,W124,W126,W138,W145,W148:W149,W156,W158,W160,W164:W166,W168:W170,W175,W181:W182,W184:W186,W194,W199)</f>
        <v>269.74</v>
      </c>
      <c r="X93" s="103">
        <f>SUM(X15,X18,X21:X22,X42,X44:X45,X47,X49,X94:X97,X103,X109,X115,X124,X126,X138,X145,X148:X149,X156,X158,X160,X164:X166,X168:X170,X175,X181:X182,X184:X186,X194,X199)</f>
        <v>270.74</v>
      </c>
      <c r="Y93" s="103">
        <f t="shared" si="22"/>
        <v>290.24</v>
      </c>
      <c r="Z93" s="103">
        <f t="shared" si="22"/>
        <v>324.54000000000002</v>
      </c>
      <c r="AA93" s="103">
        <f t="shared" si="22"/>
        <v>360.14000000000004</v>
      </c>
      <c r="AB93" s="103">
        <f t="shared" si="22"/>
        <v>345.34000000000003</v>
      </c>
      <c r="AC93" s="103">
        <f t="shared" si="22"/>
        <v>323.34000000000003</v>
      </c>
      <c r="AD93" s="103">
        <f t="shared" si="22"/>
        <v>297.54000000000002</v>
      </c>
      <c r="AE93" s="103">
        <f t="shared" si="22"/>
        <v>248.44</v>
      </c>
      <c r="AF93" s="103">
        <f t="shared" si="22"/>
        <v>201.53999999999996</v>
      </c>
      <c r="AG93" s="104"/>
      <c r="AH93" s="54">
        <f>MAX(C93:AF93)</f>
        <v>360.14000000000004</v>
      </c>
      <c r="AI93" s="55">
        <f>MIN(C93:AF93)</f>
        <v>138.63999999999999</v>
      </c>
    </row>
    <row r="94" spans="1:88" x14ac:dyDescent="0.25">
      <c r="A94" s="105" t="s">
        <v>99</v>
      </c>
      <c r="B94" s="106">
        <v>45.1</v>
      </c>
      <c r="C94" s="106">
        <v>42.7</v>
      </c>
      <c r="D94" s="106">
        <v>52.5</v>
      </c>
      <c r="E94" s="106">
        <v>56.7</v>
      </c>
      <c r="F94" s="106">
        <v>51.1</v>
      </c>
      <c r="G94" s="106">
        <v>51</v>
      </c>
      <c r="H94" s="106">
        <v>48</v>
      </c>
      <c r="I94" s="106">
        <v>65.3</v>
      </c>
      <c r="J94" s="106">
        <v>52.9</v>
      </c>
      <c r="K94" s="106">
        <v>54.8</v>
      </c>
      <c r="L94" s="106">
        <v>62.2</v>
      </c>
      <c r="M94" s="106">
        <v>44.4</v>
      </c>
      <c r="N94" s="106">
        <v>54.4</v>
      </c>
      <c r="O94" s="106">
        <v>49.8</v>
      </c>
      <c r="P94" s="106">
        <v>46.5</v>
      </c>
      <c r="Q94" s="106">
        <v>56.2</v>
      </c>
      <c r="R94" s="106">
        <v>60.5</v>
      </c>
      <c r="S94" s="106">
        <v>46</v>
      </c>
      <c r="T94" s="106">
        <v>50</v>
      </c>
      <c r="U94" s="106">
        <v>40.799999999999997</v>
      </c>
      <c r="V94" s="106">
        <v>50</v>
      </c>
      <c r="W94" s="106">
        <v>49</v>
      </c>
      <c r="X94" s="106">
        <v>56</v>
      </c>
      <c r="Y94" s="106">
        <v>53.5</v>
      </c>
      <c r="Z94" s="106">
        <v>61.8</v>
      </c>
      <c r="AA94" s="106">
        <v>53</v>
      </c>
      <c r="AB94" s="106">
        <v>49.5</v>
      </c>
      <c r="AC94" s="106">
        <v>57.3</v>
      </c>
      <c r="AD94" s="106">
        <v>54.2</v>
      </c>
      <c r="AE94" s="106">
        <v>60.1</v>
      </c>
      <c r="AF94" s="106">
        <v>46.2</v>
      </c>
      <c r="AG94" s="107">
        <v>75</v>
      </c>
      <c r="AH94" s="54">
        <f t="shared" ref="AH94:AH100" si="23">IF(ABS(MAX(C94:AF94))&gt;ABS(MIN(C94:AF94)),MAX(C94:AF94),MIN(C94:AF94))</f>
        <v>65.3</v>
      </c>
      <c r="AI94" s="108">
        <f t="shared" ref="AI94:AI100" si="24">INDEX($C$9:$AF$9,1,MATCH(AH94,C94:AF94,0))</f>
        <v>0.25</v>
      </c>
    </row>
    <row r="95" spans="1:88" x14ac:dyDescent="0.25">
      <c r="A95" s="109" t="s">
        <v>100</v>
      </c>
      <c r="B95" s="110">
        <f>-28.3-32.1</f>
        <v>-60.400000000000006</v>
      </c>
      <c r="C95" s="110">
        <f>-32.4-36.6</f>
        <v>-69</v>
      </c>
      <c r="D95" s="110">
        <f>-35-38.9</f>
        <v>-73.900000000000006</v>
      </c>
      <c r="E95" s="110">
        <v>-78</v>
      </c>
      <c r="F95" s="110">
        <v>-73</v>
      </c>
      <c r="G95" s="110">
        <v>-68</v>
      </c>
      <c r="H95" s="110">
        <v>-65</v>
      </c>
      <c r="I95" s="110">
        <v>-63</v>
      </c>
      <c r="J95" s="110">
        <v>-43.3</v>
      </c>
      <c r="K95" s="110">
        <v>-35</v>
      </c>
      <c r="L95" s="110">
        <v>-36</v>
      </c>
      <c r="M95" s="110">
        <v>-19.600000000000001</v>
      </c>
      <c r="N95" s="110">
        <v>-20.5</v>
      </c>
      <c r="O95" s="110">
        <v>-18.8</v>
      </c>
      <c r="P95" s="110">
        <v>-14.3</v>
      </c>
      <c r="Q95" s="110">
        <v>-42.5</v>
      </c>
      <c r="R95" s="110">
        <v>-50</v>
      </c>
      <c r="S95" s="110">
        <v>-50</v>
      </c>
      <c r="T95" s="110">
        <v>-49</v>
      </c>
      <c r="U95" s="110">
        <v>-44</v>
      </c>
      <c r="V95" s="110">
        <v>-42</v>
      </c>
      <c r="W95" s="110">
        <v>-37</v>
      </c>
      <c r="X95" s="110">
        <v>-37</v>
      </c>
      <c r="Y95" s="110">
        <v>-31</v>
      </c>
      <c r="Z95" s="110">
        <v>-20</v>
      </c>
      <c r="AA95" s="110">
        <v>-6</v>
      </c>
      <c r="AB95" s="110">
        <v>-11</v>
      </c>
      <c r="AC95" s="110">
        <v>-19</v>
      </c>
      <c r="AD95" s="110">
        <v>-25</v>
      </c>
      <c r="AE95" s="110">
        <f>-24.5-30.6</f>
        <v>-55.1</v>
      </c>
      <c r="AF95" s="110">
        <v>-74</v>
      </c>
      <c r="AG95" s="107">
        <v>240</v>
      </c>
      <c r="AH95" s="54">
        <f t="shared" si="23"/>
        <v>-78</v>
      </c>
      <c r="AI95" s="108">
        <f t="shared" si="24"/>
        <v>0.125</v>
      </c>
    </row>
    <row r="96" spans="1:88" x14ac:dyDescent="0.25">
      <c r="A96" s="109" t="s">
        <v>101</v>
      </c>
      <c r="B96" s="110">
        <v>4.8</v>
      </c>
      <c r="C96" s="110">
        <v>5.8</v>
      </c>
      <c r="D96" s="110">
        <v>4.8</v>
      </c>
      <c r="E96" s="110">
        <v>4.7</v>
      </c>
      <c r="F96" s="110">
        <v>6.8</v>
      </c>
      <c r="G96" s="110">
        <v>6.8</v>
      </c>
      <c r="H96" s="110">
        <v>6.8</v>
      </c>
      <c r="I96" s="110">
        <v>8.1</v>
      </c>
      <c r="J96" s="110">
        <v>11.3</v>
      </c>
      <c r="K96" s="110">
        <v>11.3</v>
      </c>
      <c r="L96" s="110">
        <v>13.3</v>
      </c>
      <c r="M96" s="110">
        <v>16.100000000000001</v>
      </c>
      <c r="N96" s="110">
        <v>15.8</v>
      </c>
      <c r="O96" s="110">
        <v>18.5</v>
      </c>
      <c r="P96" s="110">
        <v>16.3</v>
      </c>
      <c r="Q96" s="110">
        <v>11.9</v>
      </c>
      <c r="R96" s="110">
        <v>9.1</v>
      </c>
      <c r="S96" s="110">
        <v>11.6</v>
      </c>
      <c r="T96" s="110">
        <v>14.4</v>
      </c>
      <c r="U96" s="110">
        <v>12.8</v>
      </c>
      <c r="V96" s="110">
        <v>16</v>
      </c>
      <c r="W96" s="110">
        <v>19</v>
      </c>
      <c r="X96" s="110">
        <v>19</v>
      </c>
      <c r="Y96" s="110">
        <v>18</v>
      </c>
      <c r="Z96" s="110">
        <v>20</v>
      </c>
      <c r="AA96" s="110">
        <v>43</v>
      </c>
      <c r="AB96" s="110">
        <v>41</v>
      </c>
      <c r="AC96" s="110">
        <v>30.3</v>
      </c>
      <c r="AD96" s="110">
        <v>28</v>
      </c>
      <c r="AE96" s="110">
        <v>21.8</v>
      </c>
      <c r="AF96" s="110">
        <v>17.2</v>
      </c>
      <c r="AG96" s="107">
        <v>60</v>
      </c>
      <c r="AH96" s="54">
        <f t="shared" si="23"/>
        <v>43</v>
      </c>
      <c r="AI96" s="108">
        <f t="shared" si="24"/>
        <v>0.8125</v>
      </c>
    </row>
    <row r="97" spans="1:37" x14ac:dyDescent="0.25">
      <c r="A97" s="111" t="s">
        <v>102</v>
      </c>
      <c r="B97" s="112">
        <v>3.4</v>
      </c>
      <c r="C97" s="112">
        <v>-6.8</v>
      </c>
      <c r="D97" s="112">
        <v>-10.8</v>
      </c>
      <c r="E97" s="112">
        <v>-11.1</v>
      </c>
      <c r="F97" s="112">
        <v>-9.1</v>
      </c>
      <c r="G97" s="112">
        <v>15</v>
      </c>
      <c r="H97" s="112">
        <v>20</v>
      </c>
      <c r="I97" s="112">
        <v>27.8</v>
      </c>
      <c r="J97" s="112">
        <v>40.9</v>
      </c>
      <c r="K97" s="112">
        <v>53</v>
      </c>
      <c r="L97" s="112">
        <v>74.599999999999994</v>
      </c>
      <c r="M97" s="112">
        <v>75.099999999999994</v>
      </c>
      <c r="N97" s="112">
        <v>78.400000000000006</v>
      </c>
      <c r="O97" s="112">
        <v>69.5</v>
      </c>
      <c r="P97" s="112">
        <v>56.3</v>
      </c>
      <c r="Q97" s="112">
        <v>69.7</v>
      </c>
      <c r="R97" s="112">
        <v>64</v>
      </c>
      <c r="S97" s="112">
        <v>73</v>
      </c>
      <c r="T97" s="112">
        <v>64</v>
      </c>
      <c r="U97" s="112">
        <v>74.900000000000006</v>
      </c>
      <c r="V97" s="112">
        <v>67</v>
      </c>
      <c r="W97" s="112">
        <v>69</v>
      </c>
      <c r="X97" s="112">
        <v>63</v>
      </c>
      <c r="Y97" s="112">
        <v>80</v>
      </c>
      <c r="Z97" s="112">
        <v>93</v>
      </c>
      <c r="AA97" s="112">
        <v>107</v>
      </c>
      <c r="AB97" s="112">
        <v>102.7</v>
      </c>
      <c r="AC97" s="112">
        <v>91.6</v>
      </c>
      <c r="AD97" s="112">
        <v>77.2</v>
      </c>
      <c r="AE97" s="112">
        <v>58.5</v>
      </c>
      <c r="AF97" s="112">
        <v>49</v>
      </c>
      <c r="AG97" s="113">
        <v>120</v>
      </c>
      <c r="AH97" s="54">
        <f t="shared" si="23"/>
        <v>107</v>
      </c>
      <c r="AI97" s="108">
        <f t="shared" si="24"/>
        <v>0.8125</v>
      </c>
    </row>
    <row r="98" spans="1:37" x14ac:dyDescent="0.25">
      <c r="A98" s="111" t="s">
        <v>103</v>
      </c>
      <c r="B98" s="112">
        <v>54.1</v>
      </c>
      <c r="C98" s="112">
        <v>56.6</v>
      </c>
      <c r="D98" s="112">
        <v>45.3</v>
      </c>
      <c r="E98" s="112">
        <v>40</v>
      </c>
      <c r="F98" s="112">
        <v>41.7</v>
      </c>
      <c r="G98" s="112">
        <v>41.7</v>
      </c>
      <c r="H98" s="112">
        <v>41.7</v>
      </c>
      <c r="I98" s="112">
        <v>35.200000000000003</v>
      </c>
      <c r="J98" s="112">
        <v>56.5</v>
      </c>
      <c r="K98" s="112">
        <v>57.5</v>
      </c>
      <c r="L98" s="112">
        <v>43.6</v>
      </c>
      <c r="M98" s="112">
        <v>59.2</v>
      </c>
      <c r="N98" s="112">
        <v>70.400000000000006</v>
      </c>
      <c r="O98" s="112">
        <v>86.4</v>
      </c>
      <c r="P98" s="112">
        <v>76.8</v>
      </c>
      <c r="Q98" s="112">
        <v>71.3</v>
      </c>
      <c r="R98" s="112">
        <v>66</v>
      </c>
      <c r="S98" s="112">
        <v>77</v>
      </c>
      <c r="T98" s="112">
        <v>66</v>
      </c>
      <c r="U98" s="112">
        <v>80.599999999999994</v>
      </c>
      <c r="V98" s="112">
        <v>68</v>
      </c>
      <c r="W98" s="112">
        <v>65</v>
      </c>
      <c r="X98" s="112">
        <v>61</v>
      </c>
      <c r="Y98" s="112">
        <v>75</v>
      </c>
      <c r="Z98" s="112">
        <v>81</v>
      </c>
      <c r="AA98" s="112">
        <v>84</v>
      </c>
      <c r="AB98" s="112">
        <v>85</v>
      </c>
      <c r="AC98" s="112">
        <v>80.099999999999994</v>
      </c>
      <c r="AD98" s="112">
        <v>88.2</v>
      </c>
      <c r="AE98" s="112">
        <v>62</v>
      </c>
      <c r="AF98" s="112">
        <v>62</v>
      </c>
      <c r="AG98" s="113"/>
      <c r="AH98" s="54">
        <f t="shared" si="23"/>
        <v>88.2</v>
      </c>
      <c r="AI98" s="108">
        <f t="shared" si="24"/>
        <v>0.875</v>
      </c>
    </row>
    <row r="99" spans="1:37" x14ac:dyDescent="0.25">
      <c r="A99" s="111" t="s">
        <v>104</v>
      </c>
      <c r="B99" s="112">
        <v>8.3000000000000007</v>
      </c>
      <c r="C99" s="112">
        <v>8</v>
      </c>
      <c r="D99" s="112">
        <v>6.7</v>
      </c>
      <c r="E99" s="112">
        <v>7.4</v>
      </c>
      <c r="F99" s="112">
        <v>7.6</v>
      </c>
      <c r="G99" s="112">
        <v>7.6</v>
      </c>
      <c r="H99" s="112">
        <v>7.6</v>
      </c>
      <c r="I99" s="112">
        <v>7</v>
      </c>
      <c r="J99" s="112">
        <v>7.1</v>
      </c>
      <c r="K99" s="112">
        <v>7.5</v>
      </c>
      <c r="L99" s="112">
        <v>8.1999999999999993</v>
      </c>
      <c r="M99" s="112">
        <v>9.4</v>
      </c>
      <c r="N99" s="112">
        <v>8.3000000000000007</v>
      </c>
      <c r="O99" s="112">
        <v>61.5</v>
      </c>
      <c r="P99" s="112">
        <v>75.3</v>
      </c>
      <c r="Q99" s="112">
        <v>46.6</v>
      </c>
      <c r="R99" s="112">
        <v>50</v>
      </c>
      <c r="S99" s="112">
        <v>73</v>
      </c>
      <c r="T99" s="112">
        <v>75</v>
      </c>
      <c r="U99" s="112">
        <v>87.9</v>
      </c>
      <c r="V99" s="112">
        <v>71</v>
      </c>
      <c r="W99" s="112">
        <v>76</v>
      </c>
      <c r="X99" s="112">
        <v>50</v>
      </c>
      <c r="Y99" s="112">
        <v>63</v>
      </c>
      <c r="Z99" s="112">
        <v>53</v>
      </c>
      <c r="AA99" s="112">
        <v>58</v>
      </c>
      <c r="AB99" s="112">
        <v>60.4</v>
      </c>
      <c r="AC99" s="112">
        <v>62.8</v>
      </c>
      <c r="AD99" s="112">
        <v>66.7</v>
      </c>
      <c r="AE99" s="112">
        <v>66.099999999999994</v>
      </c>
      <c r="AF99" s="112">
        <v>76.2</v>
      </c>
      <c r="AG99" s="114"/>
      <c r="AH99" s="54">
        <f t="shared" si="23"/>
        <v>87.9</v>
      </c>
      <c r="AI99" s="108">
        <f t="shared" si="24"/>
        <v>0.66666666666666696</v>
      </c>
    </row>
    <row r="100" spans="1:37" ht="15.75" thickBot="1" x14ac:dyDescent="0.3">
      <c r="A100" s="115" t="s">
        <v>105</v>
      </c>
      <c r="B100" s="95">
        <v>64.900000000000006</v>
      </c>
      <c r="C100" s="95">
        <v>21.9</v>
      </c>
      <c r="D100" s="95">
        <v>55.7</v>
      </c>
      <c r="E100" s="95">
        <v>15.4</v>
      </c>
      <c r="F100" s="95">
        <v>-3.8</v>
      </c>
      <c r="G100" s="95">
        <v>-3.8</v>
      </c>
      <c r="H100" s="95">
        <v>-3.8</v>
      </c>
      <c r="I100" s="95">
        <v>0.1</v>
      </c>
      <c r="J100" s="95">
        <v>17.100000000000001</v>
      </c>
      <c r="K100" s="95">
        <v>12.1</v>
      </c>
      <c r="L100" s="95">
        <v>9.6</v>
      </c>
      <c r="M100" s="95">
        <v>75.099999999999994</v>
      </c>
      <c r="N100" s="95">
        <v>24.6</v>
      </c>
      <c r="O100" s="95">
        <v>11.9</v>
      </c>
      <c r="P100" s="95">
        <v>3.5</v>
      </c>
      <c r="Q100" s="95">
        <v>12.8</v>
      </c>
      <c r="R100" s="95">
        <v>50</v>
      </c>
      <c r="S100" s="95">
        <v>39</v>
      </c>
      <c r="T100" s="95">
        <v>37</v>
      </c>
      <c r="U100" s="95">
        <v>35.700000000000003</v>
      </c>
      <c r="V100" s="95">
        <v>43</v>
      </c>
      <c r="W100" s="95">
        <v>40</v>
      </c>
      <c r="X100" s="95">
        <v>36</v>
      </c>
      <c r="Y100" s="95">
        <v>46</v>
      </c>
      <c r="Z100" s="95">
        <v>56</v>
      </c>
      <c r="AA100" s="95">
        <v>65</v>
      </c>
      <c r="AB100" s="95">
        <v>68</v>
      </c>
      <c r="AC100" s="95">
        <v>68</v>
      </c>
      <c r="AD100" s="95">
        <v>61</v>
      </c>
      <c r="AE100" s="95">
        <v>58</v>
      </c>
      <c r="AF100" s="95">
        <v>60</v>
      </c>
      <c r="AG100" s="114"/>
      <c r="AH100" s="54">
        <f t="shared" si="23"/>
        <v>75.099999999999994</v>
      </c>
      <c r="AI100" s="108">
        <f t="shared" si="24"/>
        <v>0.33333333333333331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5">AF102</f>
        <v>9.9</v>
      </c>
      <c r="C102" s="53">
        <v>9.9</v>
      </c>
      <c r="D102" s="121">
        <f t="shared" ref="D102:S107" si="26">C102</f>
        <v>9.9</v>
      </c>
      <c r="E102" s="121">
        <f t="shared" si="26"/>
        <v>9.9</v>
      </c>
      <c r="F102" s="121">
        <f t="shared" si="26"/>
        <v>9.9</v>
      </c>
      <c r="G102" s="121">
        <f t="shared" si="26"/>
        <v>9.9</v>
      </c>
      <c r="H102" s="121">
        <f t="shared" si="26"/>
        <v>9.9</v>
      </c>
      <c r="I102" s="121">
        <f t="shared" si="26"/>
        <v>9.9</v>
      </c>
      <c r="J102" s="121">
        <f t="shared" si="26"/>
        <v>9.9</v>
      </c>
      <c r="K102" s="121">
        <f t="shared" si="26"/>
        <v>9.9</v>
      </c>
      <c r="L102" s="121">
        <f t="shared" si="26"/>
        <v>9.9</v>
      </c>
      <c r="M102" s="121">
        <f t="shared" si="26"/>
        <v>9.9</v>
      </c>
      <c r="N102" s="121">
        <f t="shared" si="26"/>
        <v>9.9</v>
      </c>
      <c r="O102" s="121">
        <f t="shared" si="26"/>
        <v>9.9</v>
      </c>
      <c r="P102" s="121">
        <f t="shared" si="26"/>
        <v>9.9</v>
      </c>
      <c r="Q102" s="121">
        <f t="shared" si="26"/>
        <v>9.9</v>
      </c>
      <c r="R102" s="121">
        <f t="shared" si="26"/>
        <v>9.9</v>
      </c>
      <c r="S102" s="121">
        <f t="shared" si="26"/>
        <v>9.9</v>
      </c>
      <c r="T102" s="121">
        <f t="shared" ref="T102:AF107" si="27">S102</f>
        <v>9.9</v>
      </c>
      <c r="U102" s="121">
        <f t="shared" si="27"/>
        <v>9.9</v>
      </c>
      <c r="V102" s="121">
        <f t="shared" si="27"/>
        <v>9.9</v>
      </c>
      <c r="W102" s="121">
        <f t="shared" si="27"/>
        <v>9.9</v>
      </c>
      <c r="X102" s="121">
        <f t="shared" si="27"/>
        <v>9.9</v>
      </c>
      <c r="Y102" s="121">
        <f t="shared" si="27"/>
        <v>9.9</v>
      </c>
      <c r="Z102" s="121">
        <f t="shared" si="27"/>
        <v>9.9</v>
      </c>
      <c r="AA102" s="121">
        <f t="shared" si="27"/>
        <v>9.9</v>
      </c>
      <c r="AB102" s="121">
        <f t="shared" si="27"/>
        <v>9.9</v>
      </c>
      <c r="AC102" s="121">
        <f t="shared" si="27"/>
        <v>9.9</v>
      </c>
      <c r="AD102" s="121">
        <f t="shared" si="27"/>
        <v>9.9</v>
      </c>
      <c r="AE102" s="121">
        <f t="shared" si="27"/>
        <v>9.9</v>
      </c>
      <c r="AF102" s="121">
        <f t="shared" si="27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5"/>
        <v>9.6</v>
      </c>
      <c r="C103" s="124">
        <v>9.6</v>
      </c>
      <c r="D103" s="123">
        <f t="shared" si="26"/>
        <v>9.6</v>
      </c>
      <c r="E103" s="123">
        <f t="shared" si="26"/>
        <v>9.6</v>
      </c>
      <c r="F103" s="123">
        <f t="shared" si="26"/>
        <v>9.6</v>
      </c>
      <c r="G103" s="123">
        <f t="shared" si="26"/>
        <v>9.6</v>
      </c>
      <c r="H103" s="123">
        <f t="shared" si="26"/>
        <v>9.6</v>
      </c>
      <c r="I103" s="123">
        <f t="shared" si="26"/>
        <v>9.6</v>
      </c>
      <c r="J103" s="123">
        <f t="shared" si="26"/>
        <v>9.6</v>
      </c>
      <c r="K103" s="123">
        <f t="shared" si="26"/>
        <v>9.6</v>
      </c>
      <c r="L103" s="123">
        <f t="shared" si="26"/>
        <v>9.6</v>
      </c>
      <c r="M103" s="123">
        <f t="shared" si="26"/>
        <v>9.6</v>
      </c>
      <c r="N103" s="123">
        <f t="shared" si="26"/>
        <v>9.6</v>
      </c>
      <c r="O103" s="123">
        <f t="shared" si="26"/>
        <v>9.6</v>
      </c>
      <c r="P103" s="123">
        <f t="shared" si="26"/>
        <v>9.6</v>
      </c>
      <c r="Q103" s="123">
        <f t="shared" si="26"/>
        <v>9.6</v>
      </c>
      <c r="R103" s="123">
        <f t="shared" si="26"/>
        <v>9.6</v>
      </c>
      <c r="S103" s="123">
        <f t="shared" si="26"/>
        <v>9.6</v>
      </c>
      <c r="T103" s="123">
        <f t="shared" si="27"/>
        <v>9.6</v>
      </c>
      <c r="U103" s="123">
        <f t="shared" si="27"/>
        <v>9.6</v>
      </c>
      <c r="V103" s="123">
        <f t="shared" si="27"/>
        <v>9.6</v>
      </c>
      <c r="W103" s="123">
        <f t="shared" si="27"/>
        <v>9.6</v>
      </c>
      <c r="X103" s="123">
        <f t="shared" si="27"/>
        <v>9.6</v>
      </c>
      <c r="Y103" s="123">
        <f t="shared" si="27"/>
        <v>9.6</v>
      </c>
      <c r="Z103" s="123">
        <f t="shared" si="27"/>
        <v>9.6</v>
      </c>
      <c r="AA103" s="123">
        <f t="shared" si="27"/>
        <v>9.6</v>
      </c>
      <c r="AB103" s="123">
        <f t="shared" si="27"/>
        <v>9.6</v>
      </c>
      <c r="AC103" s="123">
        <f t="shared" si="27"/>
        <v>9.6</v>
      </c>
      <c r="AD103" s="123">
        <f t="shared" si="27"/>
        <v>9.6</v>
      </c>
      <c r="AE103" s="123">
        <f t="shared" si="27"/>
        <v>9.6</v>
      </c>
      <c r="AF103" s="123">
        <f t="shared" si="27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5"/>
        <v>9.98</v>
      </c>
      <c r="C104" s="124">
        <v>9.98</v>
      </c>
      <c r="D104" s="123">
        <f t="shared" si="26"/>
        <v>9.98</v>
      </c>
      <c r="E104" s="123">
        <f t="shared" si="26"/>
        <v>9.98</v>
      </c>
      <c r="F104" s="123">
        <f t="shared" si="26"/>
        <v>9.98</v>
      </c>
      <c r="G104" s="123">
        <f t="shared" si="26"/>
        <v>9.98</v>
      </c>
      <c r="H104" s="123">
        <f t="shared" si="26"/>
        <v>9.98</v>
      </c>
      <c r="I104" s="123">
        <f t="shared" si="26"/>
        <v>9.98</v>
      </c>
      <c r="J104" s="123">
        <f t="shared" si="26"/>
        <v>9.98</v>
      </c>
      <c r="K104" s="123">
        <f t="shared" si="26"/>
        <v>9.98</v>
      </c>
      <c r="L104" s="123">
        <f t="shared" si="26"/>
        <v>9.98</v>
      </c>
      <c r="M104" s="123">
        <f t="shared" si="26"/>
        <v>9.98</v>
      </c>
      <c r="N104" s="123">
        <f t="shared" si="26"/>
        <v>9.98</v>
      </c>
      <c r="O104" s="123">
        <f t="shared" si="26"/>
        <v>9.98</v>
      </c>
      <c r="P104" s="123">
        <f t="shared" si="26"/>
        <v>9.98</v>
      </c>
      <c r="Q104" s="123">
        <f t="shared" si="26"/>
        <v>9.98</v>
      </c>
      <c r="R104" s="123">
        <f t="shared" si="26"/>
        <v>9.98</v>
      </c>
      <c r="S104" s="123">
        <f t="shared" si="26"/>
        <v>9.98</v>
      </c>
      <c r="T104" s="123">
        <f t="shared" si="27"/>
        <v>9.98</v>
      </c>
      <c r="U104" s="123">
        <f t="shared" si="27"/>
        <v>9.98</v>
      </c>
      <c r="V104" s="123">
        <f t="shared" si="27"/>
        <v>9.98</v>
      </c>
      <c r="W104" s="123">
        <f t="shared" si="27"/>
        <v>9.98</v>
      </c>
      <c r="X104" s="123">
        <f t="shared" si="27"/>
        <v>9.98</v>
      </c>
      <c r="Y104" s="123">
        <f t="shared" si="27"/>
        <v>9.98</v>
      </c>
      <c r="Z104" s="123">
        <f t="shared" si="27"/>
        <v>9.98</v>
      </c>
      <c r="AA104" s="123">
        <f t="shared" si="27"/>
        <v>9.98</v>
      </c>
      <c r="AB104" s="123">
        <f t="shared" si="27"/>
        <v>9.98</v>
      </c>
      <c r="AC104" s="123">
        <f t="shared" si="27"/>
        <v>9.98</v>
      </c>
      <c r="AD104" s="123">
        <f t="shared" si="27"/>
        <v>9.98</v>
      </c>
      <c r="AE104" s="123">
        <f t="shared" si="27"/>
        <v>9.98</v>
      </c>
      <c r="AF104" s="123">
        <f t="shared" si="27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5"/>
        <v>9.1</v>
      </c>
      <c r="C105" s="124">
        <v>9.1</v>
      </c>
      <c r="D105" s="123">
        <f t="shared" si="26"/>
        <v>9.1</v>
      </c>
      <c r="E105" s="123">
        <f t="shared" si="26"/>
        <v>9.1</v>
      </c>
      <c r="F105" s="123">
        <f t="shared" si="26"/>
        <v>9.1</v>
      </c>
      <c r="G105" s="123">
        <f t="shared" si="26"/>
        <v>9.1</v>
      </c>
      <c r="H105" s="123">
        <f t="shared" si="26"/>
        <v>9.1</v>
      </c>
      <c r="I105" s="123">
        <f t="shared" si="26"/>
        <v>9.1</v>
      </c>
      <c r="J105" s="123">
        <f t="shared" si="26"/>
        <v>9.1</v>
      </c>
      <c r="K105" s="123">
        <f t="shared" si="26"/>
        <v>9.1</v>
      </c>
      <c r="L105" s="123">
        <f t="shared" si="26"/>
        <v>9.1</v>
      </c>
      <c r="M105" s="123">
        <f t="shared" si="26"/>
        <v>9.1</v>
      </c>
      <c r="N105" s="123">
        <f t="shared" si="26"/>
        <v>9.1</v>
      </c>
      <c r="O105" s="123">
        <f t="shared" si="26"/>
        <v>9.1</v>
      </c>
      <c r="P105" s="123">
        <f t="shared" si="26"/>
        <v>9.1</v>
      </c>
      <c r="Q105" s="123">
        <f t="shared" si="26"/>
        <v>9.1</v>
      </c>
      <c r="R105" s="123">
        <f t="shared" si="26"/>
        <v>9.1</v>
      </c>
      <c r="S105" s="123">
        <f t="shared" si="26"/>
        <v>9.1</v>
      </c>
      <c r="T105" s="123">
        <f t="shared" si="27"/>
        <v>9.1</v>
      </c>
      <c r="U105" s="123">
        <f t="shared" si="27"/>
        <v>9.1</v>
      </c>
      <c r="V105" s="123">
        <f t="shared" si="27"/>
        <v>9.1</v>
      </c>
      <c r="W105" s="123">
        <f t="shared" si="27"/>
        <v>9.1</v>
      </c>
      <c r="X105" s="123">
        <f t="shared" si="27"/>
        <v>9.1</v>
      </c>
      <c r="Y105" s="123">
        <f t="shared" si="27"/>
        <v>9.1</v>
      </c>
      <c r="Z105" s="123">
        <f t="shared" si="27"/>
        <v>9.1</v>
      </c>
      <c r="AA105" s="123">
        <f t="shared" si="27"/>
        <v>9.1</v>
      </c>
      <c r="AB105" s="123">
        <f t="shared" si="27"/>
        <v>9.1</v>
      </c>
      <c r="AC105" s="123">
        <f t="shared" si="27"/>
        <v>9.1</v>
      </c>
      <c r="AD105" s="123">
        <f t="shared" si="27"/>
        <v>9.1</v>
      </c>
      <c r="AE105" s="123">
        <f t="shared" si="27"/>
        <v>9.1</v>
      </c>
      <c r="AF105" s="123">
        <f t="shared" si="27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5"/>
        <v>9.18</v>
      </c>
      <c r="C106" s="124">
        <v>9.18</v>
      </c>
      <c r="D106" s="123">
        <f t="shared" si="26"/>
        <v>9.18</v>
      </c>
      <c r="E106" s="123">
        <f t="shared" si="26"/>
        <v>9.18</v>
      </c>
      <c r="F106" s="123">
        <f t="shared" si="26"/>
        <v>9.18</v>
      </c>
      <c r="G106" s="123">
        <f t="shared" si="26"/>
        <v>9.18</v>
      </c>
      <c r="H106" s="123">
        <f t="shared" si="26"/>
        <v>9.18</v>
      </c>
      <c r="I106" s="123">
        <f t="shared" si="26"/>
        <v>9.18</v>
      </c>
      <c r="J106" s="123">
        <f t="shared" si="26"/>
        <v>9.18</v>
      </c>
      <c r="K106" s="123">
        <f t="shared" si="26"/>
        <v>9.18</v>
      </c>
      <c r="L106" s="123">
        <f t="shared" si="26"/>
        <v>9.18</v>
      </c>
      <c r="M106" s="123">
        <f t="shared" si="26"/>
        <v>9.18</v>
      </c>
      <c r="N106" s="123">
        <f t="shared" si="26"/>
        <v>9.18</v>
      </c>
      <c r="O106" s="123">
        <f t="shared" si="26"/>
        <v>9.18</v>
      </c>
      <c r="P106" s="123">
        <f t="shared" si="26"/>
        <v>9.18</v>
      </c>
      <c r="Q106" s="123">
        <f t="shared" si="26"/>
        <v>9.18</v>
      </c>
      <c r="R106" s="123">
        <f t="shared" si="26"/>
        <v>9.18</v>
      </c>
      <c r="S106" s="123">
        <f t="shared" si="26"/>
        <v>9.18</v>
      </c>
      <c r="T106" s="123">
        <f t="shared" si="27"/>
        <v>9.18</v>
      </c>
      <c r="U106" s="123">
        <f t="shared" si="27"/>
        <v>9.18</v>
      </c>
      <c r="V106" s="123">
        <f t="shared" si="27"/>
        <v>9.18</v>
      </c>
      <c r="W106" s="123">
        <f t="shared" si="27"/>
        <v>9.18</v>
      </c>
      <c r="X106" s="123">
        <f t="shared" si="27"/>
        <v>9.18</v>
      </c>
      <c r="Y106" s="123">
        <f t="shared" si="27"/>
        <v>9.18</v>
      </c>
      <c r="Z106" s="123">
        <f t="shared" si="27"/>
        <v>9.18</v>
      </c>
      <c r="AA106" s="123">
        <f t="shared" si="27"/>
        <v>9.18</v>
      </c>
      <c r="AB106" s="123">
        <f t="shared" si="27"/>
        <v>9.18</v>
      </c>
      <c r="AC106" s="123">
        <f t="shared" si="27"/>
        <v>9.18</v>
      </c>
      <c r="AD106" s="123">
        <f t="shared" si="27"/>
        <v>9.18</v>
      </c>
      <c r="AE106" s="123">
        <f t="shared" si="27"/>
        <v>9.18</v>
      </c>
      <c r="AF106" s="123">
        <f t="shared" si="27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5"/>
        <v>7</v>
      </c>
      <c r="C107" s="124">
        <v>7</v>
      </c>
      <c r="D107" s="123">
        <f t="shared" si="26"/>
        <v>7</v>
      </c>
      <c r="E107" s="123">
        <f t="shared" si="26"/>
        <v>7</v>
      </c>
      <c r="F107" s="123">
        <f t="shared" si="26"/>
        <v>7</v>
      </c>
      <c r="G107" s="123">
        <f t="shared" si="26"/>
        <v>7</v>
      </c>
      <c r="H107" s="123">
        <f t="shared" si="26"/>
        <v>7</v>
      </c>
      <c r="I107" s="123">
        <f t="shared" si="26"/>
        <v>7</v>
      </c>
      <c r="J107" s="123">
        <f t="shared" si="26"/>
        <v>7</v>
      </c>
      <c r="K107" s="123">
        <f t="shared" si="26"/>
        <v>7</v>
      </c>
      <c r="L107" s="123">
        <f t="shared" si="26"/>
        <v>7</v>
      </c>
      <c r="M107" s="123">
        <f t="shared" si="26"/>
        <v>7</v>
      </c>
      <c r="N107" s="123">
        <f t="shared" si="26"/>
        <v>7</v>
      </c>
      <c r="O107" s="123">
        <f t="shared" si="26"/>
        <v>7</v>
      </c>
      <c r="P107" s="123">
        <f t="shared" si="26"/>
        <v>7</v>
      </c>
      <c r="Q107" s="123">
        <f t="shared" si="26"/>
        <v>7</v>
      </c>
      <c r="R107" s="123">
        <f t="shared" si="26"/>
        <v>7</v>
      </c>
      <c r="S107" s="123">
        <f t="shared" si="26"/>
        <v>7</v>
      </c>
      <c r="T107" s="123">
        <f t="shared" si="27"/>
        <v>7</v>
      </c>
      <c r="U107" s="123">
        <f t="shared" si="27"/>
        <v>7</v>
      </c>
      <c r="V107" s="123">
        <f t="shared" si="27"/>
        <v>7</v>
      </c>
      <c r="W107" s="123">
        <f t="shared" si="27"/>
        <v>7</v>
      </c>
      <c r="X107" s="123">
        <f t="shared" si="27"/>
        <v>7</v>
      </c>
      <c r="Y107" s="123">
        <f t="shared" si="27"/>
        <v>7</v>
      </c>
      <c r="Z107" s="123">
        <f t="shared" si="27"/>
        <v>7</v>
      </c>
      <c r="AA107" s="123">
        <f t="shared" si="27"/>
        <v>7</v>
      </c>
      <c r="AB107" s="123">
        <f t="shared" si="27"/>
        <v>7</v>
      </c>
      <c r="AC107" s="123">
        <f t="shared" si="27"/>
        <v>7</v>
      </c>
      <c r="AD107" s="123">
        <f t="shared" si="27"/>
        <v>7</v>
      </c>
      <c r="AE107" s="123">
        <f t="shared" si="27"/>
        <v>7</v>
      </c>
      <c r="AF107" s="123">
        <f t="shared" si="27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8">C109</f>
        <v>2.25</v>
      </c>
      <c r="E109" s="123">
        <f t="shared" si="28"/>
        <v>2.25</v>
      </c>
      <c r="F109" s="123">
        <f t="shared" si="28"/>
        <v>2.25</v>
      </c>
      <c r="G109" s="123">
        <f t="shared" si="28"/>
        <v>2.25</v>
      </c>
      <c r="H109" s="123">
        <f t="shared" si="28"/>
        <v>2.25</v>
      </c>
      <c r="I109" s="123">
        <f t="shared" si="28"/>
        <v>2.25</v>
      </c>
      <c r="J109" s="123">
        <f t="shared" si="28"/>
        <v>2.25</v>
      </c>
      <c r="K109" s="123">
        <f t="shared" si="28"/>
        <v>2.25</v>
      </c>
      <c r="L109" s="123">
        <f t="shared" si="28"/>
        <v>2.25</v>
      </c>
      <c r="M109" s="123">
        <f t="shared" si="28"/>
        <v>2.25</v>
      </c>
      <c r="N109" s="123">
        <f t="shared" si="28"/>
        <v>2.25</v>
      </c>
      <c r="O109" s="123">
        <f t="shared" si="28"/>
        <v>2.25</v>
      </c>
      <c r="P109" s="123">
        <f t="shared" si="28"/>
        <v>2.25</v>
      </c>
      <c r="Q109" s="123">
        <f t="shared" si="28"/>
        <v>2.25</v>
      </c>
      <c r="R109" s="123">
        <f t="shared" si="28"/>
        <v>2.25</v>
      </c>
      <c r="S109" s="123">
        <f t="shared" si="28"/>
        <v>2.25</v>
      </c>
      <c r="T109" s="123">
        <f t="shared" ref="T109:AF110" si="29">S109</f>
        <v>2.25</v>
      </c>
      <c r="U109" s="123">
        <f t="shared" si="29"/>
        <v>2.25</v>
      </c>
      <c r="V109" s="123">
        <f t="shared" si="29"/>
        <v>2.25</v>
      </c>
      <c r="W109" s="123">
        <f t="shared" si="29"/>
        <v>2.25</v>
      </c>
      <c r="X109" s="123">
        <f t="shared" si="29"/>
        <v>2.25</v>
      </c>
      <c r="Y109" s="123">
        <f t="shared" si="29"/>
        <v>2.25</v>
      </c>
      <c r="Z109" s="123">
        <f t="shared" si="29"/>
        <v>2.25</v>
      </c>
      <c r="AA109" s="123">
        <f t="shared" si="29"/>
        <v>2.25</v>
      </c>
      <c r="AB109" s="123">
        <f t="shared" si="29"/>
        <v>2.25</v>
      </c>
      <c r="AC109" s="123">
        <f t="shared" si="29"/>
        <v>2.25</v>
      </c>
      <c r="AD109" s="123">
        <f t="shared" si="29"/>
        <v>2.25</v>
      </c>
      <c r="AE109" s="123">
        <f t="shared" si="29"/>
        <v>2.25</v>
      </c>
      <c r="AF109" s="123">
        <f t="shared" si="29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8"/>
        <v>1.64</v>
      </c>
      <c r="E110" s="123">
        <f t="shared" si="28"/>
        <v>1.64</v>
      </c>
      <c r="F110" s="123">
        <f t="shared" si="28"/>
        <v>1.64</v>
      </c>
      <c r="G110" s="123">
        <f t="shared" si="28"/>
        <v>1.64</v>
      </c>
      <c r="H110" s="123">
        <f t="shared" si="28"/>
        <v>1.64</v>
      </c>
      <c r="I110" s="123">
        <f t="shared" si="28"/>
        <v>1.64</v>
      </c>
      <c r="J110" s="123">
        <f t="shared" si="28"/>
        <v>1.64</v>
      </c>
      <c r="K110" s="123">
        <f t="shared" si="28"/>
        <v>1.64</v>
      </c>
      <c r="L110" s="123">
        <f t="shared" si="28"/>
        <v>1.64</v>
      </c>
      <c r="M110" s="123">
        <f t="shared" si="28"/>
        <v>1.64</v>
      </c>
      <c r="N110" s="123">
        <f t="shared" si="28"/>
        <v>1.64</v>
      </c>
      <c r="O110" s="123">
        <f t="shared" si="28"/>
        <v>1.64</v>
      </c>
      <c r="P110" s="123">
        <f t="shared" si="28"/>
        <v>1.64</v>
      </c>
      <c r="Q110" s="123">
        <f t="shared" si="28"/>
        <v>1.64</v>
      </c>
      <c r="R110" s="123">
        <f t="shared" si="28"/>
        <v>1.64</v>
      </c>
      <c r="S110" s="123">
        <f t="shared" si="28"/>
        <v>1.64</v>
      </c>
      <c r="T110" s="123">
        <f t="shared" si="29"/>
        <v>1.64</v>
      </c>
      <c r="U110" s="123">
        <f t="shared" si="29"/>
        <v>1.64</v>
      </c>
      <c r="V110" s="123">
        <f t="shared" si="29"/>
        <v>1.64</v>
      </c>
      <c r="W110" s="123">
        <f t="shared" si="29"/>
        <v>1.64</v>
      </c>
      <c r="X110" s="123">
        <f t="shared" si="29"/>
        <v>1.64</v>
      </c>
      <c r="Y110" s="123">
        <f t="shared" si="29"/>
        <v>1.64</v>
      </c>
      <c r="Z110" s="123">
        <f t="shared" si="29"/>
        <v>1.64</v>
      </c>
      <c r="AA110" s="123">
        <f t="shared" si="29"/>
        <v>1.64</v>
      </c>
      <c r="AB110" s="123">
        <f t="shared" si="29"/>
        <v>1.64</v>
      </c>
      <c r="AC110" s="123">
        <f t="shared" si="29"/>
        <v>1.64</v>
      </c>
      <c r="AD110" s="123">
        <f t="shared" si="29"/>
        <v>1.64</v>
      </c>
      <c r="AE110" s="123">
        <f t="shared" si="29"/>
        <v>1.64</v>
      </c>
      <c r="AF110" s="123">
        <f t="shared" si="29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0">AF112</f>
        <v>1.62</v>
      </c>
      <c r="C112" s="124">
        <v>1.62</v>
      </c>
      <c r="D112" s="123">
        <f t="shared" ref="D112:S119" si="31">C112</f>
        <v>1.62</v>
      </c>
      <c r="E112" s="123">
        <f t="shared" si="31"/>
        <v>1.62</v>
      </c>
      <c r="F112" s="123">
        <f t="shared" si="31"/>
        <v>1.62</v>
      </c>
      <c r="G112" s="123">
        <f t="shared" si="31"/>
        <v>1.62</v>
      </c>
      <c r="H112" s="123">
        <f t="shared" si="31"/>
        <v>1.62</v>
      </c>
      <c r="I112" s="123">
        <f t="shared" si="31"/>
        <v>1.62</v>
      </c>
      <c r="J112" s="123">
        <f t="shared" si="31"/>
        <v>1.62</v>
      </c>
      <c r="K112" s="123">
        <f t="shared" si="31"/>
        <v>1.62</v>
      </c>
      <c r="L112" s="123">
        <f t="shared" si="31"/>
        <v>1.62</v>
      </c>
      <c r="M112" s="123">
        <f t="shared" si="31"/>
        <v>1.62</v>
      </c>
      <c r="N112" s="123">
        <f t="shared" si="31"/>
        <v>1.62</v>
      </c>
      <c r="O112" s="123">
        <f t="shared" si="31"/>
        <v>1.62</v>
      </c>
      <c r="P112" s="123">
        <f t="shared" si="31"/>
        <v>1.62</v>
      </c>
      <c r="Q112" s="123">
        <f t="shared" si="31"/>
        <v>1.62</v>
      </c>
      <c r="R112" s="123">
        <f t="shared" si="31"/>
        <v>1.62</v>
      </c>
      <c r="S112" s="123">
        <f t="shared" si="31"/>
        <v>1.62</v>
      </c>
      <c r="T112" s="123">
        <f t="shared" ref="T112:AF127" si="32">S112</f>
        <v>1.62</v>
      </c>
      <c r="U112" s="123">
        <f t="shared" si="32"/>
        <v>1.62</v>
      </c>
      <c r="V112" s="123">
        <f t="shared" si="32"/>
        <v>1.62</v>
      </c>
      <c r="W112" s="123">
        <f t="shared" si="32"/>
        <v>1.62</v>
      </c>
      <c r="X112" s="123">
        <f t="shared" si="32"/>
        <v>1.62</v>
      </c>
      <c r="Y112" s="123">
        <f t="shared" si="32"/>
        <v>1.62</v>
      </c>
      <c r="Z112" s="123">
        <f t="shared" si="32"/>
        <v>1.62</v>
      </c>
      <c r="AA112" s="123">
        <f t="shared" si="32"/>
        <v>1.62</v>
      </c>
      <c r="AB112" s="123">
        <f t="shared" si="32"/>
        <v>1.62</v>
      </c>
      <c r="AC112" s="123">
        <f t="shared" si="32"/>
        <v>1.62</v>
      </c>
      <c r="AD112" s="123">
        <f t="shared" si="32"/>
        <v>1.62</v>
      </c>
      <c r="AE112" s="123">
        <f t="shared" si="32"/>
        <v>1.62</v>
      </c>
      <c r="AF112" s="123">
        <f t="shared" si="32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0"/>
        <v>8.36</v>
      </c>
      <c r="C113" s="124">
        <v>8.36</v>
      </c>
      <c r="D113" s="123">
        <f t="shared" si="31"/>
        <v>8.36</v>
      </c>
      <c r="E113" s="123">
        <f t="shared" si="31"/>
        <v>8.36</v>
      </c>
      <c r="F113" s="123">
        <f t="shared" si="31"/>
        <v>8.36</v>
      </c>
      <c r="G113" s="123">
        <f t="shared" si="31"/>
        <v>8.36</v>
      </c>
      <c r="H113" s="123">
        <f t="shared" si="31"/>
        <v>8.36</v>
      </c>
      <c r="I113" s="123">
        <f t="shared" si="31"/>
        <v>8.36</v>
      </c>
      <c r="J113" s="123">
        <f t="shared" si="31"/>
        <v>8.36</v>
      </c>
      <c r="K113" s="123">
        <f t="shared" si="31"/>
        <v>8.36</v>
      </c>
      <c r="L113" s="123">
        <f t="shared" si="31"/>
        <v>8.36</v>
      </c>
      <c r="M113" s="123">
        <f t="shared" si="31"/>
        <v>8.36</v>
      </c>
      <c r="N113" s="123">
        <f t="shared" si="31"/>
        <v>8.36</v>
      </c>
      <c r="O113" s="123">
        <f t="shared" si="31"/>
        <v>8.36</v>
      </c>
      <c r="P113" s="123">
        <f t="shared" si="31"/>
        <v>8.36</v>
      </c>
      <c r="Q113" s="123">
        <f t="shared" si="31"/>
        <v>8.36</v>
      </c>
      <c r="R113" s="123">
        <f t="shared" si="31"/>
        <v>8.36</v>
      </c>
      <c r="S113" s="123">
        <f t="shared" si="31"/>
        <v>8.36</v>
      </c>
      <c r="T113" s="123">
        <f t="shared" si="32"/>
        <v>8.36</v>
      </c>
      <c r="U113" s="123">
        <f t="shared" si="32"/>
        <v>8.36</v>
      </c>
      <c r="V113" s="123">
        <f t="shared" si="32"/>
        <v>8.36</v>
      </c>
      <c r="W113" s="123">
        <f t="shared" si="32"/>
        <v>8.36</v>
      </c>
      <c r="X113" s="123">
        <f t="shared" si="32"/>
        <v>8.36</v>
      </c>
      <c r="Y113" s="123">
        <f t="shared" si="32"/>
        <v>8.36</v>
      </c>
      <c r="Z113" s="123">
        <f t="shared" si="32"/>
        <v>8.36</v>
      </c>
      <c r="AA113" s="123">
        <f t="shared" si="32"/>
        <v>8.36</v>
      </c>
      <c r="AB113" s="123">
        <f t="shared" si="32"/>
        <v>8.36</v>
      </c>
      <c r="AC113" s="123">
        <f t="shared" si="32"/>
        <v>8.36</v>
      </c>
      <c r="AD113" s="123">
        <f t="shared" si="32"/>
        <v>8.36</v>
      </c>
      <c r="AE113" s="123">
        <f t="shared" si="32"/>
        <v>8.36</v>
      </c>
      <c r="AF113" s="123">
        <f t="shared" si="32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0"/>
        <v>5.4</v>
      </c>
      <c r="C114" s="124">
        <v>8</v>
      </c>
      <c r="D114" s="123">
        <f t="shared" si="31"/>
        <v>8</v>
      </c>
      <c r="E114" s="123">
        <f t="shared" si="31"/>
        <v>8</v>
      </c>
      <c r="F114" s="123">
        <f t="shared" si="31"/>
        <v>8</v>
      </c>
      <c r="G114" s="123">
        <f t="shared" si="31"/>
        <v>8</v>
      </c>
      <c r="H114" s="123">
        <f t="shared" si="31"/>
        <v>8</v>
      </c>
      <c r="I114" s="123">
        <f t="shared" si="31"/>
        <v>8</v>
      </c>
      <c r="J114" s="123">
        <v>5.4</v>
      </c>
      <c r="K114" s="123">
        <f t="shared" si="31"/>
        <v>5.4</v>
      </c>
      <c r="L114" s="123">
        <f t="shared" si="31"/>
        <v>5.4</v>
      </c>
      <c r="M114" s="123">
        <f t="shared" si="31"/>
        <v>5.4</v>
      </c>
      <c r="N114" s="123">
        <f t="shared" si="31"/>
        <v>5.4</v>
      </c>
      <c r="O114" s="123">
        <f t="shared" si="31"/>
        <v>5.4</v>
      </c>
      <c r="P114" s="123">
        <f t="shared" si="31"/>
        <v>5.4</v>
      </c>
      <c r="Q114" s="123">
        <f t="shared" si="31"/>
        <v>5.4</v>
      </c>
      <c r="R114" s="123">
        <f t="shared" si="31"/>
        <v>5.4</v>
      </c>
      <c r="S114" s="123">
        <f t="shared" si="31"/>
        <v>5.4</v>
      </c>
      <c r="T114" s="123">
        <f t="shared" si="32"/>
        <v>5.4</v>
      </c>
      <c r="U114" s="123">
        <f t="shared" si="32"/>
        <v>5.4</v>
      </c>
      <c r="V114" s="123">
        <f t="shared" si="32"/>
        <v>5.4</v>
      </c>
      <c r="W114" s="123">
        <f t="shared" si="32"/>
        <v>5.4</v>
      </c>
      <c r="X114" s="123">
        <f t="shared" si="32"/>
        <v>5.4</v>
      </c>
      <c r="Y114" s="123">
        <f t="shared" si="32"/>
        <v>5.4</v>
      </c>
      <c r="Z114" s="123">
        <f t="shared" si="32"/>
        <v>5.4</v>
      </c>
      <c r="AA114" s="123">
        <f t="shared" si="32"/>
        <v>5.4</v>
      </c>
      <c r="AB114" s="123">
        <f t="shared" si="32"/>
        <v>5.4</v>
      </c>
      <c r="AC114" s="123">
        <f t="shared" si="32"/>
        <v>5.4</v>
      </c>
      <c r="AD114" s="123">
        <f t="shared" si="32"/>
        <v>5.4</v>
      </c>
      <c r="AE114" s="123">
        <f t="shared" si="32"/>
        <v>5.4</v>
      </c>
      <c r="AF114" s="123">
        <f t="shared" si="32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0"/>
        <v>6.57</v>
      </c>
      <c r="C115" s="124">
        <v>6.57</v>
      </c>
      <c r="D115" s="123">
        <f t="shared" si="31"/>
        <v>6.57</v>
      </c>
      <c r="E115" s="123">
        <f t="shared" si="31"/>
        <v>6.57</v>
      </c>
      <c r="F115" s="123">
        <f t="shared" si="31"/>
        <v>6.57</v>
      </c>
      <c r="G115" s="123">
        <f t="shared" si="31"/>
        <v>6.57</v>
      </c>
      <c r="H115" s="123">
        <f t="shared" si="31"/>
        <v>6.57</v>
      </c>
      <c r="I115" s="123">
        <f t="shared" si="31"/>
        <v>6.57</v>
      </c>
      <c r="J115" s="123">
        <f t="shared" si="31"/>
        <v>6.57</v>
      </c>
      <c r="K115" s="123">
        <f t="shared" si="31"/>
        <v>6.57</v>
      </c>
      <c r="L115" s="123">
        <f t="shared" si="31"/>
        <v>6.57</v>
      </c>
      <c r="M115" s="123">
        <f t="shared" si="31"/>
        <v>6.57</v>
      </c>
      <c r="N115" s="123">
        <f t="shared" si="31"/>
        <v>6.57</v>
      </c>
      <c r="O115" s="123">
        <f t="shared" si="31"/>
        <v>6.57</v>
      </c>
      <c r="P115" s="123">
        <f t="shared" si="31"/>
        <v>6.57</v>
      </c>
      <c r="Q115" s="123">
        <f t="shared" si="31"/>
        <v>6.57</v>
      </c>
      <c r="R115" s="123">
        <f t="shared" si="31"/>
        <v>6.57</v>
      </c>
      <c r="S115" s="123">
        <f t="shared" si="31"/>
        <v>6.57</v>
      </c>
      <c r="T115" s="123">
        <f t="shared" si="32"/>
        <v>6.57</v>
      </c>
      <c r="U115" s="123">
        <f t="shared" si="32"/>
        <v>6.57</v>
      </c>
      <c r="V115" s="123">
        <f t="shared" si="32"/>
        <v>6.57</v>
      </c>
      <c r="W115" s="123">
        <f t="shared" si="32"/>
        <v>6.57</v>
      </c>
      <c r="X115" s="123">
        <f t="shared" si="32"/>
        <v>6.57</v>
      </c>
      <c r="Y115" s="123">
        <f t="shared" si="32"/>
        <v>6.57</v>
      </c>
      <c r="Z115" s="123">
        <f t="shared" si="32"/>
        <v>6.57</v>
      </c>
      <c r="AA115" s="123">
        <f t="shared" si="32"/>
        <v>6.57</v>
      </c>
      <c r="AB115" s="123">
        <f t="shared" si="32"/>
        <v>6.57</v>
      </c>
      <c r="AC115" s="123">
        <f t="shared" si="32"/>
        <v>6.57</v>
      </c>
      <c r="AD115" s="123">
        <f t="shared" si="32"/>
        <v>6.57</v>
      </c>
      <c r="AE115" s="123">
        <f t="shared" si="32"/>
        <v>6.57</v>
      </c>
      <c r="AF115" s="123">
        <f t="shared" si="32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0"/>
        <v>3.43</v>
      </c>
      <c r="C116" s="124">
        <v>3.43</v>
      </c>
      <c r="D116" s="123">
        <f t="shared" si="31"/>
        <v>3.43</v>
      </c>
      <c r="E116" s="123">
        <f t="shared" si="31"/>
        <v>3.43</v>
      </c>
      <c r="F116" s="123">
        <f t="shared" si="31"/>
        <v>3.43</v>
      </c>
      <c r="G116" s="123">
        <f t="shared" si="31"/>
        <v>3.43</v>
      </c>
      <c r="H116" s="123">
        <f t="shared" si="31"/>
        <v>3.43</v>
      </c>
      <c r="I116" s="123">
        <f t="shared" si="31"/>
        <v>3.43</v>
      </c>
      <c r="J116" s="123">
        <f t="shared" si="31"/>
        <v>3.43</v>
      </c>
      <c r="K116" s="123">
        <f t="shared" si="31"/>
        <v>3.43</v>
      </c>
      <c r="L116" s="123">
        <f t="shared" si="31"/>
        <v>3.43</v>
      </c>
      <c r="M116" s="123">
        <f t="shared" si="31"/>
        <v>3.43</v>
      </c>
      <c r="N116" s="123">
        <f t="shared" si="31"/>
        <v>3.43</v>
      </c>
      <c r="O116" s="123">
        <f t="shared" si="31"/>
        <v>3.43</v>
      </c>
      <c r="P116" s="123">
        <f t="shared" si="31"/>
        <v>3.43</v>
      </c>
      <c r="Q116" s="123">
        <f t="shared" si="31"/>
        <v>3.43</v>
      </c>
      <c r="R116" s="123">
        <f t="shared" si="31"/>
        <v>3.43</v>
      </c>
      <c r="S116" s="123">
        <f t="shared" si="31"/>
        <v>3.43</v>
      </c>
      <c r="T116" s="123">
        <f t="shared" si="32"/>
        <v>3.43</v>
      </c>
      <c r="U116" s="123">
        <f t="shared" si="32"/>
        <v>3.43</v>
      </c>
      <c r="V116" s="123">
        <f t="shared" si="32"/>
        <v>3.43</v>
      </c>
      <c r="W116" s="123">
        <f t="shared" si="32"/>
        <v>3.43</v>
      </c>
      <c r="X116" s="123">
        <f t="shared" si="32"/>
        <v>3.43</v>
      </c>
      <c r="Y116" s="123">
        <f t="shared" si="32"/>
        <v>3.43</v>
      </c>
      <c r="Z116" s="123">
        <f t="shared" si="32"/>
        <v>3.43</v>
      </c>
      <c r="AA116" s="123">
        <f t="shared" si="32"/>
        <v>3.43</v>
      </c>
      <c r="AB116" s="123">
        <f t="shared" si="32"/>
        <v>3.43</v>
      </c>
      <c r="AC116" s="123">
        <f t="shared" si="32"/>
        <v>3.43</v>
      </c>
      <c r="AD116" s="123">
        <f t="shared" si="32"/>
        <v>3.43</v>
      </c>
      <c r="AE116" s="123">
        <f t="shared" si="32"/>
        <v>3.43</v>
      </c>
      <c r="AF116" s="123">
        <f t="shared" si="32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0"/>
        <v>2.96</v>
      </c>
      <c r="C117" s="124">
        <v>2.96</v>
      </c>
      <c r="D117" s="123">
        <f t="shared" si="31"/>
        <v>2.96</v>
      </c>
      <c r="E117" s="123">
        <f t="shared" si="31"/>
        <v>2.96</v>
      </c>
      <c r="F117" s="123">
        <f t="shared" si="31"/>
        <v>2.96</v>
      </c>
      <c r="G117" s="123">
        <f t="shared" si="31"/>
        <v>2.96</v>
      </c>
      <c r="H117" s="123">
        <f t="shared" si="31"/>
        <v>2.96</v>
      </c>
      <c r="I117" s="123">
        <f t="shared" si="31"/>
        <v>2.96</v>
      </c>
      <c r="J117" s="123">
        <f t="shared" si="31"/>
        <v>2.96</v>
      </c>
      <c r="K117" s="123">
        <f t="shared" si="31"/>
        <v>2.96</v>
      </c>
      <c r="L117" s="123">
        <f t="shared" si="31"/>
        <v>2.96</v>
      </c>
      <c r="M117" s="123">
        <f t="shared" si="31"/>
        <v>2.96</v>
      </c>
      <c r="N117" s="123">
        <f t="shared" si="31"/>
        <v>2.96</v>
      </c>
      <c r="O117" s="123">
        <f t="shared" si="31"/>
        <v>2.96</v>
      </c>
      <c r="P117" s="123">
        <f t="shared" si="31"/>
        <v>2.96</v>
      </c>
      <c r="Q117" s="123">
        <f t="shared" si="31"/>
        <v>2.96</v>
      </c>
      <c r="R117" s="123">
        <f t="shared" si="31"/>
        <v>2.96</v>
      </c>
      <c r="S117" s="123">
        <f t="shared" si="31"/>
        <v>2.96</v>
      </c>
      <c r="T117" s="123">
        <f t="shared" si="32"/>
        <v>2.96</v>
      </c>
      <c r="U117" s="123">
        <f t="shared" si="32"/>
        <v>2.96</v>
      </c>
      <c r="V117" s="123">
        <f t="shared" si="32"/>
        <v>2.96</v>
      </c>
      <c r="W117" s="123">
        <f t="shared" si="32"/>
        <v>2.96</v>
      </c>
      <c r="X117" s="123">
        <f t="shared" si="32"/>
        <v>2.96</v>
      </c>
      <c r="Y117" s="123">
        <f t="shared" si="32"/>
        <v>2.96</v>
      </c>
      <c r="Z117" s="123">
        <f t="shared" si="32"/>
        <v>2.96</v>
      </c>
      <c r="AA117" s="123">
        <f t="shared" si="32"/>
        <v>2.96</v>
      </c>
      <c r="AB117" s="123">
        <f t="shared" si="32"/>
        <v>2.96</v>
      </c>
      <c r="AC117" s="123">
        <f t="shared" si="32"/>
        <v>2.96</v>
      </c>
      <c r="AD117" s="123">
        <f t="shared" si="32"/>
        <v>2.96</v>
      </c>
      <c r="AE117" s="123">
        <f t="shared" si="32"/>
        <v>2.96</v>
      </c>
      <c r="AF117" s="123">
        <f t="shared" si="32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0"/>
        <v>8</v>
      </c>
      <c r="C118" s="124">
        <v>8</v>
      </c>
      <c r="D118" s="123">
        <f t="shared" si="31"/>
        <v>8</v>
      </c>
      <c r="E118" s="123">
        <f t="shared" si="31"/>
        <v>8</v>
      </c>
      <c r="F118" s="123">
        <f t="shared" si="31"/>
        <v>8</v>
      </c>
      <c r="G118" s="123">
        <f t="shared" si="31"/>
        <v>8</v>
      </c>
      <c r="H118" s="123">
        <f t="shared" si="31"/>
        <v>8</v>
      </c>
      <c r="I118" s="123">
        <f t="shared" si="31"/>
        <v>8</v>
      </c>
      <c r="J118" s="123">
        <f t="shared" si="31"/>
        <v>8</v>
      </c>
      <c r="K118" s="123">
        <f t="shared" si="31"/>
        <v>8</v>
      </c>
      <c r="L118" s="123">
        <f t="shared" si="31"/>
        <v>8</v>
      </c>
      <c r="M118" s="123">
        <f t="shared" si="31"/>
        <v>8</v>
      </c>
      <c r="N118" s="123">
        <f t="shared" si="31"/>
        <v>8</v>
      </c>
      <c r="O118" s="123">
        <f t="shared" si="31"/>
        <v>8</v>
      </c>
      <c r="P118" s="123">
        <f t="shared" si="31"/>
        <v>8</v>
      </c>
      <c r="Q118" s="123">
        <f t="shared" si="31"/>
        <v>8</v>
      </c>
      <c r="R118" s="123">
        <f t="shared" si="31"/>
        <v>8</v>
      </c>
      <c r="S118" s="123">
        <f t="shared" si="31"/>
        <v>8</v>
      </c>
      <c r="T118" s="123">
        <f t="shared" si="32"/>
        <v>8</v>
      </c>
      <c r="U118" s="123">
        <f t="shared" si="32"/>
        <v>8</v>
      </c>
      <c r="V118" s="123">
        <f t="shared" si="32"/>
        <v>8</v>
      </c>
      <c r="W118" s="123">
        <f t="shared" si="32"/>
        <v>8</v>
      </c>
      <c r="X118" s="123">
        <f t="shared" si="32"/>
        <v>8</v>
      </c>
      <c r="Y118" s="123">
        <f t="shared" si="32"/>
        <v>8</v>
      </c>
      <c r="Z118" s="123">
        <f t="shared" si="32"/>
        <v>8</v>
      </c>
      <c r="AA118" s="123">
        <f t="shared" si="32"/>
        <v>8</v>
      </c>
      <c r="AB118" s="123">
        <f t="shared" si="32"/>
        <v>8</v>
      </c>
      <c r="AC118" s="123">
        <f t="shared" si="32"/>
        <v>8</v>
      </c>
      <c r="AD118" s="123">
        <f t="shared" si="32"/>
        <v>8</v>
      </c>
      <c r="AE118" s="123">
        <f t="shared" si="32"/>
        <v>8</v>
      </c>
      <c r="AF118" s="123">
        <f t="shared" si="32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0"/>
        <v>7</v>
      </c>
      <c r="C119" s="124">
        <v>7</v>
      </c>
      <c r="D119" s="123">
        <f>C119</f>
        <v>7</v>
      </c>
      <c r="E119" s="123">
        <f t="shared" si="31"/>
        <v>7</v>
      </c>
      <c r="F119" s="123">
        <f t="shared" si="31"/>
        <v>7</v>
      </c>
      <c r="G119" s="123">
        <f t="shared" si="31"/>
        <v>7</v>
      </c>
      <c r="H119" s="123">
        <f t="shared" si="31"/>
        <v>7</v>
      </c>
      <c r="I119" s="123">
        <f t="shared" si="31"/>
        <v>7</v>
      </c>
      <c r="J119" s="123">
        <f t="shared" si="31"/>
        <v>7</v>
      </c>
      <c r="K119" s="123">
        <f t="shared" si="31"/>
        <v>7</v>
      </c>
      <c r="L119" s="123">
        <f t="shared" si="31"/>
        <v>7</v>
      </c>
      <c r="M119" s="123">
        <f t="shared" si="31"/>
        <v>7</v>
      </c>
      <c r="N119" s="123">
        <f t="shared" si="31"/>
        <v>7</v>
      </c>
      <c r="O119" s="123">
        <f t="shared" si="31"/>
        <v>7</v>
      </c>
      <c r="P119" s="123">
        <f t="shared" si="31"/>
        <v>7</v>
      </c>
      <c r="Q119" s="123">
        <f t="shared" si="31"/>
        <v>7</v>
      </c>
      <c r="R119" s="123">
        <f t="shared" si="31"/>
        <v>7</v>
      </c>
      <c r="S119" s="123">
        <f t="shared" si="31"/>
        <v>7</v>
      </c>
      <c r="T119" s="123">
        <f t="shared" si="32"/>
        <v>7</v>
      </c>
      <c r="U119" s="123">
        <f t="shared" si="32"/>
        <v>7</v>
      </c>
      <c r="V119" s="123">
        <f t="shared" si="32"/>
        <v>7</v>
      </c>
      <c r="W119" s="123">
        <f t="shared" si="32"/>
        <v>7</v>
      </c>
      <c r="X119" s="123">
        <f t="shared" si="32"/>
        <v>7</v>
      </c>
      <c r="Y119" s="123">
        <f t="shared" si="32"/>
        <v>7</v>
      </c>
      <c r="Z119" s="123">
        <f t="shared" si="32"/>
        <v>7</v>
      </c>
      <c r="AA119" s="123">
        <f t="shared" si="32"/>
        <v>7</v>
      </c>
      <c r="AB119" s="123">
        <f t="shared" si="32"/>
        <v>7</v>
      </c>
      <c r="AC119" s="123">
        <f t="shared" si="32"/>
        <v>7</v>
      </c>
      <c r="AD119" s="123">
        <f t="shared" si="32"/>
        <v>7</v>
      </c>
      <c r="AE119" s="123">
        <f t="shared" si="32"/>
        <v>7</v>
      </c>
      <c r="AF119" s="123">
        <f t="shared" si="32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0"/>
        <v>3.47</v>
      </c>
      <c r="C120" s="124">
        <v>3.47</v>
      </c>
      <c r="D120" s="123">
        <f t="shared" ref="D120:S129" si="33">C120</f>
        <v>3.47</v>
      </c>
      <c r="E120" s="123">
        <f t="shared" si="33"/>
        <v>3.47</v>
      </c>
      <c r="F120" s="123">
        <f t="shared" si="33"/>
        <v>3.47</v>
      </c>
      <c r="G120" s="123">
        <f t="shared" si="33"/>
        <v>3.47</v>
      </c>
      <c r="H120" s="123">
        <f t="shared" si="33"/>
        <v>3.47</v>
      </c>
      <c r="I120" s="123">
        <f t="shared" si="33"/>
        <v>3.47</v>
      </c>
      <c r="J120" s="123">
        <f t="shared" si="33"/>
        <v>3.47</v>
      </c>
      <c r="K120" s="123">
        <f t="shared" si="33"/>
        <v>3.47</v>
      </c>
      <c r="L120" s="123">
        <f t="shared" si="33"/>
        <v>3.47</v>
      </c>
      <c r="M120" s="123">
        <f t="shared" si="33"/>
        <v>3.47</v>
      </c>
      <c r="N120" s="123">
        <f t="shared" si="33"/>
        <v>3.47</v>
      </c>
      <c r="O120" s="123">
        <f t="shared" si="33"/>
        <v>3.47</v>
      </c>
      <c r="P120" s="123">
        <f t="shared" si="33"/>
        <v>3.47</v>
      </c>
      <c r="Q120" s="123">
        <f t="shared" si="33"/>
        <v>3.47</v>
      </c>
      <c r="R120" s="123">
        <f t="shared" si="33"/>
        <v>3.47</v>
      </c>
      <c r="S120" s="123">
        <f t="shared" si="33"/>
        <v>3.47</v>
      </c>
      <c r="T120" s="123">
        <f t="shared" si="32"/>
        <v>3.47</v>
      </c>
      <c r="U120" s="123">
        <f t="shared" si="32"/>
        <v>3.47</v>
      </c>
      <c r="V120" s="123">
        <f t="shared" si="32"/>
        <v>3.47</v>
      </c>
      <c r="W120" s="123">
        <f t="shared" si="32"/>
        <v>3.47</v>
      </c>
      <c r="X120" s="123">
        <f t="shared" si="32"/>
        <v>3.47</v>
      </c>
      <c r="Y120" s="123">
        <f t="shared" si="32"/>
        <v>3.47</v>
      </c>
      <c r="Z120" s="123">
        <f t="shared" si="32"/>
        <v>3.47</v>
      </c>
      <c r="AA120" s="123">
        <f t="shared" si="32"/>
        <v>3.47</v>
      </c>
      <c r="AB120" s="123">
        <f t="shared" si="32"/>
        <v>3.47</v>
      </c>
      <c r="AC120" s="123">
        <f t="shared" si="32"/>
        <v>3.47</v>
      </c>
      <c r="AD120" s="123">
        <f t="shared" si="32"/>
        <v>3.47</v>
      </c>
      <c r="AE120" s="123">
        <f t="shared" si="32"/>
        <v>3.47</v>
      </c>
      <c r="AF120" s="123">
        <f t="shared" si="32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0"/>
        <v>2.1</v>
      </c>
      <c r="C121" s="124">
        <v>2.1</v>
      </c>
      <c r="D121" s="123">
        <f t="shared" si="33"/>
        <v>2.1</v>
      </c>
      <c r="E121" s="123">
        <f t="shared" si="33"/>
        <v>2.1</v>
      </c>
      <c r="F121" s="123">
        <f t="shared" si="33"/>
        <v>2.1</v>
      </c>
      <c r="G121" s="123">
        <f t="shared" si="33"/>
        <v>2.1</v>
      </c>
      <c r="H121" s="123">
        <f t="shared" si="33"/>
        <v>2.1</v>
      </c>
      <c r="I121" s="123">
        <f t="shared" si="33"/>
        <v>2.1</v>
      </c>
      <c r="J121" s="123">
        <f t="shared" si="33"/>
        <v>2.1</v>
      </c>
      <c r="K121" s="123">
        <f t="shared" si="33"/>
        <v>2.1</v>
      </c>
      <c r="L121" s="123">
        <f t="shared" si="33"/>
        <v>2.1</v>
      </c>
      <c r="M121" s="123">
        <f t="shared" si="33"/>
        <v>2.1</v>
      </c>
      <c r="N121" s="123">
        <f t="shared" si="33"/>
        <v>2.1</v>
      </c>
      <c r="O121" s="123">
        <f t="shared" si="33"/>
        <v>2.1</v>
      </c>
      <c r="P121" s="123">
        <f t="shared" si="33"/>
        <v>2.1</v>
      </c>
      <c r="Q121" s="123">
        <f t="shared" si="33"/>
        <v>2.1</v>
      </c>
      <c r="R121" s="123">
        <f t="shared" si="33"/>
        <v>2.1</v>
      </c>
      <c r="S121" s="123">
        <f t="shared" si="33"/>
        <v>2.1</v>
      </c>
      <c r="T121" s="123">
        <f t="shared" si="32"/>
        <v>2.1</v>
      </c>
      <c r="U121" s="123">
        <f t="shared" si="32"/>
        <v>2.1</v>
      </c>
      <c r="V121" s="123">
        <f t="shared" si="32"/>
        <v>2.1</v>
      </c>
      <c r="W121" s="123">
        <f t="shared" si="32"/>
        <v>2.1</v>
      </c>
      <c r="X121" s="123">
        <f t="shared" si="32"/>
        <v>2.1</v>
      </c>
      <c r="Y121" s="123">
        <f t="shared" si="32"/>
        <v>2.1</v>
      </c>
      <c r="Z121" s="123">
        <f t="shared" si="32"/>
        <v>2.1</v>
      </c>
      <c r="AA121" s="123">
        <f t="shared" si="32"/>
        <v>2.1</v>
      </c>
      <c r="AB121" s="123">
        <f t="shared" si="32"/>
        <v>2.1</v>
      </c>
      <c r="AC121" s="123">
        <f t="shared" si="32"/>
        <v>2.1</v>
      </c>
      <c r="AD121" s="123">
        <f t="shared" si="32"/>
        <v>2.1</v>
      </c>
      <c r="AE121" s="123">
        <f t="shared" si="32"/>
        <v>2.1</v>
      </c>
      <c r="AF121" s="123">
        <f t="shared" si="32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0"/>
        <v>9.3000000000000007</v>
      </c>
      <c r="C122" s="124">
        <v>9.3000000000000007</v>
      </c>
      <c r="D122" s="123">
        <f t="shared" si="33"/>
        <v>9.3000000000000007</v>
      </c>
      <c r="E122" s="123">
        <f t="shared" si="33"/>
        <v>9.3000000000000007</v>
      </c>
      <c r="F122" s="123">
        <f t="shared" si="33"/>
        <v>9.3000000000000007</v>
      </c>
      <c r="G122" s="123">
        <f t="shared" si="33"/>
        <v>9.3000000000000007</v>
      </c>
      <c r="H122" s="123">
        <f t="shared" si="33"/>
        <v>9.3000000000000007</v>
      </c>
      <c r="I122" s="123">
        <f t="shared" si="33"/>
        <v>9.3000000000000007</v>
      </c>
      <c r="J122" s="123">
        <f t="shared" si="33"/>
        <v>9.3000000000000007</v>
      </c>
      <c r="K122" s="123">
        <f t="shared" si="33"/>
        <v>9.3000000000000007</v>
      </c>
      <c r="L122" s="123">
        <f t="shared" si="33"/>
        <v>9.3000000000000007</v>
      </c>
      <c r="M122" s="123">
        <f t="shared" si="33"/>
        <v>9.3000000000000007</v>
      </c>
      <c r="N122" s="123">
        <f t="shared" si="33"/>
        <v>9.3000000000000007</v>
      </c>
      <c r="O122" s="123">
        <f t="shared" si="33"/>
        <v>9.3000000000000007</v>
      </c>
      <c r="P122" s="123">
        <f t="shared" si="33"/>
        <v>9.3000000000000007</v>
      </c>
      <c r="Q122" s="123">
        <f t="shared" si="33"/>
        <v>9.3000000000000007</v>
      </c>
      <c r="R122" s="123">
        <f t="shared" si="33"/>
        <v>9.3000000000000007</v>
      </c>
      <c r="S122" s="123">
        <f t="shared" si="33"/>
        <v>9.3000000000000007</v>
      </c>
      <c r="T122" s="123">
        <f t="shared" si="32"/>
        <v>9.3000000000000007</v>
      </c>
      <c r="U122" s="123">
        <f t="shared" si="32"/>
        <v>9.3000000000000007</v>
      </c>
      <c r="V122" s="123">
        <f t="shared" si="32"/>
        <v>9.3000000000000007</v>
      </c>
      <c r="W122" s="123">
        <f t="shared" si="32"/>
        <v>9.3000000000000007</v>
      </c>
      <c r="X122" s="123">
        <f t="shared" si="32"/>
        <v>9.3000000000000007</v>
      </c>
      <c r="Y122" s="123">
        <f t="shared" si="32"/>
        <v>9.3000000000000007</v>
      </c>
      <c r="Z122" s="123">
        <f t="shared" si="32"/>
        <v>9.3000000000000007</v>
      </c>
      <c r="AA122" s="123">
        <f t="shared" si="32"/>
        <v>9.3000000000000007</v>
      </c>
      <c r="AB122" s="123">
        <f t="shared" si="32"/>
        <v>9.3000000000000007</v>
      </c>
      <c r="AC122" s="123">
        <f t="shared" si="32"/>
        <v>9.3000000000000007</v>
      </c>
      <c r="AD122" s="123">
        <f t="shared" si="32"/>
        <v>9.3000000000000007</v>
      </c>
      <c r="AE122" s="123">
        <f t="shared" si="32"/>
        <v>9.3000000000000007</v>
      </c>
      <c r="AF122" s="123">
        <f t="shared" si="32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0"/>
        <v>0</v>
      </c>
      <c r="C123" s="124">
        <v>0</v>
      </c>
      <c r="D123" s="123">
        <f t="shared" si="33"/>
        <v>0</v>
      </c>
      <c r="E123" s="123">
        <f t="shared" si="33"/>
        <v>0</v>
      </c>
      <c r="F123" s="123">
        <f t="shared" si="33"/>
        <v>0</v>
      </c>
      <c r="G123" s="123">
        <f t="shared" si="33"/>
        <v>0</v>
      </c>
      <c r="H123" s="123">
        <f t="shared" si="33"/>
        <v>0</v>
      </c>
      <c r="I123" s="123">
        <f t="shared" si="33"/>
        <v>0</v>
      </c>
      <c r="J123" s="123">
        <f t="shared" si="33"/>
        <v>0</v>
      </c>
      <c r="K123" s="123">
        <f t="shared" si="33"/>
        <v>0</v>
      </c>
      <c r="L123" s="123">
        <f t="shared" si="33"/>
        <v>0</v>
      </c>
      <c r="M123" s="123">
        <f t="shared" si="33"/>
        <v>0</v>
      </c>
      <c r="N123" s="123">
        <f t="shared" si="33"/>
        <v>0</v>
      </c>
      <c r="O123" s="123">
        <f t="shared" si="33"/>
        <v>0</v>
      </c>
      <c r="P123" s="123">
        <f t="shared" si="33"/>
        <v>0</v>
      </c>
      <c r="Q123" s="123">
        <f t="shared" si="33"/>
        <v>0</v>
      </c>
      <c r="R123" s="123">
        <f t="shared" si="33"/>
        <v>0</v>
      </c>
      <c r="S123" s="123">
        <f t="shared" si="33"/>
        <v>0</v>
      </c>
      <c r="T123" s="123">
        <f t="shared" si="32"/>
        <v>0</v>
      </c>
      <c r="U123" s="123">
        <f t="shared" si="32"/>
        <v>0</v>
      </c>
      <c r="V123" s="123">
        <f t="shared" si="32"/>
        <v>0</v>
      </c>
      <c r="W123" s="123">
        <f t="shared" si="32"/>
        <v>0</v>
      </c>
      <c r="X123" s="123">
        <f t="shared" si="32"/>
        <v>0</v>
      </c>
      <c r="Y123" s="123">
        <f t="shared" si="32"/>
        <v>0</v>
      </c>
      <c r="Z123" s="123">
        <f t="shared" si="32"/>
        <v>0</v>
      </c>
      <c r="AA123" s="123">
        <f t="shared" si="32"/>
        <v>0</v>
      </c>
      <c r="AB123" s="123">
        <f t="shared" si="32"/>
        <v>0</v>
      </c>
      <c r="AC123" s="123">
        <f t="shared" si="32"/>
        <v>0</v>
      </c>
      <c r="AD123" s="123">
        <f t="shared" si="32"/>
        <v>0</v>
      </c>
      <c r="AE123" s="123">
        <f t="shared" si="32"/>
        <v>0</v>
      </c>
      <c r="AF123" s="123">
        <f t="shared" si="32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0"/>
        <v>;/</v>
      </c>
      <c r="C125" s="124">
        <v>5</v>
      </c>
      <c r="D125" s="123">
        <f t="shared" si="33"/>
        <v>5</v>
      </c>
      <c r="E125" s="123">
        <f t="shared" si="33"/>
        <v>5</v>
      </c>
      <c r="F125" s="123">
        <f t="shared" si="33"/>
        <v>5</v>
      </c>
      <c r="G125" s="123">
        <f t="shared" si="33"/>
        <v>5</v>
      </c>
      <c r="H125" s="123">
        <f t="shared" si="33"/>
        <v>5</v>
      </c>
      <c r="I125" s="123" t="s">
        <v>131</v>
      </c>
      <c r="J125" s="123" t="str">
        <f t="shared" si="33"/>
        <v>;/</v>
      </c>
      <c r="K125" s="123" t="str">
        <f t="shared" si="33"/>
        <v>;/</v>
      </c>
      <c r="L125" s="123" t="str">
        <f t="shared" si="33"/>
        <v>;/</v>
      </c>
      <c r="M125" s="123" t="str">
        <f t="shared" si="33"/>
        <v>;/</v>
      </c>
      <c r="N125" s="123" t="str">
        <f t="shared" si="33"/>
        <v>;/</v>
      </c>
      <c r="O125" s="123" t="str">
        <f t="shared" si="33"/>
        <v>;/</v>
      </c>
      <c r="P125" s="123" t="str">
        <f t="shared" si="33"/>
        <v>;/</v>
      </c>
      <c r="Q125" s="123" t="str">
        <f t="shared" si="33"/>
        <v>;/</v>
      </c>
      <c r="R125" s="123" t="str">
        <f t="shared" si="33"/>
        <v>;/</v>
      </c>
      <c r="S125" s="123" t="str">
        <f t="shared" si="33"/>
        <v>;/</v>
      </c>
      <c r="T125" s="123" t="str">
        <f t="shared" si="32"/>
        <v>;/</v>
      </c>
      <c r="U125" s="123" t="str">
        <f t="shared" si="32"/>
        <v>;/</v>
      </c>
      <c r="V125" s="123" t="str">
        <f t="shared" si="32"/>
        <v>;/</v>
      </c>
      <c r="W125" s="123" t="str">
        <f t="shared" si="32"/>
        <v>;/</v>
      </c>
      <c r="X125" s="123" t="str">
        <f t="shared" si="32"/>
        <v>;/</v>
      </c>
      <c r="Y125" s="123" t="str">
        <f t="shared" si="32"/>
        <v>;/</v>
      </c>
      <c r="Z125" s="123" t="str">
        <f t="shared" si="32"/>
        <v>;/</v>
      </c>
      <c r="AA125" s="123" t="str">
        <f t="shared" si="32"/>
        <v>;/</v>
      </c>
      <c r="AB125" s="123" t="str">
        <f t="shared" si="32"/>
        <v>;/</v>
      </c>
      <c r="AC125" s="123" t="str">
        <f t="shared" si="32"/>
        <v>;/</v>
      </c>
      <c r="AD125" s="123" t="str">
        <f t="shared" si="32"/>
        <v>;/</v>
      </c>
      <c r="AE125" s="123" t="str">
        <f t="shared" si="32"/>
        <v>;/</v>
      </c>
      <c r="AF125" s="123" t="str">
        <f t="shared" si="32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0"/>
        <v>1</v>
      </c>
      <c r="C126" s="124">
        <v>1</v>
      </c>
      <c r="D126" s="123">
        <f t="shared" si="33"/>
        <v>1</v>
      </c>
      <c r="E126" s="123">
        <f t="shared" si="33"/>
        <v>1</v>
      </c>
      <c r="F126" s="123">
        <f t="shared" si="33"/>
        <v>1</v>
      </c>
      <c r="G126" s="123">
        <f t="shared" si="33"/>
        <v>1</v>
      </c>
      <c r="H126" s="123">
        <f t="shared" si="33"/>
        <v>1</v>
      </c>
      <c r="I126" s="123">
        <f t="shared" si="33"/>
        <v>1</v>
      </c>
      <c r="J126" s="123">
        <f t="shared" si="33"/>
        <v>1</v>
      </c>
      <c r="K126" s="123">
        <f t="shared" si="33"/>
        <v>1</v>
      </c>
      <c r="L126" s="123">
        <f t="shared" si="33"/>
        <v>1</v>
      </c>
      <c r="M126" s="123">
        <f t="shared" si="33"/>
        <v>1</v>
      </c>
      <c r="N126" s="123">
        <f t="shared" si="33"/>
        <v>1</v>
      </c>
      <c r="O126" s="123">
        <f t="shared" si="33"/>
        <v>1</v>
      </c>
      <c r="P126" s="123">
        <f t="shared" si="33"/>
        <v>1</v>
      </c>
      <c r="Q126" s="123">
        <f t="shared" si="33"/>
        <v>1</v>
      </c>
      <c r="R126" s="123">
        <f t="shared" si="33"/>
        <v>1</v>
      </c>
      <c r="S126" s="123">
        <f t="shared" si="33"/>
        <v>1</v>
      </c>
      <c r="T126" s="123">
        <f t="shared" si="32"/>
        <v>1</v>
      </c>
      <c r="U126" s="123">
        <f t="shared" si="32"/>
        <v>1</v>
      </c>
      <c r="V126" s="123">
        <f t="shared" si="32"/>
        <v>1</v>
      </c>
      <c r="W126" s="123">
        <f t="shared" si="32"/>
        <v>1</v>
      </c>
      <c r="X126" s="123">
        <f t="shared" si="32"/>
        <v>1</v>
      </c>
      <c r="Y126" s="123">
        <f t="shared" si="32"/>
        <v>1</v>
      </c>
      <c r="Z126" s="123">
        <f t="shared" si="32"/>
        <v>1</v>
      </c>
      <c r="AA126" s="123">
        <f t="shared" si="32"/>
        <v>1</v>
      </c>
      <c r="AB126" s="123">
        <f t="shared" si="32"/>
        <v>1</v>
      </c>
      <c r="AC126" s="123">
        <f t="shared" si="32"/>
        <v>1</v>
      </c>
      <c r="AD126" s="123">
        <f t="shared" si="32"/>
        <v>1</v>
      </c>
      <c r="AE126" s="123">
        <f t="shared" si="32"/>
        <v>1</v>
      </c>
      <c r="AF126" s="123">
        <f t="shared" si="32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0"/>
        <v>1.58</v>
      </c>
      <c r="C127" s="124">
        <v>1.58</v>
      </c>
      <c r="D127" s="123">
        <f t="shared" si="33"/>
        <v>1.58</v>
      </c>
      <c r="E127" s="123">
        <f t="shared" si="33"/>
        <v>1.58</v>
      </c>
      <c r="F127" s="123">
        <f t="shared" si="33"/>
        <v>1.58</v>
      </c>
      <c r="G127" s="123">
        <f t="shared" si="33"/>
        <v>1.58</v>
      </c>
      <c r="H127" s="123">
        <f t="shared" si="33"/>
        <v>1.58</v>
      </c>
      <c r="I127" s="123">
        <f t="shared" si="33"/>
        <v>1.58</v>
      </c>
      <c r="J127" s="123">
        <f t="shared" si="33"/>
        <v>1.58</v>
      </c>
      <c r="K127" s="123">
        <f t="shared" si="33"/>
        <v>1.58</v>
      </c>
      <c r="L127" s="123">
        <f t="shared" si="33"/>
        <v>1.58</v>
      </c>
      <c r="M127" s="123">
        <f t="shared" si="33"/>
        <v>1.58</v>
      </c>
      <c r="N127" s="123">
        <f t="shared" si="33"/>
        <v>1.58</v>
      </c>
      <c r="O127" s="123">
        <f t="shared" si="33"/>
        <v>1.58</v>
      </c>
      <c r="P127" s="123">
        <f t="shared" si="33"/>
        <v>1.58</v>
      </c>
      <c r="Q127" s="123">
        <f t="shared" si="33"/>
        <v>1.58</v>
      </c>
      <c r="R127" s="123">
        <f t="shared" si="33"/>
        <v>1.58</v>
      </c>
      <c r="S127" s="123">
        <f t="shared" si="33"/>
        <v>1.58</v>
      </c>
      <c r="T127" s="123">
        <f t="shared" si="32"/>
        <v>1.58</v>
      </c>
      <c r="U127" s="123">
        <f t="shared" si="32"/>
        <v>1.58</v>
      </c>
      <c r="V127" s="123">
        <f t="shared" si="32"/>
        <v>1.58</v>
      </c>
      <c r="W127" s="123">
        <f t="shared" si="32"/>
        <v>1.58</v>
      </c>
      <c r="X127" s="123">
        <f t="shared" si="32"/>
        <v>1.58</v>
      </c>
      <c r="Y127" s="123">
        <f t="shared" si="32"/>
        <v>1.58</v>
      </c>
      <c r="Z127" s="123">
        <f t="shared" si="32"/>
        <v>1.58</v>
      </c>
      <c r="AA127" s="123">
        <f t="shared" si="32"/>
        <v>1.58</v>
      </c>
      <c r="AB127" s="123">
        <f t="shared" si="32"/>
        <v>1.58</v>
      </c>
      <c r="AC127" s="123">
        <f t="shared" si="32"/>
        <v>1.58</v>
      </c>
      <c r="AD127" s="123">
        <f t="shared" si="32"/>
        <v>1.58</v>
      </c>
      <c r="AE127" s="123">
        <f t="shared" si="32"/>
        <v>1.58</v>
      </c>
      <c r="AF127" s="123">
        <f t="shared" si="32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0"/>
        <v>1.46</v>
      </c>
      <c r="C128" s="124">
        <v>1.46</v>
      </c>
      <c r="D128" s="123">
        <f t="shared" si="33"/>
        <v>1.46</v>
      </c>
      <c r="E128" s="123">
        <f t="shared" si="33"/>
        <v>1.46</v>
      </c>
      <c r="F128" s="123">
        <f t="shared" si="33"/>
        <v>1.46</v>
      </c>
      <c r="G128" s="123">
        <f t="shared" si="33"/>
        <v>1.46</v>
      </c>
      <c r="H128" s="123">
        <f t="shared" si="33"/>
        <v>1.46</v>
      </c>
      <c r="I128" s="123">
        <f t="shared" si="33"/>
        <v>1.46</v>
      </c>
      <c r="J128" s="123">
        <f t="shared" si="33"/>
        <v>1.46</v>
      </c>
      <c r="K128" s="123">
        <f t="shared" si="33"/>
        <v>1.46</v>
      </c>
      <c r="L128" s="123">
        <f t="shared" si="33"/>
        <v>1.46</v>
      </c>
      <c r="M128" s="123">
        <f t="shared" si="33"/>
        <v>1.46</v>
      </c>
      <c r="N128" s="123">
        <f t="shared" si="33"/>
        <v>1.46</v>
      </c>
      <c r="O128" s="123">
        <f t="shared" si="33"/>
        <v>1.46</v>
      </c>
      <c r="P128" s="123">
        <f t="shared" si="33"/>
        <v>1.46</v>
      </c>
      <c r="Q128" s="123">
        <f t="shared" si="33"/>
        <v>1.46</v>
      </c>
      <c r="R128" s="123">
        <f t="shared" si="33"/>
        <v>1.46</v>
      </c>
      <c r="S128" s="123">
        <f t="shared" si="33"/>
        <v>1.46</v>
      </c>
      <c r="T128" s="123">
        <f t="shared" ref="T128:AF129" si="34">S128</f>
        <v>1.46</v>
      </c>
      <c r="U128" s="123">
        <f t="shared" si="34"/>
        <v>1.46</v>
      </c>
      <c r="V128" s="123">
        <f t="shared" si="34"/>
        <v>1.46</v>
      </c>
      <c r="W128" s="123">
        <f t="shared" si="34"/>
        <v>1.46</v>
      </c>
      <c r="X128" s="123">
        <f t="shared" si="34"/>
        <v>1.46</v>
      </c>
      <c r="Y128" s="123">
        <f t="shared" si="34"/>
        <v>1.46</v>
      </c>
      <c r="Z128" s="123">
        <f t="shared" si="34"/>
        <v>1.46</v>
      </c>
      <c r="AA128" s="123">
        <f t="shared" si="34"/>
        <v>1.46</v>
      </c>
      <c r="AB128" s="123">
        <f t="shared" si="34"/>
        <v>1.46</v>
      </c>
      <c r="AC128" s="123">
        <f t="shared" si="34"/>
        <v>1.46</v>
      </c>
      <c r="AD128" s="123">
        <f t="shared" si="34"/>
        <v>1.46</v>
      </c>
      <c r="AE128" s="123">
        <f t="shared" si="34"/>
        <v>1.46</v>
      </c>
      <c r="AF128" s="123">
        <f t="shared" si="34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0"/>
        <v>1.48</v>
      </c>
      <c r="C129" s="124">
        <v>1.48</v>
      </c>
      <c r="D129" s="123">
        <f t="shared" si="33"/>
        <v>1.48</v>
      </c>
      <c r="E129" s="123">
        <f t="shared" si="33"/>
        <v>1.48</v>
      </c>
      <c r="F129" s="123">
        <f t="shared" si="33"/>
        <v>1.48</v>
      </c>
      <c r="G129" s="123">
        <f t="shared" si="33"/>
        <v>1.48</v>
      </c>
      <c r="H129" s="123">
        <f t="shared" si="33"/>
        <v>1.48</v>
      </c>
      <c r="I129" s="123">
        <f t="shared" si="33"/>
        <v>1.48</v>
      </c>
      <c r="J129" s="123">
        <f t="shared" si="33"/>
        <v>1.48</v>
      </c>
      <c r="K129" s="123">
        <f t="shared" si="33"/>
        <v>1.48</v>
      </c>
      <c r="L129" s="123">
        <f t="shared" si="33"/>
        <v>1.48</v>
      </c>
      <c r="M129" s="123">
        <f t="shared" si="33"/>
        <v>1.48</v>
      </c>
      <c r="N129" s="123">
        <f t="shared" si="33"/>
        <v>1.48</v>
      </c>
      <c r="O129" s="123">
        <f t="shared" si="33"/>
        <v>1.48</v>
      </c>
      <c r="P129" s="123">
        <f t="shared" si="33"/>
        <v>1.48</v>
      </c>
      <c r="Q129" s="123">
        <f t="shared" si="33"/>
        <v>1.48</v>
      </c>
      <c r="R129" s="123">
        <f t="shared" si="33"/>
        <v>1.48</v>
      </c>
      <c r="S129" s="123">
        <f t="shared" si="33"/>
        <v>1.48</v>
      </c>
      <c r="T129" s="123">
        <f t="shared" si="34"/>
        <v>1.48</v>
      </c>
      <c r="U129" s="123">
        <f t="shared" si="34"/>
        <v>1.48</v>
      </c>
      <c r="V129" s="123">
        <f t="shared" si="34"/>
        <v>1.48</v>
      </c>
      <c r="W129" s="123">
        <f t="shared" si="34"/>
        <v>1.48</v>
      </c>
      <c r="X129" s="123">
        <f t="shared" si="34"/>
        <v>1.48</v>
      </c>
      <c r="Y129" s="123">
        <f t="shared" si="34"/>
        <v>1.48</v>
      </c>
      <c r="Z129" s="123">
        <f t="shared" si="34"/>
        <v>1.48</v>
      </c>
      <c r="AA129" s="123">
        <f t="shared" si="34"/>
        <v>1.48</v>
      </c>
      <c r="AB129" s="123">
        <f t="shared" si="34"/>
        <v>1.48</v>
      </c>
      <c r="AC129" s="123">
        <f t="shared" si="34"/>
        <v>1.48</v>
      </c>
      <c r="AD129" s="123">
        <f t="shared" si="34"/>
        <v>1.48</v>
      </c>
      <c r="AE129" s="123">
        <f t="shared" si="34"/>
        <v>1.48</v>
      </c>
      <c r="AF129" s="123">
        <f t="shared" si="34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5">AF131</f>
        <v>2.2000000000000002</v>
      </c>
      <c r="C131" s="124">
        <v>2.2000000000000002</v>
      </c>
      <c r="D131" s="123">
        <f t="shared" ref="D131:S138" si="36">C131</f>
        <v>2.2000000000000002</v>
      </c>
      <c r="E131" s="123">
        <f t="shared" si="36"/>
        <v>2.2000000000000002</v>
      </c>
      <c r="F131" s="123">
        <f t="shared" si="36"/>
        <v>2.2000000000000002</v>
      </c>
      <c r="G131" s="123">
        <f t="shared" si="36"/>
        <v>2.2000000000000002</v>
      </c>
      <c r="H131" s="123">
        <f t="shared" si="36"/>
        <v>2.2000000000000002</v>
      </c>
      <c r="I131" s="123">
        <f t="shared" si="36"/>
        <v>2.2000000000000002</v>
      </c>
      <c r="J131" s="123">
        <f t="shared" si="36"/>
        <v>2.2000000000000002</v>
      </c>
      <c r="K131" s="123">
        <f t="shared" si="36"/>
        <v>2.2000000000000002</v>
      </c>
      <c r="L131" s="123">
        <f t="shared" si="36"/>
        <v>2.2000000000000002</v>
      </c>
      <c r="M131" s="123">
        <f t="shared" si="36"/>
        <v>2.2000000000000002</v>
      </c>
      <c r="N131" s="123">
        <f t="shared" si="36"/>
        <v>2.2000000000000002</v>
      </c>
      <c r="O131" s="123">
        <f t="shared" si="36"/>
        <v>2.2000000000000002</v>
      </c>
      <c r="P131" s="123">
        <f t="shared" si="36"/>
        <v>2.2000000000000002</v>
      </c>
      <c r="Q131" s="123">
        <f t="shared" si="36"/>
        <v>2.2000000000000002</v>
      </c>
      <c r="R131" s="123">
        <f t="shared" si="36"/>
        <v>2.2000000000000002</v>
      </c>
      <c r="S131" s="123">
        <f t="shared" si="36"/>
        <v>2.2000000000000002</v>
      </c>
      <c r="T131" s="123">
        <f t="shared" ref="T131:AF138" si="37">S131</f>
        <v>2.2000000000000002</v>
      </c>
      <c r="U131" s="123">
        <f t="shared" si="37"/>
        <v>2.2000000000000002</v>
      </c>
      <c r="V131" s="123">
        <f t="shared" si="37"/>
        <v>2.2000000000000002</v>
      </c>
      <c r="W131" s="123">
        <f t="shared" si="37"/>
        <v>2.2000000000000002</v>
      </c>
      <c r="X131" s="123">
        <f t="shared" si="37"/>
        <v>2.2000000000000002</v>
      </c>
      <c r="Y131" s="123">
        <f t="shared" si="37"/>
        <v>2.2000000000000002</v>
      </c>
      <c r="Z131" s="123">
        <f t="shared" si="37"/>
        <v>2.2000000000000002</v>
      </c>
      <c r="AA131" s="123">
        <f t="shared" si="37"/>
        <v>2.2000000000000002</v>
      </c>
      <c r="AB131" s="123">
        <f t="shared" si="37"/>
        <v>2.2000000000000002</v>
      </c>
      <c r="AC131" s="123">
        <f t="shared" si="37"/>
        <v>2.2000000000000002</v>
      </c>
      <c r="AD131" s="123">
        <f t="shared" si="37"/>
        <v>2.2000000000000002</v>
      </c>
      <c r="AE131" s="123">
        <f t="shared" si="37"/>
        <v>2.2000000000000002</v>
      </c>
      <c r="AF131" s="123">
        <f t="shared" si="37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5"/>
        <v>2</v>
      </c>
      <c r="C132" s="124">
        <v>2</v>
      </c>
      <c r="D132" s="123">
        <f t="shared" si="36"/>
        <v>2</v>
      </c>
      <c r="E132" s="123">
        <f t="shared" si="36"/>
        <v>2</v>
      </c>
      <c r="F132" s="123">
        <f t="shared" si="36"/>
        <v>2</v>
      </c>
      <c r="G132" s="123">
        <f t="shared" si="36"/>
        <v>2</v>
      </c>
      <c r="H132" s="123">
        <f t="shared" si="36"/>
        <v>2</v>
      </c>
      <c r="I132" s="123">
        <f t="shared" si="36"/>
        <v>2</v>
      </c>
      <c r="J132" s="123">
        <f t="shared" si="36"/>
        <v>2</v>
      </c>
      <c r="K132" s="123">
        <f t="shared" si="36"/>
        <v>2</v>
      </c>
      <c r="L132" s="123">
        <f t="shared" si="36"/>
        <v>2</v>
      </c>
      <c r="M132" s="123">
        <f t="shared" si="36"/>
        <v>2</v>
      </c>
      <c r="N132" s="123">
        <f t="shared" si="36"/>
        <v>2</v>
      </c>
      <c r="O132" s="123">
        <f t="shared" si="36"/>
        <v>2</v>
      </c>
      <c r="P132" s="123">
        <f t="shared" si="36"/>
        <v>2</v>
      </c>
      <c r="Q132" s="123">
        <f t="shared" si="36"/>
        <v>2</v>
      </c>
      <c r="R132" s="123">
        <f t="shared" si="36"/>
        <v>2</v>
      </c>
      <c r="S132" s="123">
        <f t="shared" si="36"/>
        <v>2</v>
      </c>
      <c r="T132" s="123">
        <f t="shared" si="37"/>
        <v>2</v>
      </c>
      <c r="U132" s="123">
        <f t="shared" si="37"/>
        <v>2</v>
      </c>
      <c r="V132" s="123">
        <f t="shared" si="37"/>
        <v>2</v>
      </c>
      <c r="W132" s="123">
        <f t="shared" si="37"/>
        <v>2</v>
      </c>
      <c r="X132" s="123">
        <f t="shared" si="37"/>
        <v>2</v>
      </c>
      <c r="Y132" s="123">
        <f t="shared" si="37"/>
        <v>2</v>
      </c>
      <c r="Z132" s="123">
        <f t="shared" si="37"/>
        <v>2</v>
      </c>
      <c r="AA132" s="123">
        <f t="shared" si="37"/>
        <v>2</v>
      </c>
      <c r="AB132" s="123">
        <f t="shared" si="37"/>
        <v>2</v>
      </c>
      <c r="AC132" s="123">
        <f t="shared" si="37"/>
        <v>2</v>
      </c>
      <c r="AD132" s="123">
        <f t="shared" si="37"/>
        <v>2</v>
      </c>
      <c r="AE132" s="123">
        <f t="shared" si="37"/>
        <v>2</v>
      </c>
      <c r="AF132" s="123">
        <f t="shared" si="37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5"/>
        <v>1.25</v>
      </c>
      <c r="C133" s="124">
        <v>1.25</v>
      </c>
      <c r="D133" s="123">
        <f t="shared" si="36"/>
        <v>1.25</v>
      </c>
      <c r="E133" s="123">
        <f t="shared" si="36"/>
        <v>1.25</v>
      </c>
      <c r="F133" s="123">
        <f t="shared" si="36"/>
        <v>1.25</v>
      </c>
      <c r="G133" s="123">
        <f t="shared" si="36"/>
        <v>1.25</v>
      </c>
      <c r="H133" s="123">
        <f t="shared" si="36"/>
        <v>1.25</v>
      </c>
      <c r="I133" s="123">
        <f t="shared" si="36"/>
        <v>1.25</v>
      </c>
      <c r="J133" s="123">
        <f t="shared" si="36"/>
        <v>1.25</v>
      </c>
      <c r="K133" s="123">
        <f t="shared" si="36"/>
        <v>1.25</v>
      </c>
      <c r="L133" s="123">
        <f t="shared" si="36"/>
        <v>1.25</v>
      </c>
      <c r="M133" s="123">
        <f t="shared" si="36"/>
        <v>1.25</v>
      </c>
      <c r="N133" s="123">
        <f t="shared" si="36"/>
        <v>1.25</v>
      </c>
      <c r="O133" s="123">
        <f t="shared" si="36"/>
        <v>1.25</v>
      </c>
      <c r="P133" s="123">
        <f t="shared" si="36"/>
        <v>1.25</v>
      </c>
      <c r="Q133" s="123">
        <f t="shared" si="36"/>
        <v>1.25</v>
      </c>
      <c r="R133" s="123">
        <f t="shared" si="36"/>
        <v>1.25</v>
      </c>
      <c r="S133" s="123">
        <f t="shared" si="36"/>
        <v>1.25</v>
      </c>
      <c r="T133" s="123">
        <f t="shared" si="37"/>
        <v>1.25</v>
      </c>
      <c r="U133" s="123">
        <f t="shared" si="37"/>
        <v>1.25</v>
      </c>
      <c r="V133" s="123">
        <f t="shared" si="37"/>
        <v>1.25</v>
      </c>
      <c r="W133" s="123">
        <f t="shared" si="37"/>
        <v>1.25</v>
      </c>
      <c r="X133" s="123">
        <f t="shared" si="37"/>
        <v>1.25</v>
      </c>
      <c r="Y133" s="123">
        <f t="shared" si="37"/>
        <v>1.25</v>
      </c>
      <c r="Z133" s="123">
        <f t="shared" si="37"/>
        <v>1.25</v>
      </c>
      <c r="AA133" s="123">
        <f t="shared" si="37"/>
        <v>1.25</v>
      </c>
      <c r="AB133" s="123">
        <f t="shared" si="37"/>
        <v>1.25</v>
      </c>
      <c r="AC133" s="123">
        <f t="shared" si="37"/>
        <v>1.25</v>
      </c>
      <c r="AD133" s="123">
        <f t="shared" si="37"/>
        <v>1.25</v>
      </c>
      <c r="AE133" s="123">
        <f t="shared" si="37"/>
        <v>1.25</v>
      </c>
      <c r="AF133" s="123">
        <f t="shared" si="37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5"/>
        <v>1.1499999999999999</v>
      </c>
      <c r="C134" s="124">
        <v>1.1499999999999999</v>
      </c>
      <c r="D134" s="123">
        <f t="shared" si="36"/>
        <v>1.1499999999999999</v>
      </c>
      <c r="E134" s="123">
        <f t="shared" si="36"/>
        <v>1.1499999999999999</v>
      </c>
      <c r="F134" s="123">
        <f t="shared" si="36"/>
        <v>1.1499999999999999</v>
      </c>
      <c r="G134" s="123">
        <f t="shared" si="36"/>
        <v>1.1499999999999999</v>
      </c>
      <c r="H134" s="123">
        <f t="shared" si="36"/>
        <v>1.1499999999999999</v>
      </c>
      <c r="I134" s="123">
        <f t="shared" si="36"/>
        <v>1.1499999999999999</v>
      </c>
      <c r="J134" s="123">
        <f t="shared" si="36"/>
        <v>1.1499999999999999</v>
      </c>
      <c r="K134" s="123">
        <f t="shared" si="36"/>
        <v>1.1499999999999999</v>
      </c>
      <c r="L134" s="123">
        <f t="shared" si="36"/>
        <v>1.1499999999999999</v>
      </c>
      <c r="M134" s="123">
        <f t="shared" si="36"/>
        <v>1.1499999999999999</v>
      </c>
      <c r="N134" s="123">
        <f t="shared" si="36"/>
        <v>1.1499999999999999</v>
      </c>
      <c r="O134" s="123">
        <f t="shared" si="36"/>
        <v>1.1499999999999999</v>
      </c>
      <c r="P134" s="123">
        <f t="shared" si="36"/>
        <v>1.1499999999999999</v>
      </c>
      <c r="Q134" s="123">
        <f t="shared" si="36"/>
        <v>1.1499999999999999</v>
      </c>
      <c r="R134" s="123">
        <f t="shared" si="36"/>
        <v>1.1499999999999999</v>
      </c>
      <c r="S134" s="123">
        <f t="shared" si="36"/>
        <v>1.1499999999999999</v>
      </c>
      <c r="T134" s="123">
        <f t="shared" si="37"/>
        <v>1.1499999999999999</v>
      </c>
      <c r="U134" s="123">
        <f t="shared" si="37"/>
        <v>1.1499999999999999</v>
      </c>
      <c r="V134" s="123">
        <f t="shared" si="37"/>
        <v>1.1499999999999999</v>
      </c>
      <c r="W134" s="123">
        <f t="shared" si="37"/>
        <v>1.1499999999999999</v>
      </c>
      <c r="X134" s="123">
        <f t="shared" si="37"/>
        <v>1.1499999999999999</v>
      </c>
      <c r="Y134" s="123">
        <f t="shared" si="37"/>
        <v>1.1499999999999999</v>
      </c>
      <c r="Z134" s="123">
        <f t="shared" si="37"/>
        <v>1.1499999999999999</v>
      </c>
      <c r="AA134" s="123">
        <f t="shared" si="37"/>
        <v>1.1499999999999999</v>
      </c>
      <c r="AB134" s="123">
        <f t="shared" si="37"/>
        <v>1.1499999999999999</v>
      </c>
      <c r="AC134" s="123">
        <f t="shared" si="37"/>
        <v>1.1499999999999999</v>
      </c>
      <c r="AD134" s="123">
        <f t="shared" si="37"/>
        <v>1.1499999999999999</v>
      </c>
      <c r="AE134" s="123">
        <f t="shared" si="37"/>
        <v>1.1499999999999999</v>
      </c>
      <c r="AF134" s="123">
        <f t="shared" si="37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5"/>
        <v>2.133</v>
      </c>
      <c r="C135" s="124">
        <v>2.133</v>
      </c>
      <c r="D135" s="123">
        <f t="shared" si="36"/>
        <v>2.133</v>
      </c>
      <c r="E135" s="123">
        <f t="shared" si="36"/>
        <v>2.133</v>
      </c>
      <c r="F135" s="123">
        <f t="shared" si="36"/>
        <v>2.133</v>
      </c>
      <c r="G135" s="123">
        <f t="shared" si="36"/>
        <v>2.133</v>
      </c>
      <c r="H135" s="123">
        <f t="shared" si="36"/>
        <v>2.133</v>
      </c>
      <c r="I135" s="123">
        <f t="shared" si="36"/>
        <v>2.133</v>
      </c>
      <c r="J135" s="123">
        <f t="shared" si="36"/>
        <v>2.133</v>
      </c>
      <c r="K135" s="123">
        <f t="shared" si="36"/>
        <v>2.133</v>
      </c>
      <c r="L135" s="123">
        <f t="shared" si="36"/>
        <v>2.133</v>
      </c>
      <c r="M135" s="123">
        <f t="shared" si="36"/>
        <v>2.133</v>
      </c>
      <c r="N135" s="123">
        <f t="shared" si="36"/>
        <v>2.133</v>
      </c>
      <c r="O135" s="123">
        <f t="shared" si="36"/>
        <v>2.133</v>
      </c>
      <c r="P135" s="123">
        <f t="shared" si="36"/>
        <v>2.133</v>
      </c>
      <c r="Q135" s="123">
        <f t="shared" si="36"/>
        <v>2.133</v>
      </c>
      <c r="R135" s="123">
        <f t="shared" si="36"/>
        <v>2.133</v>
      </c>
      <c r="S135" s="123">
        <f t="shared" si="36"/>
        <v>2.133</v>
      </c>
      <c r="T135" s="123">
        <f t="shared" si="37"/>
        <v>2.133</v>
      </c>
      <c r="U135" s="123">
        <f t="shared" si="37"/>
        <v>2.133</v>
      </c>
      <c r="V135" s="123">
        <f t="shared" si="37"/>
        <v>2.133</v>
      </c>
      <c r="W135" s="123">
        <f t="shared" si="37"/>
        <v>2.133</v>
      </c>
      <c r="X135" s="123">
        <f t="shared" si="37"/>
        <v>2.133</v>
      </c>
      <c r="Y135" s="123">
        <f t="shared" si="37"/>
        <v>2.133</v>
      </c>
      <c r="Z135" s="123">
        <f t="shared" si="37"/>
        <v>2.133</v>
      </c>
      <c r="AA135" s="123">
        <f t="shared" si="37"/>
        <v>2.133</v>
      </c>
      <c r="AB135" s="123">
        <f t="shared" si="37"/>
        <v>2.133</v>
      </c>
      <c r="AC135" s="123">
        <f t="shared" si="37"/>
        <v>2.133</v>
      </c>
      <c r="AD135" s="123">
        <f t="shared" si="37"/>
        <v>2.133</v>
      </c>
      <c r="AE135" s="123">
        <f t="shared" si="37"/>
        <v>2.133</v>
      </c>
      <c r="AF135" s="123">
        <f t="shared" si="37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5"/>
        <v>2.09</v>
      </c>
      <c r="C136" s="124">
        <v>2.09</v>
      </c>
      <c r="D136" s="123">
        <f t="shared" si="36"/>
        <v>2.09</v>
      </c>
      <c r="E136" s="123">
        <f t="shared" si="36"/>
        <v>2.09</v>
      </c>
      <c r="F136" s="123">
        <f t="shared" si="36"/>
        <v>2.09</v>
      </c>
      <c r="G136" s="123">
        <f t="shared" si="36"/>
        <v>2.09</v>
      </c>
      <c r="H136" s="123">
        <f t="shared" si="36"/>
        <v>2.09</v>
      </c>
      <c r="I136" s="123">
        <f t="shared" si="36"/>
        <v>2.09</v>
      </c>
      <c r="J136" s="123">
        <f t="shared" si="36"/>
        <v>2.09</v>
      </c>
      <c r="K136" s="123">
        <f t="shared" si="36"/>
        <v>2.09</v>
      </c>
      <c r="L136" s="123">
        <f t="shared" si="36"/>
        <v>2.09</v>
      </c>
      <c r="M136" s="123">
        <f t="shared" si="36"/>
        <v>2.09</v>
      </c>
      <c r="N136" s="123">
        <f t="shared" si="36"/>
        <v>2.09</v>
      </c>
      <c r="O136" s="123">
        <f t="shared" si="36"/>
        <v>2.09</v>
      </c>
      <c r="P136" s="123">
        <f t="shared" si="36"/>
        <v>2.09</v>
      </c>
      <c r="Q136" s="123">
        <f t="shared" si="36"/>
        <v>2.09</v>
      </c>
      <c r="R136" s="123">
        <f t="shared" si="36"/>
        <v>2.09</v>
      </c>
      <c r="S136" s="123">
        <f t="shared" si="36"/>
        <v>2.09</v>
      </c>
      <c r="T136" s="123">
        <f t="shared" si="37"/>
        <v>2.09</v>
      </c>
      <c r="U136" s="123">
        <f t="shared" si="37"/>
        <v>2.09</v>
      </c>
      <c r="V136" s="123">
        <f t="shared" si="37"/>
        <v>2.09</v>
      </c>
      <c r="W136" s="123">
        <f t="shared" si="37"/>
        <v>2.09</v>
      </c>
      <c r="X136" s="123">
        <f t="shared" si="37"/>
        <v>2.09</v>
      </c>
      <c r="Y136" s="123">
        <f t="shared" si="37"/>
        <v>2.09</v>
      </c>
      <c r="Z136" s="123">
        <f t="shared" si="37"/>
        <v>2.09</v>
      </c>
      <c r="AA136" s="123">
        <f t="shared" si="37"/>
        <v>2.09</v>
      </c>
      <c r="AB136" s="123">
        <f t="shared" si="37"/>
        <v>2.09</v>
      </c>
      <c r="AC136" s="123">
        <f t="shared" si="37"/>
        <v>2.09</v>
      </c>
      <c r="AD136" s="123">
        <f t="shared" si="37"/>
        <v>2.09</v>
      </c>
      <c r="AE136" s="123">
        <f t="shared" si="37"/>
        <v>2.09</v>
      </c>
      <c r="AF136" s="123">
        <f t="shared" si="37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5"/>
        <v>1.1399999999999999</v>
      </c>
      <c r="C137" s="124">
        <v>1.1399999999999999</v>
      </c>
      <c r="D137" s="123">
        <f t="shared" si="36"/>
        <v>1.1399999999999999</v>
      </c>
      <c r="E137" s="123">
        <f t="shared" si="36"/>
        <v>1.1399999999999999</v>
      </c>
      <c r="F137" s="123">
        <f t="shared" si="36"/>
        <v>1.1399999999999999</v>
      </c>
      <c r="G137" s="123">
        <f t="shared" si="36"/>
        <v>1.1399999999999999</v>
      </c>
      <c r="H137" s="123">
        <f t="shared" si="36"/>
        <v>1.1399999999999999</v>
      </c>
      <c r="I137" s="123">
        <f t="shared" si="36"/>
        <v>1.1399999999999999</v>
      </c>
      <c r="J137" s="123">
        <f t="shared" si="36"/>
        <v>1.1399999999999999</v>
      </c>
      <c r="K137" s="123">
        <f t="shared" si="36"/>
        <v>1.1399999999999999</v>
      </c>
      <c r="L137" s="123">
        <f t="shared" si="36"/>
        <v>1.1399999999999999</v>
      </c>
      <c r="M137" s="123">
        <f t="shared" si="36"/>
        <v>1.1399999999999999</v>
      </c>
      <c r="N137" s="123">
        <f t="shared" si="36"/>
        <v>1.1399999999999999</v>
      </c>
      <c r="O137" s="123">
        <f t="shared" si="36"/>
        <v>1.1399999999999999</v>
      </c>
      <c r="P137" s="123">
        <f t="shared" si="36"/>
        <v>1.1399999999999999</v>
      </c>
      <c r="Q137" s="123">
        <f t="shared" si="36"/>
        <v>1.1399999999999999</v>
      </c>
      <c r="R137" s="123">
        <f t="shared" si="36"/>
        <v>1.1399999999999999</v>
      </c>
      <c r="S137" s="123">
        <f t="shared" si="36"/>
        <v>1.1399999999999999</v>
      </c>
      <c r="T137" s="123">
        <f t="shared" si="37"/>
        <v>1.1399999999999999</v>
      </c>
      <c r="U137" s="123">
        <f t="shared" si="37"/>
        <v>1.1399999999999999</v>
      </c>
      <c r="V137" s="123">
        <f t="shared" si="37"/>
        <v>1.1399999999999999</v>
      </c>
      <c r="W137" s="123">
        <f t="shared" si="37"/>
        <v>1.1399999999999999</v>
      </c>
      <c r="X137" s="123">
        <f t="shared" si="37"/>
        <v>1.1399999999999999</v>
      </c>
      <c r="Y137" s="123">
        <f t="shared" si="37"/>
        <v>1.1399999999999999</v>
      </c>
      <c r="Z137" s="123">
        <f t="shared" si="37"/>
        <v>1.1399999999999999</v>
      </c>
      <c r="AA137" s="123">
        <f t="shared" si="37"/>
        <v>1.1399999999999999</v>
      </c>
      <c r="AB137" s="123">
        <f t="shared" si="37"/>
        <v>1.1399999999999999</v>
      </c>
      <c r="AC137" s="123">
        <f t="shared" si="37"/>
        <v>1.1399999999999999</v>
      </c>
      <c r="AD137" s="123">
        <f t="shared" si="37"/>
        <v>1.1399999999999999</v>
      </c>
      <c r="AE137" s="123">
        <f t="shared" si="37"/>
        <v>1.1399999999999999</v>
      </c>
      <c r="AF137" s="123">
        <f t="shared" si="37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5"/>
        <v>0.82</v>
      </c>
      <c r="C138" s="124">
        <v>0.82</v>
      </c>
      <c r="D138" s="123">
        <f t="shared" si="36"/>
        <v>0.82</v>
      </c>
      <c r="E138" s="123">
        <f t="shared" si="36"/>
        <v>0.82</v>
      </c>
      <c r="F138" s="123">
        <f t="shared" si="36"/>
        <v>0.82</v>
      </c>
      <c r="G138" s="123">
        <f t="shared" si="36"/>
        <v>0.82</v>
      </c>
      <c r="H138" s="123">
        <f t="shared" si="36"/>
        <v>0.82</v>
      </c>
      <c r="I138" s="123">
        <f t="shared" si="36"/>
        <v>0.82</v>
      </c>
      <c r="J138" s="123">
        <f t="shared" si="36"/>
        <v>0.82</v>
      </c>
      <c r="K138" s="123">
        <f t="shared" si="36"/>
        <v>0.82</v>
      </c>
      <c r="L138" s="123">
        <f t="shared" si="36"/>
        <v>0.82</v>
      </c>
      <c r="M138" s="123">
        <f t="shared" si="36"/>
        <v>0.82</v>
      </c>
      <c r="N138" s="123">
        <f t="shared" si="36"/>
        <v>0.82</v>
      </c>
      <c r="O138" s="123">
        <f t="shared" si="36"/>
        <v>0.82</v>
      </c>
      <c r="P138" s="123">
        <f t="shared" si="36"/>
        <v>0.82</v>
      </c>
      <c r="Q138" s="123">
        <f t="shared" si="36"/>
        <v>0.82</v>
      </c>
      <c r="R138" s="123">
        <f t="shared" si="36"/>
        <v>0.82</v>
      </c>
      <c r="S138" s="123">
        <f t="shared" si="36"/>
        <v>0.82</v>
      </c>
      <c r="T138" s="123">
        <f t="shared" si="37"/>
        <v>0.82</v>
      </c>
      <c r="U138" s="123">
        <f t="shared" si="37"/>
        <v>0.82</v>
      </c>
      <c r="V138" s="123">
        <f t="shared" si="37"/>
        <v>0.82</v>
      </c>
      <c r="W138" s="123">
        <f t="shared" si="37"/>
        <v>0.82</v>
      </c>
      <c r="X138" s="123">
        <f t="shared" si="37"/>
        <v>0.82</v>
      </c>
      <c r="Y138" s="123">
        <f t="shared" si="37"/>
        <v>0.82</v>
      </c>
      <c r="Z138" s="123">
        <f t="shared" si="37"/>
        <v>0.82</v>
      </c>
      <c r="AA138" s="123">
        <f t="shared" si="37"/>
        <v>0.82</v>
      </c>
      <c r="AB138" s="123">
        <f t="shared" si="37"/>
        <v>0.82</v>
      </c>
      <c r="AC138" s="123">
        <f t="shared" si="37"/>
        <v>0.82</v>
      </c>
      <c r="AD138" s="123">
        <f t="shared" si="37"/>
        <v>0.82</v>
      </c>
      <c r="AE138" s="123">
        <f t="shared" si="37"/>
        <v>0.82</v>
      </c>
      <c r="AF138" s="123">
        <f t="shared" si="37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8">AF140</f>
        <v>2</v>
      </c>
      <c r="C140" s="124">
        <v>2</v>
      </c>
      <c r="D140" s="123">
        <f t="shared" ref="D140:S146" si="39">C140</f>
        <v>2</v>
      </c>
      <c r="E140" s="123">
        <f t="shared" si="39"/>
        <v>2</v>
      </c>
      <c r="F140" s="123">
        <f t="shared" si="39"/>
        <v>2</v>
      </c>
      <c r="G140" s="123">
        <f t="shared" si="39"/>
        <v>2</v>
      </c>
      <c r="H140" s="123">
        <f t="shared" si="39"/>
        <v>2</v>
      </c>
      <c r="I140" s="123">
        <f t="shared" si="39"/>
        <v>2</v>
      </c>
      <c r="J140" s="123">
        <f t="shared" si="39"/>
        <v>2</v>
      </c>
      <c r="K140" s="123">
        <f t="shared" si="39"/>
        <v>2</v>
      </c>
      <c r="L140" s="123">
        <f t="shared" si="39"/>
        <v>2</v>
      </c>
      <c r="M140" s="123">
        <f t="shared" si="39"/>
        <v>2</v>
      </c>
      <c r="N140" s="123">
        <f t="shared" si="39"/>
        <v>2</v>
      </c>
      <c r="O140" s="123">
        <f t="shared" si="39"/>
        <v>2</v>
      </c>
      <c r="P140" s="123">
        <f t="shared" si="39"/>
        <v>2</v>
      </c>
      <c r="Q140" s="123">
        <f t="shared" si="39"/>
        <v>2</v>
      </c>
      <c r="R140" s="123">
        <f t="shared" si="39"/>
        <v>2</v>
      </c>
      <c r="S140" s="123">
        <f t="shared" si="39"/>
        <v>2</v>
      </c>
      <c r="T140" s="123">
        <f t="shared" ref="T140:AF146" si="40">S140</f>
        <v>2</v>
      </c>
      <c r="U140" s="123">
        <f t="shared" si="40"/>
        <v>2</v>
      </c>
      <c r="V140" s="123">
        <f t="shared" si="40"/>
        <v>2</v>
      </c>
      <c r="W140" s="123">
        <f t="shared" si="40"/>
        <v>2</v>
      </c>
      <c r="X140" s="123">
        <f t="shared" si="40"/>
        <v>2</v>
      </c>
      <c r="Y140" s="123">
        <f t="shared" si="40"/>
        <v>2</v>
      </c>
      <c r="Z140" s="123">
        <f t="shared" si="40"/>
        <v>2</v>
      </c>
      <c r="AA140" s="123">
        <f t="shared" si="40"/>
        <v>2</v>
      </c>
      <c r="AB140" s="123">
        <f t="shared" si="40"/>
        <v>2</v>
      </c>
      <c r="AC140" s="123">
        <f t="shared" si="40"/>
        <v>2</v>
      </c>
      <c r="AD140" s="123">
        <f t="shared" si="40"/>
        <v>2</v>
      </c>
      <c r="AE140" s="123">
        <f t="shared" si="40"/>
        <v>2</v>
      </c>
      <c r="AF140" s="123">
        <f t="shared" si="40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8"/>
        <v>5.61</v>
      </c>
      <c r="C141" s="124">
        <v>5.61</v>
      </c>
      <c r="D141" s="123">
        <f t="shared" si="39"/>
        <v>5.61</v>
      </c>
      <c r="E141" s="123">
        <f t="shared" si="39"/>
        <v>5.61</v>
      </c>
      <c r="F141" s="123">
        <f t="shared" si="39"/>
        <v>5.61</v>
      </c>
      <c r="G141" s="123">
        <f t="shared" si="39"/>
        <v>5.61</v>
      </c>
      <c r="H141" s="123">
        <f t="shared" si="39"/>
        <v>5.61</v>
      </c>
      <c r="I141" s="123">
        <f t="shared" si="39"/>
        <v>5.61</v>
      </c>
      <c r="J141" s="123">
        <f t="shared" si="39"/>
        <v>5.61</v>
      </c>
      <c r="K141" s="123">
        <f t="shared" si="39"/>
        <v>5.61</v>
      </c>
      <c r="L141" s="123">
        <f t="shared" si="39"/>
        <v>5.61</v>
      </c>
      <c r="M141" s="123">
        <f t="shared" si="39"/>
        <v>5.61</v>
      </c>
      <c r="N141" s="123">
        <f t="shared" si="39"/>
        <v>5.61</v>
      </c>
      <c r="O141" s="123">
        <f t="shared" si="39"/>
        <v>5.61</v>
      </c>
      <c r="P141" s="123">
        <f t="shared" si="39"/>
        <v>5.61</v>
      </c>
      <c r="Q141" s="123">
        <f t="shared" si="39"/>
        <v>5.61</v>
      </c>
      <c r="R141" s="123">
        <f t="shared" si="39"/>
        <v>5.61</v>
      </c>
      <c r="S141" s="123">
        <f t="shared" si="39"/>
        <v>5.61</v>
      </c>
      <c r="T141" s="123">
        <f t="shared" si="40"/>
        <v>5.61</v>
      </c>
      <c r="U141" s="123">
        <f t="shared" si="40"/>
        <v>5.61</v>
      </c>
      <c r="V141" s="123">
        <f t="shared" si="40"/>
        <v>5.61</v>
      </c>
      <c r="W141" s="123">
        <f t="shared" si="40"/>
        <v>5.61</v>
      </c>
      <c r="X141" s="123">
        <f t="shared" si="40"/>
        <v>5.61</v>
      </c>
      <c r="Y141" s="123">
        <f t="shared" si="40"/>
        <v>5.61</v>
      </c>
      <c r="Z141" s="123">
        <f t="shared" si="40"/>
        <v>5.61</v>
      </c>
      <c r="AA141" s="123">
        <f t="shared" si="40"/>
        <v>5.61</v>
      </c>
      <c r="AB141" s="123">
        <f t="shared" si="40"/>
        <v>5.61</v>
      </c>
      <c r="AC141" s="123">
        <f t="shared" si="40"/>
        <v>5.61</v>
      </c>
      <c r="AD141" s="123">
        <f t="shared" si="40"/>
        <v>5.61</v>
      </c>
      <c r="AE141" s="123">
        <f t="shared" si="40"/>
        <v>5.61</v>
      </c>
      <c r="AF141" s="123">
        <f t="shared" si="40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8"/>
        <v>1.25</v>
      </c>
      <c r="C142" s="124">
        <v>1.25</v>
      </c>
      <c r="D142" s="123">
        <f t="shared" si="39"/>
        <v>1.25</v>
      </c>
      <c r="E142" s="123">
        <f t="shared" si="39"/>
        <v>1.25</v>
      </c>
      <c r="F142" s="123">
        <f t="shared" si="39"/>
        <v>1.25</v>
      </c>
      <c r="G142" s="123">
        <f t="shared" si="39"/>
        <v>1.25</v>
      </c>
      <c r="H142" s="123">
        <f t="shared" si="39"/>
        <v>1.25</v>
      </c>
      <c r="I142" s="123">
        <f t="shared" si="39"/>
        <v>1.25</v>
      </c>
      <c r="J142" s="123">
        <f t="shared" si="39"/>
        <v>1.25</v>
      </c>
      <c r="K142" s="123">
        <f t="shared" si="39"/>
        <v>1.25</v>
      </c>
      <c r="L142" s="123">
        <f t="shared" si="39"/>
        <v>1.25</v>
      </c>
      <c r="M142" s="123">
        <f t="shared" si="39"/>
        <v>1.25</v>
      </c>
      <c r="N142" s="123">
        <f t="shared" si="39"/>
        <v>1.25</v>
      </c>
      <c r="O142" s="123">
        <f t="shared" si="39"/>
        <v>1.25</v>
      </c>
      <c r="P142" s="123">
        <f t="shared" si="39"/>
        <v>1.25</v>
      </c>
      <c r="Q142" s="123">
        <f t="shared" si="39"/>
        <v>1.25</v>
      </c>
      <c r="R142" s="123">
        <f t="shared" si="39"/>
        <v>1.25</v>
      </c>
      <c r="S142" s="123">
        <f t="shared" si="39"/>
        <v>1.25</v>
      </c>
      <c r="T142" s="123">
        <f t="shared" si="40"/>
        <v>1.25</v>
      </c>
      <c r="U142" s="123">
        <f t="shared" si="40"/>
        <v>1.25</v>
      </c>
      <c r="V142" s="123">
        <f t="shared" si="40"/>
        <v>1.25</v>
      </c>
      <c r="W142" s="123">
        <f t="shared" si="40"/>
        <v>1.25</v>
      </c>
      <c r="X142" s="123">
        <f t="shared" si="40"/>
        <v>1.25</v>
      </c>
      <c r="Y142" s="123">
        <f t="shared" si="40"/>
        <v>1.25</v>
      </c>
      <c r="Z142" s="123">
        <f t="shared" si="40"/>
        <v>1.25</v>
      </c>
      <c r="AA142" s="123">
        <f t="shared" si="40"/>
        <v>1.25</v>
      </c>
      <c r="AB142" s="123">
        <f t="shared" si="40"/>
        <v>1.25</v>
      </c>
      <c r="AC142" s="123">
        <f t="shared" si="40"/>
        <v>1.25</v>
      </c>
      <c r="AD142" s="123">
        <f t="shared" si="40"/>
        <v>1.25</v>
      </c>
      <c r="AE142" s="123">
        <f t="shared" si="40"/>
        <v>1.25</v>
      </c>
      <c r="AF142" s="123">
        <f t="shared" si="40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8"/>
        <v>1.46</v>
      </c>
      <c r="C144" s="124">
        <v>1.46</v>
      </c>
      <c r="D144" s="123">
        <f t="shared" si="39"/>
        <v>1.46</v>
      </c>
      <c r="E144" s="123">
        <f t="shared" si="39"/>
        <v>1.46</v>
      </c>
      <c r="F144" s="123">
        <f t="shared" si="39"/>
        <v>1.46</v>
      </c>
      <c r="G144" s="123">
        <f t="shared" si="39"/>
        <v>1.46</v>
      </c>
      <c r="H144" s="123">
        <f t="shared" si="39"/>
        <v>1.46</v>
      </c>
      <c r="I144" s="123">
        <f t="shared" si="39"/>
        <v>1.46</v>
      </c>
      <c r="J144" s="123">
        <f t="shared" si="39"/>
        <v>1.46</v>
      </c>
      <c r="K144" s="123">
        <f t="shared" si="39"/>
        <v>1.46</v>
      </c>
      <c r="L144" s="123">
        <f t="shared" si="39"/>
        <v>1.46</v>
      </c>
      <c r="M144" s="123">
        <f t="shared" si="39"/>
        <v>1.46</v>
      </c>
      <c r="N144" s="123">
        <f t="shared" si="39"/>
        <v>1.46</v>
      </c>
      <c r="O144" s="123">
        <f t="shared" si="39"/>
        <v>1.46</v>
      </c>
      <c r="P144" s="123">
        <f t="shared" si="39"/>
        <v>1.46</v>
      </c>
      <c r="Q144" s="123">
        <f t="shared" si="39"/>
        <v>1.46</v>
      </c>
      <c r="R144" s="123">
        <f t="shared" si="39"/>
        <v>1.46</v>
      </c>
      <c r="S144" s="123">
        <f t="shared" si="39"/>
        <v>1.46</v>
      </c>
      <c r="T144" s="123">
        <f t="shared" si="40"/>
        <v>1.46</v>
      </c>
      <c r="U144" s="123">
        <f t="shared" si="40"/>
        <v>1.46</v>
      </c>
      <c r="V144" s="123">
        <f t="shared" si="40"/>
        <v>1.46</v>
      </c>
      <c r="W144" s="123">
        <f t="shared" si="40"/>
        <v>1.46</v>
      </c>
      <c r="X144" s="123">
        <f t="shared" si="40"/>
        <v>1.46</v>
      </c>
      <c r="Y144" s="123">
        <f t="shared" si="40"/>
        <v>1.46</v>
      </c>
      <c r="Z144" s="123">
        <f t="shared" si="40"/>
        <v>1.46</v>
      </c>
      <c r="AA144" s="123">
        <f t="shared" si="40"/>
        <v>1.46</v>
      </c>
      <c r="AB144" s="123">
        <f t="shared" si="40"/>
        <v>1.46</v>
      </c>
      <c r="AC144" s="123">
        <f t="shared" si="40"/>
        <v>1.46</v>
      </c>
      <c r="AD144" s="123">
        <f t="shared" si="40"/>
        <v>1.46</v>
      </c>
      <c r="AE144" s="123">
        <f t="shared" si="40"/>
        <v>1.46</v>
      </c>
      <c r="AF144" s="123">
        <f t="shared" si="40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8"/>
        <v>3</v>
      </c>
      <c r="C145" s="124">
        <v>3</v>
      </c>
      <c r="D145" s="123">
        <f t="shared" si="39"/>
        <v>3</v>
      </c>
      <c r="E145" s="123">
        <f t="shared" si="39"/>
        <v>3</v>
      </c>
      <c r="F145" s="123">
        <f t="shared" si="39"/>
        <v>3</v>
      </c>
      <c r="G145" s="123">
        <f t="shared" si="39"/>
        <v>3</v>
      </c>
      <c r="H145" s="123">
        <f t="shared" si="39"/>
        <v>3</v>
      </c>
      <c r="I145" s="123">
        <f t="shared" si="39"/>
        <v>3</v>
      </c>
      <c r="J145" s="123">
        <f t="shared" si="39"/>
        <v>3</v>
      </c>
      <c r="K145" s="123">
        <f t="shared" si="39"/>
        <v>3</v>
      </c>
      <c r="L145" s="123">
        <f t="shared" si="39"/>
        <v>3</v>
      </c>
      <c r="M145" s="123">
        <f t="shared" si="39"/>
        <v>3</v>
      </c>
      <c r="N145" s="123">
        <f t="shared" si="39"/>
        <v>3</v>
      </c>
      <c r="O145" s="123">
        <f t="shared" si="39"/>
        <v>3</v>
      </c>
      <c r="P145" s="123">
        <f t="shared" si="39"/>
        <v>3</v>
      </c>
      <c r="Q145" s="123">
        <f t="shared" si="39"/>
        <v>3</v>
      </c>
      <c r="R145" s="123">
        <f t="shared" si="39"/>
        <v>3</v>
      </c>
      <c r="S145" s="123">
        <f t="shared" si="39"/>
        <v>3</v>
      </c>
      <c r="T145" s="123">
        <f t="shared" si="40"/>
        <v>3</v>
      </c>
      <c r="U145" s="123">
        <f t="shared" si="40"/>
        <v>3</v>
      </c>
      <c r="V145" s="123">
        <f t="shared" si="40"/>
        <v>3</v>
      </c>
      <c r="W145" s="123">
        <f t="shared" si="40"/>
        <v>3</v>
      </c>
      <c r="X145" s="123">
        <f t="shared" si="40"/>
        <v>3</v>
      </c>
      <c r="Y145" s="123">
        <f t="shared" si="40"/>
        <v>3</v>
      </c>
      <c r="Z145" s="123">
        <f t="shared" si="40"/>
        <v>3</v>
      </c>
      <c r="AA145" s="123">
        <f t="shared" si="40"/>
        <v>3</v>
      </c>
      <c r="AB145" s="123">
        <f t="shared" si="40"/>
        <v>3</v>
      </c>
      <c r="AC145" s="123">
        <f t="shared" si="40"/>
        <v>3</v>
      </c>
      <c r="AD145" s="123">
        <f t="shared" si="40"/>
        <v>3</v>
      </c>
      <c r="AE145" s="123">
        <f t="shared" si="40"/>
        <v>3</v>
      </c>
      <c r="AF145" s="123">
        <f t="shared" si="40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8"/>
        <v>3.3</v>
      </c>
      <c r="C146" s="124">
        <v>3.3</v>
      </c>
      <c r="D146" s="123">
        <f t="shared" si="39"/>
        <v>3.3</v>
      </c>
      <c r="E146" s="123">
        <f t="shared" si="39"/>
        <v>3.3</v>
      </c>
      <c r="F146" s="123">
        <f t="shared" si="39"/>
        <v>3.3</v>
      </c>
      <c r="G146" s="123">
        <f t="shared" si="39"/>
        <v>3.3</v>
      </c>
      <c r="H146" s="123">
        <f t="shared" si="39"/>
        <v>3.3</v>
      </c>
      <c r="I146" s="123">
        <f t="shared" si="39"/>
        <v>3.3</v>
      </c>
      <c r="J146" s="123">
        <f t="shared" si="39"/>
        <v>3.3</v>
      </c>
      <c r="K146" s="123">
        <f t="shared" si="39"/>
        <v>3.3</v>
      </c>
      <c r="L146" s="123">
        <f t="shared" si="39"/>
        <v>3.3</v>
      </c>
      <c r="M146" s="123">
        <f t="shared" si="39"/>
        <v>3.3</v>
      </c>
      <c r="N146" s="123">
        <f t="shared" si="39"/>
        <v>3.3</v>
      </c>
      <c r="O146" s="123">
        <f t="shared" si="39"/>
        <v>3.3</v>
      </c>
      <c r="P146" s="123">
        <f t="shared" si="39"/>
        <v>3.3</v>
      </c>
      <c r="Q146" s="123">
        <f t="shared" si="39"/>
        <v>3.3</v>
      </c>
      <c r="R146" s="123">
        <f t="shared" si="39"/>
        <v>3.3</v>
      </c>
      <c r="S146" s="123">
        <f t="shared" si="39"/>
        <v>3.3</v>
      </c>
      <c r="T146" s="123">
        <f t="shared" si="40"/>
        <v>3.3</v>
      </c>
      <c r="U146" s="123">
        <f t="shared" si="40"/>
        <v>3.3</v>
      </c>
      <c r="V146" s="123">
        <f t="shared" si="40"/>
        <v>3.3</v>
      </c>
      <c r="W146" s="123">
        <f t="shared" si="40"/>
        <v>3.3</v>
      </c>
      <c r="X146" s="123">
        <f t="shared" si="40"/>
        <v>3.3</v>
      </c>
      <c r="Y146" s="123">
        <f t="shared" si="40"/>
        <v>3.3</v>
      </c>
      <c r="Z146" s="123">
        <f t="shared" si="40"/>
        <v>3.3</v>
      </c>
      <c r="AA146" s="123">
        <f t="shared" si="40"/>
        <v>3.3</v>
      </c>
      <c r="AB146" s="123">
        <f t="shared" si="40"/>
        <v>3.3</v>
      </c>
      <c r="AC146" s="123">
        <f t="shared" si="40"/>
        <v>3.3</v>
      </c>
      <c r="AD146" s="123">
        <f t="shared" si="40"/>
        <v>3.3</v>
      </c>
      <c r="AE146" s="123">
        <f t="shared" si="40"/>
        <v>3.3</v>
      </c>
      <c r="AF146" s="123">
        <f t="shared" si="40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1">C148</f>
        <v>1.76</v>
      </c>
      <c r="E148" s="123">
        <f t="shared" si="41"/>
        <v>1.76</v>
      </c>
      <c r="F148" s="123">
        <f t="shared" si="41"/>
        <v>1.76</v>
      </c>
      <c r="G148" s="123">
        <f t="shared" si="41"/>
        <v>1.76</v>
      </c>
      <c r="H148" s="123">
        <f t="shared" si="41"/>
        <v>1.76</v>
      </c>
      <c r="I148" s="123">
        <f t="shared" si="41"/>
        <v>1.76</v>
      </c>
      <c r="J148" s="123">
        <f t="shared" si="41"/>
        <v>1.76</v>
      </c>
      <c r="K148" s="123">
        <f t="shared" si="41"/>
        <v>1.76</v>
      </c>
      <c r="L148" s="123">
        <f t="shared" si="41"/>
        <v>1.76</v>
      </c>
      <c r="M148" s="123">
        <f t="shared" si="41"/>
        <v>1.76</v>
      </c>
      <c r="N148" s="123">
        <f t="shared" si="41"/>
        <v>1.76</v>
      </c>
      <c r="O148" s="123">
        <f t="shared" si="41"/>
        <v>1.76</v>
      </c>
      <c r="P148" s="123">
        <f t="shared" si="41"/>
        <v>1.76</v>
      </c>
      <c r="Q148" s="123">
        <f t="shared" si="41"/>
        <v>1.76</v>
      </c>
      <c r="R148" s="123">
        <f t="shared" si="41"/>
        <v>1.76</v>
      </c>
      <c r="S148" s="123">
        <f t="shared" si="41"/>
        <v>1.76</v>
      </c>
      <c r="T148" s="123">
        <f t="shared" ref="T148:AF149" si="42">S148</f>
        <v>1.76</v>
      </c>
      <c r="U148" s="123">
        <f t="shared" si="42"/>
        <v>1.76</v>
      </c>
      <c r="V148" s="123">
        <f t="shared" si="42"/>
        <v>1.76</v>
      </c>
      <c r="W148" s="123">
        <f t="shared" si="42"/>
        <v>1.76</v>
      </c>
      <c r="X148" s="123">
        <f t="shared" si="42"/>
        <v>1.76</v>
      </c>
      <c r="Y148" s="123">
        <f t="shared" si="42"/>
        <v>1.76</v>
      </c>
      <c r="Z148" s="123">
        <f t="shared" si="42"/>
        <v>1.76</v>
      </c>
      <c r="AA148" s="123">
        <f t="shared" si="42"/>
        <v>1.76</v>
      </c>
      <c r="AB148" s="123">
        <f t="shared" si="42"/>
        <v>1.76</v>
      </c>
      <c r="AC148" s="123">
        <f t="shared" si="42"/>
        <v>1.76</v>
      </c>
      <c r="AD148" s="123">
        <f t="shared" si="42"/>
        <v>1.76</v>
      </c>
      <c r="AE148" s="123">
        <f t="shared" si="42"/>
        <v>1.76</v>
      </c>
      <c r="AF148" s="123">
        <f t="shared" si="42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1"/>
        <v>0</v>
      </c>
      <c r="E149" s="123">
        <f t="shared" si="41"/>
        <v>0</v>
      </c>
      <c r="F149" s="123">
        <f t="shared" si="41"/>
        <v>0</v>
      </c>
      <c r="G149" s="123">
        <f t="shared" si="41"/>
        <v>0</v>
      </c>
      <c r="H149" s="123">
        <f t="shared" si="41"/>
        <v>0</v>
      </c>
      <c r="I149" s="123">
        <f t="shared" si="41"/>
        <v>0</v>
      </c>
      <c r="J149" s="123">
        <f t="shared" si="41"/>
        <v>0</v>
      </c>
      <c r="K149" s="123">
        <f t="shared" si="41"/>
        <v>0</v>
      </c>
      <c r="L149" s="123">
        <f t="shared" si="41"/>
        <v>0</v>
      </c>
      <c r="M149" s="123">
        <f t="shared" si="41"/>
        <v>0</v>
      </c>
      <c r="N149" s="123">
        <f t="shared" si="41"/>
        <v>0</v>
      </c>
      <c r="O149" s="123">
        <f t="shared" si="41"/>
        <v>0</v>
      </c>
      <c r="P149" s="123">
        <f t="shared" si="41"/>
        <v>0</v>
      </c>
      <c r="Q149" s="123">
        <f t="shared" si="41"/>
        <v>0</v>
      </c>
      <c r="R149" s="123">
        <f t="shared" si="41"/>
        <v>0</v>
      </c>
      <c r="S149" s="123">
        <f t="shared" si="41"/>
        <v>0</v>
      </c>
      <c r="T149" s="123">
        <f t="shared" si="42"/>
        <v>0</v>
      </c>
      <c r="U149" s="123">
        <f t="shared" si="42"/>
        <v>0</v>
      </c>
      <c r="V149" s="123">
        <f t="shared" si="42"/>
        <v>0</v>
      </c>
      <c r="W149" s="123">
        <f t="shared" si="42"/>
        <v>0</v>
      </c>
      <c r="X149" s="123">
        <f t="shared" si="42"/>
        <v>0</v>
      </c>
      <c r="Y149" s="123">
        <f t="shared" si="42"/>
        <v>0</v>
      </c>
      <c r="Z149" s="123">
        <f t="shared" si="42"/>
        <v>0</v>
      </c>
      <c r="AA149" s="123">
        <f t="shared" si="42"/>
        <v>0</v>
      </c>
      <c r="AB149" s="123">
        <f t="shared" si="42"/>
        <v>0</v>
      </c>
      <c r="AC149" s="123">
        <f t="shared" si="42"/>
        <v>0</v>
      </c>
      <c r="AD149" s="123">
        <f t="shared" si="42"/>
        <v>0</v>
      </c>
      <c r="AE149" s="123">
        <f t="shared" si="42"/>
        <v>0</v>
      </c>
      <c r="AF149" s="123">
        <f t="shared" si="42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3">C151</f>
        <v>0.1</v>
      </c>
      <c r="E151" s="123">
        <f t="shared" si="43"/>
        <v>0.1</v>
      </c>
      <c r="F151" s="123">
        <f t="shared" si="43"/>
        <v>0.1</v>
      </c>
      <c r="G151" s="123">
        <f t="shared" si="43"/>
        <v>0.1</v>
      </c>
      <c r="H151" s="123">
        <f t="shared" si="43"/>
        <v>0.1</v>
      </c>
      <c r="I151" s="123">
        <f t="shared" si="43"/>
        <v>0.1</v>
      </c>
      <c r="J151" s="123">
        <f t="shared" si="43"/>
        <v>0.1</v>
      </c>
      <c r="K151" s="123">
        <f t="shared" si="43"/>
        <v>0.1</v>
      </c>
      <c r="L151" s="123">
        <f t="shared" si="43"/>
        <v>0.1</v>
      </c>
      <c r="M151" s="123">
        <f t="shared" si="43"/>
        <v>0.1</v>
      </c>
      <c r="N151" s="123">
        <f t="shared" si="43"/>
        <v>0.1</v>
      </c>
      <c r="O151" s="123">
        <f t="shared" si="43"/>
        <v>0.1</v>
      </c>
      <c r="P151" s="123">
        <f t="shared" si="43"/>
        <v>0.1</v>
      </c>
      <c r="Q151" s="123">
        <f t="shared" si="43"/>
        <v>0.1</v>
      </c>
      <c r="R151" s="123">
        <f t="shared" si="43"/>
        <v>0.1</v>
      </c>
      <c r="S151" s="123">
        <f t="shared" si="43"/>
        <v>0.1</v>
      </c>
      <c r="T151" s="123">
        <f t="shared" ref="T151:AF154" si="44">S151</f>
        <v>0.1</v>
      </c>
      <c r="U151" s="123">
        <f t="shared" si="44"/>
        <v>0.1</v>
      </c>
      <c r="V151" s="123">
        <f t="shared" si="44"/>
        <v>0.1</v>
      </c>
      <c r="W151" s="123">
        <f t="shared" si="44"/>
        <v>0.1</v>
      </c>
      <c r="X151" s="123">
        <f t="shared" si="44"/>
        <v>0.1</v>
      </c>
      <c r="Y151" s="123">
        <f t="shared" si="44"/>
        <v>0.1</v>
      </c>
      <c r="Z151" s="123">
        <f t="shared" si="44"/>
        <v>0.1</v>
      </c>
      <c r="AA151" s="123">
        <f t="shared" si="44"/>
        <v>0.1</v>
      </c>
      <c r="AB151" s="123">
        <f t="shared" si="44"/>
        <v>0.1</v>
      </c>
      <c r="AC151" s="123">
        <f t="shared" si="44"/>
        <v>0.1</v>
      </c>
      <c r="AD151" s="123">
        <f t="shared" si="44"/>
        <v>0.1</v>
      </c>
      <c r="AE151" s="123">
        <f t="shared" si="44"/>
        <v>0.1</v>
      </c>
      <c r="AF151" s="123">
        <f t="shared" si="44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3"/>
        <v>2.0499999999999998</v>
      </c>
      <c r="E152" s="123">
        <f t="shared" si="43"/>
        <v>2.0499999999999998</v>
      </c>
      <c r="F152" s="123">
        <f t="shared" si="43"/>
        <v>2.0499999999999998</v>
      </c>
      <c r="G152" s="123">
        <f t="shared" si="43"/>
        <v>2.0499999999999998</v>
      </c>
      <c r="H152" s="123">
        <f t="shared" si="43"/>
        <v>2.0499999999999998</v>
      </c>
      <c r="I152" s="123">
        <f t="shared" si="43"/>
        <v>2.0499999999999998</v>
      </c>
      <c r="J152" s="123">
        <f t="shared" si="43"/>
        <v>2.0499999999999998</v>
      </c>
      <c r="K152" s="123">
        <f t="shared" si="43"/>
        <v>2.0499999999999998</v>
      </c>
      <c r="L152" s="123">
        <f t="shared" si="43"/>
        <v>2.0499999999999998</v>
      </c>
      <c r="M152" s="123">
        <f t="shared" si="43"/>
        <v>2.0499999999999998</v>
      </c>
      <c r="N152" s="123">
        <f t="shared" si="43"/>
        <v>2.0499999999999998</v>
      </c>
      <c r="O152" s="123">
        <f t="shared" si="43"/>
        <v>2.0499999999999998</v>
      </c>
      <c r="P152" s="123">
        <f t="shared" si="43"/>
        <v>2.0499999999999998</v>
      </c>
      <c r="Q152" s="123">
        <f t="shared" si="43"/>
        <v>2.0499999999999998</v>
      </c>
      <c r="R152" s="123">
        <f t="shared" si="43"/>
        <v>2.0499999999999998</v>
      </c>
      <c r="S152" s="123">
        <f t="shared" si="43"/>
        <v>2.0499999999999998</v>
      </c>
      <c r="T152" s="123">
        <f t="shared" si="44"/>
        <v>2.0499999999999998</v>
      </c>
      <c r="U152" s="123">
        <f t="shared" si="44"/>
        <v>2.0499999999999998</v>
      </c>
      <c r="V152" s="123">
        <f t="shared" si="44"/>
        <v>2.0499999999999998</v>
      </c>
      <c r="W152" s="123">
        <f t="shared" si="44"/>
        <v>2.0499999999999998</v>
      </c>
      <c r="X152" s="123">
        <f t="shared" si="44"/>
        <v>2.0499999999999998</v>
      </c>
      <c r="Y152" s="123">
        <f t="shared" si="44"/>
        <v>2.0499999999999998</v>
      </c>
      <c r="Z152" s="123">
        <f t="shared" si="44"/>
        <v>2.0499999999999998</v>
      </c>
      <c r="AA152" s="123">
        <f t="shared" si="44"/>
        <v>2.0499999999999998</v>
      </c>
      <c r="AB152" s="123">
        <f t="shared" si="44"/>
        <v>2.0499999999999998</v>
      </c>
      <c r="AC152" s="123">
        <f t="shared" si="44"/>
        <v>2.0499999999999998</v>
      </c>
      <c r="AD152" s="123">
        <f t="shared" si="44"/>
        <v>2.0499999999999998</v>
      </c>
      <c r="AE152" s="123">
        <f t="shared" si="44"/>
        <v>2.0499999999999998</v>
      </c>
      <c r="AF152" s="123">
        <f t="shared" si="44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3"/>
        <v>2.7</v>
      </c>
      <c r="E153" s="123">
        <f t="shared" si="43"/>
        <v>2.7</v>
      </c>
      <c r="F153" s="123">
        <f t="shared" si="43"/>
        <v>2.7</v>
      </c>
      <c r="G153" s="123">
        <f t="shared" si="43"/>
        <v>2.7</v>
      </c>
      <c r="H153" s="123">
        <f t="shared" si="43"/>
        <v>2.7</v>
      </c>
      <c r="I153" s="123">
        <f t="shared" si="43"/>
        <v>2.7</v>
      </c>
      <c r="J153" s="123">
        <f t="shared" si="43"/>
        <v>2.7</v>
      </c>
      <c r="K153" s="123">
        <f t="shared" si="43"/>
        <v>2.7</v>
      </c>
      <c r="L153" s="123">
        <f t="shared" si="43"/>
        <v>2.7</v>
      </c>
      <c r="M153" s="123">
        <f t="shared" si="43"/>
        <v>2.7</v>
      </c>
      <c r="N153" s="123">
        <f t="shared" si="43"/>
        <v>2.7</v>
      </c>
      <c r="O153" s="123">
        <f t="shared" si="43"/>
        <v>2.7</v>
      </c>
      <c r="P153" s="123">
        <f t="shared" si="43"/>
        <v>2.7</v>
      </c>
      <c r="Q153" s="123">
        <f t="shared" si="43"/>
        <v>2.7</v>
      </c>
      <c r="R153" s="123">
        <f t="shared" si="43"/>
        <v>2.7</v>
      </c>
      <c r="S153" s="123">
        <f t="shared" si="43"/>
        <v>2.7</v>
      </c>
      <c r="T153" s="123">
        <f t="shared" si="44"/>
        <v>2.7</v>
      </c>
      <c r="U153" s="123">
        <f t="shared" si="44"/>
        <v>2.7</v>
      </c>
      <c r="V153" s="123">
        <f t="shared" si="44"/>
        <v>2.7</v>
      </c>
      <c r="W153" s="123">
        <f t="shared" si="44"/>
        <v>2.7</v>
      </c>
      <c r="X153" s="123">
        <f t="shared" si="44"/>
        <v>2.7</v>
      </c>
      <c r="Y153" s="123">
        <f t="shared" si="44"/>
        <v>2.7</v>
      </c>
      <c r="Z153" s="123">
        <f t="shared" si="44"/>
        <v>2.7</v>
      </c>
      <c r="AA153" s="123">
        <f t="shared" si="44"/>
        <v>2.7</v>
      </c>
      <c r="AB153" s="123">
        <f t="shared" si="44"/>
        <v>2.7</v>
      </c>
      <c r="AC153" s="123">
        <f t="shared" si="44"/>
        <v>2.7</v>
      </c>
      <c r="AD153" s="123">
        <f t="shared" si="44"/>
        <v>2.7</v>
      </c>
      <c r="AE153" s="123">
        <f t="shared" si="44"/>
        <v>2.7</v>
      </c>
      <c r="AF153" s="123">
        <f t="shared" si="44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3"/>
        <v>2.15</v>
      </c>
      <c r="E154" s="123">
        <f t="shared" si="43"/>
        <v>2.15</v>
      </c>
      <c r="F154" s="123">
        <f t="shared" si="43"/>
        <v>2.15</v>
      </c>
      <c r="G154" s="123">
        <f t="shared" si="43"/>
        <v>2.15</v>
      </c>
      <c r="H154" s="123">
        <f t="shared" si="43"/>
        <v>2.15</v>
      </c>
      <c r="I154" s="123">
        <f t="shared" si="43"/>
        <v>2.15</v>
      </c>
      <c r="J154" s="123">
        <f t="shared" si="43"/>
        <v>2.15</v>
      </c>
      <c r="K154" s="123">
        <f t="shared" si="43"/>
        <v>2.15</v>
      </c>
      <c r="L154" s="123">
        <f t="shared" si="43"/>
        <v>2.15</v>
      </c>
      <c r="M154" s="123">
        <f t="shared" si="43"/>
        <v>2.15</v>
      </c>
      <c r="N154" s="123">
        <f t="shared" si="43"/>
        <v>2.15</v>
      </c>
      <c r="O154" s="123">
        <f t="shared" si="43"/>
        <v>2.15</v>
      </c>
      <c r="P154" s="123">
        <f t="shared" si="43"/>
        <v>2.15</v>
      </c>
      <c r="Q154" s="123">
        <f t="shared" si="43"/>
        <v>2.15</v>
      </c>
      <c r="R154" s="123">
        <f t="shared" si="43"/>
        <v>2.15</v>
      </c>
      <c r="S154" s="123">
        <f t="shared" si="43"/>
        <v>2.15</v>
      </c>
      <c r="T154" s="123">
        <f t="shared" si="44"/>
        <v>2.15</v>
      </c>
      <c r="U154" s="123">
        <f t="shared" si="44"/>
        <v>2.15</v>
      </c>
      <c r="V154" s="123">
        <f t="shared" si="44"/>
        <v>2.15</v>
      </c>
      <c r="W154" s="123">
        <f t="shared" si="44"/>
        <v>2.15</v>
      </c>
      <c r="X154" s="123">
        <f t="shared" si="44"/>
        <v>2.15</v>
      </c>
      <c r="Y154" s="123">
        <f t="shared" si="44"/>
        <v>2.15</v>
      </c>
      <c r="Z154" s="123">
        <f t="shared" si="44"/>
        <v>2.15</v>
      </c>
      <c r="AA154" s="123">
        <f t="shared" si="44"/>
        <v>2.15</v>
      </c>
      <c r="AB154" s="123">
        <f t="shared" si="44"/>
        <v>2.15</v>
      </c>
      <c r="AC154" s="123">
        <f t="shared" si="44"/>
        <v>2.15</v>
      </c>
      <c r="AD154" s="123">
        <f t="shared" si="44"/>
        <v>2.15</v>
      </c>
      <c r="AE154" s="123">
        <f t="shared" si="44"/>
        <v>2.15</v>
      </c>
      <c r="AF154" s="123">
        <f t="shared" si="44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5">AF156</f>
        <v>0.9</v>
      </c>
      <c r="C156" s="124">
        <v>0.9</v>
      </c>
      <c r="D156" s="123">
        <f t="shared" ref="D156:S168" si="46">C156</f>
        <v>0.9</v>
      </c>
      <c r="E156" s="123">
        <f t="shared" si="46"/>
        <v>0.9</v>
      </c>
      <c r="F156" s="123">
        <f t="shared" si="46"/>
        <v>0.9</v>
      </c>
      <c r="G156" s="123">
        <f t="shared" si="46"/>
        <v>0.9</v>
      </c>
      <c r="H156" s="123">
        <f t="shared" si="46"/>
        <v>0.9</v>
      </c>
      <c r="I156" s="123">
        <f t="shared" si="46"/>
        <v>0.9</v>
      </c>
      <c r="J156" s="123">
        <f t="shared" si="46"/>
        <v>0.9</v>
      </c>
      <c r="K156" s="123">
        <f t="shared" si="46"/>
        <v>0.9</v>
      </c>
      <c r="L156" s="123">
        <f t="shared" si="46"/>
        <v>0.9</v>
      </c>
      <c r="M156" s="123">
        <f t="shared" si="46"/>
        <v>0.9</v>
      </c>
      <c r="N156" s="123">
        <f t="shared" si="46"/>
        <v>0.9</v>
      </c>
      <c r="O156" s="123">
        <f t="shared" si="46"/>
        <v>0.9</v>
      </c>
      <c r="P156" s="123">
        <f t="shared" si="46"/>
        <v>0.9</v>
      </c>
      <c r="Q156" s="123">
        <f t="shared" si="46"/>
        <v>0.9</v>
      </c>
      <c r="R156" s="123">
        <f t="shared" si="46"/>
        <v>0.9</v>
      </c>
      <c r="S156" s="123">
        <f t="shared" si="46"/>
        <v>0.9</v>
      </c>
      <c r="T156" s="123">
        <f t="shared" ref="S156:AF168" si="47">S156</f>
        <v>0.9</v>
      </c>
      <c r="U156" s="123">
        <f t="shared" si="47"/>
        <v>0.9</v>
      </c>
      <c r="V156" s="123">
        <f t="shared" si="47"/>
        <v>0.9</v>
      </c>
      <c r="W156" s="123">
        <f t="shared" si="47"/>
        <v>0.9</v>
      </c>
      <c r="X156" s="123">
        <f t="shared" si="47"/>
        <v>0.9</v>
      </c>
      <c r="Y156" s="123">
        <f t="shared" si="47"/>
        <v>0.9</v>
      </c>
      <c r="Z156" s="123">
        <f t="shared" si="47"/>
        <v>0.9</v>
      </c>
      <c r="AA156" s="123">
        <f t="shared" si="47"/>
        <v>0.9</v>
      </c>
      <c r="AB156" s="123">
        <f t="shared" si="47"/>
        <v>0.9</v>
      </c>
      <c r="AC156" s="123">
        <f t="shared" si="47"/>
        <v>0.9</v>
      </c>
      <c r="AD156" s="123">
        <f t="shared" si="47"/>
        <v>0.9</v>
      </c>
      <c r="AE156" s="123">
        <f t="shared" si="47"/>
        <v>0.9</v>
      </c>
      <c r="AF156" s="123">
        <f t="shared" si="47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5"/>
        <v>1.08</v>
      </c>
      <c r="C157" s="124">
        <v>1.08</v>
      </c>
      <c r="D157" s="123">
        <f t="shared" si="46"/>
        <v>1.08</v>
      </c>
      <c r="E157" s="123">
        <f t="shared" si="46"/>
        <v>1.08</v>
      </c>
      <c r="F157" s="123">
        <f t="shared" si="46"/>
        <v>1.08</v>
      </c>
      <c r="G157" s="123">
        <f t="shared" si="46"/>
        <v>1.08</v>
      </c>
      <c r="H157" s="123">
        <f t="shared" si="46"/>
        <v>1.08</v>
      </c>
      <c r="I157" s="123">
        <f t="shared" si="46"/>
        <v>1.08</v>
      </c>
      <c r="J157" s="123">
        <f t="shared" si="46"/>
        <v>1.08</v>
      </c>
      <c r="K157" s="123">
        <f t="shared" si="46"/>
        <v>1.08</v>
      </c>
      <c r="L157" s="123">
        <f t="shared" si="46"/>
        <v>1.08</v>
      </c>
      <c r="M157" s="123">
        <f t="shared" si="46"/>
        <v>1.08</v>
      </c>
      <c r="N157" s="123">
        <f t="shared" si="46"/>
        <v>1.08</v>
      </c>
      <c r="O157" s="123">
        <f t="shared" si="46"/>
        <v>1.08</v>
      </c>
      <c r="P157" s="123">
        <f t="shared" si="46"/>
        <v>1.08</v>
      </c>
      <c r="Q157" s="123">
        <f t="shared" si="46"/>
        <v>1.08</v>
      </c>
      <c r="R157" s="123">
        <f t="shared" si="46"/>
        <v>1.08</v>
      </c>
      <c r="S157" s="123">
        <f t="shared" si="46"/>
        <v>1.08</v>
      </c>
      <c r="T157" s="123">
        <f t="shared" si="47"/>
        <v>1.08</v>
      </c>
      <c r="U157" s="123">
        <f t="shared" si="47"/>
        <v>1.08</v>
      </c>
      <c r="V157" s="123">
        <f t="shared" si="47"/>
        <v>1.08</v>
      </c>
      <c r="W157" s="123">
        <f t="shared" si="47"/>
        <v>1.08</v>
      </c>
      <c r="X157" s="123">
        <f t="shared" si="47"/>
        <v>1.08</v>
      </c>
      <c r="Y157" s="123">
        <f t="shared" si="47"/>
        <v>1.08</v>
      </c>
      <c r="Z157" s="123">
        <f t="shared" si="47"/>
        <v>1.08</v>
      </c>
      <c r="AA157" s="123">
        <f t="shared" si="47"/>
        <v>1.08</v>
      </c>
      <c r="AB157" s="123">
        <f t="shared" si="47"/>
        <v>1.08</v>
      </c>
      <c r="AC157" s="123">
        <f t="shared" si="47"/>
        <v>1.08</v>
      </c>
      <c r="AD157" s="123">
        <f t="shared" si="47"/>
        <v>1.08</v>
      </c>
      <c r="AE157" s="123">
        <f t="shared" si="47"/>
        <v>1.08</v>
      </c>
      <c r="AF157" s="123">
        <f t="shared" si="47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5"/>
        <v>2.37</v>
      </c>
      <c r="C158" s="124">
        <v>2.37</v>
      </c>
      <c r="D158" s="123">
        <f t="shared" si="46"/>
        <v>2.37</v>
      </c>
      <c r="E158" s="123">
        <f t="shared" si="46"/>
        <v>2.37</v>
      </c>
      <c r="F158" s="123">
        <f t="shared" si="46"/>
        <v>2.37</v>
      </c>
      <c r="G158" s="123">
        <f t="shared" si="46"/>
        <v>2.37</v>
      </c>
      <c r="H158" s="123">
        <f t="shared" si="46"/>
        <v>2.37</v>
      </c>
      <c r="I158" s="123">
        <f t="shared" si="46"/>
        <v>2.37</v>
      </c>
      <c r="J158" s="123">
        <f t="shared" si="46"/>
        <v>2.37</v>
      </c>
      <c r="K158" s="123">
        <f t="shared" si="46"/>
        <v>2.37</v>
      </c>
      <c r="L158" s="123">
        <f t="shared" si="46"/>
        <v>2.37</v>
      </c>
      <c r="M158" s="123">
        <f t="shared" si="46"/>
        <v>2.37</v>
      </c>
      <c r="N158" s="123">
        <f t="shared" si="46"/>
        <v>2.37</v>
      </c>
      <c r="O158" s="123">
        <f t="shared" si="46"/>
        <v>2.37</v>
      </c>
      <c r="P158" s="123">
        <f t="shared" si="46"/>
        <v>2.37</v>
      </c>
      <c r="Q158" s="123">
        <f t="shared" si="46"/>
        <v>2.37</v>
      </c>
      <c r="R158" s="123">
        <f t="shared" si="46"/>
        <v>2.37</v>
      </c>
      <c r="S158" s="123">
        <f t="shared" si="46"/>
        <v>2.37</v>
      </c>
      <c r="T158" s="123">
        <f t="shared" si="47"/>
        <v>2.37</v>
      </c>
      <c r="U158" s="123">
        <f t="shared" si="47"/>
        <v>2.37</v>
      </c>
      <c r="V158" s="123">
        <f t="shared" si="47"/>
        <v>2.37</v>
      </c>
      <c r="W158" s="123">
        <f t="shared" si="47"/>
        <v>2.37</v>
      </c>
      <c r="X158" s="123">
        <f t="shared" si="47"/>
        <v>2.37</v>
      </c>
      <c r="Y158" s="123">
        <f t="shared" si="47"/>
        <v>2.37</v>
      </c>
      <c r="Z158" s="123">
        <f t="shared" si="47"/>
        <v>2.37</v>
      </c>
      <c r="AA158" s="123">
        <f t="shared" si="47"/>
        <v>2.37</v>
      </c>
      <c r="AB158" s="123">
        <f t="shared" si="47"/>
        <v>2.37</v>
      </c>
      <c r="AC158" s="123">
        <f t="shared" si="47"/>
        <v>2.37</v>
      </c>
      <c r="AD158" s="123">
        <f t="shared" si="47"/>
        <v>2.37</v>
      </c>
      <c r="AE158" s="123">
        <f t="shared" si="47"/>
        <v>2.37</v>
      </c>
      <c r="AF158" s="123">
        <f t="shared" si="47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5"/>
        <v>1.81</v>
      </c>
      <c r="C159" s="124">
        <v>1.81</v>
      </c>
      <c r="D159" s="123">
        <f t="shared" si="46"/>
        <v>1.81</v>
      </c>
      <c r="E159" s="123">
        <f t="shared" si="46"/>
        <v>1.81</v>
      </c>
      <c r="F159" s="123">
        <f t="shared" si="46"/>
        <v>1.81</v>
      </c>
      <c r="G159" s="123">
        <f t="shared" si="46"/>
        <v>1.81</v>
      </c>
      <c r="H159" s="123">
        <f t="shared" si="46"/>
        <v>1.81</v>
      </c>
      <c r="I159" s="123">
        <f t="shared" si="46"/>
        <v>1.81</v>
      </c>
      <c r="J159" s="123">
        <f t="shared" si="46"/>
        <v>1.81</v>
      </c>
      <c r="K159" s="123">
        <f t="shared" si="46"/>
        <v>1.81</v>
      </c>
      <c r="L159" s="123">
        <f t="shared" si="46"/>
        <v>1.81</v>
      </c>
      <c r="M159" s="123">
        <f t="shared" si="46"/>
        <v>1.81</v>
      </c>
      <c r="N159" s="123">
        <f t="shared" si="46"/>
        <v>1.81</v>
      </c>
      <c r="O159" s="123">
        <f t="shared" si="46"/>
        <v>1.81</v>
      </c>
      <c r="P159" s="123">
        <f t="shared" si="46"/>
        <v>1.81</v>
      </c>
      <c r="Q159" s="123">
        <f t="shared" si="46"/>
        <v>1.81</v>
      </c>
      <c r="R159" s="123">
        <f t="shared" si="46"/>
        <v>1.81</v>
      </c>
      <c r="S159" s="123">
        <f t="shared" si="46"/>
        <v>1.81</v>
      </c>
      <c r="T159" s="123">
        <f t="shared" si="47"/>
        <v>1.81</v>
      </c>
      <c r="U159" s="123">
        <f t="shared" si="47"/>
        <v>1.81</v>
      </c>
      <c r="V159" s="123">
        <f t="shared" si="47"/>
        <v>1.81</v>
      </c>
      <c r="W159" s="123">
        <f t="shared" si="47"/>
        <v>1.81</v>
      </c>
      <c r="X159" s="123">
        <f t="shared" si="47"/>
        <v>1.81</v>
      </c>
      <c r="Y159" s="123">
        <f t="shared" si="47"/>
        <v>1.81</v>
      </c>
      <c r="Z159" s="123">
        <f t="shared" si="47"/>
        <v>1.81</v>
      </c>
      <c r="AA159" s="123">
        <f t="shared" si="47"/>
        <v>1.81</v>
      </c>
      <c r="AB159" s="123">
        <f t="shared" si="47"/>
        <v>1.81</v>
      </c>
      <c r="AC159" s="123">
        <f t="shared" si="47"/>
        <v>1.81</v>
      </c>
      <c r="AD159" s="123">
        <f t="shared" si="47"/>
        <v>1.81</v>
      </c>
      <c r="AE159" s="123">
        <f t="shared" si="47"/>
        <v>1.81</v>
      </c>
      <c r="AF159" s="123">
        <f t="shared" si="47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5"/>
        <v>1.0900000000000001</v>
      </c>
      <c r="C160" s="124">
        <v>1.0900000000000001</v>
      </c>
      <c r="D160" s="123">
        <f t="shared" si="46"/>
        <v>1.0900000000000001</v>
      </c>
      <c r="E160" s="123">
        <f t="shared" si="46"/>
        <v>1.0900000000000001</v>
      </c>
      <c r="F160" s="123">
        <f t="shared" si="46"/>
        <v>1.0900000000000001</v>
      </c>
      <c r="G160" s="123">
        <f t="shared" si="46"/>
        <v>1.0900000000000001</v>
      </c>
      <c r="H160" s="123">
        <f t="shared" si="46"/>
        <v>1.0900000000000001</v>
      </c>
      <c r="I160" s="123">
        <f t="shared" si="46"/>
        <v>1.0900000000000001</v>
      </c>
      <c r="J160" s="123">
        <f t="shared" si="46"/>
        <v>1.0900000000000001</v>
      </c>
      <c r="K160" s="123">
        <f t="shared" si="46"/>
        <v>1.0900000000000001</v>
      </c>
      <c r="L160" s="123">
        <f t="shared" si="46"/>
        <v>1.0900000000000001</v>
      </c>
      <c r="M160" s="123">
        <f t="shared" si="46"/>
        <v>1.0900000000000001</v>
      </c>
      <c r="N160" s="123">
        <f t="shared" si="46"/>
        <v>1.0900000000000001</v>
      </c>
      <c r="O160" s="123">
        <f t="shared" si="46"/>
        <v>1.0900000000000001</v>
      </c>
      <c r="P160" s="123">
        <f t="shared" si="46"/>
        <v>1.0900000000000001</v>
      </c>
      <c r="Q160" s="123">
        <f t="shared" si="46"/>
        <v>1.0900000000000001</v>
      </c>
      <c r="R160" s="123">
        <f t="shared" si="46"/>
        <v>1.0900000000000001</v>
      </c>
      <c r="S160" s="123">
        <f t="shared" si="46"/>
        <v>1.0900000000000001</v>
      </c>
      <c r="T160" s="123">
        <f t="shared" si="47"/>
        <v>1.0900000000000001</v>
      </c>
      <c r="U160" s="123">
        <f t="shared" si="47"/>
        <v>1.0900000000000001</v>
      </c>
      <c r="V160" s="123">
        <f t="shared" si="47"/>
        <v>1.0900000000000001</v>
      </c>
      <c r="W160" s="123">
        <f t="shared" si="47"/>
        <v>1.0900000000000001</v>
      </c>
      <c r="X160" s="123">
        <f t="shared" si="47"/>
        <v>1.0900000000000001</v>
      </c>
      <c r="Y160" s="123">
        <f t="shared" si="47"/>
        <v>1.0900000000000001</v>
      </c>
      <c r="Z160" s="123">
        <f t="shared" si="47"/>
        <v>1.0900000000000001</v>
      </c>
      <c r="AA160" s="123">
        <f t="shared" si="47"/>
        <v>1.0900000000000001</v>
      </c>
      <c r="AB160" s="123">
        <f t="shared" si="47"/>
        <v>1.0900000000000001</v>
      </c>
      <c r="AC160" s="123">
        <f t="shared" si="47"/>
        <v>1.0900000000000001</v>
      </c>
      <c r="AD160" s="123">
        <f t="shared" si="47"/>
        <v>1.0900000000000001</v>
      </c>
      <c r="AE160" s="123">
        <f t="shared" si="47"/>
        <v>1.0900000000000001</v>
      </c>
      <c r="AF160" s="123">
        <f t="shared" si="47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5"/>
        <v>1.58</v>
      </c>
      <c r="C161" s="124">
        <v>1.58</v>
      </c>
      <c r="D161" s="123">
        <f t="shared" si="46"/>
        <v>1.58</v>
      </c>
      <c r="E161" s="123">
        <f t="shared" si="46"/>
        <v>1.58</v>
      </c>
      <c r="F161" s="123">
        <f t="shared" si="46"/>
        <v>1.58</v>
      </c>
      <c r="G161" s="123">
        <f t="shared" si="46"/>
        <v>1.58</v>
      </c>
      <c r="H161" s="123">
        <f t="shared" si="46"/>
        <v>1.58</v>
      </c>
      <c r="I161" s="123">
        <f t="shared" si="46"/>
        <v>1.58</v>
      </c>
      <c r="J161" s="123">
        <f t="shared" si="46"/>
        <v>1.58</v>
      </c>
      <c r="K161" s="123">
        <f t="shared" si="46"/>
        <v>1.58</v>
      </c>
      <c r="L161" s="123">
        <f t="shared" si="46"/>
        <v>1.58</v>
      </c>
      <c r="M161" s="123">
        <f t="shared" si="46"/>
        <v>1.58</v>
      </c>
      <c r="N161" s="123">
        <f t="shared" si="46"/>
        <v>1.58</v>
      </c>
      <c r="O161" s="123">
        <f t="shared" si="46"/>
        <v>1.58</v>
      </c>
      <c r="P161" s="123">
        <f t="shared" si="46"/>
        <v>1.58</v>
      </c>
      <c r="Q161" s="123">
        <f t="shared" si="46"/>
        <v>1.58</v>
      </c>
      <c r="R161" s="123">
        <f t="shared" si="46"/>
        <v>1.58</v>
      </c>
      <c r="S161" s="123">
        <f t="shared" si="46"/>
        <v>1.58</v>
      </c>
      <c r="T161" s="123">
        <f t="shared" si="47"/>
        <v>1.58</v>
      </c>
      <c r="U161" s="123">
        <f t="shared" si="47"/>
        <v>1.58</v>
      </c>
      <c r="V161" s="123">
        <f t="shared" si="47"/>
        <v>1.58</v>
      </c>
      <c r="W161" s="123">
        <f t="shared" si="47"/>
        <v>1.58</v>
      </c>
      <c r="X161" s="123">
        <f t="shared" si="47"/>
        <v>1.58</v>
      </c>
      <c r="Y161" s="123">
        <f t="shared" si="47"/>
        <v>1.58</v>
      </c>
      <c r="Z161" s="123">
        <f t="shared" si="47"/>
        <v>1.58</v>
      </c>
      <c r="AA161" s="123">
        <f t="shared" si="47"/>
        <v>1.58</v>
      </c>
      <c r="AB161" s="123">
        <f t="shared" si="47"/>
        <v>1.58</v>
      </c>
      <c r="AC161" s="123">
        <f t="shared" si="47"/>
        <v>1.58</v>
      </c>
      <c r="AD161" s="123">
        <f t="shared" si="47"/>
        <v>1.58</v>
      </c>
      <c r="AE161" s="123">
        <f t="shared" si="47"/>
        <v>1.58</v>
      </c>
      <c r="AF161" s="123">
        <f t="shared" si="47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5"/>
        <v>2</v>
      </c>
      <c r="C162" s="124">
        <v>2</v>
      </c>
      <c r="D162" s="123">
        <f t="shared" si="46"/>
        <v>2</v>
      </c>
      <c r="E162" s="123">
        <f t="shared" si="46"/>
        <v>2</v>
      </c>
      <c r="F162" s="123">
        <f t="shared" si="46"/>
        <v>2</v>
      </c>
      <c r="G162" s="123">
        <f t="shared" si="46"/>
        <v>2</v>
      </c>
      <c r="H162" s="123">
        <f t="shared" si="46"/>
        <v>2</v>
      </c>
      <c r="I162" s="123">
        <f t="shared" si="46"/>
        <v>2</v>
      </c>
      <c r="J162" s="123">
        <f t="shared" si="46"/>
        <v>2</v>
      </c>
      <c r="K162" s="123">
        <f t="shared" si="46"/>
        <v>2</v>
      </c>
      <c r="L162" s="123">
        <f t="shared" si="46"/>
        <v>2</v>
      </c>
      <c r="M162" s="123">
        <f t="shared" si="46"/>
        <v>2</v>
      </c>
      <c r="N162" s="123">
        <f t="shared" si="46"/>
        <v>2</v>
      </c>
      <c r="O162" s="123">
        <f t="shared" si="46"/>
        <v>2</v>
      </c>
      <c r="P162" s="123">
        <f t="shared" si="46"/>
        <v>2</v>
      </c>
      <c r="Q162" s="123">
        <f t="shared" si="46"/>
        <v>2</v>
      </c>
      <c r="R162" s="123">
        <f t="shared" si="46"/>
        <v>2</v>
      </c>
      <c r="S162" s="123">
        <f t="shared" si="46"/>
        <v>2</v>
      </c>
      <c r="T162" s="123">
        <f t="shared" si="47"/>
        <v>2</v>
      </c>
      <c r="U162" s="123">
        <f t="shared" si="47"/>
        <v>2</v>
      </c>
      <c r="V162" s="123">
        <f t="shared" si="47"/>
        <v>2</v>
      </c>
      <c r="W162" s="123">
        <f t="shared" si="47"/>
        <v>2</v>
      </c>
      <c r="X162" s="123">
        <f t="shared" si="47"/>
        <v>2</v>
      </c>
      <c r="Y162" s="123">
        <f t="shared" si="47"/>
        <v>2</v>
      </c>
      <c r="Z162" s="123">
        <f t="shared" si="47"/>
        <v>2</v>
      </c>
      <c r="AA162" s="123">
        <f t="shared" si="47"/>
        <v>2</v>
      </c>
      <c r="AB162" s="123">
        <f t="shared" si="47"/>
        <v>2</v>
      </c>
      <c r="AC162" s="123">
        <f t="shared" si="47"/>
        <v>2</v>
      </c>
      <c r="AD162" s="123">
        <f t="shared" si="47"/>
        <v>2</v>
      </c>
      <c r="AE162" s="123">
        <f t="shared" si="47"/>
        <v>2</v>
      </c>
      <c r="AF162" s="123">
        <f t="shared" si="47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5"/>
        <v>0.47</v>
      </c>
      <c r="C163" s="124">
        <v>0.47</v>
      </c>
      <c r="D163" s="123">
        <f t="shared" si="46"/>
        <v>0.47</v>
      </c>
      <c r="E163" s="123">
        <f t="shared" si="46"/>
        <v>0.47</v>
      </c>
      <c r="F163" s="123">
        <f t="shared" si="46"/>
        <v>0.47</v>
      </c>
      <c r="G163" s="123">
        <f t="shared" si="46"/>
        <v>0.47</v>
      </c>
      <c r="H163" s="123">
        <f t="shared" si="46"/>
        <v>0.47</v>
      </c>
      <c r="I163" s="123">
        <f t="shared" si="46"/>
        <v>0.47</v>
      </c>
      <c r="J163" s="123">
        <f t="shared" si="46"/>
        <v>0.47</v>
      </c>
      <c r="K163" s="123">
        <f t="shared" si="46"/>
        <v>0.47</v>
      </c>
      <c r="L163" s="123">
        <f t="shared" si="46"/>
        <v>0.47</v>
      </c>
      <c r="M163" s="123">
        <f t="shared" si="46"/>
        <v>0.47</v>
      </c>
      <c r="N163" s="123">
        <f t="shared" si="46"/>
        <v>0.47</v>
      </c>
      <c r="O163" s="123">
        <f t="shared" si="46"/>
        <v>0.47</v>
      </c>
      <c r="P163" s="123">
        <f t="shared" si="46"/>
        <v>0.47</v>
      </c>
      <c r="Q163" s="123">
        <f t="shared" si="46"/>
        <v>0.47</v>
      </c>
      <c r="R163" s="123">
        <f t="shared" si="46"/>
        <v>0.47</v>
      </c>
      <c r="S163" s="123">
        <f t="shared" si="46"/>
        <v>0.47</v>
      </c>
      <c r="T163" s="123">
        <f t="shared" si="47"/>
        <v>0.47</v>
      </c>
      <c r="U163" s="123">
        <f t="shared" si="47"/>
        <v>0.47</v>
      </c>
      <c r="V163" s="123">
        <f t="shared" si="47"/>
        <v>0.47</v>
      </c>
      <c r="W163" s="123">
        <f t="shared" si="47"/>
        <v>0.47</v>
      </c>
      <c r="X163" s="123">
        <f t="shared" si="47"/>
        <v>0.47</v>
      </c>
      <c r="Y163" s="123">
        <f t="shared" si="47"/>
        <v>0.47</v>
      </c>
      <c r="Z163" s="123">
        <f t="shared" si="47"/>
        <v>0.47</v>
      </c>
      <c r="AA163" s="123">
        <f t="shared" si="47"/>
        <v>0.47</v>
      </c>
      <c r="AB163" s="123">
        <f t="shared" si="47"/>
        <v>0.47</v>
      </c>
      <c r="AC163" s="123">
        <f t="shared" si="47"/>
        <v>0.47</v>
      </c>
      <c r="AD163" s="123">
        <f t="shared" si="47"/>
        <v>0.47</v>
      </c>
      <c r="AE163" s="123">
        <f t="shared" si="47"/>
        <v>0.47</v>
      </c>
      <c r="AF163" s="123">
        <f t="shared" si="47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5"/>
        <v>0</v>
      </c>
      <c r="C164" s="124">
        <v>0</v>
      </c>
      <c r="D164" s="123">
        <f t="shared" si="46"/>
        <v>0</v>
      </c>
      <c r="E164" s="123">
        <f t="shared" si="46"/>
        <v>0</v>
      </c>
      <c r="F164" s="123">
        <f t="shared" si="46"/>
        <v>0</v>
      </c>
      <c r="G164" s="123">
        <f t="shared" si="46"/>
        <v>0</v>
      </c>
      <c r="H164" s="123">
        <f t="shared" si="46"/>
        <v>0</v>
      </c>
      <c r="I164" s="123">
        <f t="shared" si="46"/>
        <v>0</v>
      </c>
      <c r="J164" s="123">
        <f t="shared" si="46"/>
        <v>0</v>
      </c>
      <c r="K164" s="123">
        <f t="shared" si="46"/>
        <v>0</v>
      </c>
      <c r="L164" s="123">
        <f t="shared" si="46"/>
        <v>0</v>
      </c>
      <c r="M164" s="123">
        <f t="shared" si="46"/>
        <v>0</v>
      </c>
      <c r="N164" s="123">
        <f t="shared" si="46"/>
        <v>0</v>
      </c>
      <c r="O164" s="123">
        <f t="shared" si="46"/>
        <v>0</v>
      </c>
      <c r="P164" s="123">
        <f t="shared" si="46"/>
        <v>0</v>
      </c>
      <c r="Q164" s="123">
        <f t="shared" si="46"/>
        <v>0</v>
      </c>
      <c r="R164" s="123">
        <f t="shared" si="46"/>
        <v>0</v>
      </c>
      <c r="S164" s="123">
        <f t="shared" si="46"/>
        <v>0</v>
      </c>
      <c r="T164" s="123">
        <f t="shared" si="47"/>
        <v>0</v>
      </c>
      <c r="U164" s="123">
        <f t="shared" si="47"/>
        <v>0</v>
      </c>
      <c r="V164" s="123">
        <f t="shared" si="47"/>
        <v>0</v>
      </c>
      <c r="W164" s="123">
        <f t="shared" si="47"/>
        <v>0</v>
      </c>
      <c r="X164" s="123">
        <f t="shared" si="47"/>
        <v>0</v>
      </c>
      <c r="Y164" s="123">
        <f t="shared" si="47"/>
        <v>0</v>
      </c>
      <c r="Z164" s="123">
        <f t="shared" si="47"/>
        <v>0</v>
      </c>
      <c r="AA164" s="123">
        <f t="shared" si="47"/>
        <v>0</v>
      </c>
      <c r="AB164" s="123">
        <f t="shared" si="47"/>
        <v>0</v>
      </c>
      <c r="AC164" s="123">
        <f t="shared" si="47"/>
        <v>0</v>
      </c>
      <c r="AD164" s="123">
        <f t="shared" si="47"/>
        <v>0</v>
      </c>
      <c r="AE164" s="123">
        <f t="shared" si="47"/>
        <v>0</v>
      </c>
      <c r="AF164" s="123">
        <f t="shared" si="47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7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5"/>
        <v>0.8</v>
      </c>
      <c r="C166" s="124">
        <v>0.8</v>
      </c>
      <c r="D166" s="123">
        <f t="shared" si="46"/>
        <v>0.8</v>
      </c>
      <c r="E166" s="123">
        <f t="shared" si="46"/>
        <v>0.8</v>
      </c>
      <c r="F166" s="123">
        <f t="shared" si="46"/>
        <v>0.8</v>
      </c>
      <c r="G166" s="123">
        <f t="shared" si="46"/>
        <v>0.8</v>
      </c>
      <c r="H166" s="123">
        <f t="shared" si="46"/>
        <v>0.8</v>
      </c>
      <c r="I166" s="123">
        <f t="shared" si="46"/>
        <v>0.8</v>
      </c>
      <c r="J166" s="123">
        <f t="shared" si="46"/>
        <v>0.8</v>
      </c>
      <c r="K166" s="123">
        <f t="shared" si="46"/>
        <v>0.8</v>
      </c>
      <c r="L166" s="123">
        <f t="shared" si="46"/>
        <v>0.8</v>
      </c>
      <c r="M166" s="123">
        <f t="shared" si="46"/>
        <v>0.8</v>
      </c>
      <c r="N166" s="123">
        <f t="shared" si="46"/>
        <v>0.8</v>
      </c>
      <c r="O166" s="123">
        <f t="shared" si="46"/>
        <v>0.8</v>
      </c>
      <c r="P166" s="123">
        <f t="shared" si="46"/>
        <v>0.8</v>
      </c>
      <c r="Q166" s="123">
        <f t="shared" si="46"/>
        <v>0.8</v>
      </c>
      <c r="R166" s="123">
        <f t="shared" si="46"/>
        <v>0.8</v>
      </c>
      <c r="S166" s="123">
        <f t="shared" si="47"/>
        <v>0.8</v>
      </c>
      <c r="T166" s="123">
        <f t="shared" si="47"/>
        <v>0.8</v>
      </c>
      <c r="U166" s="123">
        <f t="shared" si="47"/>
        <v>0.8</v>
      </c>
      <c r="V166" s="123">
        <f t="shared" si="47"/>
        <v>0.8</v>
      </c>
      <c r="W166" s="123">
        <f t="shared" si="47"/>
        <v>0.8</v>
      </c>
      <c r="X166" s="123">
        <f t="shared" si="47"/>
        <v>0.8</v>
      </c>
      <c r="Y166" s="123">
        <f t="shared" si="47"/>
        <v>0.8</v>
      </c>
      <c r="Z166" s="123">
        <f t="shared" si="47"/>
        <v>0.8</v>
      </c>
      <c r="AA166" s="123">
        <f t="shared" si="47"/>
        <v>0.8</v>
      </c>
      <c r="AB166" s="123">
        <f t="shared" si="47"/>
        <v>0.8</v>
      </c>
      <c r="AC166" s="123">
        <f t="shared" si="47"/>
        <v>0.8</v>
      </c>
      <c r="AD166" s="123">
        <f t="shared" si="47"/>
        <v>0.8</v>
      </c>
      <c r="AE166" s="123">
        <f t="shared" si="47"/>
        <v>0.8</v>
      </c>
      <c r="AF166" s="123">
        <f t="shared" si="47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5"/>
        <v>1.5</v>
      </c>
      <c r="C167" s="124">
        <v>1.5</v>
      </c>
      <c r="D167" s="123">
        <f t="shared" si="46"/>
        <v>1.5</v>
      </c>
      <c r="E167" s="123">
        <f t="shared" si="46"/>
        <v>1.5</v>
      </c>
      <c r="F167" s="123">
        <f t="shared" si="46"/>
        <v>1.5</v>
      </c>
      <c r="G167" s="123">
        <f t="shared" si="46"/>
        <v>1.5</v>
      </c>
      <c r="H167" s="123">
        <f t="shared" si="46"/>
        <v>1.5</v>
      </c>
      <c r="I167" s="123">
        <f t="shared" si="46"/>
        <v>1.5</v>
      </c>
      <c r="J167" s="123">
        <f t="shared" si="46"/>
        <v>1.5</v>
      </c>
      <c r="K167" s="123">
        <f t="shared" si="46"/>
        <v>1.5</v>
      </c>
      <c r="L167" s="123">
        <f t="shared" si="46"/>
        <v>1.5</v>
      </c>
      <c r="M167" s="123">
        <f t="shared" si="46"/>
        <v>1.5</v>
      </c>
      <c r="N167" s="123">
        <f t="shared" si="46"/>
        <v>1.5</v>
      </c>
      <c r="O167" s="123">
        <f t="shared" si="46"/>
        <v>1.5</v>
      </c>
      <c r="P167" s="123">
        <f t="shared" si="46"/>
        <v>1.5</v>
      </c>
      <c r="Q167" s="123">
        <f t="shared" si="46"/>
        <v>1.5</v>
      </c>
      <c r="R167" s="123">
        <f t="shared" si="46"/>
        <v>1.5</v>
      </c>
      <c r="S167" s="123">
        <f t="shared" si="47"/>
        <v>1.5</v>
      </c>
      <c r="T167" s="123">
        <f t="shared" si="47"/>
        <v>1.5</v>
      </c>
      <c r="U167" s="123">
        <f t="shared" si="47"/>
        <v>1.5</v>
      </c>
      <c r="V167" s="123">
        <f t="shared" si="47"/>
        <v>1.5</v>
      </c>
      <c r="W167" s="123">
        <f t="shared" si="47"/>
        <v>1.5</v>
      </c>
      <c r="X167" s="123">
        <f t="shared" si="47"/>
        <v>1.5</v>
      </c>
      <c r="Y167" s="123">
        <f t="shared" si="47"/>
        <v>1.5</v>
      </c>
      <c r="Z167" s="123">
        <f t="shared" si="47"/>
        <v>1.5</v>
      </c>
      <c r="AA167" s="123">
        <f t="shared" si="47"/>
        <v>1.5</v>
      </c>
      <c r="AB167" s="123">
        <f t="shared" si="47"/>
        <v>1.5</v>
      </c>
      <c r="AC167" s="123">
        <f t="shared" si="47"/>
        <v>1.5</v>
      </c>
      <c r="AD167" s="123">
        <f t="shared" si="47"/>
        <v>1.5</v>
      </c>
      <c r="AE167" s="123">
        <f t="shared" si="47"/>
        <v>1.5</v>
      </c>
      <c r="AF167" s="123">
        <f t="shared" si="47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5"/>
        <v>1</v>
      </c>
      <c r="C168" s="124">
        <v>1</v>
      </c>
      <c r="D168" s="123">
        <f t="shared" si="46"/>
        <v>1</v>
      </c>
      <c r="E168" s="123">
        <f t="shared" si="46"/>
        <v>1</v>
      </c>
      <c r="F168" s="123">
        <f t="shared" si="46"/>
        <v>1</v>
      </c>
      <c r="G168" s="123">
        <f t="shared" si="46"/>
        <v>1</v>
      </c>
      <c r="H168" s="123">
        <f t="shared" si="46"/>
        <v>1</v>
      </c>
      <c r="I168" s="123">
        <f t="shared" si="46"/>
        <v>1</v>
      </c>
      <c r="J168" s="123">
        <f t="shared" si="46"/>
        <v>1</v>
      </c>
      <c r="K168" s="123">
        <f t="shared" si="46"/>
        <v>1</v>
      </c>
      <c r="L168" s="123">
        <f t="shared" si="46"/>
        <v>1</v>
      </c>
      <c r="M168" s="123">
        <f t="shared" si="46"/>
        <v>1</v>
      </c>
      <c r="N168" s="123">
        <f t="shared" si="46"/>
        <v>1</v>
      </c>
      <c r="O168" s="123">
        <f t="shared" si="46"/>
        <v>1</v>
      </c>
      <c r="P168" s="123">
        <f t="shared" si="46"/>
        <v>1</v>
      </c>
      <c r="Q168" s="123">
        <f t="shared" si="46"/>
        <v>1</v>
      </c>
      <c r="R168" s="123">
        <f t="shared" si="46"/>
        <v>1</v>
      </c>
      <c r="S168" s="123">
        <f t="shared" si="47"/>
        <v>1</v>
      </c>
      <c r="T168" s="123">
        <f t="shared" si="47"/>
        <v>1</v>
      </c>
      <c r="U168" s="123">
        <f t="shared" si="47"/>
        <v>1</v>
      </c>
      <c r="V168" s="123">
        <f t="shared" si="47"/>
        <v>1</v>
      </c>
      <c r="W168" s="123">
        <f t="shared" si="47"/>
        <v>1</v>
      </c>
      <c r="X168" s="123">
        <f t="shared" si="47"/>
        <v>1</v>
      </c>
      <c r="Y168" s="123">
        <f t="shared" si="47"/>
        <v>1</v>
      </c>
      <c r="Z168" s="123">
        <f t="shared" si="47"/>
        <v>1</v>
      </c>
      <c r="AA168" s="123">
        <f t="shared" si="47"/>
        <v>1</v>
      </c>
      <c r="AB168" s="123">
        <f t="shared" si="47"/>
        <v>1</v>
      </c>
      <c r="AC168" s="123">
        <f t="shared" si="47"/>
        <v>1</v>
      </c>
      <c r="AD168" s="123">
        <f t="shared" si="47"/>
        <v>1</v>
      </c>
      <c r="AE168" s="123">
        <f t="shared" si="47"/>
        <v>1</v>
      </c>
      <c r="AF168" s="123">
        <f t="shared" si="47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8">AF170</f>
        <v>1</v>
      </c>
      <c r="C170" s="124">
        <v>1</v>
      </c>
      <c r="D170" s="123">
        <f t="shared" ref="D170:S177" si="49">C170</f>
        <v>1</v>
      </c>
      <c r="E170" s="123">
        <f t="shared" si="49"/>
        <v>1</v>
      </c>
      <c r="F170" s="123">
        <f t="shared" si="49"/>
        <v>1</v>
      </c>
      <c r="G170" s="123">
        <f t="shared" si="49"/>
        <v>1</v>
      </c>
      <c r="H170" s="123">
        <f t="shared" si="49"/>
        <v>1</v>
      </c>
      <c r="I170" s="123">
        <f t="shared" si="49"/>
        <v>1</v>
      </c>
      <c r="J170" s="123">
        <f t="shared" si="49"/>
        <v>1</v>
      </c>
      <c r="K170" s="123">
        <f t="shared" si="49"/>
        <v>1</v>
      </c>
      <c r="L170" s="123">
        <f t="shared" si="49"/>
        <v>1</v>
      </c>
      <c r="M170" s="123">
        <f t="shared" si="49"/>
        <v>1</v>
      </c>
      <c r="N170" s="123">
        <f t="shared" si="49"/>
        <v>1</v>
      </c>
      <c r="O170" s="123">
        <f t="shared" si="49"/>
        <v>1</v>
      </c>
      <c r="P170" s="123">
        <f t="shared" si="49"/>
        <v>1</v>
      </c>
      <c r="Q170" s="123">
        <f t="shared" si="49"/>
        <v>1</v>
      </c>
      <c r="R170" s="123">
        <f t="shared" si="49"/>
        <v>1</v>
      </c>
      <c r="S170" s="123">
        <f t="shared" si="49"/>
        <v>1</v>
      </c>
      <c r="T170" s="123">
        <f t="shared" ref="S170:AF177" si="50">S170</f>
        <v>1</v>
      </c>
      <c r="U170" s="123">
        <f t="shared" si="50"/>
        <v>1</v>
      </c>
      <c r="V170" s="123">
        <f t="shared" si="50"/>
        <v>1</v>
      </c>
      <c r="W170" s="123">
        <f t="shared" si="50"/>
        <v>1</v>
      </c>
      <c r="X170" s="123">
        <f t="shared" si="50"/>
        <v>1</v>
      </c>
      <c r="Y170" s="123">
        <f t="shared" si="50"/>
        <v>1</v>
      </c>
      <c r="Z170" s="123">
        <f t="shared" si="50"/>
        <v>1</v>
      </c>
      <c r="AA170" s="123">
        <f t="shared" si="50"/>
        <v>1</v>
      </c>
      <c r="AB170" s="123">
        <f t="shared" si="50"/>
        <v>1</v>
      </c>
      <c r="AC170" s="123">
        <f t="shared" si="50"/>
        <v>1</v>
      </c>
      <c r="AD170" s="123">
        <f t="shared" si="50"/>
        <v>1</v>
      </c>
      <c r="AE170" s="123">
        <f t="shared" si="50"/>
        <v>1</v>
      </c>
      <c r="AF170" s="123">
        <f t="shared" si="50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8"/>
        <v>0.42</v>
      </c>
      <c r="C171" s="124">
        <v>0.42</v>
      </c>
      <c r="D171" s="123">
        <f t="shared" si="49"/>
        <v>0.42</v>
      </c>
      <c r="E171" s="123">
        <f t="shared" si="49"/>
        <v>0.42</v>
      </c>
      <c r="F171" s="123">
        <f t="shared" si="49"/>
        <v>0.42</v>
      </c>
      <c r="G171" s="123">
        <f t="shared" si="49"/>
        <v>0.42</v>
      </c>
      <c r="H171" s="123">
        <f t="shared" si="49"/>
        <v>0.42</v>
      </c>
      <c r="I171" s="123">
        <f t="shared" si="49"/>
        <v>0.42</v>
      </c>
      <c r="J171" s="123">
        <f t="shared" si="49"/>
        <v>0.42</v>
      </c>
      <c r="K171" s="123">
        <f t="shared" si="49"/>
        <v>0.42</v>
      </c>
      <c r="L171" s="123">
        <f t="shared" si="49"/>
        <v>0.42</v>
      </c>
      <c r="M171" s="123">
        <f t="shared" si="49"/>
        <v>0.42</v>
      </c>
      <c r="N171" s="123">
        <f t="shared" si="49"/>
        <v>0.42</v>
      </c>
      <c r="O171" s="123">
        <f t="shared" si="49"/>
        <v>0.42</v>
      </c>
      <c r="P171" s="123">
        <f t="shared" si="49"/>
        <v>0.42</v>
      </c>
      <c r="Q171" s="123">
        <f t="shared" si="49"/>
        <v>0.42</v>
      </c>
      <c r="R171" s="123">
        <f t="shared" si="49"/>
        <v>0.42</v>
      </c>
      <c r="S171" s="123">
        <f t="shared" si="50"/>
        <v>0.42</v>
      </c>
      <c r="T171" s="123">
        <f t="shared" si="50"/>
        <v>0.42</v>
      </c>
      <c r="U171" s="123">
        <f t="shared" si="50"/>
        <v>0.42</v>
      </c>
      <c r="V171" s="123">
        <f t="shared" si="50"/>
        <v>0.42</v>
      </c>
      <c r="W171" s="123">
        <f t="shared" si="50"/>
        <v>0.42</v>
      </c>
      <c r="X171" s="123">
        <f t="shared" si="50"/>
        <v>0.42</v>
      </c>
      <c r="Y171" s="123">
        <f t="shared" si="50"/>
        <v>0.42</v>
      </c>
      <c r="Z171" s="123">
        <f t="shared" si="50"/>
        <v>0.42</v>
      </c>
      <c r="AA171" s="123">
        <f t="shared" si="50"/>
        <v>0.42</v>
      </c>
      <c r="AB171" s="123">
        <f t="shared" si="50"/>
        <v>0.42</v>
      </c>
      <c r="AC171" s="123">
        <f t="shared" si="50"/>
        <v>0.42</v>
      </c>
      <c r="AD171" s="123">
        <f t="shared" si="50"/>
        <v>0.42</v>
      </c>
      <c r="AE171" s="123">
        <f t="shared" si="50"/>
        <v>0.42</v>
      </c>
      <c r="AF171" s="123">
        <f t="shared" si="50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8"/>
        <v>0.46</v>
      </c>
      <c r="C172" s="124">
        <v>0.46</v>
      </c>
      <c r="D172" s="123">
        <f t="shared" si="49"/>
        <v>0.46</v>
      </c>
      <c r="E172" s="123">
        <f t="shared" si="49"/>
        <v>0.46</v>
      </c>
      <c r="F172" s="123">
        <f t="shared" si="49"/>
        <v>0.46</v>
      </c>
      <c r="G172" s="123">
        <f t="shared" si="49"/>
        <v>0.46</v>
      </c>
      <c r="H172" s="123">
        <f t="shared" si="49"/>
        <v>0.46</v>
      </c>
      <c r="I172" s="123">
        <f t="shared" si="49"/>
        <v>0.46</v>
      </c>
      <c r="J172" s="123">
        <f t="shared" si="49"/>
        <v>0.46</v>
      </c>
      <c r="K172" s="123">
        <f t="shared" si="49"/>
        <v>0.46</v>
      </c>
      <c r="L172" s="123">
        <f t="shared" si="49"/>
        <v>0.46</v>
      </c>
      <c r="M172" s="123">
        <f t="shared" si="49"/>
        <v>0.46</v>
      </c>
      <c r="N172" s="123">
        <f t="shared" si="49"/>
        <v>0.46</v>
      </c>
      <c r="O172" s="123">
        <f t="shared" si="49"/>
        <v>0.46</v>
      </c>
      <c r="P172" s="123">
        <f t="shared" si="49"/>
        <v>0.46</v>
      </c>
      <c r="Q172" s="123">
        <f t="shared" si="49"/>
        <v>0.46</v>
      </c>
      <c r="R172" s="123">
        <f t="shared" si="49"/>
        <v>0.46</v>
      </c>
      <c r="S172" s="123">
        <f t="shared" si="50"/>
        <v>0.46</v>
      </c>
      <c r="T172" s="123">
        <f t="shared" si="50"/>
        <v>0.46</v>
      </c>
      <c r="U172" s="123">
        <f t="shared" si="50"/>
        <v>0.46</v>
      </c>
      <c r="V172" s="123">
        <f t="shared" si="50"/>
        <v>0.46</v>
      </c>
      <c r="W172" s="123">
        <f t="shared" si="50"/>
        <v>0.46</v>
      </c>
      <c r="X172" s="123">
        <f t="shared" si="50"/>
        <v>0.46</v>
      </c>
      <c r="Y172" s="123">
        <f t="shared" si="50"/>
        <v>0.46</v>
      </c>
      <c r="Z172" s="123">
        <f t="shared" si="50"/>
        <v>0.46</v>
      </c>
      <c r="AA172" s="123">
        <f t="shared" si="50"/>
        <v>0.46</v>
      </c>
      <c r="AB172" s="123">
        <f t="shared" si="50"/>
        <v>0.46</v>
      </c>
      <c r="AC172" s="123">
        <f t="shared" si="50"/>
        <v>0.46</v>
      </c>
      <c r="AD172" s="123">
        <f t="shared" si="50"/>
        <v>0.46</v>
      </c>
      <c r="AE172" s="123">
        <f t="shared" si="50"/>
        <v>0.46</v>
      </c>
      <c r="AF172" s="123">
        <f t="shared" si="50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8"/>
        <v>0.85</v>
      </c>
      <c r="C173" s="124">
        <v>0.85</v>
      </c>
      <c r="D173" s="123">
        <f t="shared" si="49"/>
        <v>0.85</v>
      </c>
      <c r="E173" s="123">
        <f t="shared" si="49"/>
        <v>0.85</v>
      </c>
      <c r="F173" s="123">
        <f t="shared" si="49"/>
        <v>0.85</v>
      </c>
      <c r="G173" s="123">
        <f t="shared" si="49"/>
        <v>0.85</v>
      </c>
      <c r="H173" s="123">
        <f t="shared" si="49"/>
        <v>0.85</v>
      </c>
      <c r="I173" s="123">
        <f t="shared" si="49"/>
        <v>0.85</v>
      </c>
      <c r="J173" s="123">
        <f t="shared" si="49"/>
        <v>0.85</v>
      </c>
      <c r="K173" s="123">
        <f t="shared" si="49"/>
        <v>0.85</v>
      </c>
      <c r="L173" s="123">
        <f t="shared" si="49"/>
        <v>0.85</v>
      </c>
      <c r="M173" s="123">
        <f t="shared" si="49"/>
        <v>0.85</v>
      </c>
      <c r="N173" s="123">
        <f t="shared" si="49"/>
        <v>0.85</v>
      </c>
      <c r="O173" s="123">
        <f t="shared" si="49"/>
        <v>0.85</v>
      </c>
      <c r="P173" s="123">
        <f t="shared" si="49"/>
        <v>0.85</v>
      </c>
      <c r="Q173" s="123">
        <f t="shared" si="49"/>
        <v>0.85</v>
      </c>
      <c r="R173" s="123">
        <f t="shared" si="49"/>
        <v>0.85</v>
      </c>
      <c r="S173" s="123">
        <f t="shared" si="50"/>
        <v>0.85</v>
      </c>
      <c r="T173" s="123">
        <f t="shared" si="50"/>
        <v>0.85</v>
      </c>
      <c r="U173" s="123">
        <f t="shared" si="50"/>
        <v>0.85</v>
      </c>
      <c r="V173" s="123">
        <f t="shared" si="50"/>
        <v>0.85</v>
      </c>
      <c r="W173" s="123">
        <f t="shared" si="50"/>
        <v>0.85</v>
      </c>
      <c r="X173" s="123">
        <f t="shared" si="50"/>
        <v>0.85</v>
      </c>
      <c r="Y173" s="123">
        <f t="shared" si="50"/>
        <v>0.85</v>
      </c>
      <c r="Z173" s="123">
        <f t="shared" si="50"/>
        <v>0.85</v>
      </c>
      <c r="AA173" s="123">
        <f t="shared" si="50"/>
        <v>0.85</v>
      </c>
      <c r="AB173" s="123">
        <f t="shared" si="50"/>
        <v>0.85</v>
      </c>
      <c r="AC173" s="123">
        <f t="shared" si="50"/>
        <v>0.85</v>
      </c>
      <c r="AD173" s="123">
        <f t="shared" si="50"/>
        <v>0.85</v>
      </c>
      <c r="AE173" s="123">
        <f t="shared" si="50"/>
        <v>0.85</v>
      </c>
      <c r="AF173" s="123">
        <f t="shared" si="50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8"/>
        <v>0.9</v>
      </c>
      <c r="C174" s="124">
        <v>0.9</v>
      </c>
      <c r="D174" s="123">
        <f t="shared" si="49"/>
        <v>0.9</v>
      </c>
      <c r="E174" s="123">
        <f t="shared" si="49"/>
        <v>0.9</v>
      </c>
      <c r="F174" s="123">
        <f t="shared" si="49"/>
        <v>0.9</v>
      </c>
      <c r="G174" s="123">
        <f t="shared" si="49"/>
        <v>0.9</v>
      </c>
      <c r="H174" s="123">
        <f t="shared" si="49"/>
        <v>0.9</v>
      </c>
      <c r="I174" s="123">
        <f t="shared" si="49"/>
        <v>0.9</v>
      </c>
      <c r="J174" s="123">
        <f t="shared" si="49"/>
        <v>0.9</v>
      </c>
      <c r="K174" s="123">
        <f t="shared" si="49"/>
        <v>0.9</v>
      </c>
      <c r="L174" s="123">
        <f t="shared" si="49"/>
        <v>0.9</v>
      </c>
      <c r="M174" s="123">
        <f t="shared" si="49"/>
        <v>0.9</v>
      </c>
      <c r="N174" s="123">
        <f t="shared" si="49"/>
        <v>0.9</v>
      </c>
      <c r="O174" s="123">
        <f t="shared" si="49"/>
        <v>0.9</v>
      </c>
      <c r="P174" s="123">
        <f t="shared" si="49"/>
        <v>0.9</v>
      </c>
      <c r="Q174" s="123">
        <f t="shared" si="49"/>
        <v>0.9</v>
      </c>
      <c r="R174" s="123">
        <f t="shared" si="49"/>
        <v>0.9</v>
      </c>
      <c r="S174" s="123">
        <f t="shared" si="50"/>
        <v>0.9</v>
      </c>
      <c r="T174" s="123">
        <f t="shared" si="50"/>
        <v>0.9</v>
      </c>
      <c r="U174" s="123">
        <f t="shared" si="50"/>
        <v>0.9</v>
      </c>
      <c r="V174" s="123">
        <f t="shared" si="50"/>
        <v>0.9</v>
      </c>
      <c r="W174" s="123">
        <f t="shared" si="50"/>
        <v>0.9</v>
      </c>
      <c r="X174" s="123">
        <f t="shared" si="50"/>
        <v>0.9</v>
      </c>
      <c r="Y174" s="123">
        <f t="shared" si="50"/>
        <v>0.9</v>
      </c>
      <c r="Z174" s="123">
        <f t="shared" si="50"/>
        <v>0.9</v>
      </c>
      <c r="AA174" s="123">
        <f t="shared" si="50"/>
        <v>0.9</v>
      </c>
      <c r="AB174" s="123">
        <f t="shared" si="50"/>
        <v>0.9</v>
      </c>
      <c r="AC174" s="123">
        <f t="shared" si="50"/>
        <v>0.9</v>
      </c>
      <c r="AD174" s="123">
        <f t="shared" si="50"/>
        <v>0.9</v>
      </c>
      <c r="AE174" s="123">
        <f t="shared" si="50"/>
        <v>0.9</v>
      </c>
      <c r="AF174" s="123">
        <f t="shared" si="50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8"/>
        <v>0.44</v>
      </c>
      <c r="C175" s="124">
        <v>0.44</v>
      </c>
      <c r="D175" s="123">
        <f t="shared" si="49"/>
        <v>0.44</v>
      </c>
      <c r="E175" s="123">
        <f t="shared" si="49"/>
        <v>0.44</v>
      </c>
      <c r="F175" s="123">
        <f t="shared" si="49"/>
        <v>0.44</v>
      </c>
      <c r="G175" s="123">
        <f t="shared" si="49"/>
        <v>0.44</v>
      </c>
      <c r="H175" s="123">
        <f t="shared" si="49"/>
        <v>0.44</v>
      </c>
      <c r="I175" s="123">
        <f t="shared" si="49"/>
        <v>0.44</v>
      </c>
      <c r="J175" s="123">
        <f t="shared" si="49"/>
        <v>0.44</v>
      </c>
      <c r="K175" s="123">
        <f t="shared" si="49"/>
        <v>0.44</v>
      </c>
      <c r="L175" s="123">
        <f t="shared" si="49"/>
        <v>0.44</v>
      </c>
      <c r="M175" s="123">
        <f t="shared" si="49"/>
        <v>0.44</v>
      </c>
      <c r="N175" s="123">
        <f t="shared" si="49"/>
        <v>0.44</v>
      </c>
      <c r="O175" s="123">
        <f t="shared" si="49"/>
        <v>0.44</v>
      </c>
      <c r="P175" s="123">
        <f t="shared" si="49"/>
        <v>0.44</v>
      </c>
      <c r="Q175" s="123">
        <f t="shared" si="49"/>
        <v>0.44</v>
      </c>
      <c r="R175" s="123">
        <f t="shared" si="49"/>
        <v>0.44</v>
      </c>
      <c r="S175" s="123">
        <f t="shared" si="50"/>
        <v>0.44</v>
      </c>
      <c r="T175" s="123">
        <f t="shared" si="50"/>
        <v>0.44</v>
      </c>
      <c r="U175" s="123">
        <f t="shared" si="50"/>
        <v>0.44</v>
      </c>
      <c r="V175" s="123">
        <f t="shared" si="50"/>
        <v>0.44</v>
      </c>
      <c r="W175" s="123">
        <f t="shared" si="50"/>
        <v>0.44</v>
      </c>
      <c r="X175" s="123">
        <f t="shared" si="50"/>
        <v>0.44</v>
      </c>
      <c r="Y175" s="123">
        <f t="shared" si="50"/>
        <v>0.44</v>
      </c>
      <c r="Z175" s="123">
        <f t="shared" si="50"/>
        <v>0.44</v>
      </c>
      <c r="AA175" s="123">
        <f t="shared" si="50"/>
        <v>0.44</v>
      </c>
      <c r="AB175" s="123">
        <f t="shared" si="50"/>
        <v>0.44</v>
      </c>
      <c r="AC175" s="123">
        <f t="shared" si="50"/>
        <v>0.44</v>
      </c>
      <c r="AD175" s="123">
        <f t="shared" si="50"/>
        <v>0.44</v>
      </c>
      <c r="AE175" s="123">
        <f t="shared" si="50"/>
        <v>0.44</v>
      </c>
      <c r="AF175" s="123">
        <f t="shared" si="50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8"/>
        <v>2.1</v>
      </c>
      <c r="C176" s="124">
        <v>2.1</v>
      </c>
      <c r="D176" s="123">
        <f t="shared" si="49"/>
        <v>2.1</v>
      </c>
      <c r="E176" s="123">
        <f t="shared" si="49"/>
        <v>2.1</v>
      </c>
      <c r="F176" s="123">
        <f t="shared" si="49"/>
        <v>2.1</v>
      </c>
      <c r="G176" s="123">
        <f t="shared" si="49"/>
        <v>2.1</v>
      </c>
      <c r="H176" s="123">
        <f t="shared" si="49"/>
        <v>2.1</v>
      </c>
      <c r="I176" s="123">
        <f t="shared" si="49"/>
        <v>2.1</v>
      </c>
      <c r="J176" s="123">
        <f t="shared" si="49"/>
        <v>2.1</v>
      </c>
      <c r="K176" s="123">
        <f t="shared" si="49"/>
        <v>2.1</v>
      </c>
      <c r="L176" s="123">
        <f t="shared" si="49"/>
        <v>2.1</v>
      </c>
      <c r="M176" s="123">
        <f t="shared" si="49"/>
        <v>2.1</v>
      </c>
      <c r="N176" s="123">
        <f t="shared" si="49"/>
        <v>2.1</v>
      </c>
      <c r="O176" s="123">
        <f t="shared" si="49"/>
        <v>2.1</v>
      </c>
      <c r="P176" s="123">
        <f t="shared" si="49"/>
        <v>2.1</v>
      </c>
      <c r="Q176" s="123">
        <f t="shared" si="49"/>
        <v>2.1</v>
      </c>
      <c r="R176" s="123">
        <f t="shared" si="49"/>
        <v>2.1</v>
      </c>
      <c r="S176" s="123">
        <f t="shared" si="50"/>
        <v>2.1</v>
      </c>
      <c r="T176" s="123">
        <f t="shared" si="50"/>
        <v>2.1</v>
      </c>
      <c r="U176" s="123">
        <f t="shared" si="50"/>
        <v>2.1</v>
      </c>
      <c r="V176" s="123">
        <f t="shared" si="50"/>
        <v>2.1</v>
      </c>
      <c r="W176" s="123">
        <f t="shared" si="50"/>
        <v>2.1</v>
      </c>
      <c r="X176" s="123">
        <f t="shared" si="50"/>
        <v>2.1</v>
      </c>
      <c r="Y176" s="123">
        <f t="shared" si="50"/>
        <v>2.1</v>
      </c>
      <c r="Z176" s="123">
        <f t="shared" si="50"/>
        <v>2.1</v>
      </c>
      <c r="AA176" s="123">
        <f t="shared" si="50"/>
        <v>2.1</v>
      </c>
      <c r="AB176" s="123">
        <f t="shared" si="50"/>
        <v>2.1</v>
      </c>
      <c r="AC176" s="123">
        <f t="shared" si="50"/>
        <v>2.1</v>
      </c>
      <c r="AD176" s="123">
        <f t="shared" si="50"/>
        <v>2.1</v>
      </c>
      <c r="AE176" s="123">
        <f t="shared" si="50"/>
        <v>2.1</v>
      </c>
      <c r="AF176" s="123">
        <f t="shared" si="50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8"/>
        <v>0.9</v>
      </c>
      <c r="C177" s="124">
        <v>0.9</v>
      </c>
      <c r="D177" s="123">
        <f t="shared" si="49"/>
        <v>0.9</v>
      </c>
      <c r="E177" s="123">
        <f t="shared" si="49"/>
        <v>0.9</v>
      </c>
      <c r="F177" s="123">
        <f t="shared" si="49"/>
        <v>0.9</v>
      </c>
      <c r="G177" s="123">
        <f t="shared" si="49"/>
        <v>0.9</v>
      </c>
      <c r="H177" s="123">
        <f t="shared" si="49"/>
        <v>0.9</v>
      </c>
      <c r="I177" s="123">
        <f t="shared" si="49"/>
        <v>0.9</v>
      </c>
      <c r="J177" s="123">
        <f t="shared" si="49"/>
        <v>0.9</v>
      </c>
      <c r="K177" s="123">
        <f t="shared" si="49"/>
        <v>0.9</v>
      </c>
      <c r="L177" s="123">
        <f t="shared" si="49"/>
        <v>0.9</v>
      </c>
      <c r="M177" s="123">
        <f t="shared" si="49"/>
        <v>0.9</v>
      </c>
      <c r="N177" s="123">
        <f t="shared" si="49"/>
        <v>0.9</v>
      </c>
      <c r="O177" s="123">
        <f t="shared" si="49"/>
        <v>0.9</v>
      </c>
      <c r="P177" s="123">
        <f t="shared" si="49"/>
        <v>0.9</v>
      </c>
      <c r="Q177" s="123">
        <f t="shared" si="49"/>
        <v>0.9</v>
      </c>
      <c r="R177" s="123">
        <f t="shared" si="49"/>
        <v>0.9</v>
      </c>
      <c r="S177" s="123">
        <f t="shared" si="50"/>
        <v>0.9</v>
      </c>
      <c r="T177" s="123">
        <f t="shared" si="50"/>
        <v>0.9</v>
      </c>
      <c r="U177" s="123">
        <f t="shared" si="50"/>
        <v>0.9</v>
      </c>
      <c r="V177" s="123">
        <f t="shared" si="50"/>
        <v>0.9</v>
      </c>
      <c r="W177" s="123">
        <f t="shared" si="50"/>
        <v>0.9</v>
      </c>
      <c r="X177" s="123">
        <f t="shared" si="50"/>
        <v>0.9</v>
      </c>
      <c r="Y177" s="123">
        <f t="shared" si="50"/>
        <v>0.9</v>
      </c>
      <c r="Z177" s="123">
        <f t="shared" si="50"/>
        <v>0.9</v>
      </c>
      <c r="AA177" s="123">
        <f t="shared" si="50"/>
        <v>0.9</v>
      </c>
      <c r="AB177" s="123">
        <f t="shared" si="50"/>
        <v>0.9</v>
      </c>
      <c r="AC177" s="123">
        <f t="shared" si="50"/>
        <v>0.9</v>
      </c>
      <c r="AD177" s="123">
        <f t="shared" si="50"/>
        <v>0.9</v>
      </c>
      <c r="AE177" s="123">
        <f t="shared" si="50"/>
        <v>0.9</v>
      </c>
      <c r="AF177" s="123">
        <f t="shared" si="50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1">AF179</f>
        <v>0.57999999999999996</v>
      </c>
      <c r="C179" s="124">
        <v>0.57999999999999996</v>
      </c>
      <c r="D179" s="123">
        <f t="shared" ref="D179:S191" si="52">C179</f>
        <v>0.57999999999999996</v>
      </c>
      <c r="E179" s="123">
        <f t="shared" si="52"/>
        <v>0.57999999999999996</v>
      </c>
      <c r="F179" s="123">
        <f t="shared" si="52"/>
        <v>0.57999999999999996</v>
      </c>
      <c r="G179" s="123">
        <f t="shared" si="52"/>
        <v>0.57999999999999996</v>
      </c>
      <c r="H179" s="123">
        <f t="shared" si="52"/>
        <v>0.57999999999999996</v>
      </c>
      <c r="I179" s="123">
        <f t="shared" si="52"/>
        <v>0.57999999999999996</v>
      </c>
      <c r="J179" s="123">
        <f t="shared" si="52"/>
        <v>0.57999999999999996</v>
      </c>
      <c r="K179" s="123">
        <f t="shared" si="52"/>
        <v>0.57999999999999996</v>
      </c>
      <c r="L179" s="123">
        <f t="shared" si="52"/>
        <v>0.57999999999999996</v>
      </c>
      <c r="M179" s="123">
        <f t="shared" si="52"/>
        <v>0.57999999999999996</v>
      </c>
      <c r="N179" s="123">
        <f t="shared" si="52"/>
        <v>0.57999999999999996</v>
      </c>
      <c r="O179" s="123">
        <f t="shared" si="52"/>
        <v>0.57999999999999996</v>
      </c>
      <c r="P179" s="123">
        <f t="shared" si="52"/>
        <v>0.57999999999999996</v>
      </c>
      <c r="Q179" s="123">
        <f t="shared" si="52"/>
        <v>0.57999999999999996</v>
      </c>
      <c r="R179" s="123">
        <f t="shared" si="52"/>
        <v>0.57999999999999996</v>
      </c>
      <c r="S179" s="123">
        <f t="shared" si="52"/>
        <v>0.57999999999999996</v>
      </c>
      <c r="T179" s="123">
        <f t="shared" ref="S179:AF191" si="53">S179</f>
        <v>0.57999999999999996</v>
      </c>
      <c r="U179" s="123">
        <f t="shared" si="53"/>
        <v>0.57999999999999996</v>
      </c>
      <c r="V179" s="123">
        <f t="shared" si="53"/>
        <v>0.57999999999999996</v>
      </c>
      <c r="W179" s="123">
        <f t="shared" si="53"/>
        <v>0.57999999999999996</v>
      </c>
      <c r="X179" s="123">
        <f t="shared" si="53"/>
        <v>0.57999999999999996</v>
      </c>
      <c r="Y179" s="123">
        <f t="shared" si="53"/>
        <v>0.57999999999999996</v>
      </c>
      <c r="Z179" s="123">
        <f t="shared" si="53"/>
        <v>0.57999999999999996</v>
      </c>
      <c r="AA179" s="123">
        <f t="shared" si="53"/>
        <v>0.57999999999999996</v>
      </c>
      <c r="AB179" s="123">
        <f t="shared" si="53"/>
        <v>0.57999999999999996</v>
      </c>
      <c r="AC179" s="123">
        <f t="shared" si="53"/>
        <v>0.57999999999999996</v>
      </c>
      <c r="AD179" s="123">
        <f t="shared" si="53"/>
        <v>0.57999999999999996</v>
      </c>
      <c r="AE179" s="123">
        <f t="shared" si="53"/>
        <v>0.57999999999999996</v>
      </c>
      <c r="AF179" s="123">
        <f t="shared" si="53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1"/>
        <v>0.8</v>
      </c>
      <c r="C180" s="124">
        <v>0.8</v>
      </c>
      <c r="D180" s="123">
        <f t="shared" si="52"/>
        <v>0.8</v>
      </c>
      <c r="E180" s="123">
        <f t="shared" si="52"/>
        <v>0.8</v>
      </c>
      <c r="F180" s="123">
        <f t="shared" si="52"/>
        <v>0.8</v>
      </c>
      <c r="G180" s="123">
        <f t="shared" si="52"/>
        <v>0.8</v>
      </c>
      <c r="H180" s="123">
        <f t="shared" si="52"/>
        <v>0.8</v>
      </c>
      <c r="I180" s="123">
        <f t="shared" si="52"/>
        <v>0.8</v>
      </c>
      <c r="J180" s="123">
        <f t="shared" si="52"/>
        <v>0.8</v>
      </c>
      <c r="K180" s="123">
        <f t="shared" si="52"/>
        <v>0.8</v>
      </c>
      <c r="L180" s="123">
        <f t="shared" si="52"/>
        <v>0.8</v>
      </c>
      <c r="M180" s="123">
        <f t="shared" si="52"/>
        <v>0.8</v>
      </c>
      <c r="N180" s="123">
        <f t="shared" si="52"/>
        <v>0.8</v>
      </c>
      <c r="O180" s="123">
        <f t="shared" si="52"/>
        <v>0.8</v>
      </c>
      <c r="P180" s="123">
        <f t="shared" si="52"/>
        <v>0.8</v>
      </c>
      <c r="Q180" s="123">
        <f t="shared" si="52"/>
        <v>0.8</v>
      </c>
      <c r="R180" s="123">
        <f t="shared" si="52"/>
        <v>0.8</v>
      </c>
      <c r="S180" s="123">
        <f t="shared" si="52"/>
        <v>0.8</v>
      </c>
      <c r="T180" s="123">
        <f t="shared" si="53"/>
        <v>0.8</v>
      </c>
      <c r="U180" s="123">
        <f t="shared" si="53"/>
        <v>0.8</v>
      </c>
      <c r="V180" s="123">
        <f t="shared" si="53"/>
        <v>0.8</v>
      </c>
      <c r="W180" s="123">
        <f t="shared" si="53"/>
        <v>0.8</v>
      </c>
      <c r="X180" s="123">
        <f t="shared" si="53"/>
        <v>0.8</v>
      </c>
      <c r="Y180" s="123">
        <f t="shared" si="53"/>
        <v>0.8</v>
      </c>
      <c r="Z180" s="123">
        <f t="shared" si="53"/>
        <v>0.8</v>
      </c>
      <c r="AA180" s="123">
        <f t="shared" si="53"/>
        <v>0.8</v>
      </c>
      <c r="AB180" s="123">
        <f t="shared" si="53"/>
        <v>0.8</v>
      </c>
      <c r="AC180" s="123">
        <f t="shared" si="53"/>
        <v>0.8</v>
      </c>
      <c r="AD180" s="123">
        <f t="shared" si="53"/>
        <v>0.8</v>
      </c>
      <c r="AE180" s="123">
        <f t="shared" si="53"/>
        <v>0.8</v>
      </c>
      <c r="AF180" s="123">
        <f t="shared" si="53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1"/>
        <v>0</v>
      </c>
      <c r="C181" s="124">
        <v>0</v>
      </c>
      <c r="D181" s="123">
        <f t="shared" si="52"/>
        <v>0</v>
      </c>
      <c r="E181" s="123">
        <f t="shared" si="52"/>
        <v>0</v>
      </c>
      <c r="F181" s="123">
        <f t="shared" si="52"/>
        <v>0</v>
      </c>
      <c r="G181" s="123">
        <f t="shared" si="52"/>
        <v>0</v>
      </c>
      <c r="H181" s="123">
        <f t="shared" si="52"/>
        <v>0</v>
      </c>
      <c r="I181" s="123">
        <f t="shared" si="52"/>
        <v>0</v>
      </c>
      <c r="J181" s="123">
        <f t="shared" si="52"/>
        <v>0</v>
      </c>
      <c r="K181" s="123">
        <f t="shared" si="52"/>
        <v>0</v>
      </c>
      <c r="L181" s="123">
        <f t="shared" si="52"/>
        <v>0</v>
      </c>
      <c r="M181" s="123">
        <f t="shared" si="52"/>
        <v>0</v>
      </c>
      <c r="N181" s="123">
        <f t="shared" si="52"/>
        <v>0</v>
      </c>
      <c r="O181" s="123">
        <f t="shared" si="52"/>
        <v>0</v>
      </c>
      <c r="P181" s="123">
        <f t="shared" si="52"/>
        <v>0</v>
      </c>
      <c r="Q181" s="123">
        <f t="shared" si="52"/>
        <v>0</v>
      </c>
      <c r="R181" s="123">
        <f t="shared" si="52"/>
        <v>0</v>
      </c>
      <c r="S181" s="123">
        <f t="shared" si="52"/>
        <v>0</v>
      </c>
      <c r="T181" s="123">
        <f t="shared" si="53"/>
        <v>0</v>
      </c>
      <c r="U181" s="123">
        <f t="shared" si="53"/>
        <v>0</v>
      </c>
      <c r="V181" s="123">
        <f t="shared" si="53"/>
        <v>0</v>
      </c>
      <c r="W181" s="123">
        <f t="shared" si="53"/>
        <v>0</v>
      </c>
      <c r="X181" s="123">
        <f t="shared" si="53"/>
        <v>0</v>
      </c>
      <c r="Y181" s="123">
        <f t="shared" si="53"/>
        <v>0</v>
      </c>
      <c r="Z181" s="123">
        <f t="shared" si="53"/>
        <v>0</v>
      </c>
      <c r="AA181" s="123">
        <f t="shared" si="53"/>
        <v>0</v>
      </c>
      <c r="AB181" s="123">
        <f t="shared" si="53"/>
        <v>0</v>
      </c>
      <c r="AC181" s="123">
        <f t="shared" si="53"/>
        <v>0</v>
      </c>
      <c r="AD181" s="123">
        <f t="shared" si="53"/>
        <v>0</v>
      </c>
      <c r="AE181" s="123">
        <f t="shared" si="53"/>
        <v>0</v>
      </c>
      <c r="AF181" s="123">
        <f t="shared" si="53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1"/>
        <v>0.6</v>
      </c>
      <c r="C182" s="124">
        <v>0.6</v>
      </c>
      <c r="D182" s="123">
        <f t="shared" si="52"/>
        <v>0.6</v>
      </c>
      <c r="E182" s="123">
        <f t="shared" si="52"/>
        <v>0.6</v>
      </c>
      <c r="F182" s="123">
        <f t="shared" si="52"/>
        <v>0.6</v>
      </c>
      <c r="G182" s="123">
        <f t="shared" si="52"/>
        <v>0.6</v>
      </c>
      <c r="H182" s="123">
        <f t="shared" si="52"/>
        <v>0.6</v>
      </c>
      <c r="I182" s="123">
        <f t="shared" si="52"/>
        <v>0.6</v>
      </c>
      <c r="J182" s="123">
        <f t="shared" si="52"/>
        <v>0.6</v>
      </c>
      <c r="K182" s="123">
        <f t="shared" si="52"/>
        <v>0.6</v>
      </c>
      <c r="L182" s="123">
        <f t="shared" si="52"/>
        <v>0.6</v>
      </c>
      <c r="M182" s="123">
        <f t="shared" si="52"/>
        <v>0.6</v>
      </c>
      <c r="N182" s="123">
        <f t="shared" si="52"/>
        <v>0.6</v>
      </c>
      <c r="O182" s="123">
        <f t="shared" si="52"/>
        <v>0.6</v>
      </c>
      <c r="P182" s="123">
        <f t="shared" si="52"/>
        <v>0.6</v>
      </c>
      <c r="Q182" s="123">
        <f t="shared" si="52"/>
        <v>0.6</v>
      </c>
      <c r="R182" s="123">
        <f t="shared" si="52"/>
        <v>0.6</v>
      </c>
      <c r="S182" s="123">
        <f t="shared" si="52"/>
        <v>0.6</v>
      </c>
      <c r="T182" s="123">
        <f t="shared" si="53"/>
        <v>0.6</v>
      </c>
      <c r="U182" s="123">
        <f t="shared" si="53"/>
        <v>0.6</v>
      </c>
      <c r="V182" s="123">
        <f t="shared" si="53"/>
        <v>0.6</v>
      </c>
      <c r="W182" s="123">
        <f t="shared" si="53"/>
        <v>0.6</v>
      </c>
      <c r="X182" s="123">
        <f t="shared" si="53"/>
        <v>0.6</v>
      </c>
      <c r="Y182" s="123">
        <f t="shared" si="53"/>
        <v>0.6</v>
      </c>
      <c r="Z182" s="123">
        <f t="shared" si="53"/>
        <v>0.6</v>
      </c>
      <c r="AA182" s="123">
        <f t="shared" si="53"/>
        <v>0.6</v>
      </c>
      <c r="AB182" s="123">
        <f t="shared" si="53"/>
        <v>0.6</v>
      </c>
      <c r="AC182" s="123">
        <f t="shared" si="53"/>
        <v>0.6</v>
      </c>
      <c r="AD182" s="123">
        <f t="shared" si="53"/>
        <v>0.6</v>
      </c>
      <c r="AE182" s="123">
        <f t="shared" si="53"/>
        <v>0.6</v>
      </c>
      <c r="AF182" s="123">
        <f t="shared" si="53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1"/>
        <v>0.35</v>
      </c>
      <c r="C184" s="124">
        <v>0.35</v>
      </c>
      <c r="D184" s="123">
        <f t="shared" si="52"/>
        <v>0.35</v>
      </c>
      <c r="E184" s="123">
        <f t="shared" si="52"/>
        <v>0.35</v>
      </c>
      <c r="F184" s="123">
        <f t="shared" si="52"/>
        <v>0.35</v>
      </c>
      <c r="G184" s="123">
        <f t="shared" si="52"/>
        <v>0.35</v>
      </c>
      <c r="H184" s="123">
        <f t="shared" si="52"/>
        <v>0.35</v>
      </c>
      <c r="I184" s="123">
        <f t="shared" si="52"/>
        <v>0.35</v>
      </c>
      <c r="J184" s="123">
        <f t="shared" si="52"/>
        <v>0.35</v>
      </c>
      <c r="K184" s="123">
        <f t="shared" si="52"/>
        <v>0.35</v>
      </c>
      <c r="L184" s="123">
        <f t="shared" si="52"/>
        <v>0.35</v>
      </c>
      <c r="M184" s="123">
        <f t="shared" si="52"/>
        <v>0.35</v>
      </c>
      <c r="N184" s="123">
        <f t="shared" si="52"/>
        <v>0.35</v>
      </c>
      <c r="O184" s="123">
        <f t="shared" si="52"/>
        <v>0.35</v>
      </c>
      <c r="P184" s="123">
        <f t="shared" si="52"/>
        <v>0.35</v>
      </c>
      <c r="Q184" s="123">
        <f t="shared" si="52"/>
        <v>0.35</v>
      </c>
      <c r="R184" s="123">
        <f t="shared" si="52"/>
        <v>0.35</v>
      </c>
      <c r="S184" s="123">
        <f t="shared" si="52"/>
        <v>0.35</v>
      </c>
      <c r="T184" s="123">
        <f t="shared" si="53"/>
        <v>0.35</v>
      </c>
      <c r="U184" s="123">
        <f t="shared" si="53"/>
        <v>0.35</v>
      </c>
      <c r="V184" s="123">
        <f t="shared" si="53"/>
        <v>0.35</v>
      </c>
      <c r="W184" s="123">
        <f t="shared" si="53"/>
        <v>0.35</v>
      </c>
      <c r="X184" s="123">
        <f t="shared" si="53"/>
        <v>0.35</v>
      </c>
      <c r="Y184" s="123">
        <f t="shared" si="53"/>
        <v>0.35</v>
      </c>
      <c r="Z184" s="123">
        <f t="shared" si="53"/>
        <v>0.35</v>
      </c>
      <c r="AA184" s="123">
        <f t="shared" si="53"/>
        <v>0.35</v>
      </c>
      <c r="AB184" s="123">
        <f t="shared" si="53"/>
        <v>0.35</v>
      </c>
      <c r="AC184" s="123">
        <f t="shared" si="53"/>
        <v>0.35</v>
      </c>
      <c r="AD184" s="123">
        <f t="shared" si="53"/>
        <v>0.35</v>
      </c>
      <c r="AE184" s="123">
        <f t="shared" si="53"/>
        <v>0.35</v>
      </c>
      <c r="AF184" s="123">
        <f t="shared" si="53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1"/>
        <v>0.28999999999999998</v>
      </c>
      <c r="C185" s="124">
        <v>0.28999999999999998</v>
      </c>
      <c r="D185" s="123">
        <f t="shared" si="52"/>
        <v>0.28999999999999998</v>
      </c>
      <c r="E185" s="123">
        <f t="shared" si="52"/>
        <v>0.28999999999999998</v>
      </c>
      <c r="F185" s="123">
        <f t="shared" si="52"/>
        <v>0.28999999999999998</v>
      </c>
      <c r="G185" s="123">
        <f t="shared" si="52"/>
        <v>0.28999999999999998</v>
      </c>
      <c r="H185" s="123">
        <f t="shared" si="52"/>
        <v>0.28999999999999998</v>
      </c>
      <c r="I185" s="123">
        <f t="shared" si="52"/>
        <v>0.28999999999999998</v>
      </c>
      <c r="J185" s="123">
        <f t="shared" si="52"/>
        <v>0.28999999999999998</v>
      </c>
      <c r="K185" s="123">
        <f t="shared" si="52"/>
        <v>0.28999999999999998</v>
      </c>
      <c r="L185" s="123">
        <f t="shared" si="52"/>
        <v>0.28999999999999998</v>
      </c>
      <c r="M185" s="123">
        <f t="shared" si="52"/>
        <v>0.28999999999999998</v>
      </c>
      <c r="N185" s="123">
        <f t="shared" si="52"/>
        <v>0.28999999999999998</v>
      </c>
      <c r="O185" s="123">
        <f t="shared" si="52"/>
        <v>0.28999999999999998</v>
      </c>
      <c r="P185" s="123">
        <f t="shared" si="52"/>
        <v>0.28999999999999998</v>
      </c>
      <c r="Q185" s="123">
        <f t="shared" si="52"/>
        <v>0.28999999999999998</v>
      </c>
      <c r="R185" s="123">
        <f t="shared" si="52"/>
        <v>0.28999999999999998</v>
      </c>
      <c r="S185" s="123">
        <f t="shared" si="52"/>
        <v>0.28999999999999998</v>
      </c>
      <c r="T185" s="123">
        <f t="shared" si="53"/>
        <v>0.28999999999999998</v>
      </c>
      <c r="U185" s="123">
        <f t="shared" si="53"/>
        <v>0.28999999999999998</v>
      </c>
      <c r="V185" s="123">
        <f t="shared" si="53"/>
        <v>0.28999999999999998</v>
      </c>
      <c r="W185" s="123">
        <f t="shared" si="53"/>
        <v>0.28999999999999998</v>
      </c>
      <c r="X185" s="123">
        <f t="shared" si="53"/>
        <v>0.28999999999999998</v>
      </c>
      <c r="Y185" s="123">
        <f t="shared" si="53"/>
        <v>0.28999999999999998</v>
      </c>
      <c r="Z185" s="123">
        <f t="shared" si="53"/>
        <v>0.28999999999999998</v>
      </c>
      <c r="AA185" s="123">
        <f t="shared" si="53"/>
        <v>0.28999999999999998</v>
      </c>
      <c r="AB185" s="123">
        <f t="shared" si="53"/>
        <v>0.28999999999999998</v>
      </c>
      <c r="AC185" s="123">
        <f t="shared" si="53"/>
        <v>0.28999999999999998</v>
      </c>
      <c r="AD185" s="123">
        <f t="shared" si="53"/>
        <v>0.28999999999999998</v>
      </c>
      <c r="AE185" s="123">
        <f t="shared" si="53"/>
        <v>0.28999999999999998</v>
      </c>
      <c r="AF185" s="123">
        <f t="shared" si="53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1"/>
        <v>0.06</v>
      </c>
      <c r="C186" s="124">
        <v>0.06</v>
      </c>
      <c r="D186" s="123">
        <f t="shared" si="52"/>
        <v>0.06</v>
      </c>
      <c r="E186" s="123">
        <f t="shared" si="52"/>
        <v>0.06</v>
      </c>
      <c r="F186" s="123">
        <f t="shared" si="52"/>
        <v>0.06</v>
      </c>
      <c r="G186" s="123">
        <f t="shared" si="52"/>
        <v>0.06</v>
      </c>
      <c r="H186" s="123">
        <f t="shared" si="52"/>
        <v>0.06</v>
      </c>
      <c r="I186" s="123">
        <f t="shared" si="52"/>
        <v>0.06</v>
      </c>
      <c r="J186" s="123">
        <f t="shared" si="52"/>
        <v>0.06</v>
      </c>
      <c r="K186" s="123">
        <f t="shared" si="52"/>
        <v>0.06</v>
      </c>
      <c r="L186" s="123">
        <f t="shared" si="52"/>
        <v>0.06</v>
      </c>
      <c r="M186" s="123">
        <f t="shared" si="52"/>
        <v>0.06</v>
      </c>
      <c r="N186" s="123">
        <f t="shared" si="52"/>
        <v>0.06</v>
      </c>
      <c r="O186" s="123">
        <f t="shared" si="52"/>
        <v>0.06</v>
      </c>
      <c r="P186" s="123">
        <f t="shared" si="52"/>
        <v>0.06</v>
      </c>
      <c r="Q186" s="123">
        <f t="shared" si="52"/>
        <v>0.06</v>
      </c>
      <c r="R186" s="123">
        <f t="shared" si="52"/>
        <v>0.06</v>
      </c>
      <c r="S186" s="123">
        <f t="shared" si="52"/>
        <v>0.06</v>
      </c>
      <c r="T186" s="123">
        <f t="shared" si="53"/>
        <v>0.06</v>
      </c>
      <c r="U186" s="123">
        <f t="shared" si="53"/>
        <v>0.06</v>
      </c>
      <c r="V186" s="123">
        <f t="shared" si="53"/>
        <v>0.06</v>
      </c>
      <c r="W186" s="123">
        <f t="shared" si="53"/>
        <v>0.06</v>
      </c>
      <c r="X186" s="123">
        <f t="shared" si="53"/>
        <v>0.06</v>
      </c>
      <c r="Y186" s="123">
        <f t="shared" si="53"/>
        <v>0.06</v>
      </c>
      <c r="Z186" s="123">
        <f t="shared" si="53"/>
        <v>0.06</v>
      </c>
      <c r="AA186" s="123">
        <f t="shared" si="53"/>
        <v>0.06</v>
      </c>
      <c r="AB186" s="123">
        <f t="shared" si="53"/>
        <v>0.06</v>
      </c>
      <c r="AC186" s="123">
        <f t="shared" si="53"/>
        <v>0.06</v>
      </c>
      <c r="AD186" s="123">
        <f t="shared" si="53"/>
        <v>0.06</v>
      </c>
      <c r="AE186" s="123">
        <f t="shared" si="53"/>
        <v>0.06</v>
      </c>
      <c r="AF186" s="123">
        <f t="shared" si="53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1"/>
        <v>0.11</v>
      </c>
      <c r="C187" s="124">
        <v>0.11</v>
      </c>
      <c r="D187" s="123">
        <f t="shared" si="52"/>
        <v>0.11</v>
      </c>
      <c r="E187" s="123">
        <f t="shared" si="52"/>
        <v>0.11</v>
      </c>
      <c r="F187" s="123">
        <f t="shared" si="52"/>
        <v>0.11</v>
      </c>
      <c r="G187" s="123">
        <f t="shared" si="52"/>
        <v>0.11</v>
      </c>
      <c r="H187" s="123">
        <f t="shared" si="52"/>
        <v>0.11</v>
      </c>
      <c r="I187" s="123">
        <f t="shared" si="52"/>
        <v>0.11</v>
      </c>
      <c r="J187" s="123">
        <f t="shared" si="52"/>
        <v>0.11</v>
      </c>
      <c r="K187" s="123">
        <f t="shared" si="52"/>
        <v>0.11</v>
      </c>
      <c r="L187" s="123">
        <f t="shared" si="52"/>
        <v>0.11</v>
      </c>
      <c r="M187" s="123">
        <f t="shared" si="52"/>
        <v>0.11</v>
      </c>
      <c r="N187" s="123">
        <f t="shared" si="52"/>
        <v>0.11</v>
      </c>
      <c r="O187" s="123">
        <f t="shared" si="52"/>
        <v>0.11</v>
      </c>
      <c r="P187" s="123">
        <f t="shared" si="52"/>
        <v>0.11</v>
      </c>
      <c r="Q187" s="123">
        <f t="shared" si="52"/>
        <v>0.11</v>
      </c>
      <c r="R187" s="123">
        <f t="shared" si="52"/>
        <v>0.11</v>
      </c>
      <c r="S187" s="123">
        <f t="shared" si="52"/>
        <v>0.11</v>
      </c>
      <c r="T187" s="123">
        <f t="shared" si="53"/>
        <v>0.11</v>
      </c>
      <c r="U187" s="123">
        <f t="shared" si="53"/>
        <v>0.11</v>
      </c>
      <c r="V187" s="123">
        <f t="shared" si="53"/>
        <v>0.11</v>
      </c>
      <c r="W187" s="123">
        <f t="shared" si="53"/>
        <v>0.11</v>
      </c>
      <c r="X187" s="123">
        <f t="shared" si="53"/>
        <v>0.11</v>
      </c>
      <c r="Y187" s="123">
        <f t="shared" si="53"/>
        <v>0.11</v>
      </c>
      <c r="Z187" s="123">
        <f t="shared" si="53"/>
        <v>0.11</v>
      </c>
      <c r="AA187" s="123">
        <f t="shared" si="53"/>
        <v>0.11</v>
      </c>
      <c r="AB187" s="123">
        <f t="shared" si="53"/>
        <v>0.11</v>
      </c>
      <c r="AC187" s="123">
        <f t="shared" si="53"/>
        <v>0.11</v>
      </c>
      <c r="AD187" s="123">
        <f t="shared" si="53"/>
        <v>0.11</v>
      </c>
      <c r="AE187" s="123">
        <f t="shared" si="53"/>
        <v>0.11</v>
      </c>
      <c r="AF187" s="123">
        <f t="shared" si="53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1"/>
        <v>0.1</v>
      </c>
      <c r="C188" s="124">
        <v>0.1</v>
      </c>
      <c r="D188" s="123">
        <f t="shared" si="52"/>
        <v>0.1</v>
      </c>
      <c r="E188" s="123">
        <f t="shared" si="52"/>
        <v>0.1</v>
      </c>
      <c r="F188" s="123">
        <f t="shared" si="52"/>
        <v>0.1</v>
      </c>
      <c r="G188" s="123">
        <f t="shared" si="52"/>
        <v>0.1</v>
      </c>
      <c r="H188" s="123">
        <f t="shared" si="52"/>
        <v>0.1</v>
      </c>
      <c r="I188" s="123">
        <f t="shared" si="52"/>
        <v>0.1</v>
      </c>
      <c r="J188" s="123">
        <f t="shared" si="52"/>
        <v>0.1</v>
      </c>
      <c r="K188" s="123">
        <f t="shared" si="52"/>
        <v>0.1</v>
      </c>
      <c r="L188" s="123">
        <f t="shared" si="52"/>
        <v>0.1</v>
      </c>
      <c r="M188" s="123">
        <f t="shared" si="52"/>
        <v>0.1</v>
      </c>
      <c r="N188" s="123">
        <f t="shared" si="52"/>
        <v>0.1</v>
      </c>
      <c r="O188" s="123">
        <f t="shared" si="52"/>
        <v>0.1</v>
      </c>
      <c r="P188" s="123">
        <f t="shared" si="52"/>
        <v>0.1</v>
      </c>
      <c r="Q188" s="123">
        <f t="shared" si="52"/>
        <v>0.1</v>
      </c>
      <c r="R188" s="123">
        <f t="shared" si="52"/>
        <v>0.1</v>
      </c>
      <c r="S188" s="123">
        <f t="shared" si="53"/>
        <v>0.1</v>
      </c>
      <c r="T188" s="123">
        <f t="shared" si="53"/>
        <v>0.1</v>
      </c>
      <c r="U188" s="123">
        <f t="shared" si="53"/>
        <v>0.1</v>
      </c>
      <c r="V188" s="123">
        <f t="shared" si="53"/>
        <v>0.1</v>
      </c>
      <c r="W188" s="123">
        <f t="shared" si="53"/>
        <v>0.1</v>
      </c>
      <c r="X188" s="123">
        <f t="shared" si="53"/>
        <v>0.1</v>
      </c>
      <c r="Y188" s="123">
        <f t="shared" si="53"/>
        <v>0.1</v>
      </c>
      <c r="Z188" s="123">
        <f t="shared" si="53"/>
        <v>0.1</v>
      </c>
      <c r="AA188" s="123">
        <f t="shared" si="53"/>
        <v>0.1</v>
      </c>
      <c r="AB188" s="123">
        <f t="shared" si="53"/>
        <v>0.1</v>
      </c>
      <c r="AC188" s="123">
        <f t="shared" si="53"/>
        <v>0.1</v>
      </c>
      <c r="AD188" s="123">
        <f t="shared" si="53"/>
        <v>0.1</v>
      </c>
      <c r="AE188" s="123">
        <f t="shared" si="53"/>
        <v>0.1</v>
      </c>
      <c r="AF188" s="123">
        <f t="shared" si="53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1"/>
        <v>0.09</v>
      </c>
      <c r="C189" s="124">
        <v>0.09</v>
      </c>
      <c r="D189" s="123">
        <f t="shared" si="52"/>
        <v>0.09</v>
      </c>
      <c r="E189" s="123">
        <f t="shared" si="52"/>
        <v>0.09</v>
      </c>
      <c r="F189" s="123">
        <f t="shared" si="52"/>
        <v>0.09</v>
      </c>
      <c r="G189" s="123">
        <f t="shared" si="52"/>
        <v>0.09</v>
      </c>
      <c r="H189" s="123">
        <f t="shared" si="52"/>
        <v>0.09</v>
      </c>
      <c r="I189" s="123">
        <f t="shared" si="52"/>
        <v>0.09</v>
      </c>
      <c r="J189" s="123">
        <f t="shared" si="52"/>
        <v>0.09</v>
      </c>
      <c r="K189" s="123">
        <f t="shared" si="52"/>
        <v>0.09</v>
      </c>
      <c r="L189" s="123">
        <f t="shared" si="52"/>
        <v>0.09</v>
      </c>
      <c r="M189" s="123">
        <f t="shared" si="52"/>
        <v>0.09</v>
      </c>
      <c r="N189" s="123">
        <f t="shared" si="52"/>
        <v>0.09</v>
      </c>
      <c r="O189" s="123">
        <f t="shared" si="52"/>
        <v>0.09</v>
      </c>
      <c r="P189" s="123">
        <f t="shared" si="52"/>
        <v>0.09</v>
      </c>
      <c r="Q189" s="123">
        <f t="shared" si="52"/>
        <v>0.09</v>
      </c>
      <c r="R189" s="123">
        <f t="shared" si="52"/>
        <v>0.09</v>
      </c>
      <c r="S189" s="123">
        <f t="shared" si="53"/>
        <v>0.09</v>
      </c>
      <c r="T189" s="123">
        <f t="shared" si="53"/>
        <v>0.09</v>
      </c>
      <c r="U189" s="123">
        <f t="shared" si="53"/>
        <v>0.09</v>
      </c>
      <c r="V189" s="123">
        <f t="shared" si="53"/>
        <v>0.09</v>
      </c>
      <c r="W189" s="123">
        <f t="shared" si="53"/>
        <v>0.09</v>
      </c>
      <c r="X189" s="123">
        <f t="shared" si="53"/>
        <v>0.09</v>
      </c>
      <c r="Y189" s="123">
        <f t="shared" si="53"/>
        <v>0.09</v>
      </c>
      <c r="Z189" s="123">
        <f t="shared" si="53"/>
        <v>0.09</v>
      </c>
      <c r="AA189" s="123">
        <f t="shared" si="53"/>
        <v>0.09</v>
      </c>
      <c r="AB189" s="123">
        <f t="shared" si="53"/>
        <v>0.09</v>
      </c>
      <c r="AC189" s="123">
        <f t="shared" si="53"/>
        <v>0.09</v>
      </c>
      <c r="AD189" s="123">
        <f t="shared" si="53"/>
        <v>0.09</v>
      </c>
      <c r="AE189" s="123">
        <f t="shared" si="53"/>
        <v>0.09</v>
      </c>
      <c r="AF189" s="123">
        <f t="shared" si="53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1"/>
        <v>0.04</v>
      </c>
      <c r="C190" s="53">
        <v>0.04</v>
      </c>
      <c r="D190" s="123">
        <f t="shared" si="52"/>
        <v>0.04</v>
      </c>
      <c r="E190" s="123">
        <f t="shared" si="52"/>
        <v>0.04</v>
      </c>
      <c r="F190" s="123">
        <f t="shared" si="52"/>
        <v>0.04</v>
      </c>
      <c r="G190" s="123">
        <f t="shared" si="52"/>
        <v>0.04</v>
      </c>
      <c r="H190" s="123">
        <f t="shared" si="52"/>
        <v>0.04</v>
      </c>
      <c r="I190" s="123">
        <f t="shared" si="52"/>
        <v>0.04</v>
      </c>
      <c r="J190" s="123">
        <f t="shared" si="52"/>
        <v>0.04</v>
      </c>
      <c r="K190" s="123">
        <f t="shared" si="52"/>
        <v>0.04</v>
      </c>
      <c r="L190" s="123">
        <f t="shared" si="52"/>
        <v>0.04</v>
      </c>
      <c r="M190" s="123">
        <f t="shared" si="52"/>
        <v>0.04</v>
      </c>
      <c r="N190" s="123">
        <f t="shared" si="52"/>
        <v>0.04</v>
      </c>
      <c r="O190" s="123">
        <f t="shared" si="52"/>
        <v>0.04</v>
      </c>
      <c r="P190" s="123">
        <f t="shared" si="52"/>
        <v>0.04</v>
      </c>
      <c r="Q190" s="123">
        <f t="shared" si="52"/>
        <v>0.04</v>
      </c>
      <c r="R190" s="123">
        <f t="shared" si="52"/>
        <v>0.04</v>
      </c>
      <c r="S190" s="123">
        <f t="shared" si="53"/>
        <v>0.04</v>
      </c>
      <c r="T190" s="123">
        <f t="shared" si="53"/>
        <v>0.04</v>
      </c>
      <c r="U190" s="123">
        <f t="shared" si="53"/>
        <v>0.04</v>
      </c>
      <c r="V190" s="123">
        <f t="shared" si="53"/>
        <v>0.04</v>
      </c>
      <c r="W190" s="123">
        <f t="shared" si="53"/>
        <v>0.04</v>
      </c>
      <c r="X190" s="123">
        <f t="shared" si="53"/>
        <v>0.04</v>
      </c>
      <c r="Y190" s="123">
        <f t="shared" si="53"/>
        <v>0.04</v>
      </c>
      <c r="Z190" s="123">
        <f t="shared" si="53"/>
        <v>0.04</v>
      </c>
      <c r="AA190" s="123">
        <f t="shared" si="53"/>
        <v>0.04</v>
      </c>
      <c r="AB190" s="123">
        <f t="shared" si="53"/>
        <v>0.04</v>
      </c>
      <c r="AC190" s="123">
        <f t="shared" si="53"/>
        <v>0.04</v>
      </c>
      <c r="AD190" s="123">
        <f t="shared" si="53"/>
        <v>0.04</v>
      </c>
      <c r="AE190" s="123">
        <f t="shared" si="53"/>
        <v>0.04</v>
      </c>
      <c r="AF190" s="123">
        <f t="shared" si="53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1"/>
        <v>2.3E-2</v>
      </c>
      <c r="C191" s="53">
        <v>2.3E-2</v>
      </c>
      <c r="D191" s="123">
        <f>C191</f>
        <v>2.3E-2</v>
      </c>
      <c r="E191" s="123">
        <f t="shared" si="52"/>
        <v>2.3E-2</v>
      </c>
      <c r="F191" s="123">
        <f t="shared" si="52"/>
        <v>2.3E-2</v>
      </c>
      <c r="G191" s="123">
        <f t="shared" si="52"/>
        <v>2.3E-2</v>
      </c>
      <c r="H191" s="123">
        <f t="shared" si="52"/>
        <v>2.3E-2</v>
      </c>
      <c r="I191" s="123">
        <f t="shared" si="52"/>
        <v>2.3E-2</v>
      </c>
      <c r="J191" s="123">
        <f t="shared" si="52"/>
        <v>2.3E-2</v>
      </c>
      <c r="K191" s="123">
        <f t="shared" si="52"/>
        <v>2.3E-2</v>
      </c>
      <c r="L191" s="123">
        <f t="shared" si="52"/>
        <v>2.3E-2</v>
      </c>
      <c r="M191" s="123">
        <f t="shared" si="52"/>
        <v>2.3E-2</v>
      </c>
      <c r="N191" s="123">
        <f t="shared" si="52"/>
        <v>2.3E-2</v>
      </c>
      <c r="O191" s="123">
        <f t="shared" si="52"/>
        <v>2.3E-2</v>
      </c>
      <c r="P191" s="123">
        <f t="shared" si="52"/>
        <v>2.3E-2</v>
      </c>
      <c r="Q191" s="123">
        <f t="shared" si="52"/>
        <v>2.3E-2</v>
      </c>
      <c r="R191" s="123">
        <f t="shared" si="52"/>
        <v>2.3E-2</v>
      </c>
      <c r="S191" s="123">
        <f t="shared" si="53"/>
        <v>2.3E-2</v>
      </c>
      <c r="T191" s="123">
        <f t="shared" si="53"/>
        <v>2.3E-2</v>
      </c>
      <c r="U191" s="123">
        <f t="shared" si="53"/>
        <v>2.3E-2</v>
      </c>
      <c r="V191" s="123">
        <f t="shared" si="53"/>
        <v>2.3E-2</v>
      </c>
      <c r="W191" s="123">
        <f t="shared" si="53"/>
        <v>2.3E-2</v>
      </c>
      <c r="X191" s="123">
        <f t="shared" si="53"/>
        <v>2.3E-2</v>
      </c>
      <c r="Y191" s="123">
        <f t="shared" si="53"/>
        <v>2.3E-2</v>
      </c>
      <c r="Z191" s="123">
        <f t="shared" si="53"/>
        <v>2.3E-2</v>
      </c>
      <c r="AA191" s="123">
        <f t="shared" si="53"/>
        <v>2.3E-2</v>
      </c>
      <c r="AB191" s="123">
        <f t="shared" si="53"/>
        <v>2.3E-2</v>
      </c>
      <c r="AC191" s="123">
        <f t="shared" si="53"/>
        <v>2.3E-2</v>
      </c>
      <c r="AD191" s="123">
        <f t="shared" si="53"/>
        <v>2.3E-2</v>
      </c>
      <c r="AE191" s="123">
        <f t="shared" si="53"/>
        <v>2.3E-2</v>
      </c>
      <c r="AF191" s="123">
        <f t="shared" si="53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4">SUM(C102:C191)</f>
        <v>194.70600000000002</v>
      </c>
      <c r="D192" s="128">
        <f t="shared" si="54"/>
        <v>194.70600000000002</v>
      </c>
      <c r="E192" s="128">
        <f t="shared" si="54"/>
        <v>194.70600000000002</v>
      </c>
      <c r="F192" s="128">
        <f t="shared" si="54"/>
        <v>194.70600000000002</v>
      </c>
      <c r="G192" s="128">
        <f t="shared" si="54"/>
        <v>194.70600000000002</v>
      </c>
      <c r="H192" s="128">
        <f t="shared" si="54"/>
        <v>194.70600000000002</v>
      </c>
      <c r="I192" s="128">
        <f t="shared" si="54"/>
        <v>189.70600000000005</v>
      </c>
      <c r="J192" s="128">
        <f t="shared" si="54"/>
        <v>187.10600000000005</v>
      </c>
      <c r="K192" s="128">
        <f t="shared" si="54"/>
        <v>187.10600000000005</v>
      </c>
      <c r="L192" s="128">
        <f t="shared" si="54"/>
        <v>187.10600000000005</v>
      </c>
      <c r="M192" s="128">
        <f t="shared" si="54"/>
        <v>187.10600000000005</v>
      </c>
      <c r="N192" s="128">
        <f t="shared" si="54"/>
        <v>187.10600000000005</v>
      </c>
      <c r="O192" s="128">
        <f t="shared" si="54"/>
        <v>187.10600000000005</v>
      </c>
      <c r="P192" s="128">
        <f t="shared" si="54"/>
        <v>187.10600000000005</v>
      </c>
      <c r="Q192" s="128">
        <f t="shared" si="54"/>
        <v>187.10600000000005</v>
      </c>
      <c r="R192" s="128">
        <f t="shared" si="54"/>
        <v>187.10600000000005</v>
      </c>
      <c r="S192" s="128">
        <f t="shared" si="54"/>
        <v>187.10600000000005</v>
      </c>
      <c r="T192" s="128">
        <f t="shared" si="54"/>
        <v>187.10600000000005</v>
      </c>
      <c r="U192" s="128">
        <f t="shared" si="54"/>
        <v>187.10600000000005</v>
      </c>
      <c r="V192" s="128">
        <f t="shared" si="54"/>
        <v>187.10600000000005</v>
      </c>
      <c r="W192" s="128">
        <f t="shared" si="54"/>
        <v>187.10600000000005</v>
      </c>
      <c r="X192" s="128">
        <f t="shared" si="54"/>
        <v>187.10600000000005</v>
      </c>
      <c r="Y192" s="128">
        <f t="shared" si="54"/>
        <v>187.10600000000005</v>
      </c>
      <c r="Z192" s="128">
        <f t="shared" si="54"/>
        <v>187.10600000000005</v>
      </c>
      <c r="AA192" s="128">
        <f t="shared" si="54"/>
        <v>187.10600000000005</v>
      </c>
      <c r="AB192" s="128">
        <f t="shared" si="54"/>
        <v>187.10600000000005</v>
      </c>
      <c r="AC192" s="128">
        <f t="shared" si="54"/>
        <v>187.10600000000005</v>
      </c>
      <c r="AD192" s="128">
        <f t="shared" si="54"/>
        <v>187.10600000000005</v>
      </c>
      <c r="AE192" s="128">
        <f t="shared" si="54"/>
        <v>187.10600000000005</v>
      </c>
      <c r="AF192" s="128">
        <f t="shared" si="54"/>
        <v>187.10600000000005</v>
      </c>
      <c r="AG192" s="129">
        <f t="shared" si="54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5">AF194</f>
        <v>0.3</v>
      </c>
      <c r="C194" s="130">
        <v>0.3</v>
      </c>
      <c r="D194" s="130">
        <f t="shared" ref="D194:S199" si="56">C194</f>
        <v>0.3</v>
      </c>
      <c r="E194" s="130">
        <f t="shared" si="56"/>
        <v>0.3</v>
      </c>
      <c r="F194" s="130">
        <f t="shared" si="56"/>
        <v>0.3</v>
      </c>
      <c r="G194" s="130">
        <f t="shared" si="56"/>
        <v>0.3</v>
      </c>
      <c r="H194" s="130">
        <f t="shared" si="56"/>
        <v>0.3</v>
      </c>
      <c r="I194" s="130">
        <f t="shared" si="56"/>
        <v>0.3</v>
      </c>
      <c r="J194" s="130">
        <f t="shared" si="56"/>
        <v>0.3</v>
      </c>
      <c r="K194" s="130">
        <f t="shared" si="56"/>
        <v>0.3</v>
      </c>
      <c r="L194" s="130">
        <f t="shared" si="56"/>
        <v>0.3</v>
      </c>
      <c r="M194" s="130">
        <f t="shared" si="56"/>
        <v>0.3</v>
      </c>
      <c r="N194" s="130">
        <f t="shared" si="56"/>
        <v>0.3</v>
      </c>
      <c r="O194" s="130">
        <f t="shared" si="56"/>
        <v>0.3</v>
      </c>
      <c r="P194" s="130">
        <f t="shared" si="56"/>
        <v>0.3</v>
      </c>
      <c r="Q194" s="130">
        <f t="shared" si="56"/>
        <v>0.3</v>
      </c>
      <c r="R194" s="130">
        <f t="shared" si="56"/>
        <v>0.3</v>
      </c>
      <c r="S194" s="130">
        <f t="shared" si="56"/>
        <v>0.3</v>
      </c>
      <c r="T194" s="130">
        <f t="shared" ref="T194:AF199" si="57">S194</f>
        <v>0.3</v>
      </c>
      <c r="U194" s="130">
        <f t="shared" si="57"/>
        <v>0.3</v>
      </c>
      <c r="V194" s="130">
        <f t="shared" si="57"/>
        <v>0.3</v>
      </c>
      <c r="W194" s="130">
        <f t="shared" si="57"/>
        <v>0.3</v>
      </c>
      <c r="X194" s="130">
        <f t="shared" si="57"/>
        <v>0.3</v>
      </c>
      <c r="Y194" s="130">
        <f t="shared" si="57"/>
        <v>0.3</v>
      </c>
      <c r="Z194" s="130">
        <f t="shared" si="57"/>
        <v>0.3</v>
      </c>
      <c r="AA194" s="130">
        <f t="shared" si="57"/>
        <v>0.3</v>
      </c>
      <c r="AB194" s="130">
        <f t="shared" si="57"/>
        <v>0.3</v>
      </c>
      <c r="AC194" s="130">
        <f t="shared" si="57"/>
        <v>0.3</v>
      </c>
      <c r="AD194" s="130">
        <f t="shared" si="57"/>
        <v>0.3</v>
      </c>
      <c r="AE194" s="130">
        <f t="shared" si="57"/>
        <v>0.3</v>
      </c>
      <c r="AF194" s="130">
        <f t="shared" si="57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5"/>
        <v>0.4</v>
      </c>
      <c r="C195" s="123">
        <v>0.4</v>
      </c>
      <c r="D195" s="123">
        <f t="shared" si="56"/>
        <v>0.4</v>
      </c>
      <c r="E195" s="123">
        <f t="shared" si="56"/>
        <v>0.4</v>
      </c>
      <c r="F195" s="123">
        <f t="shared" si="56"/>
        <v>0.4</v>
      </c>
      <c r="G195" s="123">
        <f t="shared" si="56"/>
        <v>0.4</v>
      </c>
      <c r="H195" s="123">
        <f t="shared" si="56"/>
        <v>0.4</v>
      </c>
      <c r="I195" s="123">
        <f t="shared" si="56"/>
        <v>0.4</v>
      </c>
      <c r="J195" s="123">
        <f t="shared" si="56"/>
        <v>0.4</v>
      </c>
      <c r="K195" s="123">
        <f t="shared" si="56"/>
        <v>0.4</v>
      </c>
      <c r="L195" s="123">
        <f t="shared" si="56"/>
        <v>0.4</v>
      </c>
      <c r="M195" s="123">
        <f t="shared" si="56"/>
        <v>0.4</v>
      </c>
      <c r="N195" s="123">
        <f t="shared" si="56"/>
        <v>0.4</v>
      </c>
      <c r="O195" s="123">
        <f t="shared" si="56"/>
        <v>0.4</v>
      </c>
      <c r="P195" s="123">
        <f t="shared" si="56"/>
        <v>0.4</v>
      </c>
      <c r="Q195" s="123">
        <f t="shared" si="56"/>
        <v>0.4</v>
      </c>
      <c r="R195" s="123">
        <f t="shared" si="56"/>
        <v>0.4</v>
      </c>
      <c r="S195" s="123">
        <f t="shared" si="56"/>
        <v>0.4</v>
      </c>
      <c r="T195" s="123">
        <f t="shared" si="57"/>
        <v>0.4</v>
      </c>
      <c r="U195" s="123">
        <f t="shared" si="57"/>
        <v>0.4</v>
      </c>
      <c r="V195" s="123">
        <f t="shared" si="57"/>
        <v>0.4</v>
      </c>
      <c r="W195" s="123">
        <f>V195</f>
        <v>0.4</v>
      </c>
      <c r="X195" s="123">
        <f>W195</f>
        <v>0.4</v>
      </c>
      <c r="Y195" s="123">
        <f t="shared" si="57"/>
        <v>0.4</v>
      </c>
      <c r="Z195" s="123">
        <f t="shared" si="57"/>
        <v>0.4</v>
      </c>
      <c r="AA195" s="123">
        <f t="shared" si="57"/>
        <v>0.4</v>
      </c>
      <c r="AB195" s="123">
        <f t="shared" si="57"/>
        <v>0.4</v>
      </c>
      <c r="AC195" s="123">
        <f t="shared" si="57"/>
        <v>0.4</v>
      </c>
      <c r="AD195" s="123">
        <f t="shared" si="57"/>
        <v>0.4</v>
      </c>
      <c r="AE195" s="123">
        <f t="shared" si="57"/>
        <v>0.4</v>
      </c>
      <c r="AF195" s="123">
        <f t="shared" si="57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5"/>
        <v>1.5</v>
      </c>
      <c r="C196" s="123">
        <v>1.5</v>
      </c>
      <c r="D196" s="123">
        <f t="shared" si="56"/>
        <v>1.5</v>
      </c>
      <c r="E196" s="123">
        <f t="shared" si="56"/>
        <v>1.5</v>
      </c>
      <c r="F196" s="123">
        <f t="shared" si="56"/>
        <v>1.5</v>
      </c>
      <c r="G196" s="123">
        <f t="shared" si="56"/>
        <v>1.5</v>
      </c>
      <c r="H196" s="123">
        <f t="shared" si="56"/>
        <v>1.5</v>
      </c>
      <c r="I196" s="123">
        <f t="shared" si="56"/>
        <v>1.5</v>
      </c>
      <c r="J196" s="123">
        <f t="shared" si="56"/>
        <v>1.5</v>
      </c>
      <c r="K196" s="123">
        <f t="shared" si="56"/>
        <v>1.5</v>
      </c>
      <c r="L196" s="123">
        <f t="shared" si="56"/>
        <v>1.5</v>
      </c>
      <c r="M196" s="123">
        <f t="shared" si="56"/>
        <v>1.5</v>
      </c>
      <c r="N196" s="123">
        <f t="shared" si="56"/>
        <v>1.5</v>
      </c>
      <c r="O196" s="123">
        <f t="shared" si="56"/>
        <v>1.5</v>
      </c>
      <c r="P196" s="123">
        <f t="shared" si="56"/>
        <v>1.5</v>
      </c>
      <c r="Q196" s="123">
        <f t="shared" si="56"/>
        <v>1.5</v>
      </c>
      <c r="R196" s="123">
        <f t="shared" si="56"/>
        <v>1.5</v>
      </c>
      <c r="S196" s="123">
        <f t="shared" si="56"/>
        <v>1.5</v>
      </c>
      <c r="T196" s="123">
        <f t="shared" si="57"/>
        <v>1.5</v>
      </c>
      <c r="U196" s="123">
        <f t="shared" si="57"/>
        <v>1.5</v>
      </c>
      <c r="V196" s="123">
        <f t="shared" si="57"/>
        <v>1.5</v>
      </c>
      <c r="W196" s="123">
        <f t="shared" si="57"/>
        <v>1.5</v>
      </c>
      <c r="X196" s="123">
        <f t="shared" si="57"/>
        <v>1.5</v>
      </c>
      <c r="Y196" s="123">
        <f t="shared" si="57"/>
        <v>1.5</v>
      </c>
      <c r="Z196" s="123">
        <f t="shared" si="57"/>
        <v>1.5</v>
      </c>
      <c r="AA196" s="123">
        <f t="shared" si="57"/>
        <v>1.5</v>
      </c>
      <c r="AB196" s="123">
        <f t="shared" si="57"/>
        <v>1.5</v>
      </c>
      <c r="AC196" s="123">
        <f t="shared" si="57"/>
        <v>1.5</v>
      </c>
      <c r="AD196" s="123">
        <f t="shared" si="57"/>
        <v>1.5</v>
      </c>
      <c r="AE196" s="123">
        <f t="shared" si="57"/>
        <v>1.5</v>
      </c>
      <c r="AF196" s="123">
        <f t="shared" si="57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5"/>
        <v>0.3</v>
      </c>
      <c r="C197" s="123">
        <v>0.3</v>
      </c>
      <c r="D197" s="123">
        <f t="shared" si="56"/>
        <v>0.3</v>
      </c>
      <c r="E197" s="123">
        <f t="shared" si="56"/>
        <v>0.3</v>
      </c>
      <c r="F197" s="123">
        <f t="shared" si="56"/>
        <v>0.3</v>
      </c>
      <c r="G197" s="123">
        <f t="shared" si="56"/>
        <v>0.3</v>
      </c>
      <c r="H197" s="123">
        <f t="shared" si="56"/>
        <v>0.3</v>
      </c>
      <c r="I197" s="123">
        <f t="shared" si="56"/>
        <v>0.3</v>
      </c>
      <c r="J197" s="123">
        <f t="shared" si="56"/>
        <v>0.3</v>
      </c>
      <c r="K197" s="123">
        <f t="shared" si="56"/>
        <v>0.3</v>
      </c>
      <c r="L197" s="123">
        <f t="shared" si="56"/>
        <v>0.3</v>
      </c>
      <c r="M197" s="123">
        <f t="shared" si="56"/>
        <v>0.3</v>
      </c>
      <c r="N197" s="123">
        <f t="shared" si="56"/>
        <v>0.3</v>
      </c>
      <c r="O197" s="123">
        <f t="shared" si="56"/>
        <v>0.3</v>
      </c>
      <c r="P197" s="123">
        <f t="shared" si="56"/>
        <v>0.3</v>
      </c>
      <c r="Q197" s="123">
        <f t="shared" si="56"/>
        <v>0.3</v>
      </c>
      <c r="R197" s="123">
        <f t="shared" si="56"/>
        <v>0.3</v>
      </c>
      <c r="S197" s="123">
        <f t="shared" si="56"/>
        <v>0.3</v>
      </c>
      <c r="T197" s="123">
        <f t="shared" si="57"/>
        <v>0.3</v>
      </c>
      <c r="U197" s="123">
        <f t="shared" si="57"/>
        <v>0.3</v>
      </c>
      <c r="V197" s="123">
        <f t="shared" si="57"/>
        <v>0.3</v>
      </c>
      <c r="W197" s="123">
        <f t="shared" si="57"/>
        <v>0.3</v>
      </c>
      <c r="X197" s="123">
        <f t="shared" si="57"/>
        <v>0.3</v>
      </c>
      <c r="Y197" s="123">
        <f t="shared" si="57"/>
        <v>0.3</v>
      </c>
      <c r="Z197" s="123">
        <f t="shared" si="57"/>
        <v>0.3</v>
      </c>
      <c r="AA197" s="123">
        <f t="shared" si="57"/>
        <v>0.3</v>
      </c>
      <c r="AB197" s="123">
        <f t="shared" si="57"/>
        <v>0.3</v>
      </c>
      <c r="AC197" s="123">
        <f t="shared" si="57"/>
        <v>0.3</v>
      </c>
      <c r="AD197" s="123">
        <f t="shared" si="57"/>
        <v>0.3</v>
      </c>
      <c r="AE197" s="123">
        <f t="shared" si="57"/>
        <v>0.3</v>
      </c>
      <c r="AF197" s="123">
        <f t="shared" si="57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5"/>
        <v>0.4</v>
      </c>
      <c r="C198" s="123">
        <v>0.4</v>
      </c>
      <c r="D198" s="123">
        <f t="shared" si="56"/>
        <v>0.4</v>
      </c>
      <c r="E198" s="123">
        <f t="shared" si="56"/>
        <v>0.4</v>
      </c>
      <c r="F198" s="123">
        <f t="shared" si="56"/>
        <v>0.4</v>
      </c>
      <c r="G198" s="123">
        <f t="shared" si="56"/>
        <v>0.4</v>
      </c>
      <c r="H198" s="123">
        <f t="shared" si="56"/>
        <v>0.4</v>
      </c>
      <c r="I198" s="123">
        <f t="shared" si="56"/>
        <v>0.4</v>
      </c>
      <c r="J198" s="123">
        <f t="shared" si="56"/>
        <v>0.4</v>
      </c>
      <c r="K198" s="123">
        <f t="shared" si="56"/>
        <v>0.4</v>
      </c>
      <c r="L198" s="123">
        <f t="shared" si="56"/>
        <v>0.4</v>
      </c>
      <c r="M198" s="123">
        <f t="shared" si="56"/>
        <v>0.4</v>
      </c>
      <c r="N198" s="123">
        <f t="shared" si="56"/>
        <v>0.4</v>
      </c>
      <c r="O198" s="123">
        <f t="shared" si="56"/>
        <v>0.4</v>
      </c>
      <c r="P198" s="123">
        <f t="shared" si="56"/>
        <v>0.4</v>
      </c>
      <c r="Q198" s="123">
        <f t="shared" si="56"/>
        <v>0.4</v>
      </c>
      <c r="R198" s="123">
        <f t="shared" si="56"/>
        <v>0.4</v>
      </c>
      <c r="S198" s="123">
        <f t="shared" si="56"/>
        <v>0.4</v>
      </c>
      <c r="T198" s="123">
        <f t="shared" si="57"/>
        <v>0.4</v>
      </c>
      <c r="U198" s="123">
        <f t="shared" si="57"/>
        <v>0.4</v>
      </c>
      <c r="V198" s="123">
        <f t="shared" si="57"/>
        <v>0.4</v>
      </c>
      <c r="W198" s="123">
        <f t="shared" si="57"/>
        <v>0.4</v>
      </c>
      <c r="X198" s="123">
        <f t="shared" si="57"/>
        <v>0.4</v>
      </c>
      <c r="Y198" s="123">
        <f t="shared" si="57"/>
        <v>0.4</v>
      </c>
      <c r="Z198" s="123">
        <f t="shared" si="57"/>
        <v>0.4</v>
      </c>
      <c r="AA198" s="123">
        <f t="shared" si="57"/>
        <v>0.4</v>
      </c>
      <c r="AB198" s="123">
        <f t="shared" si="57"/>
        <v>0.4</v>
      </c>
      <c r="AC198" s="123">
        <f t="shared" si="57"/>
        <v>0.4</v>
      </c>
      <c r="AD198" s="123">
        <f t="shared" si="57"/>
        <v>0.4</v>
      </c>
      <c r="AE198" s="123">
        <f t="shared" si="57"/>
        <v>0.4</v>
      </c>
      <c r="AF198" s="123">
        <f t="shared" si="57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5"/>
        <v>0.64</v>
      </c>
      <c r="C199" s="133">
        <v>0.64</v>
      </c>
      <c r="D199" s="133">
        <f t="shared" si="56"/>
        <v>0.64</v>
      </c>
      <c r="E199" s="133">
        <f t="shared" si="56"/>
        <v>0.64</v>
      </c>
      <c r="F199" s="133">
        <f t="shared" si="56"/>
        <v>0.64</v>
      </c>
      <c r="G199" s="133">
        <f t="shared" si="56"/>
        <v>0.64</v>
      </c>
      <c r="H199" s="133">
        <f t="shared" si="56"/>
        <v>0.64</v>
      </c>
      <c r="I199" s="133">
        <f t="shared" si="56"/>
        <v>0.64</v>
      </c>
      <c r="J199" s="133">
        <f t="shared" si="56"/>
        <v>0.64</v>
      </c>
      <c r="K199" s="133">
        <f t="shared" si="56"/>
        <v>0.64</v>
      </c>
      <c r="L199" s="133">
        <f t="shared" si="56"/>
        <v>0.64</v>
      </c>
      <c r="M199" s="133">
        <f t="shared" si="56"/>
        <v>0.64</v>
      </c>
      <c r="N199" s="133">
        <f t="shared" si="56"/>
        <v>0.64</v>
      </c>
      <c r="O199" s="133">
        <f t="shared" si="56"/>
        <v>0.64</v>
      </c>
      <c r="P199" s="133">
        <f t="shared" si="56"/>
        <v>0.64</v>
      </c>
      <c r="Q199" s="133">
        <f t="shared" si="56"/>
        <v>0.64</v>
      </c>
      <c r="R199" s="133">
        <f t="shared" si="56"/>
        <v>0.64</v>
      </c>
      <c r="S199" s="133">
        <f t="shared" si="56"/>
        <v>0.64</v>
      </c>
      <c r="T199" s="133">
        <f t="shared" si="57"/>
        <v>0.64</v>
      </c>
      <c r="U199" s="133">
        <f t="shared" si="57"/>
        <v>0.64</v>
      </c>
      <c r="V199" s="133">
        <f t="shared" si="57"/>
        <v>0.64</v>
      </c>
      <c r="W199" s="133">
        <f t="shared" si="57"/>
        <v>0.64</v>
      </c>
      <c r="X199" s="133">
        <f t="shared" si="57"/>
        <v>0.64</v>
      </c>
      <c r="Y199" s="133">
        <f t="shared" si="57"/>
        <v>0.64</v>
      </c>
      <c r="Z199" s="133">
        <f t="shared" si="57"/>
        <v>0.64</v>
      </c>
      <c r="AA199" s="133">
        <f t="shared" si="57"/>
        <v>0.64</v>
      </c>
      <c r="AB199" s="133">
        <f t="shared" si="57"/>
        <v>0.64</v>
      </c>
      <c r="AC199" s="133">
        <f t="shared" si="57"/>
        <v>0.64</v>
      </c>
      <c r="AD199" s="133">
        <f t="shared" si="57"/>
        <v>0.64</v>
      </c>
      <c r="AE199" s="133">
        <f t="shared" si="57"/>
        <v>0.64</v>
      </c>
      <c r="AF199" s="133">
        <f t="shared" si="57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8">SUM(D194:D199)</f>
        <v>3.54</v>
      </c>
      <c r="E200" s="136">
        <f t="shared" si="58"/>
        <v>3.54</v>
      </c>
      <c r="F200" s="136">
        <f t="shared" si="58"/>
        <v>3.54</v>
      </c>
      <c r="G200" s="136">
        <f t="shared" si="58"/>
        <v>3.54</v>
      </c>
      <c r="H200" s="136">
        <f t="shared" si="58"/>
        <v>3.54</v>
      </c>
      <c r="I200" s="136">
        <f t="shared" si="58"/>
        <v>3.54</v>
      </c>
      <c r="J200" s="136">
        <f t="shared" si="58"/>
        <v>3.54</v>
      </c>
      <c r="K200" s="136">
        <f t="shared" si="58"/>
        <v>3.54</v>
      </c>
      <c r="L200" s="136">
        <f t="shared" si="58"/>
        <v>3.54</v>
      </c>
      <c r="M200" s="136">
        <f>SUM(M194:M199)</f>
        <v>3.54</v>
      </c>
      <c r="N200" s="136">
        <f t="shared" ref="N200:S200" si="59">SUM(N194:N199)</f>
        <v>3.54</v>
      </c>
      <c r="O200" s="136">
        <f t="shared" si="59"/>
        <v>3.54</v>
      </c>
      <c r="P200" s="136">
        <f t="shared" si="59"/>
        <v>3.54</v>
      </c>
      <c r="Q200" s="136">
        <f t="shared" si="59"/>
        <v>3.54</v>
      </c>
      <c r="R200" s="136">
        <f t="shared" si="59"/>
        <v>3.54</v>
      </c>
      <c r="S200" s="136">
        <f t="shared" si="59"/>
        <v>3.54</v>
      </c>
      <c r="T200" s="136">
        <f>SUM(T194:T199)</f>
        <v>3.54</v>
      </c>
      <c r="U200" s="136">
        <f t="shared" ref="U200:AG200" si="60">SUM(U194:U199)</f>
        <v>3.54</v>
      </c>
      <c r="V200" s="136">
        <f t="shared" si="60"/>
        <v>3.54</v>
      </c>
      <c r="W200" s="136">
        <f t="shared" si="60"/>
        <v>3.54</v>
      </c>
      <c r="X200" s="136">
        <f t="shared" si="60"/>
        <v>3.54</v>
      </c>
      <c r="Y200" s="136">
        <f t="shared" si="60"/>
        <v>3.54</v>
      </c>
      <c r="Z200" s="136">
        <f t="shared" si="60"/>
        <v>3.54</v>
      </c>
      <c r="AA200" s="136">
        <f t="shared" si="60"/>
        <v>3.54</v>
      </c>
      <c r="AB200" s="136">
        <f t="shared" si="60"/>
        <v>3.54</v>
      </c>
      <c r="AC200" s="136">
        <f t="shared" si="60"/>
        <v>3.54</v>
      </c>
      <c r="AD200" s="136">
        <f t="shared" si="60"/>
        <v>3.54</v>
      </c>
      <c r="AE200" s="136">
        <f t="shared" si="60"/>
        <v>3.54</v>
      </c>
      <c r="AF200" s="136">
        <f t="shared" si="60"/>
        <v>3.54</v>
      </c>
      <c r="AG200" s="137">
        <f t="shared" si="60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1187.6400000000001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7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2079/02/7)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2079/02/7)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1">B75</f>
        <v>1004.74</v>
      </c>
      <c r="U214" s="161">
        <f t="shared" si="61"/>
        <v>1053.24</v>
      </c>
      <c r="V214" s="161">
        <f t="shared" si="61"/>
        <v>1042.44</v>
      </c>
      <c r="W214" s="161">
        <f t="shared" si="61"/>
        <v>997.94</v>
      </c>
      <c r="X214" s="161">
        <f t="shared" si="61"/>
        <v>980.54000000000008</v>
      </c>
      <c r="Y214" s="161">
        <f t="shared" si="61"/>
        <v>925.54000000000008</v>
      </c>
      <c r="Z214" s="161">
        <f t="shared" si="61"/>
        <v>963.54</v>
      </c>
      <c r="AA214" s="161">
        <f t="shared" si="61"/>
        <v>981.1400000000001</v>
      </c>
      <c r="AB214" s="161">
        <f t="shared" si="61"/>
        <v>1025.54</v>
      </c>
      <c r="AC214" s="161">
        <f t="shared" si="61"/>
        <v>1107.44</v>
      </c>
      <c r="AD214" s="161">
        <f t="shared" si="61"/>
        <v>1141.6400000000001</v>
      </c>
      <c r="AE214" s="161">
        <f t="shared" si="61"/>
        <v>1142.0600000000002</v>
      </c>
      <c r="AF214" s="161">
        <f t="shared" si="61"/>
        <v>1187.6400000000001</v>
      </c>
      <c r="AG214" s="161">
        <f t="shared" si="61"/>
        <v>1214.94</v>
      </c>
      <c r="AH214" s="161">
        <f t="shared" si="61"/>
        <v>1187.54</v>
      </c>
      <c r="AI214" s="161">
        <f t="shared" si="61"/>
        <v>1173.6400000000001</v>
      </c>
      <c r="AJ214" s="161">
        <f t="shared" si="61"/>
        <v>1211.94</v>
      </c>
      <c r="AK214" s="161">
        <f t="shared" si="61"/>
        <v>1234.24</v>
      </c>
      <c r="AL214" s="161">
        <f t="shared" si="61"/>
        <v>1248.6399999999999</v>
      </c>
      <c r="AM214" s="161">
        <f t="shared" si="61"/>
        <v>1269.3400000000001</v>
      </c>
      <c r="AN214" s="161">
        <f t="shared" si="61"/>
        <v>1229.6399999999999</v>
      </c>
      <c r="AO214" s="161">
        <f t="shared" si="61"/>
        <v>1227.6399999999999</v>
      </c>
      <c r="AP214" s="161">
        <f t="shared" si="61"/>
        <v>1175.24</v>
      </c>
      <c r="AQ214" s="161">
        <f t="shared" si="61"/>
        <v>1262.94</v>
      </c>
      <c r="AR214" s="161">
        <f t="shared" si="61"/>
        <v>1331.8400000000001</v>
      </c>
      <c r="AS214" s="161">
        <f t="shared" si="61"/>
        <v>1455.7399999999998</v>
      </c>
      <c r="AT214" s="161">
        <f t="shared" si="61"/>
        <v>1492.2399999999998</v>
      </c>
      <c r="AU214" s="161">
        <f t="shared" si="61"/>
        <v>1405.04</v>
      </c>
      <c r="AV214" s="161">
        <f t="shared" si="61"/>
        <v>1411.2399999999998</v>
      </c>
      <c r="AW214" s="161">
        <f t="shared" si="61"/>
        <v>1357.0900000000001</v>
      </c>
      <c r="AX214" s="161">
        <f t="shared" si="61"/>
        <v>1311.54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3">IF(C203&lt;100,"",C203-520)</f>
        <v/>
      </c>
      <c r="D236" s="107" t="str">
        <f t="shared" si="63"/>
        <v/>
      </c>
      <c r="E236" s="107" t="str">
        <f t="shared" si="63"/>
        <v/>
      </c>
      <c r="F236" s="107" t="str">
        <f t="shared" si="63"/>
        <v/>
      </c>
      <c r="G236" s="107" t="str">
        <f t="shared" si="63"/>
        <v/>
      </c>
      <c r="H236" s="107" t="str">
        <f t="shared" si="63"/>
        <v/>
      </c>
      <c r="I236" s="107" t="str">
        <f t="shared" si="63"/>
        <v/>
      </c>
      <c r="J236" s="107" t="str">
        <f t="shared" si="63"/>
        <v/>
      </c>
      <c r="K236" s="107" t="str">
        <f t="shared" si="63"/>
        <v/>
      </c>
      <c r="L236" s="107" t="str">
        <f t="shared" si="63"/>
        <v/>
      </c>
      <c r="M236" s="107" t="str">
        <f t="shared" si="63"/>
        <v/>
      </c>
      <c r="N236" s="107" t="str">
        <f t="shared" si="63"/>
        <v/>
      </c>
      <c r="O236" s="107" t="str">
        <f t="shared" si="63"/>
        <v/>
      </c>
      <c r="P236" s="107" t="str">
        <f t="shared" si="63"/>
        <v/>
      </c>
      <c r="Q236" s="107" t="str">
        <f t="shared" si="63"/>
        <v/>
      </c>
      <c r="R236" s="107" t="str">
        <f t="shared" si="63"/>
        <v/>
      </c>
      <c r="S236" s="107" t="str">
        <f t="shared" si="63"/>
        <v/>
      </c>
      <c r="T236" s="107" t="str">
        <f t="shared" si="63"/>
        <v/>
      </c>
      <c r="U236" s="107" t="str">
        <f t="shared" si="63"/>
        <v/>
      </c>
      <c r="V236" s="107" t="str">
        <f t="shared" si="63"/>
        <v/>
      </c>
      <c r="W236" s="107" t="str">
        <f t="shared" si="63"/>
        <v/>
      </c>
      <c r="X236" s="107" t="str">
        <f t="shared" si="63"/>
        <v/>
      </c>
      <c r="Y236" s="107" t="str">
        <f t="shared" si="63"/>
        <v/>
      </c>
      <c r="Z236" s="107" t="str">
        <f t="shared" si="63"/>
        <v/>
      </c>
      <c r="AA236" s="107" t="str">
        <f t="shared" si="63"/>
        <v/>
      </c>
      <c r="AB236" s="107" t="str">
        <f t="shared" si="63"/>
        <v/>
      </c>
      <c r="AC236" s="107" t="str">
        <f t="shared" si="63"/>
        <v/>
      </c>
      <c r="AD236" s="107" t="str">
        <f t="shared" si="63"/>
        <v/>
      </c>
      <c r="AE236" s="107" t="str">
        <f t="shared" si="63"/>
        <v/>
      </c>
      <c r="AF236" s="107" t="str">
        <f t="shared" si="63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4">IF(B204&lt;100,"",B204-620)</f>
        <v/>
      </c>
      <c r="C237" s="107" t="str">
        <f t="shared" si="64"/>
        <v/>
      </c>
      <c r="D237" s="107" t="str">
        <f t="shared" si="64"/>
        <v/>
      </c>
      <c r="E237" s="107" t="str">
        <f t="shared" si="64"/>
        <v/>
      </c>
      <c r="F237" s="107" t="str">
        <f t="shared" si="64"/>
        <v/>
      </c>
      <c r="G237" s="107" t="str">
        <f t="shared" si="64"/>
        <v/>
      </c>
      <c r="H237" s="107" t="str">
        <f t="shared" si="64"/>
        <v/>
      </c>
      <c r="I237" s="107" t="str">
        <f t="shared" si="64"/>
        <v/>
      </c>
      <c r="J237" s="107" t="str">
        <f t="shared" si="64"/>
        <v/>
      </c>
      <c r="K237" s="107" t="str">
        <f t="shared" si="64"/>
        <v/>
      </c>
      <c r="L237" s="107" t="str">
        <f t="shared" si="64"/>
        <v/>
      </c>
      <c r="M237" s="107" t="str">
        <f t="shared" si="64"/>
        <v/>
      </c>
      <c r="N237" s="107" t="str">
        <f t="shared" si="64"/>
        <v/>
      </c>
      <c r="O237" s="107" t="str">
        <f t="shared" si="64"/>
        <v/>
      </c>
      <c r="P237" s="107" t="str">
        <f t="shared" si="64"/>
        <v/>
      </c>
      <c r="Q237" s="107" t="str">
        <f t="shared" si="64"/>
        <v/>
      </c>
      <c r="R237" s="107" t="str">
        <f t="shared" si="64"/>
        <v/>
      </c>
      <c r="S237" s="107" t="str">
        <f t="shared" si="64"/>
        <v/>
      </c>
      <c r="T237" s="107" t="str">
        <f t="shared" si="64"/>
        <v/>
      </c>
      <c r="U237" s="107" t="str">
        <f t="shared" si="64"/>
        <v/>
      </c>
      <c r="V237" s="107" t="str">
        <f t="shared" si="64"/>
        <v/>
      </c>
      <c r="W237" s="107" t="str">
        <f t="shared" si="64"/>
        <v/>
      </c>
      <c r="X237" s="107" t="str">
        <f t="shared" si="64"/>
        <v/>
      </c>
      <c r="Y237" s="107" t="str">
        <f t="shared" si="64"/>
        <v/>
      </c>
      <c r="Z237" s="107" t="str">
        <f t="shared" si="64"/>
        <v/>
      </c>
      <c r="AA237" s="107" t="str">
        <f t="shared" si="64"/>
        <v/>
      </c>
      <c r="AB237" s="107" t="str">
        <f t="shared" si="64"/>
        <v/>
      </c>
      <c r="AC237" s="107" t="str">
        <f t="shared" si="64"/>
        <v/>
      </c>
      <c r="AD237" s="107" t="str">
        <f t="shared" si="64"/>
        <v/>
      </c>
      <c r="AE237" s="107" t="str">
        <f t="shared" si="64"/>
        <v/>
      </c>
      <c r="AF237" s="107" t="str">
        <f t="shared" si="64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5">IF(B205&lt;100,"",B205-330)</f>
        <v/>
      </c>
      <c r="C238" s="107" t="str">
        <f t="shared" si="65"/>
        <v/>
      </c>
      <c r="D238" s="107" t="str">
        <f t="shared" si="65"/>
        <v/>
      </c>
      <c r="E238" s="107" t="str">
        <f t="shared" si="65"/>
        <v/>
      </c>
      <c r="F238" s="107" t="str">
        <f t="shared" si="65"/>
        <v/>
      </c>
      <c r="G238" s="107" t="str">
        <f t="shared" si="65"/>
        <v/>
      </c>
      <c r="H238" s="107" t="str">
        <f t="shared" si="65"/>
        <v/>
      </c>
      <c r="I238" s="107" t="str">
        <f t="shared" si="65"/>
        <v/>
      </c>
      <c r="J238" s="107" t="str">
        <f t="shared" si="65"/>
        <v/>
      </c>
      <c r="K238" s="107" t="str">
        <f t="shared" si="65"/>
        <v/>
      </c>
      <c r="L238" s="107" t="str">
        <f t="shared" si="65"/>
        <v/>
      </c>
      <c r="M238" s="107" t="str">
        <f t="shared" si="65"/>
        <v/>
      </c>
      <c r="N238" s="107" t="str">
        <f t="shared" si="65"/>
        <v/>
      </c>
      <c r="O238" s="107" t="str">
        <f t="shared" si="65"/>
        <v/>
      </c>
      <c r="P238" s="107" t="str">
        <f t="shared" si="65"/>
        <v/>
      </c>
      <c r="Q238" s="107" t="str">
        <f t="shared" si="65"/>
        <v/>
      </c>
      <c r="R238" s="107" t="str">
        <f t="shared" si="65"/>
        <v/>
      </c>
      <c r="S238" s="107" t="str">
        <f t="shared" si="65"/>
        <v/>
      </c>
      <c r="T238" s="107" t="str">
        <f t="shared" si="65"/>
        <v/>
      </c>
      <c r="U238" s="107" t="str">
        <f t="shared" si="65"/>
        <v/>
      </c>
      <c r="V238" s="107" t="str">
        <f t="shared" si="65"/>
        <v/>
      </c>
      <c r="W238" s="107" t="str">
        <f t="shared" si="65"/>
        <v/>
      </c>
      <c r="X238" s="107" t="str">
        <f t="shared" si="65"/>
        <v/>
      </c>
      <c r="Y238" s="107" t="str">
        <f t="shared" si="65"/>
        <v/>
      </c>
      <c r="Z238" s="107" t="str">
        <f t="shared" si="65"/>
        <v/>
      </c>
      <c r="AA238" s="107" t="str">
        <f t="shared" si="65"/>
        <v/>
      </c>
      <c r="AB238" s="107" t="str">
        <f t="shared" si="65"/>
        <v/>
      </c>
      <c r="AC238" s="107" t="str">
        <f t="shared" si="65"/>
        <v/>
      </c>
      <c r="AD238" s="107" t="str">
        <f t="shared" si="65"/>
        <v/>
      </c>
      <c r="AE238" s="107" t="str">
        <f t="shared" si="65"/>
        <v/>
      </c>
      <c r="AF238" s="107" t="str">
        <f t="shared" si="65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6">IF(C206&lt;100,"",C206-1500)</f>
        <v/>
      </c>
      <c r="D239" s="107" t="str">
        <f t="shared" si="66"/>
        <v/>
      </c>
      <c r="E239" s="107" t="str">
        <f t="shared" si="66"/>
        <v/>
      </c>
      <c r="F239" s="107" t="str">
        <f t="shared" si="66"/>
        <v/>
      </c>
      <c r="G239" s="107" t="str">
        <f t="shared" si="66"/>
        <v/>
      </c>
      <c r="H239" s="107" t="str">
        <f t="shared" si="66"/>
        <v/>
      </c>
      <c r="I239" s="107" t="str">
        <f t="shared" si="66"/>
        <v/>
      </c>
      <c r="J239" s="107" t="str">
        <f t="shared" si="66"/>
        <v/>
      </c>
      <c r="K239" s="107" t="str">
        <f t="shared" si="66"/>
        <v/>
      </c>
      <c r="L239" s="107" t="str">
        <f t="shared" si="66"/>
        <v/>
      </c>
      <c r="M239" s="107" t="str">
        <f t="shared" si="66"/>
        <v/>
      </c>
      <c r="N239" s="107" t="str">
        <f t="shared" si="66"/>
        <v/>
      </c>
      <c r="O239" s="107" t="str">
        <f t="shared" si="66"/>
        <v/>
      </c>
      <c r="P239" s="107" t="str">
        <f t="shared" si="66"/>
        <v/>
      </c>
      <c r="Q239" s="107" t="str">
        <f t="shared" si="66"/>
        <v/>
      </c>
      <c r="R239" s="107" t="str">
        <f t="shared" si="66"/>
        <v/>
      </c>
      <c r="S239" s="107" t="str">
        <f t="shared" si="66"/>
        <v/>
      </c>
      <c r="T239" s="107" t="str">
        <f t="shared" si="66"/>
        <v/>
      </c>
      <c r="U239" s="107" t="str">
        <f t="shared" si="66"/>
        <v/>
      </c>
      <c r="V239" s="107" t="str">
        <f t="shared" si="66"/>
        <v/>
      </c>
      <c r="W239" s="107" t="str">
        <f t="shared" si="66"/>
        <v/>
      </c>
      <c r="X239" s="107" t="str">
        <f t="shared" si="66"/>
        <v/>
      </c>
      <c r="Y239" s="107" t="str">
        <f t="shared" si="66"/>
        <v/>
      </c>
      <c r="Z239" s="107" t="str">
        <f t="shared" si="66"/>
        <v/>
      </c>
      <c r="AA239" s="107" t="str">
        <f t="shared" si="66"/>
        <v/>
      </c>
      <c r="AB239" s="107" t="str">
        <f t="shared" si="66"/>
        <v/>
      </c>
      <c r="AC239" s="107" t="str">
        <f t="shared" si="66"/>
        <v/>
      </c>
      <c r="AD239" s="107" t="str">
        <f t="shared" si="66"/>
        <v/>
      </c>
      <c r="AE239" s="107" t="str">
        <f t="shared" si="66"/>
        <v/>
      </c>
      <c r="AF239" s="107" t="str">
        <f t="shared" si="66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U11:AF11">
    <cfRule type="expression" dxfId="4756" priority="271">
      <formula>B$9&gt;=20/24</formula>
    </cfRule>
    <cfRule type="expression" dxfId="4755" priority="272">
      <formula>AND(B$9&gt;=14/24,B$9&lt;20/24)</formula>
    </cfRule>
    <cfRule type="expression" dxfId="4754" priority="273">
      <formula>AND(B$9&gt;=8/24,B$9&lt;14/24)</formula>
    </cfRule>
    <cfRule type="expression" dxfId="4753" priority="274">
      <formula>B$9&lt;8/24</formula>
    </cfRule>
  </conditionalFormatting>
  <conditionalFormatting sqref="AL4:AL6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4752" priority="266">
      <formula>T$9&gt;=20/24</formula>
    </cfRule>
    <cfRule type="expression" dxfId="4751" priority="267">
      <formula>AND(T$9&gt;=14/24,T$9&lt;20/24)</formula>
    </cfRule>
    <cfRule type="expression" dxfId="4750" priority="268">
      <formula>AND(T$9&gt;=8/24,T$9&lt;14/24)</formula>
    </cfRule>
    <cfRule type="expression" dxfId="4749" priority="269">
      <formula>T$9&lt;8/24</formula>
    </cfRule>
  </conditionalFormatting>
  <conditionalFormatting sqref="AG51 T37:AF37 J11:AF11">
    <cfRule type="expression" dxfId="4748" priority="265">
      <formula>J11&gt;$AG11</formula>
    </cfRule>
  </conditionalFormatting>
  <conditionalFormatting sqref="A101:A157 A84:A97 A11:A14 A16:A32 A45:A72 A80:A82 A74:A78 A35:A43 A170:A200">
    <cfRule type="expression" dxfId="4747" priority="264">
      <formula>$AH11=0</formula>
    </cfRule>
  </conditionalFormatting>
  <conditionalFormatting sqref="A98">
    <cfRule type="expression" dxfId="4746" priority="263">
      <formula>$AH98=0</formula>
    </cfRule>
  </conditionalFormatting>
  <conditionalFormatting sqref="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745" priority="261">
      <formula>$AH34=0</formula>
    </cfRule>
  </conditionalFormatting>
  <conditionalFormatting sqref="A83">
    <cfRule type="expression" dxfId="4744" priority="260">
      <formula>$AH83=0</formula>
    </cfRule>
  </conditionalFormatting>
  <conditionalFormatting sqref="A15">
    <cfRule type="expression" dxfId="4743" priority="259">
      <formula>$AH15=0</formula>
    </cfRule>
  </conditionalFormatting>
  <conditionalFormatting sqref="A164:A169">
    <cfRule type="expression" dxfId="4742" priority="258">
      <formula>$AH164=0</formula>
    </cfRule>
  </conditionalFormatting>
  <conditionalFormatting sqref="A158:A163">
    <cfRule type="expression" dxfId="4741" priority="257">
      <formula>$AH158=0</formula>
    </cfRule>
  </conditionalFormatting>
  <conditionalFormatting sqref="A44">
    <cfRule type="expression" dxfId="4740" priority="256">
      <formula>$AH44=0</formula>
    </cfRule>
  </conditionalFormatting>
  <conditionalFormatting sqref="A79">
    <cfRule type="expression" dxfId="4739" priority="255">
      <formula>$AH79=0</formula>
    </cfRule>
  </conditionalFormatting>
  <conditionalFormatting sqref="A73">
    <cfRule type="expression" dxfId="4738" priority="254">
      <formula>$AH73=0</formula>
    </cfRule>
  </conditionalFormatting>
  <conditionalFormatting sqref="AL34:AL35 AL7:AL31">
    <cfRule type="iconSet" priority="277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737" priority="250">
      <formula>C$9&gt;=20/24</formula>
    </cfRule>
    <cfRule type="expression" dxfId="4736" priority="251">
      <formula>AND(C$9&gt;=14/24,C$9&lt;20/24)</formula>
    </cfRule>
    <cfRule type="expression" dxfId="4735" priority="252">
      <formula>AND(C$9&gt;=8/24,C$9&lt;14/24)</formula>
    </cfRule>
    <cfRule type="expression" dxfId="4734" priority="253">
      <formula>C$9&lt;8/24</formula>
    </cfRule>
  </conditionalFormatting>
  <conditionalFormatting sqref="AL3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33" priority="278">
      <formula>C$9&gt;=20/24</formula>
    </cfRule>
    <cfRule type="expression" dxfId="4732" priority="279">
      <formula>AND(C$9&gt;=14/24,C$9&lt;20/24)</formula>
    </cfRule>
    <cfRule type="expression" dxfId="4731" priority="280">
      <formula>AND(C$9&gt;=8/24,C$9&lt;14/24)</formula>
    </cfRule>
    <cfRule type="expression" dxfId="4730" priority="281">
      <formula>C$9&lt;8/24</formula>
    </cfRule>
  </conditionalFormatting>
  <conditionalFormatting sqref="A201">
    <cfRule type="expression" dxfId="4729" priority="282">
      <formula>$AH201=0</formula>
    </cfRule>
  </conditionalFormatting>
  <conditionalFormatting sqref="AG213">
    <cfRule type="expression" dxfId="4728" priority="283">
      <formula>B$9&gt;=20/24</formula>
    </cfRule>
    <cfRule type="expression" dxfId="4727" priority="284">
      <formula>AND(B$9&gt;=14/24,B$9&lt;20/24)</formula>
    </cfRule>
    <cfRule type="expression" dxfId="4726" priority="285">
      <formula>AND(B$9&gt;=8/24,B$9&lt;14/24)</formula>
    </cfRule>
    <cfRule type="expression" dxfId="4725" priority="286">
      <formula>B$9&lt;8/24</formula>
    </cfRule>
  </conditionalFormatting>
  <conditionalFormatting sqref="S8">
    <cfRule type="expression" dxfId="4724" priority="244">
      <formula>U$9&gt;=20/24</formula>
    </cfRule>
    <cfRule type="expression" dxfId="4723" priority="245">
      <formula>AND(U$9&gt;=14/24,U$9&lt;20/24)</formula>
    </cfRule>
    <cfRule type="expression" dxfId="4722" priority="246">
      <formula>AND(U$9&gt;=8/24,U$9&lt;14/24)</formula>
    </cfRule>
    <cfRule type="expression" dxfId="4721" priority="247">
      <formula>U$9&lt;8/24</formula>
    </cfRule>
  </conditionalFormatting>
  <conditionalFormatting sqref="AB8">
    <cfRule type="expression" dxfId="4720" priority="240">
      <formula>AD$9&gt;=20/24</formula>
    </cfRule>
    <cfRule type="expression" dxfId="4719" priority="241">
      <formula>AND(AD$9&gt;=14/24,AD$9&lt;20/24)</formula>
    </cfRule>
    <cfRule type="expression" dxfId="4718" priority="242">
      <formula>AND(AD$9&gt;=8/24,AD$9&lt;14/24)</formula>
    </cfRule>
    <cfRule type="expression" dxfId="4717" priority="243">
      <formula>AD$9&lt;8/24</formula>
    </cfRule>
  </conditionalFormatting>
  <conditionalFormatting sqref="AH213:AX213">
    <cfRule type="expression" dxfId="4716" priority="287">
      <formula>AG$9&gt;=20/24</formula>
    </cfRule>
    <cfRule type="expression" dxfId="4715" priority="288">
      <formula>AND(AG$9&gt;=14/24,AG$9&lt;20/24)</formula>
    </cfRule>
    <cfRule type="expression" dxfId="4714" priority="289">
      <formula>AND(AG$9&gt;=8/24,AG$9&lt;14/24)</formula>
    </cfRule>
    <cfRule type="expression" dxfId="4713" priority="290">
      <formula>AG$9&lt;8/24</formula>
    </cfRule>
  </conditionalFormatting>
  <conditionalFormatting sqref="T213">
    <cfRule type="expression" dxfId="4712" priority="291">
      <formula>AX$9&gt;=20/24</formula>
    </cfRule>
    <cfRule type="expression" dxfId="4711" priority="292">
      <formula>AND(AX$9&gt;=14/24,AX$9&lt;20/24)</formula>
    </cfRule>
    <cfRule type="expression" dxfId="4710" priority="293">
      <formula>AND(AX$9&gt;=8/24,AX$9&lt;14/24)</formula>
    </cfRule>
    <cfRule type="expression" dxfId="4709" priority="294">
      <formula>AX$9&lt;8/24</formula>
    </cfRule>
  </conditionalFormatting>
  <conditionalFormatting sqref="A99:A100">
    <cfRule type="expression" dxfId="4708" priority="239">
      <formula>$AH99=0</formula>
    </cfRule>
  </conditionalFormatting>
  <conditionalFormatting sqref="E11:I11 Y40:Z41 E40:L41 S40:W41 AA36:AF36 AB40:AF41 C57:AF57">
    <cfRule type="expression" dxfId="4707" priority="235">
      <formula>C$9&gt;=20/24</formula>
    </cfRule>
    <cfRule type="expression" dxfId="4706" priority="236">
      <formula>AND(C$9&gt;=14/24,C$9&lt;20/24)</formula>
    </cfRule>
    <cfRule type="expression" dxfId="4705" priority="237">
      <formula>AND(C$9&gt;=8/24,C$9&lt;14/24)</formula>
    </cfRule>
    <cfRule type="expression" dxfId="4704" priority="238">
      <formula>C$9&lt;8/24</formula>
    </cfRule>
  </conditionalFormatting>
  <conditionalFormatting sqref="Y39:Z39 E39:L39 S39:W39 AB39:AF39">
    <cfRule type="expression" dxfId="4703" priority="231">
      <formula>E$9&gt;=20/24</formula>
    </cfRule>
    <cfRule type="expression" dxfId="4702" priority="232">
      <formula>AND(E$9&gt;=14/24,E$9&lt;20/24)</formula>
    </cfRule>
    <cfRule type="expression" dxfId="4701" priority="233">
      <formula>AND(E$9&gt;=8/24,E$9&lt;14/24)</formula>
    </cfRule>
    <cfRule type="expression" dxfId="4700" priority="234">
      <formula>E$9&lt;8/24</formula>
    </cfRule>
  </conditionalFormatting>
  <conditionalFormatting sqref="E11:I11 Y39:Z41 E39:L41 S39:W41 AA36:AF36 AB39:AF41">
    <cfRule type="expression" dxfId="4699" priority="230">
      <formula>E11&gt;$AG11</formula>
    </cfRule>
  </conditionalFormatting>
  <conditionalFormatting sqref="M11:Q11 C83:AF83 C75:AF81 C68:AF73 C61:D67 E61:L63 C58:L60 E12:Q14 M58:N63 E67:Q67 O60:Q63 R11:R14 O58:X59 C85:AF91 R60:Y67 T36:Z36 C56:AF56 C53:Z55 AA28:AF31 AA18:AF22 AA24:AF26 O16:AF16 S12:AF14 AB53:AF55 Y58:AF67">
    <cfRule type="expression" dxfId="4698" priority="226">
      <formula>C$9&gt;=20/24</formula>
    </cfRule>
    <cfRule type="expression" dxfId="4697" priority="227">
      <formula>AND(C$9&gt;=14/24,C$9&lt;20/24)</formula>
    </cfRule>
    <cfRule type="expression" dxfId="4696" priority="228">
      <formula>AND(C$9&gt;=8/24,C$9&lt;14/24)</formula>
    </cfRule>
    <cfRule type="expression" dxfId="4695" priority="229">
      <formula>C$9&lt;8/24</formula>
    </cfRule>
  </conditionalFormatting>
  <conditionalFormatting sqref="AA32:AF32">
    <cfRule type="expression" dxfId="4694" priority="222">
      <formula>AA$9&gt;=20/24</formula>
    </cfRule>
    <cfRule type="expression" dxfId="4693" priority="223">
      <formula>AND(AA$9&gt;=14/24,AA$9&lt;20/24)</formula>
    </cfRule>
    <cfRule type="expression" dxfId="4692" priority="224">
      <formula>AND(AA$9&gt;=8/24,AA$9&lt;14/24)</formula>
    </cfRule>
    <cfRule type="expression" dxfId="4691" priority="225">
      <formula>AA$9&lt;8/24</formula>
    </cfRule>
  </conditionalFormatting>
  <conditionalFormatting sqref="AA35:AF35">
    <cfRule type="expression" dxfId="4690" priority="218">
      <formula>AA$9&gt;=20/24</formula>
    </cfRule>
    <cfRule type="expression" dxfId="4689" priority="219">
      <formula>AND(AA$9&gt;=14/24,AA$9&lt;20/24)</formula>
    </cfRule>
    <cfRule type="expression" dxfId="4688" priority="220">
      <formula>AND(AA$9&gt;=8/24,AA$9&lt;14/24)</formula>
    </cfRule>
    <cfRule type="expression" dxfId="4687" priority="221">
      <formula>AA$9&lt;8/24</formula>
    </cfRule>
  </conditionalFormatting>
  <conditionalFormatting sqref="M11:Q11 C38:AF38 E42:I43 E12:Q14 J42:L44 O16:P16 M43 E15:P15 Q15:Q16 R11:R16 E37:S37 T36:Z36 C51:AF52 C56:AF56 C53:Z55 AA34:AF35 AA18:AF22 AA24:AF32 S12:AF16 AB42:AF43 AB53:AF55">
    <cfRule type="expression" dxfId="4686" priority="217">
      <formula>C11&gt;$AG11</formula>
    </cfRule>
  </conditionalFormatting>
  <conditionalFormatting sqref="AA34:AF34">
    <cfRule type="expression" dxfId="4685" priority="213">
      <formula>AA$9&gt;=20/24</formula>
    </cfRule>
    <cfRule type="expression" dxfId="4684" priority="214">
      <formula>AND(AA$9&gt;=14/24,AA$9&lt;20/24)</formula>
    </cfRule>
    <cfRule type="expression" dxfId="4683" priority="215">
      <formula>AND(AA$9&gt;=8/24,AA$9&lt;14/24)</formula>
    </cfRule>
    <cfRule type="expression" dxfId="4682" priority="216">
      <formula>AA$9&lt;8/24</formula>
    </cfRule>
  </conditionalFormatting>
  <conditionalFormatting sqref="E15:AF15">
    <cfRule type="expression" dxfId="4681" priority="209">
      <formula>E$9&gt;=20/24</formula>
    </cfRule>
    <cfRule type="expression" dxfId="4680" priority="210">
      <formula>AND(E$9&gt;=14/24,E$9&lt;20/24)</formula>
    </cfRule>
    <cfRule type="expression" dxfId="4679" priority="211">
      <formula>AND(E$9&gt;=8/24,E$9&lt;14/24)</formula>
    </cfRule>
    <cfRule type="expression" dxfId="4678" priority="212">
      <formula>E$9&lt;8/24</formula>
    </cfRule>
  </conditionalFormatting>
  <conditionalFormatting sqref="AA33:AF33">
    <cfRule type="expression" dxfId="4677" priority="205">
      <formula>AA$9&gt;=20/24</formula>
    </cfRule>
    <cfRule type="expression" dxfId="4676" priority="206">
      <formula>AND(AA$9&gt;=14/24,AA$9&lt;20/24)</formula>
    </cfRule>
    <cfRule type="expression" dxfId="4675" priority="207">
      <formula>AND(AA$9&gt;=8/24,AA$9&lt;14/24)</formula>
    </cfRule>
    <cfRule type="expression" dxfId="4674" priority="208">
      <formula>AA$9&lt;8/24</formula>
    </cfRule>
  </conditionalFormatting>
  <conditionalFormatting sqref="AA33:AF33">
    <cfRule type="expression" dxfId="4673" priority="204">
      <formula>AA33&gt;$AG33</formula>
    </cfRule>
  </conditionalFormatting>
  <conditionalFormatting sqref="S11:T11">
    <cfRule type="expression" dxfId="4672" priority="200">
      <formula>S$9&gt;=20/24</formula>
    </cfRule>
    <cfRule type="expression" dxfId="4671" priority="201">
      <formula>AND(S$9&gt;=14/24,S$9&lt;20/24)</formula>
    </cfRule>
    <cfRule type="expression" dxfId="4670" priority="202">
      <formula>AND(S$9&gt;=8/24,S$9&lt;14/24)</formula>
    </cfRule>
    <cfRule type="expression" dxfId="4669" priority="203">
      <formula>S$9&lt;8/24</formula>
    </cfRule>
  </conditionalFormatting>
  <conditionalFormatting sqref="N43:R43 R44:R49 M39:R42 M44:Q44 N47:Q47 S42:Z49">
    <cfRule type="expression" dxfId="4668" priority="191">
      <formula>M$9&gt;=20/24</formula>
    </cfRule>
    <cfRule type="expression" dxfId="4667" priority="192">
      <formula>AND(M$9&gt;=14/24,M$9&lt;20/24)</formula>
    </cfRule>
    <cfRule type="expression" dxfId="4666" priority="193">
      <formula>AND(M$9&gt;=8/24,M$9&lt;14/24)</formula>
    </cfRule>
    <cfRule type="expression" dxfId="4665" priority="194">
      <formula>M$9&lt;8/24</formula>
    </cfRule>
  </conditionalFormatting>
  <conditionalFormatting sqref="N43:R43 R44:R49 M39:R42 M44:Q44 N47:Q47 S42:Z49">
    <cfRule type="expression" dxfId="4664" priority="190">
      <formula>M39&gt;$AG39</formula>
    </cfRule>
  </conditionalFormatting>
  <conditionalFormatting sqref="AA27:AF27">
    <cfRule type="expression" dxfId="4663" priority="186">
      <formula>AA$9&gt;=20/24</formula>
    </cfRule>
    <cfRule type="expression" dxfId="4662" priority="187">
      <formula>AND(AA$9&gt;=14/24,AA$9&lt;20/24)</formula>
    </cfRule>
    <cfRule type="expression" dxfId="4661" priority="188">
      <formula>AND(AA$9&gt;=8/24,AA$9&lt;14/24)</formula>
    </cfRule>
    <cfRule type="expression" dxfId="4660" priority="189">
      <formula>AA$9&lt;8/24</formula>
    </cfRule>
  </conditionalFormatting>
  <conditionalFormatting sqref="C74:I74 AA17:AF17 AA23:AF23">
    <cfRule type="expression" dxfId="4659" priority="182">
      <formula>C$9&gt;=20/24</formula>
    </cfRule>
    <cfRule type="expression" dxfId="4658" priority="183">
      <formula>AND(C$9&gt;=14/24,C$9&lt;20/24)</formula>
    </cfRule>
    <cfRule type="expression" dxfId="4657" priority="184">
      <formula>AND(C$9&gt;=8/24,C$9&lt;14/24)</formula>
    </cfRule>
    <cfRule type="expression" dxfId="4656" priority="185">
      <formula>C$9&lt;8/24</formula>
    </cfRule>
  </conditionalFormatting>
  <conditionalFormatting sqref="AA17:AF17 AA23:AF23">
    <cfRule type="expression" dxfId="4655" priority="173">
      <formula>AA17&gt;$AG17</formula>
    </cfRule>
  </conditionalFormatting>
  <conditionalFormatting sqref="C40:D41">
    <cfRule type="expression" dxfId="4654" priority="156">
      <formula>C$9&gt;=20/24</formula>
    </cfRule>
    <cfRule type="expression" dxfId="4653" priority="157">
      <formula>AND(C$9&gt;=14/24,C$9&lt;20/24)</formula>
    </cfRule>
    <cfRule type="expression" dxfId="4652" priority="158">
      <formula>AND(C$9&gt;=8/24,C$9&lt;14/24)</formula>
    </cfRule>
    <cfRule type="expression" dxfId="4651" priority="159">
      <formula>C$9&lt;8/24</formula>
    </cfRule>
  </conditionalFormatting>
  <conditionalFormatting sqref="C39:D39">
    <cfRule type="expression" dxfId="4650" priority="152">
      <formula>C$9&gt;=20/24</formula>
    </cfRule>
    <cfRule type="expression" dxfId="4649" priority="153">
      <formula>AND(C$9&gt;=14/24,C$9&lt;20/24)</formula>
    </cfRule>
    <cfRule type="expression" dxfId="4648" priority="154">
      <formula>AND(C$9&gt;=8/24,C$9&lt;14/24)</formula>
    </cfRule>
    <cfRule type="expression" dxfId="4647" priority="155">
      <formula>C$9&lt;8/24</formula>
    </cfRule>
  </conditionalFormatting>
  <conditionalFormatting sqref="C39:D41">
    <cfRule type="expression" dxfId="4646" priority="151">
      <formula>C39&gt;$AG39</formula>
    </cfRule>
  </conditionalFormatting>
  <conditionalFormatting sqref="E64:Q66">
    <cfRule type="expression" dxfId="4645" priority="147">
      <formula>E$9&gt;=20/24</formula>
    </cfRule>
    <cfRule type="expression" dxfId="4644" priority="148">
      <formula>AND(E$9&gt;=14/24,E$9&lt;20/24)</formula>
    </cfRule>
    <cfRule type="expression" dxfId="4643" priority="149">
      <formula>AND(E$9&gt;=8/24,E$9&lt;14/24)</formula>
    </cfRule>
    <cfRule type="expression" dxfId="4642" priority="150">
      <formula>E$9&lt;8/24</formula>
    </cfRule>
  </conditionalFormatting>
  <conditionalFormatting sqref="C42:D43">
    <cfRule type="expression" dxfId="4641" priority="146">
      <formula>C42&gt;$AG42</formula>
    </cfRule>
  </conditionalFormatting>
  <conditionalFormatting sqref="C44:I50 J45:Q46 J48:Q50 J47:M47 R50:Z50">
    <cfRule type="expression" dxfId="4640" priority="142">
      <formula>C$9&gt;=20/24</formula>
    </cfRule>
    <cfRule type="expression" dxfId="4639" priority="143">
      <formula>AND(C$9&gt;=14/24,C$9&lt;20/24)</formula>
    </cfRule>
    <cfRule type="expression" dxfId="4638" priority="144">
      <formula>AND(C$9&gt;=8/24,C$9&lt;14/24)</formula>
    </cfRule>
    <cfRule type="expression" dxfId="4637" priority="145">
      <formula>C$9&lt;8/24</formula>
    </cfRule>
  </conditionalFormatting>
  <conditionalFormatting sqref="C44:I50 J45:Q46 J48:Q50 J47:M47 R50:Z50">
    <cfRule type="expression" dxfId="4636" priority="141">
      <formula>C44&gt;$AG44</formula>
    </cfRule>
  </conditionalFormatting>
  <conditionalFormatting sqref="X40:X41">
    <cfRule type="expression" dxfId="4635" priority="137">
      <formula>X$9&gt;=20/24</formula>
    </cfRule>
    <cfRule type="expression" dxfId="4634" priority="138">
      <formula>AND(X$9&gt;=14/24,X$9&lt;20/24)</formula>
    </cfRule>
    <cfRule type="expression" dxfId="4633" priority="139">
      <formula>AND(X$9&gt;=8/24,X$9&lt;14/24)</formula>
    </cfRule>
    <cfRule type="expression" dxfId="4632" priority="140">
      <formula>X$9&lt;8/24</formula>
    </cfRule>
  </conditionalFormatting>
  <conditionalFormatting sqref="X39">
    <cfRule type="expression" dxfId="4631" priority="133">
      <formula>X$9&gt;=20/24</formula>
    </cfRule>
    <cfRule type="expression" dxfId="4630" priority="134">
      <formula>AND(X$9&gt;=14/24,X$9&lt;20/24)</formula>
    </cfRule>
    <cfRule type="expression" dxfId="4629" priority="135">
      <formula>AND(X$9&gt;=8/24,X$9&lt;14/24)</formula>
    </cfRule>
    <cfRule type="expression" dxfId="4628" priority="136">
      <formula>X$9&lt;8/24</formula>
    </cfRule>
  </conditionalFormatting>
  <conditionalFormatting sqref="X39:X41">
    <cfRule type="expression" dxfId="4627" priority="132">
      <formula>X39&gt;$AG39</formula>
    </cfRule>
  </conditionalFormatting>
  <conditionalFormatting sqref="B82 B74 B94:B100 B11:D11">
    <cfRule type="expression" dxfId="4626" priority="66">
      <formula>B$9&gt;=20/24</formula>
    </cfRule>
    <cfRule type="expression" dxfId="4625" priority="67">
      <formula>AND(B$9&gt;=14/24,B$9&lt;20/24)</formula>
    </cfRule>
    <cfRule type="expression" dxfId="4624" priority="68">
      <formula>AND(B$9&gt;=8/24,B$9&lt;14/24)</formula>
    </cfRule>
    <cfRule type="expression" dxfId="4623" priority="69">
      <formula>B$9&lt;8/24</formula>
    </cfRule>
  </conditionalFormatting>
  <conditionalFormatting sqref="B37:D37">
    <cfRule type="expression" dxfId="4622" priority="62">
      <formula>B$9&gt;=20/24</formula>
    </cfRule>
    <cfRule type="expression" dxfId="4621" priority="63">
      <formula>AND(B$9&gt;=14/24,B$9&lt;20/24)</formula>
    </cfRule>
    <cfRule type="expression" dxfId="4620" priority="64">
      <formula>AND(B$9&gt;=8/24,B$9&lt;14/24)</formula>
    </cfRule>
    <cfRule type="expression" dxfId="4619" priority="65">
      <formula>B$9&lt;8/24</formula>
    </cfRule>
  </conditionalFormatting>
  <conditionalFormatting sqref="B11:D11 B37:D37">
    <cfRule type="expression" dxfId="4618" priority="61">
      <formula>B11&gt;$AG11</formula>
    </cfRule>
  </conditionalFormatting>
  <conditionalFormatting sqref="B84">
    <cfRule type="expression" dxfId="4617" priority="57">
      <formula>B$9&gt;=20/24</formula>
    </cfRule>
    <cfRule type="expression" dxfId="4616" priority="58">
      <formula>AND(B$9&gt;=14/24,B$9&lt;20/24)</formula>
    </cfRule>
    <cfRule type="expression" dxfId="4615" priority="59">
      <formula>AND(B$9&gt;=8/24,B$9&lt;14/24)</formula>
    </cfRule>
    <cfRule type="expression" dxfId="4614" priority="60">
      <formula>B$9&lt;8/24</formula>
    </cfRule>
  </conditionalFormatting>
  <conditionalFormatting sqref="B40:B41 B57 B36:S36">
    <cfRule type="expression" dxfId="4613" priority="53">
      <formula>B$9&gt;=20/24</formula>
    </cfRule>
    <cfRule type="expression" dxfId="4612" priority="54">
      <formula>AND(B$9&gt;=14/24,B$9&lt;20/24)</formula>
    </cfRule>
    <cfRule type="expression" dxfId="4611" priority="55">
      <formula>AND(B$9&gt;=8/24,B$9&lt;14/24)</formula>
    </cfRule>
    <cfRule type="expression" dxfId="4610" priority="56">
      <formula>B$9&lt;8/24</formula>
    </cfRule>
  </conditionalFormatting>
  <conditionalFormatting sqref="B39">
    <cfRule type="expression" dxfId="4609" priority="49">
      <formula>B$9&gt;=20/24</formula>
    </cfRule>
    <cfRule type="expression" dxfId="4608" priority="50">
      <formula>AND(B$9&gt;=14/24,B$9&lt;20/24)</formula>
    </cfRule>
    <cfRule type="expression" dxfId="4607" priority="51">
      <formula>AND(B$9&gt;=8/24,B$9&lt;14/24)</formula>
    </cfRule>
    <cfRule type="expression" dxfId="4606" priority="52">
      <formula>B$9&lt;8/24</formula>
    </cfRule>
  </conditionalFormatting>
  <conditionalFormatting sqref="B39:B41 B36:S36">
    <cfRule type="expression" dxfId="4605" priority="48">
      <formula>B36&gt;$AG36</formula>
    </cfRule>
  </conditionalFormatting>
  <conditionalFormatting sqref="B85:B91 B83 B75:B81 B53:B56 B58:B73 B12:D14 B16:N16 B24:Z26 B18:Z22 B28:Z31">
    <cfRule type="expression" dxfId="4604" priority="44">
      <formula>B$9&gt;=20/24</formula>
    </cfRule>
    <cfRule type="expression" dxfId="4603" priority="45">
      <formula>AND(B$9&gt;=14/24,B$9&lt;20/24)</formula>
    </cfRule>
    <cfRule type="expression" dxfId="4602" priority="46">
      <formula>AND(B$9&gt;=8/24,B$9&lt;14/24)</formula>
    </cfRule>
    <cfRule type="expression" dxfId="4601" priority="47">
      <formula>B$9&lt;8/24</formula>
    </cfRule>
  </conditionalFormatting>
  <conditionalFormatting sqref="B32:Z32">
    <cfRule type="expression" dxfId="4600" priority="40">
      <formula>B$9&gt;=20/24</formula>
    </cfRule>
    <cfRule type="expression" dxfId="4599" priority="41">
      <formula>AND(B$9&gt;=14/24,B$9&lt;20/24)</formula>
    </cfRule>
    <cfRule type="expression" dxfId="4598" priority="42">
      <formula>AND(B$9&gt;=8/24,B$9&lt;14/24)</formula>
    </cfRule>
    <cfRule type="expression" dxfId="4597" priority="43">
      <formula>B$9&lt;8/24</formula>
    </cfRule>
  </conditionalFormatting>
  <conditionalFormatting sqref="B35:Z35">
    <cfRule type="expression" dxfId="4596" priority="36">
      <formula>B$9&gt;=20/24</formula>
    </cfRule>
    <cfRule type="expression" dxfId="4595" priority="37">
      <formula>AND(B$9&gt;=14/24,B$9&lt;20/24)</formula>
    </cfRule>
    <cfRule type="expression" dxfId="4594" priority="38">
      <formula>AND(B$9&gt;=8/24,B$9&lt;14/24)</formula>
    </cfRule>
    <cfRule type="expression" dxfId="4593" priority="39">
      <formula>B$9&lt;8/24</formula>
    </cfRule>
  </conditionalFormatting>
  <conditionalFormatting sqref="B38 B42:B43 B51:B56 B12:D16 E16:N16 B24:Z32 B18:Z22 B34:Z35">
    <cfRule type="expression" dxfId="4592" priority="35">
      <formula>B12&gt;$AG12</formula>
    </cfRule>
  </conditionalFormatting>
  <conditionalFormatting sqref="B34:Z34">
    <cfRule type="expression" dxfId="4591" priority="31">
      <formula>B$9&gt;=20/24</formula>
    </cfRule>
    <cfRule type="expression" dxfId="4590" priority="32">
      <formula>AND(B$9&gt;=14/24,B$9&lt;20/24)</formula>
    </cfRule>
    <cfRule type="expression" dxfId="4589" priority="33">
      <formula>AND(B$9&gt;=8/24,B$9&lt;14/24)</formula>
    </cfRule>
    <cfRule type="expression" dxfId="4588" priority="34">
      <formula>B$9&lt;8/24</formula>
    </cfRule>
  </conditionalFormatting>
  <conditionalFormatting sqref="B15:D15">
    <cfRule type="expression" dxfId="4587" priority="27">
      <formula>B$9&gt;=20/24</formula>
    </cfRule>
    <cfRule type="expression" dxfId="4586" priority="28">
      <formula>AND(B$9&gt;=14/24,B$9&lt;20/24)</formula>
    </cfRule>
    <cfRule type="expression" dxfId="4585" priority="29">
      <formula>AND(B$9&gt;=8/24,B$9&lt;14/24)</formula>
    </cfRule>
    <cfRule type="expression" dxfId="4584" priority="30">
      <formula>B$9&lt;8/24</formula>
    </cfRule>
  </conditionalFormatting>
  <conditionalFormatting sqref="B33:Z33">
    <cfRule type="expression" dxfId="4583" priority="23">
      <formula>B$9&gt;=20/24</formula>
    </cfRule>
    <cfRule type="expression" dxfId="4582" priority="24">
      <formula>AND(B$9&gt;=14/24,B$9&lt;20/24)</formula>
    </cfRule>
    <cfRule type="expression" dxfId="4581" priority="25">
      <formula>AND(B$9&gt;=8/24,B$9&lt;14/24)</formula>
    </cfRule>
    <cfRule type="expression" dxfId="4580" priority="26">
      <formula>B$9&lt;8/24</formula>
    </cfRule>
  </conditionalFormatting>
  <conditionalFormatting sqref="B33:Z33">
    <cfRule type="expression" dxfId="4579" priority="22">
      <formula>B33&gt;$AG33</formula>
    </cfRule>
  </conditionalFormatting>
  <conditionalFormatting sqref="B44:B45">
    <cfRule type="expression" dxfId="4578" priority="18">
      <formula>B$9&gt;=20/24</formula>
    </cfRule>
    <cfRule type="expression" dxfId="4577" priority="19">
      <formula>AND(B$9&gt;=14/24,B$9&lt;20/24)</formula>
    </cfRule>
    <cfRule type="expression" dxfId="4576" priority="20">
      <formula>AND(B$9&gt;=8/24,B$9&lt;14/24)</formula>
    </cfRule>
    <cfRule type="expression" dxfId="4575" priority="21">
      <formula>B$9&lt;8/24</formula>
    </cfRule>
  </conditionalFormatting>
  <conditionalFormatting sqref="B44:B45">
    <cfRule type="expression" dxfId="4574" priority="17">
      <formula>B44&gt;$AG44</formula>
    </cfRule>
  </conditionalFormatting>
  <conditionalFormatting sqref="B46:B50">
    <cfRule type="expression" dxfId="4573" priority="13">
      <formula>B$9&gt;=20/24</formula>
    </cfRule>
    <cfRule type="expression" dxfId="4572" priority="14">
      <formula>AND(B$9&gt;=14/24,B$9&lt;20/24)</formula>
    </cfRule>
    <cfRule type="expression" dxfId="4571" priority="15">
      <formula>AND(B$9&gt;=8/24,B$9&lt;14/24)</formula>
    </cfRule>
    <cfRule type="expression" dxfId="4570" priority="16">
      <formula>B$9&lt;8/24</formula>
    </cfRule>
  </conditionalFormatting>
  <conditionalFormatting sqref="B46:B50">
    <cfRule type="expression" dxfId="4569" priority="12">
      <formula>B46&gt;$AG46</formula>
    </cfRule>
  </conditionalFormatting>
  <conditionalFormatting sqref="B27:Z27">
    <cfRule type="expression" dxfId="4568" priority="8">
      <formula>B$9&gt;=20/24</formula>
    </cfRule>
    <cfRule type="expression" dxfId="4567" priority="9">
      <formula>AND(B$9&gt;=14/24,B$9&lt;20/24)</formula>
    </cfRule>
    <cfRule type="expression" dxfId="4566" priority="10">
      <formula>AND(B$9&gt;=8/24,B$9&lt;14/24)</formula>
    </cfRule>
    <cfRule type="expression" dxfId="4565" priority="11">
      <formula>B$9&lt;8/24</formula>
    </cfRule>
  </conditionalFormatting>
  <conditionalFormatting sqref="B23:Z23 B17:Z17">
    <cfRule type="expression" dxfId="4564" priority="4">
      <formula>B$9&gt;=20/24</formula>
    </cfRule>
    <cfRule type="expression" dxfId="4563" priority="5">
      <formula>AND(B$9&gt;=14/24,B$9&lt;20/24)</formula>
    </cfRule>
    <cfRule type="expression" dxfId="4562" priority="6">
      <formula>AND(B$9&gt;=8/24,B$9&lt;14/24)</formula>
    </cfRule>
    <cfRule type="expression" dxfId="4561" priority="7">
      <formula>B$9&lt;8/24</formula>
    </cfRule>
  </conditionalFormatting>
  <conditionalFormatting sqref="B23:Z23 B17:Z17">
    <cfRule type="expression" dxfId="4560" priority="3">
      <formula>B17&gt;$AG17</formula>
    </cfRule>
  </conditionalFormatting>
  <conditionalFormatting sqref="AA53:AA55">
    <cfRule type="expression" dxfId="4559" priority="1">
      <formula>AA$9="PEAK"</formula>
    </cfRule>
  </conditionalFormatting>
  <conditionalFormatting sqref="AA39:AA50 AB44:AF50">
    <cfRule type="expression" dxfId="4558" priority="2">
      <formula>AA$9="PEAK"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" id="{82FEF3BB-E838-48AB-9DB4-5009C207487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Y9" sqref="Y9:Y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2079/02/8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104.43</v>
      </c>
      <c r="C5" s="32">
        <f t="shared" si="0"/>
        <v>106.83</v>
      </c>
      <c r="D5" s="32">
        <f t="shared" si="0"/>
        <v>87.14</v>
      </c>
      <c r="E5" s="32">
        <f t="shared" si="0"/>
        <v>77.5</v>
      </c>
      <c r="F5" s="32">
        <f t="shared" si="0"/>
        <v>26.4</v>
      </c>
      <c r="G5" s="32">
        <f t="shared" si="0"/>
        <v>2.5</v>
      </c>
      <c r="H5" s="32">
        <f t="shared" si="0"/>
        <v>11.2</v>
      </c>
      <c r="I5" s="32">
        <f t="shared" si="0"/>
        <v>43.8</v>
      </c>
      <c r="J5" s="32">
        <f t="shared" si="0"/>
        <v>20.7</v>
      </c>
      <c r="K5" s="32">
        <f t="shared" si="0"/>
        <v>29.1</v>
      </c>
      <c r="L5" s="32">
        <f t="shared" si="0"/>
        <v>33</v>
      </c>
      <c r="M5" s="32">
        <f t="shared" si="0"/>
        <v>32.68</v>
      </c>
      <c r="N5" s="32">
        <f t="shared" si="0"/>
        <v>30.5</v>
      </c>
      <c r="O5" s="32">
        <f t="shared" si="0"/>
        <v>40</v>
      </c>
      <c r="P5" s="32">
        <f t="shared" si="0"/>
        <v>63.2</v>
      </c>
      <c r="Q5" s="32">
        <f t="shared" si="0"/>
        <v>62.3</v>
      </c>
      <c r="R5" s="32">
        <f t="shared" si="0"/>
        <v>76</v>
      </c>
      <c r="S5" s="32">
        <f t="shared" si="0"/>
        <v>74</v>
      </c>
      <c r="T5" s="32">
        <f t="shared" si="0"/>
        <v>71</v>
      </c>
      <c r="U5" s="32">
        <f t="shared" si="0"/>
        <v>80</v>
      </c>
      <c r="V5" s="32">
        <f t="shared" si="0"/>
        <v>54</v>
      </c>
      <c r="W5" s="32">
        <f t="shared" si="0"/>
        <v>57</v>
      </c>
      <c r="X5" s="32">
        <f t="shared" si="0"/>
        <v>94</v>
      </c>
      <c r="Y5" s="32">
        <f t="shared" si="0"/>
        <v>82</v>
      </c>
      <c r="Z5" s="32">
        <f t="shared" si="0"/>
        <v>87</v>
      </c>
      <c r="AA5" s="32">
        <f t="shared" si="0"/>
        <v>83</v>
      </c>
      <c r="AB5" s="32">
        <f t="shared" si="0"/>
        <v>76</v>
      </c>
      <c r="AC5" s="32">
        <f t="shared" si="0"/>
        <v>77.3</v>
      </c>
      <c r="AD5" s="32">
        <f t="shared" si="0"/>
        <v>96</v>
      </c>
      <c r="AE5" s="32">
        <f t="shared" si="0"/>
        <v>83</v>
      </c>
      <c r="AF5" s="32">
        <f>B68</f>
        <v>72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1107MW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Load=910</v>
      </c>
      <c r="B7" s="37">
        <f>B75</f>
        <v>1189.1399999999999</v>
      </c>
      <c r="C7" s="37">
        <f t="shared" ref="C7:AF7" si="1">C75</f>
        <v>1192.07</v>
      </c>
      <c r="D7" s="37">
        <f t="shared" si="1"/>
        <v>1085.57</v>
      </c>
      <c r="E7" s="37">
        <f t="shared" si="1"/>
        <v>1068.3800000000001</v>
      </c>
      <c r="F7" s="37">
        <f t="shared" si="1"/>
        <v>969.54000000000008</v>
      </c>
      <c r="G7" s="37">
        <f t="shared" si="1"/>
        <v>979.94</v>
      </c>
      <c r="H7" s="37">
        <f t="shared" si="1"/>
        <v>924.04000000000019</v>
      </c>
      <c r="I7" s="37">
        <f t="shared" si="1"/>
        <v>910.44</v>
      </c>
      <c r="J7" s="37">
        <f t="shared" si="1"/>
        <v>948.1400000000001</v>
      </c>
      <c r="K7" s="37">
        <f t="shared" si="1"/>
        <v>990.63999999999987</v>
      </c>
      <c r="L7" s="37">
        <f t="shared" si="1"/>
        <v>1004.14</v>
      </c>
      <c r="M7" s="37">
        <f t="shared" si="1"/>
        <v>1062.44</v>
      </c>
      <c r="N7" s="37">
        <f t="shared" si="1"/>
        <v>1106.6200000000001</v>
      </c>
      <c r="O7" s="37">
        <f t="shared" si="1"/>
        <v>1099.44</v>
      </c>
      <c r="P7" s="37">
        <f t="shared" si="1"/>
        <v>1172.94</v>
      </c>
      <c r="Q7" s="37">
        <f t="shared" si="1"/>
        <v>1230.6400000000001</v>
      </c>
      <c r="R7" s="37">
        <f t="shared" si="1"/>
        <v>1190.94</v>
      </c>
      <c r="S7" s="37">
        <f t="shared" si="1"/>
        <v>1294.6400000000001</v>
      </c>
      <c r="T7" s="37">
        <f t="shared" si="1"/>
        <v>1290.6400000000001</v>
      </c>
      <c r="U7" s="37">
        <f t="shared" si="1"/>
        <v>1241.6399999999999</v>
      </c>
      <c r="V7" s="37">
        <f t="shared" si="1"/>
        <v>1304.04</v>
      </c>
      <c r="W7" s="37">
        <f t="shared" si="1"/>
        <v>1225.04</v>
      </c>
      <c r="X7" s="37">
        <f t="shared" si="1"/>
        <v>1231.94</v>
      </c>
      <c r="Y7" s="37">
        <f t="shared" si="1"/>
        <v>1260.74</v>
      </c>
      <c r="Z7" s="37">
        <f t="shared" si="1"/>
        <v>1334.74</v>
      </c>
      <c r="AA7" s="37">
        <f t="shared" si="1"/>
        <v>1474.54</v>
      </c>
      <c r="AB7" s="37">
        <f t="shared" si="1"/>
        <v>1464.94</v>
      </c>
      <c r="AC7" s="37">
        <f t="shared" si="1"/>
        <v>1443.94</v>
      </c>
      <c r="AD7" s="37">
        <f t="shared" si="1"/>
        <v>1408.6399999999999</v>
      </c>
      <c r="AE7" s="37">
        <f t="shared" si="1"/>
        <v>1309.1400000000001</v>
      </c>
      <c r="AF7" s="37">
        <f t="shared" si="1"/>
        <v>1280.7400000000002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200</v>
      </c>
      <c r="C11" s="49">
        <v>200</v>
      </c>
      <c r="D11" s="50">
        <v>240</v>
      </c>
      <c r="E11" s="51">
        <v>150</v>
      </c>
      <c r="F11" s="51">
        <v>130</v>
      </c>
      <c r="G11" s="51">
        <v>160</v>
      </c>
      <c r="H11" s="51">
        <v>140</v>
      </c>
      <c r="I11" s="51">
        <v>90</v>
      </c>
      <c r="J11" s="52">
        <v>90</v>
      </c>
      <c r="K11" s="52">
        <v>100</v>
      </c>
      <c r="L11" s="52">
        <v>110</v>
      </c>
      <c r="M11" s="51">
        <v>140</v>
      </c>
      <c r="N11" s="51">
        <v>170</v>
      </c>
      <c r="O11" s="51">
        <v>160</v>
      </c>
      <c r="P11" s="51">
        <v>200</v>
      </c>
      <c r="Q11" s="51">
        <v>228</v>
      </c>
      <c r="R11" s="51">
        <v>190</v>
      </c>
      <c r="S11" s="49">
        <v>270</v>
      </c>
      <c r="T11" s="49">
        <v>240</v>
      </c>
      <c r="U11" s="49">
        <v>170</v>
      </c>
      <c r="V11" s="49">
        <v>190</v>
      </c>
      <c r="W11" s="49">
        <v>138</v>
      </c>
      <c r="X11" s="49">
        <v>140</v>
      </c>
      <c r="Y11" s="49">
        <v>150</v>
      </c>
      <c r="Z11" s="49">
        <v>244</v>
      </c>
      <c r="AA11" s="49">
        <v>340</v>
      </c>
      <c r="AB11" s="49">
        <v>315</v>
      </c>
      <c r="AC11" s="49">
        <v>301</v>
      </c>
      <c r="AD11" s="49">
        <v>285</v>
      </c>
      <c r="AE11" s="49">
        <v>200</v>
      </c>
      <c r="AF11" s="49">
        <v>200</v>
      </c>
      <c r="AG11" s="53">
        <v>456</v>
      </c>
      <c r="AH11" s="54">
        <f>MAX(B11:AF11)</f>
        <v>340</v>
      </c>
      <c r="AI11" s="55">
        <f>MIN(B11:AF11)</f>
        <v>90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25</v>
      </c>
      <c r="C12" s="51">
        <v>25</v>
      </c>
      <c r="D12" s="51">
        <v>25</v>
      </c>
      <c r="E12" s="51">
        <v>25</v>
      </c>
      <c r="F12" s="51">
        <v>25</v>
      </c>
      <c r="G12" s="51">
        <v>25</v>
      </c>
      <c r="H12" s="51">
        <v>32</v>
      </c>
      <c r="I12" s="51">
        <v>32</v>
      </c>
      <c r="J12" s="51">
        <v>32</v>
      </c>
      <c r="K12" s="51">
        <v>32</v>
      </c>
      <c r="L12" s="51">
        <v>32</v>
      </c>
      <c r="M12" s="51">
        <v>25</v>
      </c>
      <c r="N12" s="51">
        <v>25</v>
      </c>
      <c r="O12" s="51">
        <v>25</v>
      </c>
      <c r="P12" s="51">
        <v>25</v>
      </c>
      <c r="Q12" s="51">
        <v>25</v>
      </c>
      <c r="R12" s="51">
        <v>25</v>
      </c>
      <c r="S12" s="51">
        <v>32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48</v>
      </c>
      <c r="AB12" s="51">
        <v>48</v>
      </c>
      <c r="AC12" s="51">
        <v>48</v>
      </c>
      <c r="AD12" s="51">
        <v>48</v>
      </c>
      <c r="AE12" s="51">
        <v>48</v>
      </c>
      <c r="AF12" s="51">
        <v>48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25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17.8</v>
      </c>
      <c r="C13" s="51">
        <v>17.8</v>
      </c>
      <c r="D13" s="51">
        <v>17.8</v>
      </c>
      <c r="E13" s="51">
        <v>18.600000000000001</v>
      </c>
      <c r="F13" s="51">
        <v>18.600000000000001</v>
      </c>
      <c r="G13" s="51">
        <v>18.600000000000001</v>
      </c>
      <c r="H13" s="51">
        <v>18.600000000000001</v>
      </c>
      <c r="I13" s="51">
        <v>18.600000000000001</v>
      </c>
      <c r="J13" s="51">
        <v>18.600000000000001</v>
      </c>
      <c r="K13" s="51">
        <v>18.399999999999999</v>
      </c>
      <c r="L13" s="51">
        <v>18.399999999999999</v>
      </c>
      <c r="M13" s="51">
        <v>17.100000000000001</v>
      </c>
      <c r="N13" s="51">
        <v>18.8</v>
      </c>
      <c r="O13" s="51">
        <v>20.8</v>
      </c>
      <c r="P13" s="51">
        <v>20.8</v>
      </c>
      <c r="Q13" s="51">
        <v>20.8</v>
      </c>
      <c r="R13" s="51">
        <v>20.8</v>
      </c>
      <c r="S13" s="51">
        <v>20.8</v>
      </c>
      <c r="T13" s="51">
        <v>20.8</v>
      </c>
      <c r="U13" s="51">
        <v>20.8</v>
      </c>
      <c r="V13" s="51">
        <v>24</v>
      </c>
      <c r="W13" s="51">
        <v>26</v>
      </c>
      <c r="X13" s="51">
        <v>31</v>
      </c>
      <c r="Y13" s="51">
        <v>31</v>
      </c>
      <c r="Z13" s="51">
        <v>25</v>
      </c>
      <c r="AA13" s="51">
        <v>26</v>
      </c>
      <c r="AB13" s="51">
        <v>25.9</v>
      </c>
      <c r="AC13" s="51">
        <v>25.9</v>
      </c>
      <c r="AD13" s="51">
        <v>23.2</v>
      </c>
      <c r="AE13" s="51">
        <v>24</v>
      </c>
      <c r="AF13" s="51">
        <v>24</v>
      </c>
      <c r="AG13" s="58">
        <v>52.4</v>
      </c>
      <c r="AH13" s="54">
        <f t="shared" si="2"/>
        <v>31</v>
      </c>
      <c r="AI13" s="55">
        <f t="shared" si="3"/>
        <v>17.100000000000001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50.4</v>
      </c>
      <c r="C14" s="51">
        <v>50.4</v>
      </c>
      <c r="D14" s="51">
        <v>50.4</v>
      </c>
      <c r="E14" s="51">
        <v>50.2</v>
      </c>
      <c r="F14" s="51">
        <v>50.2</v>
      </c>
      <c r="G14" s="51">
        <v>50.2</v>
      </c>
      <c r="H14" s="51">
        <v>50.2</v>
      </c>
      <c r="I14" s="51">
        <v>50.2</v>
      </c>
      <c r="J14" s="51">
        <v>50.2</v>
      </c>
      <c r="K14" s="51">
        <v>50.3</v>
      </c>
      <c r="L14" s="51">
        <v>50.3</v>
      </c>
      <c r="M14" s="51">
        <v>50.2</v>
      </c>
      <c r="N14" s="51">
        <v>49.7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50.3</v>
      </c>
      <c r="AC14" s="51">
        <v>50.3</v>
      </c>
      <c r="AD14" s="51">
        <v>50.5</v>
      </c>
      <c r="AE14" s="51">
        <v>50.5</v>
      </c>
      <c r="AF14" s="51">
        <v>50.5</v>
      </c>
      <c r="AG14" s="58">
        <v>50</v>
      </c>
      <c r="AH14" s="54">
        <f t="shared" si="2"/>
        <v>50.5</v>
      </c>
      <c r="AI14" s="55">
        <f t="shared" si="3"/>
        <v>49.7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23.9</v>
      </c>
      <c r="C15" s="51">
        <v>23.9</v>
      </c>
      <c r="D15" s="51">
        <v>23.9</v>
      </c>
      <c r="E15" s="51">
        <v>24</v>
      </c>
      <c r="F15" s="51">
        <v>24</v>
      </c>
      <c r="G15" s="51">
        <v>24</v>
      </c>
      <c r="H15" s="51">
        <v>24</v>
      </c>
      <c r="I15" s="51">
        <v>24</v>
      </c>
      <c r="J15" s="51">
        <v>24</v>
      </c>
      <c r="K15" s="51">
        <v>24.1</v>
      </c>
      <c r="L15" s="51">
        <v>24.1</v>
      </c>
      <c r="M15" s="51">
        <v>24.2</v>
      </c>
      <c r="N15" s="51">
        <v>24.2</v>
      </c>
      <c r="O15" s="51">
        <v>24.3</v>
      </c>
      <c r="P15" s="51">
        <v>24.3</v>
      </c>
      <c r="Q15" s="51">
        <v>24.3</v>
      </c>
      <c r="R15" s="51">
        <v>24.3</v>
      </c>
      <c r="S15" s="51">
        <v>24.3</v>
      </c>
      <c r="T15" s="51">
        <v>24.3</v>
      </c>
      <c r="U15" s="51">
        <v>24.3</v>
      </c>
      <c r="V15" s="51">
        <v>24.3</v>
      </c>
      <c r="W15" s="51">
        <v>24.3</v>
      </c>
      <c r="X15" s="51">
        <v>24.3</v>
      </c>
      <c r="Y15" s="51">
        <v>24.3</v>
      </c>
      <c r="Z15" s="51">
        <v>24.3</v>
      </c>
      <c r="AA15" s="51">
        <v>24</v>
      </c>
      <c r="AB15" s="51">
        <v>23.8</v>
      </c>
      <c r="AC15" s="51">
        <v>23.8</v>
      </c>
      <c r="AD15" s="51">
        <v>24.3</v>
      </c>
      <c r="AE15" s="51">
        <v>24.3</v>
      </c>
      <c r="AF15" s="51">
        <v>24.3</v>
      </c>
      <c r="AG15" s="59">
        <v>45</v>
      </c>
      <c r="AH15" s="54">
        <f t="shared" si="2"/>
        <v>24.3</v>
      </c>
      <c r="AI15" s="55">
        <f t="shared" si="3"/>
        <v>23.8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21</v>
      </c>
      <c r="C16" s="51">
        <v>21</v>
      </c>
      <c r="D16" s="51">
        <v>21</v>
      </c>
      <c r="E16" s="51">
        <v>21</v>
      </c>
      <c r="F16" s="51">
        <v>21</v>
      </c>
      <c r="G16" s="51">
        <v>21</v>
      </c>
      <c r="H16" s="51">
        <v>21</v>
      </c>
      <c r="I16" s="51">
        <v>21</v>
      </c>
      <c r="J16" s="51">
        <v>21</v>
      </c>
      <c r="K16" s="51">
        <v>21</v>
      </c>
      <c r="L16" s="51">
        <v>21</v>
      </c>
      <c r="M16" s="51">
        <v>21</v>
      </c>
      <c r="N16" s="51">
        <v>21</v>
      </c>
      <c r="O16" s="51">
        <v>21</v>
      </c>
      <c r="P16" s="51">
        <v>21</v>
      </c>
      <c r="Q16" s="51">
        <v>21</v>
      </c>
      <c r="R16" s="51">
        <v>21</v>
      </c>
      <c r="S16" s="51">
        <v>21</v>
      </c>
      <c r="T16" s="51">
        <v>21</v>
      </c>
      <c r="U16" s="51">
        <v>21</v>
      </c>
      <c r="V16" s="51">
        <v>21</v>
      </c>
      <c r="W16" s="51">
        <v>21</v>
      </c>
      <c r="X16" s="51">
        <v>21</v>
      </c>
      <c r="Y16" s="51">
        <v>21</v>
      </c>
      <c r="Z16" s="51">
        <v>21</v>
      </c>
      <c r="AA16" s="51">
        <v>21</v>
      </c>
      <c r="AB16" s="51">
        <v>28</v>
      </c>
      <c r="AC16" s="51">
        <v>28</v>
      </c>
      <c r="AD16" s="51">
        <v>28</v>
      </c>
      <c r="AE16" s="51">
        <v>28</v>
      </c>
      <c r="AF16" s="51">
        <v>28</v>
      </c>
      <c r="AG16" s="58">
        <v>45</v>
      </c>
      <c r="AH16" s="54">
        <f t="shared" si="2"/>
        <v>28</v>
      </c>
      <c r="AI16" s="55">
        <f t="shared" si="3"/>
        <v>21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>
        <v>13</v>
      </c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18.8</v>
      </c>
      <c r="C19" s="51">
        <v>18.8</v>
      </c>
      <c r="D19" s="51">
        <v>18.8</v>
      </c>
      <c r="E19" s="51">
        <v>18.8</v>
      </c>
      <c r="F19" s="51">
        <v>18.8</v>
      </c>
      <c r="G19" s="51">
        <v>18.8</v>
      </c>
      <c r="H19" s="51">
        <v>18.8</v>
      </c>
      <c r="I19" s="51">
        <v>18.8</v>
      </c>
      <c r="J19" s="51">
        <v>18.8</v>
      </c>
      <c r="K19" s="51">
        <v>18.8</v>
      </c>
      <c r="L19" s="51">
        <v>18.8</v>
      </c>
      <c r="M19" s="51">
        <v>18.8</v>
      </c>
      <c r="N19" s="51">
        <v>18.8</v>
      </c>
      <c r="O19" s="51">
        <v>18.8</v>
      </c>
      <c r="P19" s="51">
        <v>18.8</v>
      </c>
      <c r="Q19" s="51">
        <v>18.8</v>
      </c>
      <c r="R19" s="51">
        <v>18.8</v>
      </c>
      <c r="S19" s="51">
        <v>18.8</v>
      </c>
      <c r="T19" s="51">
        <v>18.8</v>
      </c>
      <c r="U19" s="51">
        <v>18.8</v>
      </c>
      <c r="V19" s="51">
        <v>18.8</v>
      </c>
      <c r="W19" s="51">
        <v>18.8</v>
      </c>
      <c r="X19" s="51">
        <v>18.8</v>
      </c>
      <c r="Y19" s="51">
        <v>18.8</v>
      </c>
      <c r="Z19" s="51">
        <v>18.8</v>
      </c>
      <c r="AA19" s="51">
        <v>20</v>
      </c>
      <c r="AB19" s="51">
        <v>20</v>
      </c>
      <c r="AC19" s="51">
        <v>20</v>
      </c>
      <c r="AD19" s="51">
        <v>20</v>
      </c>
      <c r="AE19" s="51">
        <v>20</v>
      </c>
      <c r="AF19" s="51">
        <v>20</v>
      </c>
      <c r="AG19" s="58">
        <v>30</v>
      </c>
      <c r="AH19" s="54">
        <f t="shared" si="2"/>
        <v>20</v>
      </c>
      <c r="AI19" s="55">
        <f t="shared" si="3"/>
        <v>18.8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7.1</v>
      </c>
      <c r="C20" s="51">
        <v>7.1</v>
      </c>
      <c r="D20" s="51">
        <v>7.1</v>
      </c>
      <c r="E20" s="51">
        <v>7.1</v>
      </c>
      <c r="F20" s="51">
        <v>7.1</v>
      </c>
      <c r="G20" s="51">
        <v>7.1</v>
      </c>
      <c r="H20" s="51">
        <v>7.1</v>
      </c>
      <c r="I20" s="51">
        <v>7.1</v>
      </c>
      <c r="J20" s="51">
        <v>7.1</v>
      </c>
      <c r="K20" s="51">
        <v>7.1</v>
      </c>
      <c r="L20" s="51">
        <v>7.1</v>
      </c>
      <c r="M20" s="51">
        <v>7.1</v>
      </c>
      <c r="N20" s="51">
        <v>7.1</v>
      </c>
      <c r="O20" s="51">
        <v>7.1</v>
      </c>
      <c r="P20" s="51">
        <v>7.1</v>
      </c>
      <c r="Q20" s="51">
        <v>7.1</v>
      </c>
      <c r="R20" s="51">
        <v>7.1</v>
      </c>
      <c r="S20" s="51">
        <v>7.1</v>
      </c>
      <c r="T20" s="51">
        <v>7.1</v>
      </c>
      <c r="U20" s="51">
        <v>7.1</v>
      </c>
      <c r="V20" s="51">
        <v>7.1</v>
      </c>
      <c r="W20" s="51">
        <v>7.1</v>
      </c>
      <c r="X20" s="51">
        <v>7.1</v>
      </c>
      <c r="Y20" s="51">
        <v>7.1</v>
      </c>
      <c r="Z20" s="51">
        <v>7.1</v>
      </c>
      <c r="AA20" s="51">
        <v>7.1</v>
      </c>
      <c r="AB20" s="51">
        <v>7.1</v>
      </c>
      <c r="AC20" s="51">
        <v>7.1</v>
      </c>
      <c r="AD20" s="51">
        <v>7.1</v>
      </c>
      <c r="AE20" s="51">
        <v>7.1</v>
      </c>
      <c r="AF20" s="51">
        <v>7.1</v>
      </c>
      <c r="AG20" s="58">
        <v>27</v>
      </c>
      <c r="AH20" s="54">
        <f t="shared" si="2"/>
        <v>7.1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20</v>
      </c>
      <c r="C22" s="51">
        <v>20</v>
      </c>
      <c r="D22" s="51">
        <v>20</v>
      </c>
      <c r="E22" s="51">
        <v>20</v>
      </c>
      <c r="F22" s="51">
        <v>20</v>
      </c>
      <c r="G22" s="51">
        <v>20</v>
      </c>
      <c r="H22" s="51">
        <v>20</v>
      </c>
      <c r="I22" s="51">
        <v>20</v>
      </c>
      <c r="J22" s="51">
        <v>20</v>
      </c>
      <c r="K22" s="51">
        <v>20</v>
      </c>
      <c r="L22" s="51">
        <v>20</v>
      </c>
      <c r="M22" s="51">
        <v>20</v>
      </c>
      <c r="N22" s="51">
        <v>20</v>
      </c>
      <c r="O22" s="51">
        <v>20</v>
      </c>
      <c r="P22" s="51">
        <v>20</v>
      </c>
      <c r="Q22" s="51">
        <v>20</v>
      </c>
      <c r="R22" s="51">
        <v>20</v>
      </c>
      <c r="S22" s="51">
        <v>20</v>
      </c>
      <c r="T22" s="51">
        <v>20</v>
      </c>
      <c r="U22" s="51">
        <v>20</v>
      </c>
      <c r="V22" s="51">
        <v>20</v>
      </c>
      <c r="W22" s="51">
        <v>20</v>
      </c>
      <c r="X22" s="51">
        <v>20</v>
      </c>
      <c r="Y22" s="51">
        <v>20</v>
      </c>
      <c r="Z22" s="51">
        <v>20</v>
      </c>
      <c r="AA22" s="51">
        <v>20</v>
      </c>
      <c r="AB22" s="51">
        <v>20</v>
      </c>
      <c r="AC22" s="51">
        <v>20</v>
      </c>
      <c r="AD22" s="51">
        <v>20</v>
      </c>
      <c r="AE22" s="51">
        <v>20</v>
      </c>
      <c r="AF22" s="51">
        <v>20</v>
      </c>
      <c r="AG22" s="58">
        <v>25</v>
      </c>
      <c r="AH22" s="54">
        <f t="shared" si="2"/>
        <v>20</v>
      </c>
      <c r="AI22" s="55">
        <f t="shared" si="3"/>
        <v>20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20</v>
      </c>
      <c r="C24" s="51">
        <v>20</v>
      </c>
      <c r="D24" s="51">
        <v>20</v>
      </c>
      <c r="E24" s="51">
        <v>20</v>
      </c>
      <c r="F24" s="51">
        <v>20</v>
      </c>
      <c r="G24" s="51">
        <v>20</v>
      </c>
      <c r="H24" s="51">
        <v>20</v>
      </c>
      <c r="I24" s="51">
        <v>20</v>
      </c>
      <c r="J24" s="51">
        <v>20</v>
      </c>
      <c r="K24" s="51">
        <v>20</v>
      </c>
      <c r="L24" s="51">
        <v>20</v>
      </c>
      <c r="M24" s="51">
        <v>20</v>
      </c>
      <c r="N24" s="51">
        <v>20</v>
      </c>
      <c r="O24" s="51">
        <v>20</v>
      </c>
      <c r="P24" s="51">
        <v>20</v>
      </c>
      <c r="Q24" s="51">
        <v>20</v>
      </c>
      <c r="R24" s="51">
        <v>20</v>
      </c>
      <c r="S24" s="51">
        <v>20</v>
      </c>
      <c r="T24" s="51">
        <v>20</v>
      </c>
      <c r="U24" s="51">
        <v>20</v>
      </c>
      <c r="V24" s="51">
        <v>20</v>
      </c>
      <c r="W24" s="51">
        <v>20</v>
      </c>
      <c r="X24" s="51">
        <v>20</v>
      </c>
      <c r="Y24" s="51">
        <v>20</v>
      </c>
      <c r="Z24" s="51">
        <v>20</v>
      </c>
      <c r="AA24" s="51">
        <v>22</v>
      </c>
      <c r="AB24" s="51">
        <v>23</v>
      </c>
      <c r="AC24" s="51">
        <v>23</v>
      </c>
      <c r="AD24" s="51">
        <v>23</v>
      </c>
      <c r="AE24" s="51">
        <v>23</v>
      </c>
      <c r="AF24" s="51">
        <v>23</v>
      </c>
      <c r="AG24" s="58">
        <v>25</v>
      </c>
      <c r="AH24" s="54">
        <f t="shared" si="2"/>
        <v>23</v>
      </c>
      <c r="AI24" s="55">
        <f t="shared" si="3"/>
        <v>20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4</v>
      </c>
      <c r="M26" s="51">
        <v>4</v>
      </c>
      <c r="N26" s="51">
        <v>4</v>
      </c>
      <c r="O26" s="51">
        <v>4</v>
      </c>
      <c r="P26" s="51">
        <v>4</v>
      </c>
      <c r="Q26" s="51">
        <v>4</v>
      </c>
      <c r="R26" s="51">
        <v>4</v>
      </c>
      <c r="S26" s="51">
        <v>4</v>
      </c>
      <c r="T26" s="51">
        <v>4</v>
      </c>
      <c r="U26" s="51">
        <v>4</v>
      </c>
      <c r="V26" s="51">
        <v>4</v>
      </c>
      <c r="W26" s="51">
        <v>4</v>
      </c>
      <c r="X26" s="51">
        <v>4</v>
      </c>
      <c r="Y26" s="51">
        <v>4</v>
      </c>
      <c r="Z26" s="51">
        <v>4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 t="s">
        <v>231</v>
      </c>
      <c r="C27" s="51" t="s">
        <v>231</v>
      </c>
      <c r="D27" s="51" t="s">
        <v>231</v>
      </c>
      <c r="E27" s="51" t="s">
        <v>231</v>
      </c>
      <c r="F27" s="51" t="s">
        <v>231</v>
      </c>
      <c r="G27" s="51" t="s">
        <v>231</v>
      </c>
      <c r="H27" s="51" t="s">
        <v>231</v>
      </c>
      <c r="I27" s="51" t="s">
        <v>231</v>
      </c>
      <c r="J27" s="51" t="s">
        <v>231</v>
      </c>
      <c r="K27" s="51" t="s">
        <v>231</v>
      </c>
      <c r="L27" s="51" t="s">
        <v>231</v>
      </c>
      <c r="M27" s="51">
        <v>7.8</v>
      </c>
      <c r="N27" s="51">
        <v>7.8</v>
      </c>
      <c r="O27" s="51">
        <v>7.8</v>
      </c>
      <c r="P27" s="51">
        <v>7.8</v>
      </c>
      <c r="Q27" s="51">
        <v>7.8</v>
      </c>
      <c r="R27" s="51">
        <v>7.8</v>
      </c>
      <c r="S27" s="51">
        <v>7.8</v>
      </c>
      <c r="T27" s="51">
        <v>7.8</v>
      </c>
      <c r="U27" s="51">
        <v>7.8</v>
      </c>
      <c r="V27" s="51">
        <v>7.8</v>
      </c>
      <c r="W27" s="51">
        <v>7.8</v>
      </c>
      <c r="X27" s="51">
        <v>7.8</v>
      </c>
      <c r="Y27" s="51">
        <v>7.8</v>
      </c>
      <c r="Z27" s="51">
        <v>7.8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7.8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11</v>
      </c>
      <c r="C30" s="51">
        <v>11</v>
      </c>
      <c r="D30" s="51">
        <v>11</v>
      </c>
      <c r="E30" s="51">
        <v>11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>
        <v>11</v>
      </c>
      <c r="AB30" s="51">
        <v>11</v>
      </c>
      <c r="AC30" s="51">
        <v>11</v>
      </c>
      <c r="AD30" s="51">
        <v>11</v>
      </c>
      <c r="AE30" s="51">
        <v>11</v>
      </c>
      <c r="AF30" s="51">
        <v>11</v>
      </c>
      <c r="AG30" s="58">
        <v>22.1</v>
      </c>
      <c r="AH30" s="54">
        <f t="shared" si="2"/>
        <v>11</v>
      </c>
      <c r="AI30" s="55">
        <f t="shared" si="3"/>
        <v>11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>
        <v>6.6</v>
      </c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6.6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4</v>
      </c>
      <c r="C34" s="51">
        <v>4</v>
      </c>
      <c r="D34" s="51">
        <v>4</v>
      </c>
      <c r="E34" s="51">
        <v>4</v>
      </c>
      <c r="F34" s="51">
        <v>4</v>
      </c>
      <c r="G34" s="51">
        <v>4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4</v>
      </c>
      <c r="N34" s="51">
        <v>4</v>
      </c>
      <c r="O34" s="51">
        <v>4</v>
      </c>
      <c r="P34" s="51">
        <v>4</v>
      </c>
      <c r="Q34" s="51">
        <v>4</v>
      </c>
      <c r="R34" s="51">
        <v>4</v>
      </c>
      <c r="S34" s="51">
        <v>4</v>
      </c>
      <c r="T34" s="51">
        <v>4</v>
      </c>
      <c r="U34" s="51">
        <v>4</v>
      </c>
      <c r="V34" s="51">
        <v>4</v>
      </c>
      <c r="W34" s="51">
        <v>4</v>
      </c>
      <c r="X34" s="51">
        <v>4</v>
      </c>
      <c r="Y34" s="51">
        <v>4</v>
      </c>
      <c r="Z34" s="51">
        <v>4</v>
      </c>
      <c r="AA34" s="51">
        <v>4</v>
      </c>
      <c r="AB34" s="51">
        <v>4</v>
      </c>
      <c r="AC34" s="51">
        <v>4</v>
      </c>
      <c r="AD34" s="51">
        <v>4</v>
      </c>
      <c r="AE34" s="51">
        <v>4</v>
      </c>
      <c r="AF34" s="51">
        <v>4</v>
      </c>
      <c r="AG34" s="63">
        <v>20</v>
      </c>
      <c r="AH34" s="54">
        <f t="shared" si="2"/>
        <v>4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/>
      <c r="C37" s="65"/>
      <c r="D37" s="65"/>
      <c r="E37" s="65"/>
      <c r="F37" s="65"/>
      <c r="G37" s="65"/>
      <c r="H37" s="65"/>
      <c r="I37" s="65"/>
      <c r="J37" s="65">
        <f>58+48.89</f>
        <v>106.89</v>
      </c>
      <c r="K37" s="65">
        <f>58+48.89</f>
        <v>106.89</v>
      </c>
      <c r="L37" s="65">
        <f>58+48.89</f>
        <v>106.89</v>
      </c>
      <c r="M37" s="65"/>
      <c r="N37" s="65"/>
      <c r="O37" s="65"/>
      <c r="P37" s="65"/>
      <c r="Q37" s="65"/>
      <c r="R37" s="65"/>
      <c r="S37" s="67"/>
      <c r="T37" s="67"/>
      <c r="U37" s="67"/>
      <c r="V37" s="67"/>
      <c r="W37" s="67">
        <v>92</v>
      </c>
      <c r="X37" s="67"/>
      <c r="Y37" s="67">
        <v>102</v>
      </c>
      <c r="Z37" s="67"/>
      <c r="AA37" s="67"/>
      <c r="AB37" s="67">
        <v>102</v>
      </c>
      <c r="AC37" s="67">
        <v>102</v>
      </c>
      <c r="AD37" s="67">
        <v>102.2</v>
      </c>
      <c r="AE37" s="67">
        <v>102.2</v>
      </c>
      <c r="AF37" s="67"/>
      <c r="AG37" s="63">
        <v>240</v>
      </c>
      <c r="AH37" s="54">
        <f t="shared" si="2"/>
        <v>106.89</v>
      </c>
      <c r="AI37" s="55">
        <f t="shared" si="3"/>
        <v>92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715.1</v>
      </c>
      <c r="C38" s="69">
        <f t="shared" si="4"/>
        <v>715.1</v>
      </c>
      <c r="D38" s="69">
        <f t="shared" si="4"/>
        <v>755.1</v>
      </c>
      <c r="E38" s="69">
        <f t="shared" si="4"/>
        <v>665.80000000000007</v>
      </c>
      <c r="F38" s="69">
        <f t="shared" si="4"/>
        <v>635.80000000000007</v>
      </c>
      <c r="G38" s="69">
        <f t="shared" si="4"/>
        <v>665.80000000000007</v>
      </c>
      <c r="H38" s="69">
        <f t="shared" si="4"/>
        <v>652.80000000000007</v>
      </c>
      <c r="I38" s="69">
        <f t="shared" si="4"/>
        <v>602.80000000000007</v>
      </c>
      <c r="J38" s="69">
        <f t="shared" si="4"/>
        <v>602.80000000000007</v>
      </c>
      <c r="K38" s="69">
        <f t="shared" si="4"/>
        <v>612.79999999999995</v>
      </c>
      <c r="L38" s="69">
        <f t="shared" si="4"/>
        <v>626.79999999999995</v>
      </c>
      <c r="M38" s="69">
        <f t="shared" si="4"/>
        <v>656.30000000000007</v>
      </c>
      <c r="N38" s="69">
        <f t="shared" si="4"/>
        <v>687.5</v>
      </c>
      <c r="O38" s="69">
        <f t="shared" si="4"/>
        <v>680.30000000000007</v>
      </c>
      <c r="P38" s="69">
        <f t="shared" si="4"/>
        <v>720.30000000000007</v>
      </c>
      <c r="Q38" s="69">
        <f t="shared" si="4"/>
        <v>748.30000000000007</v>
      </c>
      <c r="R38" s="69">
        <f t="shared" si="4"/>
        <v>710.30000000000007</v>
      </c>
      <c r="S38" s="69">
        <f t="shared" si="4"/>
        <v>797.30000000000007</v>
      </c>
      <c r="T38" s="69">
        <f t="shared" si="4"/>
        <v>795.30000000000007</v>
      </c>
      <c r="U38" s="69">
        <f t="shared" si="4"/>
        <v>725.30000000000007</v>
      </c>
      <c r="V38" s="69">
        <f t="shared" si="4"/>
        <v>748.50000000000011</v>
      </c>
      <c r="W38" s="69">
        <f t="shared" si="4"/>
        <v>698.5</v>
      </c>
      <c r="X38" s="69">
        <f t="shared" si="4"/>
        <v>705.5</v>
      </c>
      <c r="Y38" s="69">
        <f t="shared" si="4"/>
        <v>715.5</v>
      </c>
      <c r="Z38" s="69">
        <f t="shared" si="4"/>
        <v>803.5</v>
      </c>
      <c r="AA38" s="69">
        <f t="shared" si="4"/>
        <v>897.6</v>
      </c>
      <c r="AB38" s="69">
        <f t="shared" si="4"/>
        <v>880.2</v>
      </c>
      <c r="AC38" s="69">
        <f t="shared" si="4"/>
        <v>866.2</v>
      </c>
      <c r="AD38" s="69">
        <f t="shared" si="4"/>
        <v>848.2</v>
      </c>
      <c r="AE38" s="69">
        <f t="shared" si="4"/>
        <v>764.00000000000011</v>
      </c>
      <c r="AF38" s="69">
        <f t="shared" si="4"/>
        <v>764.00000000000011</v>
      </c>
      <c r="AG38" s="63">
        <f>SUM(AG11:AG37)</f>
        <v>1492.8299999999997</v>
      </c>
      <c r="AH38" s="54">
        <f t="shared" si="2"/>
        <v>897.6</v>
      </c>
      <c r="AI38" s="55">
        <f t="shared" si="3"/>
        <v>602.80000000000007</v>
      </c>
      <c r="AK38" s="56"/>
    </row>
    <row r="39" spans="1:88" x14ac:dyDescent="0.25">
      <c r="A39" s="57" t="s">
        <v>47</v>
      </c>
      <c r="B39" s="51">
        <v>145.19999999999999</v>
      </c>
      <c r="C39" s="51">
        <v>145.19999999999999</v>
      </c>
      <c r="D39" s="51">
        <v>0</v>
      </c>
      <c r="E39" s="51">
        <v>90.1</v>
      </c>
      <c r="F39" s="51">
        <v>70</v>
      </c>
      <c r="G39" s="51">
        <v>100</v>
      </c>
      <c r="H39" s="51">
        <v>111.4</v>
      </c>
      <c r="I39" s="51">
        <v>130</v>
      </c>
      <c r="J39" s="51">
        <v>131.1</v>
      </c>
      <c r="K39" s="51">
        <v>145.69999999999999</v>
      </c>
      <c r="L39" s="51">
        <v>145</v>
      </c>
      <c r="M39" s="51">
        <v>130.30000000000001</v>
      </c>
      <c r="N39" s="51">
        <v>141.9</v>
      </c>
      <c r="O39" s="51">
        <v>141.4</v>
      </c>
      <c r="P39" s="51">
        <v>141.4</v>
      </c>
      <c r="Q39" s="51">
        <v>145.4</v>
      </c>
      <c r="R39" s="51">
        <v>145.30000000000001</v>
      </c>
      <c r="S39" s="51">
        <v>145.30000000000001</v>
      </c>
      <c r="T39" s="51">
        <v>145.30000000000001</v>
      </c>
      <c r="U39" s="51">
        <v>145.30000000000001</v>
      </c>
      <c r="V39" s="51">
        <v>145.30000000000001</v>
      </c>
      <c r="W39" s="51">
        <v>145.30000000000001</v>
      </c>
      <c r="X39" s="51">
        <v>145.30000000000001</v>
      </c>
      <c r="Y39" s="51">
        <v>145.30000000000001</v>
      </c>
      <c r="Z39" s="51">
        <v>145.30000000000001</v>
      </c>
      <c r="AA39" s="51">
        <v>145.30000000000001</v>
      </c>
      <c r="AB39" s="51">
        <v>145.4</v>
      </c>
      <c r="AC39" s="51">
        <v>145.4</v>
      </c>
      <c r="AD39" s="51">
        <v>145.4</v>
      </c>
      <c r="AE39" s="51">
        <v>145.4</v>
      </c>
      <c r="AF39" s="51">
        <v>145.4</v>
      </c>
      <c r="AG39" s="59">
        <v>144</v>
      </c>
      <c r="AH39" s="54">
        <f t="shared" si="2"/>
        <v>145.69999999999999</v>
      </c>
      <c r="AI39" s="55">
        <f t="shared" si="3"/>
        <v>0</v>
      </c>
      <c r="AK39" s="56"/>
    </row>
    <row r="40" spans="1:88" x14ac:dyDescent="0.25">
      <c r="A40" s="62" t="s">
        <v>48</v>
      </c>
      <c r="B40" s="70">
        <v>65.8</v>
      </c>
      <c r="C40" s="70">
        <v>70.5</v>
      </c>
      <c r="D40" s="70">
        <v>70.5</v>
      </c>
      <c r="E40" s="70">
        <v>69.8</v>
      </c>
      <c r="F40" s="70">
        <v>47.5</v>
      </c>
      <c r="G40" s="70">
        <v>48</v>
      </c>
      <c r="H40" s="70">
        <v>35.200000000000003</v>
      </c>
      <c r="I40" s="70">
        <v>45.3</v>
      </c>
      <c r="J40" s="70">
        <v>50.4</v>
      </c>
      <c r="K40" s="70">
        <v>71</v>
      </c>
      <c r="L40" s="70">
        <v>60</v>
      </c>
      <c r="M40" s="51">
        <v>68.900000000000006</v>
      </c>
      <c r="N40" s="51">
        <v>68.900000000000006</v>
      </c>
      <c r="O40" s="51">
        <v>69.7</v>
      </c>
      <c r="P40" s="51">
        <v>69.7</v>
      </c>
      <c r="Q40" s="51">
        <v>71.2</v>
      </c>
      <c r="R40" s="51">
        <v>71.400000000000006</v>
      </c>
      <c r="S40" s="51">
        <v>71.400000000000006</v>
      </c>
      <c r="T40" s="51">
        <v>71.400000000000006</v>
      </c>
      <c r="U40" s="51">
        <v>71.400000000000006</v>
      </c>
      <c r="V40" s="51">
        <v>71.400000000000006</v>
      </c>
      <c r="W40" s="51">
        <v>71.400000000000006</v>
      </c>
      <c r="X40" s="51">
        <v>70</v>
      </c>
      <c r="Y40" s="51">
        <v>70</v>
      </c>
      <c r="Z40" s="51">
        <v>70</v>
      </c>
      <c r="AA40" s="51">
        <v>70</v>
      </c>
      <c r="AB40" s="70">
        <v>69.8</v>
      </c>
      <c r="AC40" s="70">
        <v>69.8</v>
      </c>
      <c r="AD40" s="70">
        <v>70.8</v>
      </c>
      <c r="AE40" s="70">
        <v>70.8</v>
      </c>
      <c r="AF40" s="70">
        <v>70.8</v>
      </c>
      <c r="AG40" s="63">
        <v>70</v>
      </c>
      <c r="AH40" s="54">
        <f t="shared" si="2"/>
        <v>71.400000000000006</v>
      </c>
      <c r="AI40" s="55">
        <f t="shared" si="3"/>
        <v>35.200000000000003</v>
      </c>
      <c r="AK40" s="56"/>
    </row>
    <row r="41" spans="1:88" x14ac:dyDescent="0.25">
      <c r="A41" s="62" t="s">
        <v>49</v>
      </c>
      <c r="B41" s="70">
        <v>62.7</v>
      </c>
      <c r="C41" s="70">
        <v>68.7</v>
      </c>
      <c r="D41" s="70">
        <v>65</v>
      </c>
      <c r="E41" s="70">
        <v>67.400000000000006</v>
      </c>
      <c r="F41" s="70">
        <v>50.6</v>
      </c>
      <c r="G41" s="70">
        <v>51.6</v>
      </c>
      <c r="H41" s="70">
        <v>34</v>
      </c>
      <c r="I41" s="70">
        <v>33</v>
      </c>
      <c r="J41" s="70">
        <v>31.9</v>
      </c>
      <c r="K41" s="70">
        <v>52.3</v>
      </c>
      <c r="L41" s="70">
        <v>51.1</v>
      </c>
      <c r="M41" s="51">
        <v>63.2</v>
      </c>
      <c r="N41" s="51">
        <v>67.900000000000006</v>
      </c>
      <c r="O41" s="51">
        <v>66.8</v>
      </c>
      <c r="P41" s="51">
        <v>66.8</v>
      </c>
      <c r="Q41" s="51">
        <v>67.8</v>
      </c>
      <c r="R41" s="51">
        <v>67.8</v>
      </c>
      <c r="S41" s="51">
        <v>67.8</v>
      </c>
      <c r="T41" s="51">
        <v>67.8</v>
      </c>
      <c r="U41" s="51">
        <v>70.3</v>
      </c>
      <c r="V41" s="51">
        <v>70.3</v>
      </c>
      <c r="W41" s="51">
        <v>70.3</v>
      </c>
      <c r="X41" s="51">
        <v>67.8</v>
      </c>
      <c r="Y41" s="51">
        <v>67.8</v>
      </c>
      <c r="Z41" s="51">
        <v>67.8</v>
      </c>
      <c r="AA41" s="51">
        <v>67.8</v>
      </c>
      <c r="AB41" s="70">
        <v>67.7</v>
      </c>
      <c r="AC41" s="70">
        <v>67.7</v>
      </c>
      <c r="AD41" s="70">
        <v>68.099999999999994</v>
      </c>
      <c r="AE41" s="70">
        <v>69</v>
      </c>
      <c r="AF41" s="70">
        <v>69</v>
      </c>
      <c r="AG41" s="63">
        <v>69</v>
      </c>
      <c r="AH41" s="54">
        <f t="shared" si="2"/>
        <v>70.3</v>
      </c>
      <c r="AI41" s="55">
        <f t="shared" si="3"/>
        <v>31.9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51">
        <v>60.9</v>
      </c>
      <c r="N42" s="51">
        <v>60.9</v>
      </c>
      <c r="O42" s="51">
        <v>60.9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51">
        <v>60.9</v>
      </c>
      <c r="AB42" s="65">
        <v>60.9</v>
      </c>
      <c r="AC42" s="65">
        <v>60.9</v>
      </c>
      <c r="AD42" s="65">
        <v>60.9</v>
      </c>
      <c r="AE42" s="65">
        <v>60.9</v>
      </c>
      <c r="AF42" s="65">
        <v>60.9</v>
      </c>
      <c r="AG42" s="63">
        <v>60</v>
      </c>
      <c r="AH42" s="54">
        <f t="shared" si="2"/>
        <v>60.9</v>
      </c>
      <c r="AI42" s="55">
        <f t="shared" si="3"/>
        <v>60.9</v>
      </c>
      <c r="AK42" s="56"/>
    </row>
    <row r="43" spans="1:88" x14ac:dyDescent="0.25">
      <c r="A43" s="62" t="s">
        <v>51</v>
      </c>
      <c r="B43" s="65">
        <v>13</v>
      </c>
      <c r="C43" s="65">
        <v>6</v>
      </c>
      <c r="D43" s="65">
        <v>6</v>
      </c>
      <c r="E43" s="65">
        <v>6</v>
      </c>
      <c r="F43" s="65">
        <v>6</v>
      </c>
      <c r="G43" s="65">
        <v>6</v>
      </c>
      <c r="H43" s="65">
        <v>6</v>
      </c>
      <c r="I43" s="65">
        <v>6</v>
      </c>
      <c r="J43" s="65">
        <v>6</v>
      </c>
      <c r="K43" s="65">
        <v>6</v>
      </c>
      <c r="L43" s="65">
        <v>10</v>
      </c>
      <c r="M43" s="51">
        <v>18</v>
      </c>
      <c r="N43" s="51">
        <v>15</v>
      </c>
      <c r="O43" s="51">
        <v>18</v>
      </c>
      <c r="P43" s="51">
        <v>18</v>
      </c>
      <c r="Q43" s="51">
        <v>18</v>
      </c>
      <c r="R43" s="51">
        <v>17</v>
      </c>
      <c r="S43" s="51">
        <v>20</v>
      </c>
      <c r="T43" s="51">
        <v>20</v>
      </c>
      <c r="U43" s="51">
        <v>20</v>
      </c>
      <c r="V43" s="51">
        <v>20</v>
      </c>
      <c r="W43" s="51">
        <v>17</v>
      </c>
      <c r="X43" s="51">
        <v>17</v>
      </c>
      <c r="Y43" s="51">
        <v>17</v>
      </c>
      <c r="Z43" s="51">
        <v>15</v>
      </c>
      <c r="AA43" s="51">
        <v>27</v>
      </c>
      <c r="AB43" s="65">
        <v>30</v>
      </c>
      <c r="AC43" s="65">
        <v>30</v>
      </c>
      <c r="AD43" s="65">
        <v>30</v>
      </c>
      <c r="AE43" s="65">
        <v>22</v>
      </c>
      <c r="AF43" s="65">
        <v>10</v>
      </c>
      <c r="AG43" s="63">
        <v>30</v>
      </c>
      <c r="AH43" s="54">
        <f t="shared" si="2"/>
        <v>30</v>
      </c>
      <c r="AI43" s="55">
        <f t="shared" si="3"/>
        <v>6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70">
        <v>8</v>
      </c>
      <c r="AC44" s="70">
        <v>8</v>
      </c>
      <c r="AD44" s="70">
        <v>8</v>
      </c>
      <c r="AE44" s="70">
        <v>8</v>
      </c>
      <c r="AF44" s="70">
        <v>8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0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14</v>
      </c>
      <c r="Q45" s="70">
        <v>14</v>
      </c>
      <c r="R45" s="51">
        <v>13.9</v>
      </c>
      <c r="S45" s="51">
        <v>13.9</v>
      </c>
      <c r="T45" s="51">
        <v>13.9</v>
      </c>
      <c r="U45" s="51">
        <v>13.9</v>
      </c>
      <c r="V45" s="51">
        <v>15</v>
      </c>
      <c r="W45" s="51">
        <v>15</v>
      </c>
      <c r="X45" s="51">
        <v>15</v>
      </c>
      <c r="Y45" s="51">
        <v>15</v>
      </c>
      <c r="Z45" s="51">
        <v>15</v>
      </c>
      <c r="AA45" s="51">
        <v>15</v>
      </c>
      <c r="AB45" s="70">
        <v>15</v>
      </c>
      <c r="AC45" s="70">
        <v>15</v>
      </c>
      <c r="AD45" s="70">
        <v>15</v>
      </c>
      <c r="AE45" s="70">
        <v>15</v>
      </c>
      <c r="AF45" s="70">
        <v>15</v>
      </c>
      <c r="AG45" s="63">
        <v>24</v>
      </c>
      <c r="AH45" s="54">
        <f t="shared" si="2"/>
        <v>15</v>
      </c>
      <c r="AI45" s="55">
        <f t="shared" si="3"/>
        <v>0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10</v>
      </c>
      <c r="Q46" s="70">
        <v>10</v>
      </c>
      <c r="R46" s="51">
        <v>10</v>
      </c>
      <c r="S46" s="51">
        <v>10</v>
      </c>
      <c r="T46" s="51">
        <v>10</v>
      </c>
      <c r="U46" s="51">
        <v>10</v>
      </c>
      <c r="V46" s="51">
        <v>10</v>
      </c>
      <c r="W46" s="51">
        <v>10</v>
      </c>
      <c r="X46" s="51">
        <v>10</v>
      </c>
      <c r="Y46" s="51">
        <v>10</v>
      </c>
      <c r="Z46" s="51">
        <v>10</v>
      </c>
      <c r="AA46" s="51">
        <v>10</v>
      </c>
      <c r="AB46" s="70">
        <v>10</v>
      </c>
      <c r="AC46" s="70">
        <v>10</v>
      </c>
      <c r="AD46" s="70">
        <v>10</v>
      </c>
      <c r="AE46" s="70">
        <v>10</v>
      </c>
      <c r="AF46" s="70">
        <v>10</v>
      </c>
      <c r="AG46" s="63">
        <v>15</v>
      </c>
      <c r="AH46" s="54">
        <f t="shared" si="2"/>
        <v>10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0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70">
        <v>0</v>
      </c>
      <c r="AC47" s="70">
        <v>0</v>
      </c>
      <c r="AD47" s="70">
        <v>0</v>
      </c>
      <c r="AE47" s="70">
        <v>0</v>
      </c>
      <c r="AF47" s="70">
        <v>0</v>
      </c>
      <c r="AG47" s="63">
        <v>14.1</v>
      </c>
      <c r="AH47" s="54">
        <f t="shared" si="2"/>
        <v>0</v>
      </c>
      <c r="AI47" s="55">
        <f t="shared" si="3"/>
        <v>0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8.1999999999999993</v>
      </c>
      <c r="C48" s="70">
        <v>8.1999999999999993</v>
      </c>
      <c r="D48" s="70">
        <v>8.1999999999999993</v>
      </c>
      <c r="E48" s="70">
        <v>8.1999999999999993</v>
      </c>
      <c r="F48" s="70">
        <v>8.1999999999999993</v>
      </c>
      <c r="G48" s="70">
        <v>8.1999999999999993</v>
      </c>
      <c r="H48" s="70">
        <v>8.1999999999999993</v>
      </c>
      <c r="I48" s="70">
        <v>8.1999999999999993</v>
      </c>
      <c r="J48" s="70">
        <v>8.1999999999999993</v>
      </c>
      <c r="K48" s="70">
        <v>8.1999999999999993</v>
      </c>
      <c r="L48" s="70">
        <v>8.1999999999999993</v>
      </c>
      <c r="M48" s="70">
        <v>8.1999999999999993</v>
      </c>
      <c r="N48" s="70">
        <v>8.1999999999999993</v>
      </c>
      <c r="O48" s="70">
        <v>8.1999999999999993</v>
      </c>
      <c r="P48" s="70">
        <v>8.1999999999999993</v>
      </c>
      <c r="Q48" s="70">
        <v>8.1999999999999993</v>
      </c>
      <c r="R48" s="51">
        <v>8.4</v>
      </c>
      <c r="S48" s="51">
        <v>8.4</v>
      </c>
      <c r="T48" s="51">
        <v>8.4</v>
      </c>
      <c r="U48" s="51">
        <v>8.4</v>
      </c>
      <c r="V48" s="51">
        <v>8.4</v>
      </c>
      <c r="W48" s="51">
        <v>8.4</v>
      </c>
      <c r="X48" s="51">
        <v>8.4</v>
      </c>
      <c r="Y48" s="51">
        <v>8.4</v>
      </c>
      <c r="Z48" s="51">
        <v>8.4</v>
      </c>
      <c r="AA48" s="51">
        <v>8.4</v>
      </c>
      <c r="AB48" s="70">
        <v>8.4</v>
      </c>
      <c r="AC48" s="70">
        <v>8.4</v>
      </c>
      <c r="AD48" s="70">
        <v>8.4</v>
      </c>
      <c r="AE48" s="70">
        <v>8.4</v>
      </c>
      <c r="AF48" s="70">
        <v>8.4</v>
      </c>
      <c r="AG48" s="63">
        <v>14</v>
      </c>
      <c r="AH48" s="54">
        <f t="shared" si="2"/>
        <v>8.4</v>
      </c>
      <c r="AI48" s="55">
        <f t="shared" si="3"/>
        <v>8.1999999999999993</v>
      </c>
      <c r="AK48" s="56"/>
    </row>
    <row r="49" spans="1:37" x14ac:dyDescent="0.25">
      <c r="A49" s="62" t="s">
        <v>57</v>
      </c>
      <c r="B49" s="70">
        <v>6.5</v>
      </c>
      <c r="C49" s="70">
        <v>6.5</v>
      </c>
      <c r="D49" s="70">
        <v>6.5</v>
      </c>
      <c r="E49" s="70">
        <v>6.5</v>
      </c>
      <c r="F49" s="70">
        <v>6.5</v>
      </c>
      <c r="G49" s="70">
        <v>6.5</v>
      </c>
      <c r="H49" s="70">
        <v>6.5</v>
      </c>
      <c r="I49" s="70">
        <v>6.5</v>
      </c>
      <c r="J49" s="70">
        <v>6.5</v>
      </c>
      <c r="K49" s="70">
        <v>6.5</v>
      </c>
      <c r="L49" s="70">
        <v>6.5</v>
      </c>
      <c r="M49" s="51">
        <v>9.1</v>
      </c>
      <c r="N49" s="51">
        <v>9.1</v>
      </c>
      <c r="O49" s="51">
        <v>9.1</v>
      </c>
      <c r="P49" s="51">
        <v>9.1</v>
      </c>
      <c r="Q49" s="51">
        <v>9.1</v>
      </c>
      <c r="R49" s="51">
        <v>9.1</v>
      </c>
      <c r="S49" s="51">
        <v>9.1</v>
      </c>
      <c r="T49" s="51">
        <v>9.1</v>
      </c>
      <c r="U49" s="51">
        <v>9.1</v>
      </c>
      <c r="V49" s="51">
        <v>9.1</v>
      </c>
      <c r="W49" s="51">
        <v>9.1</v>
      </c>
      <c r="X49" s="51">
        <v>9.1</v>
      </c>
      <c r="Y49" s="51">
        <v>9.1</v>
      </c>
      <c r="Z49" s="51">
        <v>9.1</v>
      </c>
      <c r="AA49" s="51">
        <v>9.1</v>
      </c>
      <c r="AB49" s="70">
        <v>9.1</v>
      </c>
      <c r="AC49" s="70">
        <v>9.1</v>
      </c>
      <c r="AD49" s="70">
        <v>9.1</v>
      </c>
      <c r="AE49" s="70">
        <v>9.1</v>
      </c>
      <c r="AF49" s="70">
        <v>9.1</v>
      </c>
      <c r="AG49" s="63">
        <v>10.050000000000001</v>
      </c>
      <c r="AH49" s="54">
        <f t="shared" si="2"/>
        <v>9.1</v>
      </c>
      <c r="AI49" s="55">
        <f t="shared" si="3"/>
        <v>6.5</v>
      </c>
      <c r="AK49" s="56"/>
    </row>
    <row r="50" spans="1:37" x14ac:dyDescent="0.25">
      <c r="A50" s="62" t="s">
        <v>58</v>
      </c>
      <c r="B50" s="70">
        <v>3</v>
      </c>
      <c r="C50" s="70">
        <v>3</v>
      </c>
      <c r="D50" s="70">
        <v>3</v>
      </c>
      <c r="E50" s="70">
        <v>3</v>
      </c>
      <c r="F50" s="70">
        <v>3</v>
      </c>
      <c r="G50" s="70">
        <v>3</v>
      </c>
      <c r="H50" s="70">
        <v>3</v>
      </c>
      <c r="I50" s="70">
        <v>3</v>
      </c>
      <c r="J50" s="70">
        <v>3</v>
      </c>
      <c r="K50" s="70">
        <v>3</v>
      </c>
      <c r="L50" s="70">
        <v>3</v>
      </c>
      <c r="M50" s="70">
        <v>3</v>
      </c>
      <c r="N50" s="70">
        <v>3</v>
      </c>
      <c r="O50" s="70">
        <v>3</v>
      </c>
      <c r="P50" s="70">
        <v>3</v>
      </c>
      <c r="Q50" s="70">
        <v>3</v>
      </c>
      <c r="R50" s="51">
        <v>3</v>
      </c>
      <c r="S50" s="51">
        <v>3</v>
      </c>
      <c r="T50" s="51">
        <v>3</v>
      </c>
      <c r="U50" s="51">
        <v>3</v>
      </c>
      <c r="V50" s="51">
        <v>3</v>
      </c>
      <c r="W50" s="51">
        <v>3</v>
      </c>
      <c r="X50" s="51">
        <v>3</v>
      </c>
      <c r="Y50" s="51">
        <v>3</v>
      </c>
      <c r="Z50" s="51">
        <v>3</v>
      </c>
      <c r="AA50" s="51">
        <v>3</v>
      </c>
      <c r="AB50" s="70">
        <v>3</v>
      </c>
      <c r="AC50" s="70">
        <v>3</v>
      </c>
      <c r="AD50" s="70">
        <v>3</v>
      </c>
      <c r="AE50" s="70">
        <v>3</v>
      </c>
      <c r="AF50" s="70">
        <v>3</v>
      </c>
      <c r="AG50" s="63">
        <v>6.2</v>
      </c>
      <c r="AH50" s="54">
        <f t="shared" si="2"/>
        <v>3</v>
      </c>
      <c r="AI50" s="55">
        <f t="shared" si="3"/>
        <v>3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368.84</v>
      </c>
      <c r="C52" s="69">
        <f t="shared" si="6"/>
        <v>372.53999999999996</v>
      </c>
      <c r="D52" s="69">
        <f t="shared" si="6"/>
        <v>223.64</v>
      </c>
      <c r="E52" s="69">
        <f t="shared" si="6"/>
        <v>315.44</v>
      </c>
      <c r="F52" s="69">
        <f t="shared" si="6"/>
        <v>256.24</v>
      </c>
      <c r="G52" s="69">
        <f t="shared" si="6"/>
        <v>287.74</v>
      </c>
      <c r="H52" s="69">
        <f t="shared" si="6"/>
        <v>268.74000000000007</v>
      </c>
      <c r="I52" s="69">
        <f t="shared" si="6"/>
        <v>296.44</v>
      </c>
      <c r="J52" s="69">
        <f t="shared" si="6"/>
        <v>301.54000000000002</v>
      </c>
      <c r="K52" s="69">
        <f t="shared" si="6"/>
        <v>357.14</v>
      </c>
      <c r="L52" s="69">
        <f t="shared" si="6"/>
        <v>348.24</v>
      </c>
      <c r="M52" s="69">
        <f t="shared" si="6"/>
        <v>373.14000000000004</v>
      </c>
      <c r="N52" s="69">
        <f t="shared" si="6"/>
        <v>386.44000000000005</v>
      </c>
      <c r="O52" s="69">
        <f t="shared" si="6"/>
        <v>388.64000000000004</v>
      </c>
      <c r="P52" s="69">
        <f t="shared" si="6"/>
        <v>412.64000000000004</v>
      </c>
      <c r="Q52" s="69">
        <f t="shared" si="6"/>
        <v>419.14000000000004</v>
      </c>
      <c r="R52" s="69">
        <f t="shared" si="6"/>
        <v>418.34</v>
      </c>
      <c r="S52" s="69">
        <f t="shared" si="6"/>
        <v>421.34</v>
      </c>
      <c r="T52" s="69">
        <f t="shared" si="6"/>
        <v>421.34</v>
      </c>
      <c r="U52" s="69">
        <f t="shared" si="6"/>
        <v>423.84</v>
      </c>
      <c r="V52" s="69">
        <f t="shared" si="6"/>
        <v>424.94</v>
      </c>
      <c r="W52" s="69">
        <f t="shared" si="6"/>
        <v>421.94</v>
      </c>
      <c r="X52" s="69">
        <f>SUM(X39:X51)</f>
        <v>418.04</v>
      </c>
      <c r="Y52" s="69">
        <f t="shared" si="6"/>
        <v>418.04</v>
      </c>
      <c r="Z52" s="69">
        <f t="shared" si="6"/>
        <v>416.04</v>
      </c>
      <c r="AA52" s="69">
        <f t="shared" si="6"/>
        <v>428.04</v>
      </c>
      <c r="AB52" s="69">
        <f t="shared" si="6"/>
        <v>430.84</v>
      </c>
      <c r="AC52" s="69">
        <f t="shared" si="6"/>
        <v>430.84</v>
      </c>
      <c r="AD52" s="69">
        <f t="shared" si="6"/>
        <v>432.23999999999995</v>
      </c>
      <c r="AE52" s="69">
        <f t="shared" si="6"/>
        <v>425.14</v>
      </c>
      <c r="AF52" s="69">
        <f t="shared" si="6"/>
        <v>413.14</v>
      </c>
      <c r="AG52" s="74">
        <f>SUM(AG39:AG51)</f>
        <v>489.91</v>
      </c>
      <c r="AH52" s="54">
        <f t="shared" si="2"/>
        <v>432.23999999999995</v>
      </c>
      <c r="AI52" s="55">
        <f t="shared" si="3"/>
        <v>223.64</v>
      </c>
      <c r="AK52" s="56"/>
    </row>
    <row r="53" spans="1:37" x14ac:dyDescent="0.25">
      <c r="A53" s="57" t="s">
        <v>61</v>
      </c>
      <c r="B53" s="51">
        <v>20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14</v>
      </c>
      <c r="V53" s="51">
        <v>30</v>
      </c>
      <c r="W53" s="51">
        <v>30</v>
      </c>
      <c r="X53" s="51">
        <v>29.8</v>
      </c>
      <c r="Y53" s="51">
        <v>20</v>
      </c>
      <c r="Z53" s="51">
        <v>20</v>
      </c>
      <c r="AA53" s="51">
        <v>43</v>
      </c>
      <c r="AB53" s="51">
        <v>43.9</v>
      </c>
      <c r="AC53" s="51">
        <v>43.9</v>
      </c>
      <c r="AD53" s="51">
        <v>30.1</v>
      </c>
      <c r="AE53" s="51">
        <v>14</v>
      </c>
      <c r="AF53" s="51">
        <v>0</v>
      </c>
      <c r="AG53" s="59">
        <v>60</v>
      </c>
      <c r="AH53" s="54">
        <f t="shared" si="2"/>
        <v>43.9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9.6999999999999993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5.5</v>
      </c>
      <c r="V54" s="70">
        <v>15</v>
      </c>
      <c r="W54" s="70">
        <v>15</v>
      </c>
      <c r="X54" s="70">
        <v>15.8</v>
      </c>
      <c r="Y54" s="70">
        <v>9.6999999999999993</v>
      </c>
      <c r="Z54" s="70">
        <v>9.6999999999999993</v>
      </c>
      <c r="AA54" s="70">
        <v>13.8</v>
      </c>
      <c r="AB54" s="70">
        <v>19.8</v>
      </c>
      <c r="AC54" s="70">
        <v>19.8</v>
      </c>
      <c r="AD54" s="70">
        <v>15.2</v>
      </c>
      <c r="AE54" s="70">
        <v>7</v>
      </c>
      <c r="AF54" s="70">
        <v>15</v>
      </c>
      <c r="AG54" s="63">
        <v>32</v>
      </c>
      <c r="AH54" s="54">
        <f t="shared" si="2"/>
        <v>19.8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3.5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2</v>
      </c>
      <c r="V55" s="75">
        <v>5.6</v>
      </c>
      <c r="W55" s="75">
        <v>5.6</v>
      </c>
      <c r="X55" s="75">
        <v>5.8</v>
      </c>
      <c r="Y55" s="75">
        <v>3.5</v>
      </c>
      <c r="Z55" s="75">
        <v>3.5</v>
      </c>
      <c r="AA55" s="75">
        <v>5.0999999999999996</v>
      </c>
      <c r="AB55" s="75">
        <v>7.2</v>
      </c>
      <c r="AC55" s="75">
        <v>7.2</v>
      </c>
      <c r="AD55" s="75">
        <v>5.6</v>
      </c>
      <c r="AE55" s="75">
        <v>3</v>
      </c>
      <c r="AF55" s="75">
        <v>5.6</v>
      </c>
      <c r="AG55" s="76">
        <v>14</v>
      </c>
      <c r="AH55" s="54">
        <f t="shared" si="2"/>
        <v>7.2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33.200000000000003</v>
      </c>
      <c r="C56" s="69">
        <f t="shared" si="7"/>
        <v>0</v>
      </c>
      <c r="D56" s="69">
        <f t="shared" si="7"/>
        <v>0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0</v>
      </c>
      <c r="N56" s="69">
        <f t="shared" si="7"/>
        <v>0</v>
      </c>
      <c r="O56" s="69">
        <f t="shared" si="7"/>
        <v>0</v>
      </c>
      <c r="P56" s="69">
        <f t="shared" si="7"/>
        <v>0</v>
      </c>
      <c r="Q56" s="69">
        <f t="shared" si="7"/>
        <v>0</v>
      </c>
      <c r="R56" s="69">
        <f t="shared" si="7"/>
        <v>0</v>
      </c>
      <c r="S56" s="69">
        <f t="shared" si="7"/>
        <v>0</v>
      </c>
      <c r="T56" s="69">
        <f t="shared" si="7"/>
        <v>0</v>
      </c>
      <c r="U56" s="69">
        <f t="shared" si="7"/>
        <v>21.5</v>
      </c>
      <c r="V56" s="69">
        <f t="shared" si="7"/>
        <v>50.6</v>
      </c>
      <c r="W56" s="69">
        <f t="shared" si="7"/>
        <v>50.6</v>
      </c>
      <c r="X56" s="69">
        <f t="shared" si="7"/>
        <v>51.4</v>
      </c>
      <c r="Y56" s="69">
        <f t="shared" si="7"/>
        <v>33.200000000000003</v>
      </c>
      <c r="Z56" s="69">
        <f t="shared" si="7"/>
        <v>33.200000000000003</v>
      </c>
      <c r="AA56" s="69">
        <f t="shared" si="7"/>
        <v>61.9</v>
      </c>
      <c r="AB56" s="69">
        <f t="shared" si="7"/>
        <v>70.900000000000006</v>
      </c>
      <c r="AC56" s="69">
        <f t="shared" si="7"/>
        <v>70.900000000000006</v>
      </c>
      <c r="AD56" s="69">
        <f t="shared" si="7"/>
        <v>50.9</v>
      </c>
      <c r="AE56" s="69">
        <f t="shared" si="7"/>
        <v>24</v>
      </c>
      <c r="AF56" s="69">
        <f t="shared" si="7"/>
        <v>20.6</v>
      </c>
      <c r="AG56" s="74">
        <f>SUM(AG53:AG55)</f>
        <v>106</v>
      </c>
      <c r="AH56" s="54">
        <f t="shared" si="2"/>
        <v>70.900000000000006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45.3</v>
      </c>
      <c r="C57" s="51">
        <v>53.43</v>
      </c>
      <c r="D57" s="51">
        <v>55.83</v>
      </c>
      <c r="E57" s="51">
        <v>55.54</v>
      </c>
      <c r="F57" s="51">
        <v>27.5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18</v>
      </c>
      <c r="N57" s="51">
        <v>12.68</v>
      </c>
      <c r="O57" s="51">
        <v>25.5</v>
      </c>
      <c r="P57" s="51">
        <v>30</v>
      </c>
      <c r="Q57" s="51">
        <v>43.2</v>
      </c>
      <c r="R57" s="51">
        <v>48.3</v>
      </c>
      <c r="S57" s="51">
        <v>51</v>
      </c>
      <c r="T57" s="51">
        <v>51</v>
      </c>
      <c r="U57" s="51">
        <v>53</v>
      </c>
      <c r="V57" s="51">
        <v>49</v>
      </c>
      <c r="W57" s="51">
        <v>54</v>
      </c>
      <c r="X57" s="51">
        <v>52</v>
      </c>
      <c r="Y57" s="51">
        <v>50</v>
      </c>
      <c r="Z57" s="51">
        <v>54</v>
      </c>
      <c r="AA57" s="51">
        <v>55</v>
      </c>
      <c r="AB57" s="51">
        <v>51</v>
      </c>
      <c r="AC57" s="51">
        <v>54</v>
      </c>
      <c r="AD57" s="51">
        <v>55.3</v>
      </c>
      <c r="AE57" s="51">
        <v>58</v>
      </c>
      <c r="AF57" s="51">
        <v>43</v>
      </c>
      <c r="AG57" s="59"/>
      <c r="AH57" s="54">
        <f t="shared" si="2"/>
        <v>58</v>
      </c>
      <c r="AI57" s="55">
        <f t="shared" si="3"/>
        <v>0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26.7</v>
      </c>
      <c r="C59" s="70">
        <v>51</v>
      </c>
      <c r="D59" s="70">
        <v>51</v>
      </c>
      <c r="E59" s="70">
        <v>31.6</v>
      </c>
      <c r="F59" s="70">
        <v>50</v>
      </c>
      <c r="G59" s="70">
        <v>26.4</v>
      </c>
      <c r="H59" s="70">
        <v>2.5</v>
      </c>
      <c r="I59" s="70">
        <v>11.2</v>
      </c>
      <c r="J59" s="70">
        <v>43.8</v>
      </c>
      <c r="K59" s="70">
        <v>20.7</v>
      </c>
      <c r="L59" s="70">
        <v>29.1</v>
      </c>
      <c r="M59" s="70">
        <v>15</v>
      </c>
      <c r="N59" s="70">
        <v>20</v>
      </c>
      <c r="O59" s="70">
        <v>5</v>
      </c>
      <c r="P59" s="70">
        <v>10</v>
      </c>
      <c r="Q59" s="70">
        <v>20</v>
      </c>
      <c r="R59" s="70">
        <v>14</v>
      </c>
      <c r="S59" s="70">
        <v>25</v>
      </c>
      <c r="T59" s="70">
        <v>23</v>
      </c>
      <c r="U59" s="70">
        <v>18</v>
      </c>
      <c r="V59" s="70">
        <v>31</v>
      </c>
      <c r="W59" s="70">
        <v>0</v>
      </c>
      <c r="X59" s="70">
        <v>5</v>
      </c>
      <c r="Y59" s="70">
        <v>44</v>
      </c>
      <c r="Z59" s="70">
        <v>20</v>
      </c>
      <c r="AA59" s="70">
        <v>10</v>
      </c>
      <c r="AB59" s="70">
        <v>10</v>
      </c>
      <c r="AC59" s="70">
        <v>0</v>
      </c>
      <c r="AD59" s="70">
        <v>0</v>
      </c>
      <c r="AE59" s="70">
        <v>17</v>
      </c>
      <c r="AF59" s="70">
        <v>19</v>
      </c>
      <c r="AG59" s="77"/>
      <c r="AH59" s="54">
        <f t="shared" si="2"/>
        <v>51</v>
      </c>
      <c r="AI59" s="55">
        <f t="shared" si="3"/>
        <v>0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14</v>
      </c>
      <c r="AB60" s="78">
        <v>14</v>
      </c>
      <c r="AC60" s="78">
        <v>14</v>
      </c>
      <c r="AD60" s="78">
        <v>14</v>
      </c>
      <c r="AE60" s="78">
        <v>13</v>
      </c>
      <c r="AF60" s="78">
        <v>13</v>
      </c>
      <c r="AG60" s="77"/>
      <c r="AH60" s="54">
        <f t="shared" si="2"/>
        <v>14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9">
        <v>0</v>
      </c>
      <c r="AC64" s="79">
        <v>0</v>
      </c>
      <c r="AD64" s="79">
        <v>0</v>
      </c>
      <c r="AE64" s="79">
        <v>0</v>
      </c>
      <c r="AF64" s="79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9">
        <v>0</v>
      </c>
      <c r="AC65" s="79">
        <v>0</v>
      </c>
      <c r="AD65" s="79">
        <v>0</v>
      </c>
      <c r="AE65" s="79">
        <v>0</v>
      </c>
      <c r="AF65" s="79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79">
        <v>0</v>
      </c>
      <c r="AC67" s="79">
        <v>0</v>
      </c>
      <c r="AD67" s="79">
        <v>0</v>
      </c>
      <c r="AE67" s="79">
        <v>0</v>
      </c>
      <c r="AF67" s="79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72</v>
      </c>
      <c r="C68" s="69">
        <f t="shared" si="8"/>
        <v>104.43</v>
      </c>
      <c r="D68" s="69">
        <f t="shared" si="8"/>
        <v>106.83</v>
      </c>
      <c r="E68" s="69">
        <f t="shared" si="8"/>
        <v>87.14</v>
      </c>
      <c r="F68" s="69">
        <f t="shared" si="8"/>
        <v>77.5</v>
      </c>
      <c r="G68" s="69">
        <f t="shared" si="8"/>
        <v>26.4</v>
      </c>
      <c r="H68" s="69">
        <f t="shared" si="8"/>
        <v>2.5</v>
      </c>
      <c r="I68" s="69">
        <f t="shared" si="8"/>
        <v>11.2</v>
      </c>
      <c r="J68" s="69">
        <f t="shared" si="8"/>
        <v>43.8</v>
      </c>
      <c r="K68" s="69">
        <f t="shared" si="8"/>
        <v>20.7</v>
      </c>
      <c r="L68" s="69">
        <f t="shared" si="8"/>
        <v>29.1</v>
      </c>
      <c r="M68" s="69">
        <f t="shared" si="8"/>
        <v>33</v>
      </c>
      <c r="N68" s="69">
        <f t="shared" si="8"/>
        <v>32.68</v>
      </c>
      <c r="O68" s="69">
        <f t="shared" si="8"/>
        <v>30.5</v>
      </c>
      <c r="P68" s="69">
        <f t="shared" si="8"/>
        <v>40</v>
      </c>
      <c r="Q68" s="69">
        <f t="shared" si="8"/>
        <v>63.2</v>
      </c>
      <c r="R68" s="69">
        <f t="shared" si="8"/>
        <v>62.3</v>
      </c>
      <c r="S68" s="69">
        <f t="shared" si="8"/>
        <v>76</v>
      </c>
      <c r="T68" s="69">
        <f t="shared" si="8"/>
        <v>74</v>
      </c>
      <c r="U68" s="69">
        <f t="shared" si="8"/>
        <v>71</v>
      </c>
      <c r="V68" s="69">
        <f>SUM(V57:V67)</f>
        <v>80</v>
      </c>
      <c r="W68" s="69">
        <f t="shared" si="8"/>
        <v>54</v>
      </c>
      <c r="X68" s="69">
        <f t="shared" si="8"/>
        <v>57</v>
      </c>
      <c r="Y68" s="69">
        <f t="shared" si="8"/>
        <v>94</v>
      </c>
      <c r="Z68" s="69">
        <f t="shared" si="8"/>
        <v>82</v>
      </c>
      <c r="AA68" s="69">
        <f t="shared" si="8"/>
        <v>87</v>
      </c>
      <c r="AB68" s="69">
        <f t="shared" si="8"/>
        <v>83</v>
      </c>
      <c r="AC68" s="69">
        <f t="shared" si="8"/>
        <v>76</v>
      </c>
      <c r="AD68" s="69">
        <f t="shared" si="8"/>
        <v>77.3</v>
      </c>
      <c r="AE68" s="69">
        <f t="shared" si="8"/>
        <v>96</v>
      </c>
      <c r="AF68" s="69">
        <f t="shared" si="8"/>
        <v>83</v>
      </c>
      <c r="AG68" s="74">
        <f>SUM(AG57:AG67)</f>
        <v>0</v>
      </c>
      <c r="AH68" s="54">
        <f t="shared" si="2"/>
        <v>106.83</v>
      </c>
      <c r="AI68" s="55">
        <f t="shared" si="3"/>
        <v>2.5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1189.1399999999999</v>
      </c>
      <c r="C75" s="84">
        <f t="shared" si="10"/>
        <v>1192.07</v>
      </c>
      <c r="D75" s="84">
        <f t="shared" si="10"/>
        <v>1085.57</v>
      </c>
      <c r="E75" s="84">
        <f t="shared" si="10"/>
        <v>1068.3800000000001</v>
      </c>
      <c r="F75" s="84">
        <f t="shared" si="10"/>
        <v>969.54000000000008</v>
      </c>
      <c r="G75" s="84">
        <f t="shared" si="10"/>
        <v>979.94</v>
      </c>
      <c r="H75" s="84">
        <f t="shared" si="10"/>
        <v>924.04000000000019</v>
      </c>
      <c r="I75" s="84">
        <f t="shared" si="10"/>
        <v>910.44</v>
      </c>
      <c r="J75" s="84">
        <f t="shared" si="10"/>
        <v>948.1400000000001</v>
      </c>
      <c r="K75" s="84">
        <f t="shared" si="10"/>
        <v>990.63999999999987</v>
      </c>
      <c r="L75" s="84">
        <f t="shared" si="10"/>
        <v>1004.14</v>
      </c>
      <c r="M75" s="84">
        <f t="shared" si="10"/>
        <v>1062.44</v>
      </c>
      <c r="N75" s="84">
        <f t="shared" si="10"/>
        <v>1106.6200000000001</v>
      </c>
      <c r="O75" s="84">
        <f t="shared" si="10"/>
        <v>1099.44</v>
      </c>
      <c r="P75" s="84">
        <f t="shared" si="10"/>
        <v>1172.94</v>
      </c>
      <c r="Q75" s="84">
        <f t="shared" si="10"/>
        <v>1230.6400000000001</v>
      </c>
      <c r="R75" s="84">
        <f t="shared" si="10"/>
        <v>1190.94</v>
      </c>
      <c r="S75" s="84">
        <f t="shared" si="10"/>
        <v>1294.6400000000001</v>
      </c>
      <c r="T75" s="84">
        <f t="shared" si="10"/>
        <v>1290.6400000000001</v>
      </c>
      <c r="U75" s="84">
        <f t="shared" si="10"/>
        <v>1241.6399999999999</v>
      </c>
      <c r="V75" s="84">
        <f t="shared" si="10"/>
        <v>1304.04</v>
      </c>
      <c r="W75" s="84">
        <f t="shared" si="10"/>
        <v>1225.04</v>
      </c>
      <c r="X75" s="84">
        <f t="shared" si="10"/>
        <v>1231.94</v>
      </c>
      <c r="Y75" s="84">
        <f t="shared" si="10"/>
        <v>1260.74</v>
      </c>
      <c r="Z75" s="84">
        <f t="shared" si="10"/>
        <v>1334.74</v>
      </c>
      <c r="AA75" s="84">
        <f t="shared" si="10"/>
        <v>1474.54</v>
      </c>
      <c r="AB75" s="84">
        <f t="shared" si="10"/>
        <v>1464.94</v>
      </c>
      <c r="AC75" s="84">
        <f t="shared" si="10"/>
        <v>1443.94</v>
      </c>
      <c r="AD75" s="84">
        <f t="shared" si="10"/>
        <v>1408.6399999999999</v>
      </c>
      <c r="AE75" s="84">
        <f t="shared" si="10"/>
        <v>1309.1400000000001</v>
      </c>
      <c r="AF75" s="84">
        <f t="shared" si="10"/>
        <v>1280.7400000000002</v>
      </c>
      <c r="AG75" s="74">
        <f>AG72+AG68+AG56+AG52+AG38+AG74</f>
        <v>2144.14</v>
      </c>
      <c r="AH75" s="54">
        <f t="shared" si="2"/>
        <v>1474.54</v>
      </c>
      <c r="AI75" s="55">
        <f t="shared" si="3"/>
        <v>910.44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2391.0299999999997</v>
      </c>
      <c r="C83" s="69">
        <f t="shared" si="14"/>
        <v>2393.96</v>
      </c>
      <c r="D83" s="69">
        <f t="shared" si="14"/>
        <v>2287.46</v>
      </c>
      <c r="E83" s="69">
        <f t="shared" si="14"/>
        <v>2270.27</v>
      </c>
      <c r="F83" s="69">
        <f t="shared" si="14"/>
        <v>2171.4299999999998</v>
      </c>
      <c r="G83" s="69">
        <f t="shared" si="14"/>
        <v>2181.83</v>
      </c>
      <c r="H83" s="69">
        <f t="shared" si="14"/>
        <v>2125.9300000000003</v>
      </c>
      <c r="I83" s="69">
        <f t="shared" si="14"/>
        <v>2112.33</v>
      </c>
      <c r="J83" s="69">
        <f t="shared" si="14"/>
        <v>2150.0299999999997</v>
      </c>
      <c r="K83" s="69">
        <f t="shared" si="14"/>
        <v>2192.5299999999997</v>
      </c>
      <c r="L83" s="69">
        <f t="shared" si="14"/>
        <v>2206.0299999999997</v>
      </c>
      <c r="M83" s="69">
        <f t="shared" si="14"/>
        <v>2264.33</v>
      </c>
      <c r="N83" s="69">
        <f t="shared" si="14"/>
        <v>2308.5100000000002</v>
      </c>
      <c r="O83" s="69">
        <f t="shared" si="14"/>
        <v>2301.33</v>
      </c>
      <c r="P83" s="69">
        <f t="shared" si="14"/>
        <v>2374.83</v>
      </c>
      <c r="Q83" s="69">
        <f t="shared" si="14"/>
        <v>2432.5299999999997</v>
      </c>
      <c r="R83" s="69">
        <f t="shared" si="14"/>
        <v>2392.83</v>
      </c>
      <c r="S83" s="69">
        <f t="shared" si="14"/>
        <v>2496.5299999999997</v>
      </c>
      <c r="T83" s="69">
        <f t="shared" si="14"/>
        <v>2492.5299999999997</v>
      </c>
      <c r="U83" s="69">
        <f t="shared" si="14"/>
        <v>2443.5299999999997</v>
      </c>
      <c r="V83" s="69">
        <f t="shared" si="14"/>
        <v>2505.9299999999998</v>
      </c>
      <c r="W83" s="69">
        <f t="shared" si="14"/>
        <v>2426.9299999999998</v>
      </c>
      <c r="X83" s="69">
        <f t="shared" si="14"/>
        <v>2433.83</v>
      </c>
      <c r="Y83" s="69">
        <f t="shared" si="14"/>
        <v>2462.63</v>
      </c>
      <c r="Z83" s="69">
        <f t="shared" si="14"/>
        <v>2536.63</v>
      </c>
      <c r="AA83" s="69">
        <f t="shared" si="14"/>
        <v>2676.43</v>
      </c>
      <c r="AB83" s="69">
        <f t="shared" si="14"/>
        <v>2666.83</v>
      </c>
      <c r="AC83" s="69">
        <f t="shared" si="14"/>
        <v>2645.83</v>
      </c>
      <c r="AD83" s="69">
        <f t="shared" si="14"/>
        <v>2610.5299999999997</v>
      </c>
      <c r="AE83" s="69">
        <f t="shared" si="14"/>
        <v>2511.0299999999997</v>
      </c>
      <c r="AF83" s="69">
        <f t="shared" si="14"/>
        <v>2482.63</v>
      </c>
      <c r="AG83" s="74">
        <f t="shared" si="14"/>
        <v>4360.08</v>
      </c>
      <c r="AH83" s="54">
        <f t="shared" si="11"/>
        <v>2676.43</v>
      </c>
      <c r="AI83" s="55">
        <f t="shared" si="12"/>
        <v>2112.33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50.029000000000003</v>
      </c>
      <c r="C84" s="90">
        <v>49.991</v>
      </c>
      <c r="D84" s="90">
        <v>50.018999999999998</v>
      </c>
      <c r="E84" s="90">
        <v>49.970999999999997</v>
      </c>
      <c r="F84" s="90">
        <v>50.058999999999997</v>
      </c>
      <c r="G84" s="90">
        <v>49.993000000000002</v>
      </c>
      <c r="H84" s="90">
        <v>49.963000000000001</v>
      </c>
      <c r="I84" s="90">
        <v>49.991</v>
      </c>
      <c r="J84" s="90">
        <v>50.064999999999998</v>
      </c>
      <c r="K84" s="90">
        <v>50.034999999999997</v>
      </c>
      <c r="L84" s="90">
        <v>50.131</v>
      </c>
      <c r="M84" s="90">
        <v>50.183999999999997</v>
      </c>
      <c r="N84" s="90">
        <v>50.255000000000003</v>
      </c>
      <c r="O84" s="90">
        <v>50.173000000000002</v>
      </c>
      <c r="P84" s="90">
        <v>50.173000000000002</v>
      </c>
      <c r="Q84" s="90">
        <v>50.034999999999997</v>
      </c>
      <c r="R84" s="90">
        <v>49.988999999999997</v>
      </c>
      <c r="S84" s="90">
        <v>50.12</v>
      </c>
      <c r="T84" s="90">
        <v>49.966000000000001</v>
      </c>
      <c r="U84" s="90">
        <v>49.966000000000001</v>
      </c>
      <c r="V84" s="90">
        <v>49.966000000000001</v>
      </c>
      <c r="W84" s="90">
        <v>49.984000000000002</v>
      </c>
      <c r="X84" s="90">
        <v>49.981000000000002</v>
      </c>
      <c r="Y84" s="90">
        <v>50.046999999999997</v>
      </c>
      <c r="Z84" s="90">
        <v>50.021999999999998</v>
      </c>
      <c r="AA84" s="90">
        <v>50.021999999999998</v>
      </c>
      <c r="AB84" s="90">
        <v>50.058</v>
      </c>
      <c r="AC84" s="90">
        <v>50.031999999999996</v>
      </c>
      <c r="AD84" s="90">
        <v>50.045000000000002</v>
      </c>
      <c r="AE84" s="90">
        <v>50</v>
      </c>
      <c r="AF84" s="90">
        <v>49.951000000000001</v>
      </c>
      <c r="AG84" s="91"/>
      <c r="AH84" s="54">
        <f t="shared" si="11"/>
        <v>50.255000000000003</v>
      </c>
      <c r="AI84" s="55">
        <f t="shared" si="12"/>
        <v>49.951000000000001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125.3</v>
      </c>
      <c r="C85" s="70">
        <v>123</v>
      </c>
      <c r="D85" s="70">
        <v>124.7</v>
      </c>
      <c r="E85" s="70">
        <v>125.8</v>
      </c>
      <c r="F85" s="70">
        <v>126.5</v>
      </c>
      <c r="G85" s="70">
        <v>125.5</v>
      </c>
      <c r="H85" s="70">
        <v>126.5</v>
      </c>
      <c r="I85" s="70">
        <v>126.9</v>
      </c>
      <c r="J85" s="70">
        <v>126.5</v>
      </c>
      <c r="K85" s="70">
        <v>127.3</v>
      </c>
      <c r="L85" s="70">
        <v>127.4</v>
      </c>
      <c r="M85" s="70">
        <v>123.5</v>
      </c>
      <c r="N85" s="70">
        <v>125.1</v>
      </c>
      <c r="O85" s="70">
        <v>125.2</v>
      </c>
      <c r="P85" s="70">
        <v>125.2</v>
      </c>
      <c r="Q85" s="70">
        <v>120.7</v>
      </c>
      <c r="R85" s="70">
        <v>121.3</v>
      </c>
      <c r="S85" s="70">
        <v>119</v>
      </c>
      <c r="T85" s="70">
        <v>120</v>
      </c>
      <c r="U85" s="70">
        <v>120</v>
      </c>
      <c r="V85" s="70">
        <v>120</v>
      </c>
      <c r="W85" s="70">
        <v>126</v>
      </c>
      <c r="X85" s="70">
        <v>126</v>
      </c>
      <c r="Y85" s="70">
        <v>126</v>
      </c>
      <c r="Z85" s="70">
        <v>125</v>
      </c>
      <c r="AA85" s="70">
        <v>125</v>
      </c>
      <c r="AB85" s="70">
        <v>125</v>
      </c>
      <c r="AC85" s="70">
        <v>125</v>
      </c>
      <c r="AD85" s="70">
        <v>125.2</v>
      </c>
      <c r="AE85" s="70">
        <v>125</v>
      </c>
      <c r="AF85" s="70">
        <v>124</v>
      </c>
      <c r="AG85" s="93"/>
      <c r="AH85" s="54">
        <f t="shared" si="11"/>
        <v>127.4</v>
      </c>
      <c r="AI85" s="55">
        <f t="shared" si="12"/>
        <v>119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130.19999999999999</v>
      </c>
      <c r="C86" s="70">
        <v>128</v>
      </c>
      <c r="D86" s="70">
        <v>129.4</v>
      </c>
      <c r="E86" s="70">
        <v>130.30000000000001</v>
      </c>
      <c r="F86" s="70">
        <v>130.9</v>
      </c>
      <c r="G86" s="70">
        <v>130.1</v>
      </c>
      <c r="H86" s="70">
        <v>129.80000000000001</v>
      </c>
      <c r="I86" s="70">
        <v>129.4</v>
      </c>
      <c r="J86" s="70">
        <v>129.1</v>
      </c>
      <c r="K86" s="70">
        <v>129.9</v>
      </c>
      <c r="L86" s="70">
        <v>130.19999999999999</v>
      </c>
      <c r="M86" s="70">
        <v>125.9</v>
      </c>
      <c r="N86" s="70">
        <v>128.5</v>
      </c>
      <c r="O86" s="70">
        <v>128.80000000000001</v>
      </c>
      <c r="P86" s="70">
        <v>128.80000000000001</v>
      </c>
      <c r="Q86" s="70">
        <v>125</v>
      </c>
      <c r="R86" s="70">
        <v>125.9</v>
      </c>
      <c r="S86" s="70">
        <v>124</v>
      </c>
      <c r="T86" s="70">
        <v>124</v>
      </c>
      <c r="U86" s="70">
        <v>124</v>
      </c>
      <c r="V86" s="70">
        <v>124</v>
      </c>
      <c r="W86" s="70">
        <v>130</v>
      </c>
      <c r="X86" s="70">
        <v>130</v>
      </c>
      <c r="Y86" s="70">
        <v>130</v>
      </c>
      <c r="Z86" s="70">
        <v>130</v>
      </c>
      <c r="AA86" s="70">
        <v>130</v>
      </c>
      <c r="AB86" s="70">
        <v>129.6</v>
      </c>
      <c r="AC86" s="70">
        <v>129</v>
      </c>
      <c r="AD86" s="70">
        <v>129.30000000000001</v>
      </c>
      <c r="AE86" s="70">
        <v>130</v>
      </c>
      <c r="AF86" s="70">
        <v>129</v>
      </c>
      <c r="AG86" s="93"/>
      <c r="AH86" s="54">
        <f t="shared" si="11"/>
        <v>130.9</v>
      </c>
      <c r="AI86" s="55">
        <f t="shared" si="12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93"/>
      <c r="AH87" s="54">
        <f t="shared" si="11"/>
        <v>0</v>
      </c>
      <c r="AI87" s="55">
        <f t="shared" si="12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93"/>
      <c r="AH88" s="54">
        <f t="shared" si="11"/>
        <v>0</v>
      </c>
      <c r="AI88" s="55">
        <f t="shared" si="12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136.4</v>
      </c>
      <c r="C89" s="95">
        <v>131.1</v>
      </c>
      <c r="D89" s="95">
        <v>129.1</v>
      </c>
      <c r="E89" s="95">
        <v>134.6</v>
      </c>
      <c r="F89" s="95">
        <v>136.69999999999999</v>
      </c>
      <c r="G89" s="95">
        <v>134.69999999999999</v>
      </c>
      <c r="H89" s="95">
        <v>135.19999999999999</v>
      </c>
      <c r="I89" s="95">
        <v>135.30000000000001</v>
      </c>
      <c r="J89" s="95">
        <v>133.80000000000001</v>
      </c>
      <c r="K89" s="95">
        <v>132.1</v>
      </c>
      <c r="L89" s="95">
        <v>133.4</v>
      </c>
      <c r="M89" s="95">
        <v>130.30000000000001</v>
      </c>
      <c r="N89" s="95">
        <v>131.9</v>
      </c>
      <c r="O89" s="95">
        <v>133.5</v>
      </c>
      <c r="P89" s="95">
        <v>133.5</v>
      </c>
      <c r="Q89" s="95">
        <v>130.4</v>
      </c>
      <c r="R89" s="95">
        <v>132.69999999999999</v>
      </c>
      <c r="S89" s="95">
        <v>128.69999999999999</v>
      </c>
      <c r="T89" s="95">
        <v>132</v>
      </c>
      <c r="U89" s="95">
        <v>132</v>
      </c>
      <c r="V89" s="95">
        <v>132</v>
      </c>
      <c r="W89" s="95">
        <v>133</v>
      </c>
      <c r="X89" s="95">
        <v>133</v>
      </c>
      <c r="Y89" s="95">
        <v>133</v>
      </c>
      <c r="Z89" s="95">
        <v>133</v>
      </c>
      <c r="AA89" s="95">
        <v>133</v>
      </c>
      <c r="AB89" s="95">
        <v>133</v>
      </c>
      <c r="AC89" s="95">
        <v>133.9</v>
      </c>
      <c r="AD89" s="95">
        <v>132.5</v>
      </c>
      <c r="AE89" s="95">
        <v>132</v>
      </c>
      <c r="AF89" s="95">
        <v>130</v>
      </c>
      <c r="AG89" s="96"/>
      <c r="AH89" s="54">
        <f t="shared" si="11"/>
        <v>136.69999999999999</v>
      </c>
      <c r="AI89" s="55">
        <f t="shared" si="12"/>
        <v>128.69999999999999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137</v>
      </c>
      <c r="C90" s="70">
        <v>131.4</v>
      </c>
      <c r="D90" s="70">
        <v>0</v>
      </c>
      <c r="E90" s="70">
        <v>135.1</v>
      </c>
      <c r="F90" s="70">
        <v>136.9</v>
      </c>
      <c r="G90" s="70">
        <v>131.4</v>
      </c>
      <c r="H90" s="70">
        <v>131.5</v>
      </c>
      <c r="I90" s="70">
        <v>132</v>
      </c>
      <c r="J90" s="70">
        <v>129.1</v>
      </c>
      <c r="K90" s="70">
        <v>128.4</v>
      </c>
      <c r="L90" s="70">
        <v>131.30000000000001</v>
      </c>
      <c r="M90" s="70">
        <v>130.30000000000001</v>
      </c>
      <c r="N90" s="70">
        <v>133.6</v>
      </c>
      <c r="O90" s="70">
        <v>131.6</v>
      </c>
      <c r="P90" s="70">
        <v>131.6</v>
      </c>
      <c r="Q90" s="70">
        <v>131.9</v>
      </c>
      <c r="R90" s="70">
        <v>126.7</v>
      </c>
      <c r="S90" s="70">
        <v>125</v>
      </c>
      <c r="T90" s="70">
        <v>123</v>
      </c>
      <c r="U90" s="70">
        <v>123</v>
      </c>
      <c r="V90" s="70">
        <v>123</v>
      </c>
      <c r="W90" s="70">
        <v>129</v>
      </c>
      <c r="X90" s="70">
        <v>129</v>
      </c>
      <c r="Y90" s="70">
        <v>129</v>
      </c>
      <c r="Z90" s="70">
        <v>129</v>
      </c>
      <c r="AA90" s="70">
        <v>129</v>
      </c>
      <c r="AB90" s="70">
        <v>131</v>
      </c>
      <c r="AC90" s="70">
        <v>131</v>
      </c>
      <c r="AD90" s="70">
        <v>129.19999999999999</v>
      </c>
      <c r="AE90" s="70">
        <v>131</v>
      </c>
      <c r="AF90" s="70">
        <v>129</v>
      </c>
      <c r="AG90" s="93"/>
      <c r="AH90" s="54">
        <f t="shared" si="11"/>
        <v>137</v>
      </c>
      <c r="AI90" s="55">
        <f t="shared" si="12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65.3</v>
      </c>
      <c r="C91" s="97">
        <v>64.2</v>
      </c>
      <c r="D91" s="97">
        <v>65.2</v>
      </c>
      <c r="E91" s="97">
        <v>65.5</v>
      </c>
      <c r="F91" s="97">
        <v>65.599999999999994</v>
      </c>
      <c r="G91" s="97">
        <v>65.099999999999994</v>
      </c>
      <c r="H91" s="97">
        <v>65</v>
      </c>
      <c r="I91" s="97">
        <v>64.900000000000006</v>
      </c>
      <c r="J91" s="97">
        <v>64.400000000000006</v>
      </c>
      <c r="K91" s="97">
        <v>64.8</v>
      </c>
      <c r="L91" s="97">
        <v>65.400000000000006</v>
      </c>
      <c r="M91" s="97">
        <v>63.2</v>
      </c>
      <c r="N91" s="97">
        <v>64.7</v>
      </c>
      <c r="O91" s="97">
        <v>64.099999999999994</v>
      </c>
      <c r="P91" s="97">
        <v>64.099999999999994</v>
      </c>
      <c r="Q91" s="97">
        <v>62.5</v>
      </c>
      <c r="R91" s="97">
        <v>63.1</v>
      </c>
      <c r="S91" s="97">
        <v>62</v>
      </c>
      <c r="T91" s="97">
        <v>62.4</v>
      </c>
      <c r="U91" s="97">
        <v>62.4</v>
      </c>
      <c r="V91" s="97">
        <v>62.4</v>
      </c>
      <c r="W91" s="97">
        <v>64.7</v>
      </c>
      <c r="X91" s="97">
        <v>64.7</v>
      </c>
      <c r="Y91" s="97">
        <v>64.7</v>
      </c>
      <c r="Z91" s="97">
        <v>65</v>
      </c>
      <c r="AA91" s="97">
        <v>65</v>
      </c>
      <c r="AB91" s="97">
        <v>65</v>
      </c>
      <c r="AC91" s="97">
        <v>65</v>
      </c>
      <c r="AD91" s="97">
        <v>65.400000000000006</v>
      </c>
      <c r="AE91" s="97">
        <v>65.8</v>
      </c>
      <c r="AF91" s="97">
        <v>65.400000000000006</v>
      </c>
      <c r="AG91" s="98"/>
      <c r="AH91" s="54">
        <f t="shared" si="11"/>
        <v>65.8</v>
      </c>
      <c r="AI91" s="55">
        <f t="shared" si="12"/>
        <v>62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178.64</v>
      </c>
      <c r="C93" s="103">
        <f t="shared" si="15"/>
        <v>165.73999999999998</v>
      </c>
      <c r="D93" s="103">
        <f t="shared" si="15"/>
        <v>165.64</v>
      </c>
      <c r="E93" s="103">
        <f t="shared" si="15"/>
        <v>157.34</v>
      </c>
      <c r="F93" s="103">
        <f t="shared" si="15"/>
        <v>167.14</v>
      </c>
      <c r="G93" s="103">
        <f t="shared" si="15"/>
        <v>181.14</v>
      </c>
      <c r="H93" s="103">
        <f t="shared" si="15"/>
        <v>221.14</v>
      </c>
      <c r="I93" s="103">
        <f t="shared" si="15"/>
        <v>237.44</v>
      </c>
      <c r="J93" s="103">
        <f t="shared" si="15"/>
        <v>252.04</v>
      </c>
      <c r="K93" s="103">
        <f t="shared" si="15"/>
        <v>271.54000000000002</v>
      </c>
      <c r="L93" s="103">
        <f t="shared" si="15"/>
        <v>270.74</v>
      </c>
      <c r="M93" s="103">
        <f t="shared" si="15"/>
        <v>365.24</v>
      </c>
      <c r="N93" s="103">
        <f t="shared" si="15"/>
        <v>312.04000000000002</v>
      </c>
      <c r="O93" s="103">
        <f t="shared" si="15"/>
        <v>283.64</v>
      </c>
      <c r="P93" s="103">
        <f t="shared" si="15"/>
        <v>280.14</v>
      </c>
      <c r="Q93" s="103">
        <f t="shared" si="15"/>
        <v>271.94</v>
      </c>
      <c r="R93" s="103">
        <f t="shared" si="15"/>
        <v>268.74</v>
      </c>
      <c r="S93" s="103">
        <f t="shared" si="15"/>
        <v>272.04000000000002</v>
      </c>
      <c r="T93" s="103">
        <f t="shared" si="15"/>
        <v>276.04000000000002</v>
      </c>
      <c r="U93" s="103">
        <f t="shared" si="15"/>
        <v>276.04000000000002</v>
      </c>
      <c r="V93" s="103">
        <f t="shared" si="15"/>
        <v>275.14</v>
      </c>
      <c r="W93" s="103">
        <f>SUM(W15,W18,W21:W22,W42,W44:W45,W47,W49,W94:W97,W103,W109,W115,W124,W126,W138,W145,W148:W149,W156,W158,W160,W164:W166,W168:W170,W175,W181:W182,W184:W186,W194,W199)</f>
        <v>279.14</v>
      </c>
      <c r="X93" s="103">
        <f>SUM(X15,X18,X21:X22,X42,X44:X45,X47,X49,X94:X97,X103,X109,X115,X124,X126,X138,X145,X148:X149,X156,X158,X160,X164:X166,X168:X170,X175,X181:X182,X184:X186,X194,X199)</f>
        <v>282.14</v>
      </c>
      <c r="Y93" s="103">
        <f t="shared" si="15"/>
        <v>286.24</v>
      </c>
      <c r="Z93" s="103">
        <f t="shared" si="15"/>
        <v>312.14</v>
      </c>
      <c r="AA93" s="103">
        <f t="shared" si="15"/>
        <v>361.84000000000003</v>
      </c>
      <c r="AB93" s="103">
        <f t="shared" si="15"/>
        <v>328.54</v>
      </c>
      <c r="AC93" s="103">
        <f t="shared" si="15"/>
        <v>314.04000000000002</v>
      </c>
      <c r="AD93" s="103">
        <f t="shared" si="15"/>
        <v>284.24</v>
      </c>
      <c r="AE93" s="103">
        <f t="shared" si="15"/>
        <v>225.13999999999996</v>
      </c>
      <c r="AF93" s="103">
        <f t="shared" si="15"/>
        <v>183.53999999999996</v>
      </c>
      <c r="AG93" s="104"/>
      <c r="AH93" s="54">
        <f>MAX(C93:AF93)</f>
        <v>365.24</v>
      </c>
      <c r="AI93" s="55">
        <f>MIN(C93:AF93)</f>
        <v>157.34</v>
      </c>
    </row>
    <row r="94" spans="1:88" x14ac:dyDescent="0.25">
      <c r="A94" s="105" t="s">
        <v>99</v>
      </c>
      <c r="B94" s="106">
        <v>59.5</v>
      </c>
      <c r="C94" s="106">
        <v>64.7</v>
      </c>
      <c r="D94" s="106">
        <v>33.5</v>
      </c>
      <c r="E94" s="106">
        <v>69.7</v>
      </c>
      <c r="F94" s="106">
        <v>67.900000000000006</v>
      </c>
      <c r="G94" s="106">
        <v>71.5</v>
      </c>
      <c r="H94" s="106">
        <v>70.599999999999994</v>
      </c>
      <c r="I94" s="106">
        <v>80</v>
      </c>
      <c r="J94" s="106">
        <v>75.400000000000006</v>
      </c>
      <c r="K94" s="106">
        <v>82.9</v>
      </c>
      <c r="L94" s="106">
        <v>81.900000000000006</v>
      </c>
      <c r="M94" s="106">
        <v>82.4</v>
      </c>
      <c r="N94" s="106">
        <v>81.599999999999994</v>
      </c>
      <c r="O94" s="106">
        <v>67</v>
      </c>
      <c r="P94" s="106">
        <v>50</v>
      </c>
      <c r="Q94" s="106">
        <v>47.8</v>
      </c>
      <c r="R94" s="106">
        <v>49.2</v>
      </c>
      <c r="S94" s="106">
        <v>44</v>
      </c>
      <c r="T94" s="106">
        <v>71</v>
      </c>
      <c r="U94" s="106">
        <v>71</v>
      </c>
      <c r="V94" s="106">
        <v>56</v>
      </c>
      <c r="W94" s="106">
        <v>63</v>
      </c>
      <c r="X94" s="106">
        <v>68</v>
      </c>
      <c r="Y94" s="106">
        <v>63</v>
      </c>
      <c r="Z94" s="106">
        <v>53</v>
      </c>
      <c r="AA94" s="106">
        <v>41</v>
      </c>
      <c r="AB94" s="106">
        <v>55</v>
      </c>
      <c r="AC94" s="106">
        <v>55</v>
      </c>
      <c r="AD94" s="106">
        <v>50.2</v>
      </c>
      <c r="AE94" s="106">
        <v>61.6</v>
      </c>
      <c r="AF94" s="106">
        <v>47</v>
      </c>
      <c r="AG94" s="107">
        <v>75</v>
      </c>
      <c r="AH94" s="54">
        <f t="shared" ref="AH94:AH100" si="16">IF(ABS(MAX(C94:AF94))&gt;ABS(MIN(C94:AF94)),MAX(C94:AF94),MIN(C94:AF94))</f>
        <v>82.9</v>
      </c>
      <c r="AI94" s="108">
        <f t="shared" ref="AI94:AI100" si="17">INDEX($C$9:$AF$9,1,MATCH(AH94,C94:AF94,0))</f>
        <v>0.29166666666666669</v>
      </c>
    </row>
    <row r="95" spans="1:88" x14ac:dyDescent="0.25">
      <c r="A95" s="109" t="s">
        <v>100</v>
      </c>
      <c r="B95" s="110">
        <f>-38.8-46.2</f>
        <v>-85</v>
      </c>
      <c r="C95" s="110">
        <f>-44-48.6</f>
        <v>-92.6</v>
      </c>
      <c r="D95" s="110">
        <f>-41-45.4</f>
        <v>-86.4</v>
      </c>
      <c r="E95" s="110">
        <v>-89</v>
      </c>
      <c r="F95" s="110">
        <f>-38.1-42.8</f>
        <v>-80.900000000000006</v>
      </c>
      <c r="G95" s="110">
        <v>-78</v>
      </c>
      <c r="H95" s="110">
        <v>-44</v>
      </c>
      <c r="I95" s="110">
        <v>-32</v>
      </c>
      <c r="J95" s="110">
        <v>-25</v>
      </c>
      <c r="K95" s="110">
        <v>-20</v>
      </c>
      <c r="L95" s="110">
        <v>-23</v>
      </c>
      <c r="M95" s="110">
        <v>10.6</v>
      </c>
      <c r="N95" s="110">
        <v>-14.5</v>
      </c>
      <c r="O95" s="110">
        <v>-28.3</v>
      </c>
      <c r="P95" s="110">
        <v>-35</v>
      </c>
      <c r="Q95" s="110">
        <v>-48</v>
      </c>
      <c r="R95" s="110">
        <v>-49</v>
      </c>
      <c r="S95" s="110">
        <v>-55</v>
      </c>
      <c r="T95" s="110">
        <v>-60</v>
      </c>
      <c r="U95" s="110">
        <v>-60</v>
      </c>
      <c r="V95" s="110">
        <v>-30</v>
      </c>
      <c r="W95" s="110">
        <v>-35</v>
      </c>
      <c r="X95" s="110">
        <v>-40</v>
      </c>
      <c r="Y95" s="110">
        <v>-26</v>
      </c>
      <c r="Z95" s="110">
        <v>-9</v>
      </c>
      <c r="AA95" s="110">
        <v>-22</v>
      </c>
      <c r="AB95" s="110">
        <v>-21.8</v>
      </c>
      <c r="AC95" s="110">
        <v>-27</v>
      </c>
      <c r="AD95" s="110">
        <v>-54</v>
      </c>
      <c r="AE95" s="110">
        <v>-78</v>
      </c>
      <c r="AF95" s="110">
        <v>-92</v>
      </c>
      <c r="AG95" s="107">
        <v>240</v>
      </c>
      <c r="AH95" s="54">
        <f t="shared" si="16"/>
        <v>-92.6</v>
      </c>
      <c r="AI95" s="108">
        <f t="shared" si="17"/>
        <v>4.1666666666666664E-2</v>
      </c>
    </row>
    <row r="96" spans="1:88" x14ac:dyDescent="0.25">
      <c r="A96" s="109" t="s">
        <v>101</v>
      </c>
      <c r="B96" s="110">
        <v>16.399999999999999</v>
      </c>
      <c r="C96" s="110">
        <v>0.8</v>
      </c>
      <c r="D96" s="110">
        <v>3.4</v>
      </c>
      <c r="E96" s="110">
        <v>0.2</v>
      </c>
      <c r="F96" s="110">
        <v>0.6</v>
      </c>
      <c r="G96" s="110">
        <v>2.2999999999999998</v>
      </c>
      <c r="H96" s="110">
        <v>5.8</v>
      </c>
      <c r="I96" s="110">
        <v>10.4</v>
      </c>
      <c r="J96" s="110">
        <v>12.8</v>
      </c>
      <c r="K96" s="110">
        <v>18.600000000000001</v>
      </c>
      <c r="L96" s="110">
        <v>17.7</v>
      </c>
      <c r="M96" s="110">
        <v>19</v>
      </c>
      <c r="N96" s="110">
        <v>16.100000000000001</v>
      </c>
      <c r="O96" s="110">
        <v>12.6</v>
      </c>
      <c r="P96" s="110">
        <v>12</v>
      </c>
      <c r="Q96" s="110">
        <v>10</v>
      </c>
      <c r="R96" s="110">
        <v>14.9</v>
      </c>
      <c r="S96" s="110">
        <v>15</v>
      </c>
      <c r="T96" s="110">
        <v>14</v>
      </c>
      <c r="U96" s="110">
        <v>14</v>
      </c>
      <c r="V96" s="110">
        <v>37</v>
      </c>
      <c r="W96" s="110">
        <v>37</v>
      </c>
      <c r="X96" s="110">
        <v>40</v>
      </c>
      <c r="Y96" s="110">
        <v>34.6</v>
      </c>
      <c r="Z96" s="110">
        <v>38</v>
      </c>
      <c r="AA96" s="110">
        <v>52</v>
      </c>
      <c r="AB96" s="110">
        <v>50</v>
      </c>
      <c r="AC96" s="110">
        <v>48</v>
      </c>
      <c r="AD96" s="110">
        <v>36.299999999999997</v>
      </c>
      <c r="AE96" s="110">
        <v>19</v>
      </c>
      <c r="AF96" s="110">
        <v>6.9</v>
      </c>
      <c r="AG96" s="107">
        <v>60</v>
      </c>
      <c r="AH96" s="54">
        <f t="shared" si="16"/>
        <v>52</v>
      </c>
      <c r="AI96" s="108">
        <f t="shared" si="17"/>
        <v>0.8125</v>
      </c>
    </row>
    <row r="97" spans="1:37" x14ac:dyDescent="0.25">
      <c r="A97" s="111" t="s">
        <v>102</v>
      </c>
      <c r="B97" s="112">
        <v>24.6</v>
      </c>
      <c r="C97" s="112">
        <v>29.7</v>
      </c>
      <c r="D97" s="112">
        <v>52</v>
      </c>
      <c r="E97" s="112">
        <v>13.2</v>
      </c>
      <c r="F97" s="112">
        <v>16.3</v>
      </c>
      <c r="G97" s="112">
        <v>22.1</v>
      </c>
      <c r="H97" s="112">
        <v>25.5</v>
      </c>
      <c r="I97" s="112">
        <v>15.8</v>
      </c>
      <c r="J97" s="112">
        <v>25.6</v>
      </c>
      <c r="K97" s="112">
        <v>26.7</v>
      </c>
      <c r="L97" s="112">
        <v>30.8</v>
      </c>
      <c r="M97" s="112">
        <v>79.2</v>
      </c>
      <c r="N97" s="112">
        <v>54.8</v>
      </c>
      <c r="O97" s="112">
        <v>58.2</v>
      </c>
      <c r="P97" s="112">
        <v>65</v>
      </c>
      <c r="Q97" s="112">
        <v>74</v>
      </c>
      <c r="R97" s="112">
        <v>65.599999999999994</v>
      </c>
      <c r="S97" s="112">
        <v>80</v>
      </c>
      <c r="T97" s="112">
        <v>63</v>
      </c>
      <c r="U97" s="112">
        <v>63</v>
      </c>
      <c r="V97" s="112">
        <v>23</v>
      </c>
      <c r="W97" s="112">
        <v>25</v>
      </c>
      <c r="X97" s="112">
        <v>25</v>
      </c>
      <c r="Y97" s="112">
        <v>25.5</v>
      </c>
      <c r="Z97" s="112">
        <v>41</v>
      </c>
      <c r="AA97" s="112">
        <v>102</v>
      </c>
      <c r="AB97" s="112">
        <v>56.7</v>
      </c>
      <c r="AC97" s="112">
        <v>49.4</v>
      </c>
      <c r="AD97" s="112">
        <v>62.6</v>
      </c>
      <c r="AE97" s="112">
        <v>33.4</v>
      </c>
      <c r="AF97" s="112">
        <v>32.5</v>
      </c>
      <c r="AG97" s="113">
        <v>120</v>
      </c>
      <c r="AH97" s="54">
        <f t="shared" si="16"/>
        <v>102</v>
      </c>
      <c r="AI97" s="108">
        <f t="shared" si="17"/>
        <v>0.8125</v>
      </c>
    </row>
    <row r="98" spans="1:37" x14ac:dyDescent="0.25">
      <c r="A98" s="111" t="s">
        <v>103</v>
      </c>
      <c r="B98" s="112">
        <v>48</v>
      </c>
      <c r="C98" s="112">
        <v>54</v>
      </c>
      <c r="D98" s="112">
        <v>70</v>
      </c>
      <c r="E98" s="112">
        <v>35.299999999999997</v>
      </c>
      <c r="F98" s="112">
        <v>39.1</v>
      </c>
      <c r="G98" s="112">
        <v>42.3</v>
      </c>
      <c r="H98" s="112">
        <v>28</v>
      </c>
      <c r="I98" s="112">
        <v>16</v>
      </c>
      <c r="J98" s="112">
        <v>18.8</v>
      </c>
      <c r="K98" s="112">
        <v>14</v>
      </c>
      <c r="L98" s="112">
        <v>20.100000000000001</v>
      </c>
      <c r="M98" s="112">
        <v>56.4</v>
      </c>
      <c r="N98" s="112">
        <v>42.6</v>
      </c>
      <c r="O98" s="112">
        <v>48.7</v>
      </c>
      <c r="P98" s="112">
        <v>65</v>
      </c>
      <c r="Q98" s="112">
        <v>70</v>
      </c>
      <c r="R98" s="112">
        <v>66</v>
      </c>
      <c r="S98" s="112">
        <v>85</v>
      </c>
      <c r="T98" s="112">
        <v>57</v>
      </c>
      <c r="U98" s="112">
        <v>57</v>
      </c>
      <c r="V98" s="112">
        <v>62</v>
      </c>
      <c r="W98" s="112">
        <v>50</v>
      </c>
      <c r="X98" s="112">
        <v>50</v>
      </c>
      <c r="Y98" s="112">
        <v>56</v>
      </c>
      <c r="Z98" s="112">
        <v>80</v>
      </c>
      <c r="AA98" s="112">
        <v>85</v>
      </c>
      <c r="AB98" s="112">
        <v>78.599999999999994</v>
      </c>
      <c r="AC98" s="112">
        <v>78</v>
      </c>
      <c r="AD98" s="112">
        <v>58.5</v>
      </c>
      <c r="AE98" s="112">
        <v>44.5</v>
      </c>
      <c r="AF98" s="112">
        <v>51</v>
      </c>
      <c r="AG98" s="113"/>
      <c r="AH98" s="54">
        <f t="shared" si="16"/>
        <v>85</v>
      </c>
      <c r="AI98" s="108">
        <f t="shared" si="17"/>
        <v>0.58333333333333304</v>
      </c>
    </row>
    <row r="99" spans="1:37" x14ac:dyDescent="0.25">
      <c r="A99" s="111" t="s">
        <v>233</v>
      </c>
      <c r="B99" s="112">
        <v>58.7</v>
      </c>
      <c r="C99" s="112">
        <v>54.1</v>
      </c>
      <c r="D99" s="112">
        <v>87</v>
      </c>
      <c r="E99" s="112">
        <v>45</v>
      </c>
      <c r="F99" s="112">
        <v>8.8000000000000007</v>
      </c>
      <c r="G99" s="112">
        <v>11.2</v>
      </c>
      <c r="H99" s="112">
        <v>5.4</v>
      </c>
      <c r="I99" s="112">
        <v>0</v>
      </c>
      <c r="J99" s="112">
        <v>6</v>
      </c>
      <c r="K99" s="112">
        <v>15.5</v>
      </c>
      <c r="L99" s="112">
        <v>20.399999999999999</v>
      </c>
      <c r="M99" s="112">
        <v>33.799999999999997</v>
      </c>
      <c r="N99" s="112">
        <v>44.1</v>
      </c>
      <c r="O99" s="112">
        <v>57.6</v>
      </c>
      <c r="P99" s="112">
        <v>65</v>
      </c>
      <c r="Q99" s="112">
        <v>70</v>
      </c>
      <c r="R99" s="112">
        <v>72</v>
      </c>
      <c r="S99" s="112">
        <v>77</v>
      </c>
      <c r="T99" s="112">
        <v>51</v>
      </c>
      <c r="U99" s="112">
        <v>51</v>
      </c>
      <c r="V99" s="112">
        <v>62</v>
      </c>
      <c r="W99" s="112">
        <v>60</v>
      </c>
      <c r="X99" s="112">
        <v>54</v>
      </c>
      <c r="Y99" s="112">
        <v>58</v>
      </c>
      <c r="Z99" s="112">
        <v>75</v>
      </c>
      <c r="AA99" s="112">
        <v>84</v>
      </c>
      <c r="AB99" s="112">
        <v>53</v>
      </c>
      <c r="AC99" s="112">
        <v>53</v>
      </c>
      <c r="AD99" s="112">
        <v>57.4</v>
      </c>
      <c r="AE99" s="112">
        <v>26.5</v>
      </c>
      <c r="AF99" s="112">
        <v>65.7</v>
      </c>
      <c r="AG99" s="114"/>
      <c r="AH99" s="54">
        <f t="shared" si="16"/>
        <v>87</v>
      </c>
      <c r="AI99" s="108">
        <f t="shared" si="17"/>
        <v>8.3333333333333301E-2</v>
      </c>
    </row>
    <row r="100" spans="1:37" ht="15.75" thickBot="1" x14ac:dyDescent="0.3">
      <c r="A100" s="115" t="s">
        <v>105</v>
      </c>
      <c r="B100" s="95">
        <v>62</v>
      </c>
      <c r="C100" s="95">
        <v>59</v>
      </c>
      <c r="D100" s="95">
        <v>53</v>
      </c>
      <c r="E100" s="95">
        <v>49.2</v>
      </c>
      <c r="F100" s="95">
        <v>43.2</v>
      </c>
      <c r="G100" s="95">
        <v>44.4</v>
      </c>
      <c r="H100" s="95">
        <v>39</v>
      </c>
      <c r="I100" s="95">
        <v>37.4</v>
      </c>
      <c r="J100" s="95">
        <v>46</v>
      </c>
      <c r="K100" s="95">
        <v>54.3</v>
      </c>
      <c r="L100" s="95">
        <v>58.3</v>
      </c>
      <c r="M100" s="95">
        <v>36.5</v>
      </c>
      <c r="N100" s="95">
        <v>36.5</v>
      </c>
      <c r="O100" s="95">
        <v>28.9</v>
      </c>
      <c r="P100" s="95">
        <v>40</v>
      </c>
      <c r="Q100" s="95">
        <v>49</v>
      </c>
      <c r="R100" s="95">
        <v>34</v>
      </c>
      <c r="S100" s="95">
        <v>50</v>
      </c>
      <c r="T100" s="95">
        <v>65</v>
      </c>
      <c r="U100" s="95">
        <v>65</v>
      </c>
      <c r="V100" s="95">
        <v>48</v>
      </c>
      <c r="W100" s="95">
        <v>44</v>
      </c>
      <c r="X100" s="95">
        <v>44</v>
      </c>
      <c r="Y100" s="95">
        <v>52</v>
      </c>
      <c r="Z100" s="95">
        <v>54</v>
      </c>
      <c r="AA100" s="95">
        <v>64</v>
      </c>
      <c r="AB100" s="95">
        <v>64.8</v>
      </c>
      <c r="AC100" s="95">
        <v>60</v>
      </c>
      <c r="AD100" s="95">
        <v>58.2</v>
      </c>
      <c r="AE100" s="95">
        <v>61.9</v>
      </c>
      <c r="AF100" s="95">
        <v>53.7</v>
      </c>
      <c r="AG100" s="114"/>
      <c r="AH100" s="54">
        <f t="shared" si="16"/>
        <v>65</v>
      </c>
      <c r="AI100" s="108">
        <f t="shared" si="17"/>
        <v>0.625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 t="s">
        <v>232</v>
      </c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1106.6200000000001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8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2079/02/8)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2079/02/8)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1189.1399999999999</v>
      </c>
      <c r="U214" s="161">
        <f t="shared" si="54"/>
        <v>1192.07</v>
      </c>
      <c r="V214" s="161">
        <f t="shared" si="54"/>
        <v>1085.57</v>
      </c>
      <c r="W214" s="161">
        <f t="shared" si="54"/>
        <v>1068.3800000000001</v>
      </c>
      <c r="X214" s="161">
        <f t="shared" si="54"/>
        <v>969.54000000000008</v>
      </c>
      <c r="Y214" s="161">
        <f t="shared" si="54"/>
        <v>979.94</v>
      </c>
      <c r="Z214" s="161">
        <f t="shared" si="54"/>
        <v>924.04000000000019</v>
      </c>
      <c r="AA214" s="161">
        <f t="shared" si="54"/>
        <v>910.44</v>
      </c>
      <c r="AB214" s="161">
        <f t="shared" si="54"/>
        <v>948.1400000000001</v>
      </c>
      <c r="AC214" s="161">
        <f t="shared" si="54"/>
        <v>990.63999999999987</v>
      </c>
      <c r="AD214" s="161">
        <f t="shared" si="54"/>
        <v>1004.14</v>
      </c>
      <c r="AE214" s="161">
        <f t="shared" si="54"/>
        <v>1062.44</v>
      </c>
      <c r="AF214" s="161">
        <f t="shared" si="54"/>
        <v>1106.6200000000001</v>
      </c>
      <c r="AG214" s="161">
        <f t="shared" si="54"/>
        <v>1099.44</v>
      </c>
      <c r="AH214" s="161">
        <f t="shared" si="54"/>
        <v>1172.94</v>
      </c>
      <c r="AI214" s="161">
        <f t="shared" si="54"/>
        <v>1230.6400000000001</v>
      </c>
      <c r="AJ214" s="161">
        <f t="shared" si="54"/>
        <v>1190.94</v>
      </c>
      <c r="AK214" s="161">
        <f t="shared" si="54"/>
        <v>1294.6400000000001</v>
      </c>
      <c r="AL214" s="161">
        <f t="shared" si="54"/>
        <v>1290.6400000000001</v>
      </c>
      <c r="AM214" s="161">
        <f t="shared" si="54"/>
        <v>1241.6399999999999</v>
      </c>
      <c r="AN214" s="161">
        <f t="shared" si="54"/>
        <v>1304.04</v>
      </c>
      <c r="AO214" s="161">
        <f t="shared" si="54"/>
        <v>1225.04</v>
      </c>
      <c r="AP214" s="161">
        <f t="shared" si="54"/>
        <v>1231.94</v>
      </c>
      <c r="AQ214" s="161">
        <f t="shared" si="54"/>
        <v>1260.74</v>
      </c>
      <c r="AR214" s="161">
        <f t="shared" si="54"/>
        <v>1334.74</v>
      </c>
      <c r="AS214" s="161">
        <f t="shared" si="54"/>
        <v>1474.54</v>
      </c>
      <c r="AT214" s="161">
        <f t="shared" si="54"/>
        <v>1464.94</v>
      </c>
      <c r="AU214" s="161">
        <f t="shared" si="54"/>
        <v>1443.94</v>
      </c>
      <c r="AV214" s="161">
        <f t="shared" si="54"/>
        <v>1408.6399999999999</v>
      </c>
      <c r="AW214" s="161">
        <f t="shared" si="54"/>
        <v>1309.1400000000001</v>
      </c>
      <c r="AX214" s="161">
        <f t="shared" si="54"/>
        <v>1280.7400000000002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4556" priority="202">
      <formula>B$9&gt;=20/24</formula>
    </cfRule>
    <cfRule type="expression" dxfId="4555" priority="203">
      <formula>AND(B$9&gt;=14/24,B$9&lt;20/24)</formula>
    </cfRule>
    <cfRule type="expression" dxfId="4554" priority="204">
      <formula>AND(B$9&gt;=8/24,B$9&lt;14/24)</formula>
    </cfRule>
    <cfRule type="expression" dxfId="4553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552" priority="197">
      <formula>S$9&gt;=20/24</formula>
    </cfRule>
    <cfRule type="expression" dxfId="4551" priority="198">
      <formula>AND(S$9&gt;=14/24,S$9&lt;20/24)</formula>
    </cfRule>
    <cfRule type="expression" dxfId="4550" priority="199">
      <formula>AND(S$9&gt;=8/24,S$9&lt;14/24)</formula>
    </cfRule>
    <cfRule type="expression" dxfId="4549" priority="200">
      <formula>S$9&lt;8/24</formula>
    </cfRule>
  </conditionalFormatting>
  <conditionalFormatting sqref="AG51 S37:AF37 J11:AF11">
    <cfRule type="expression" dxfId="4548" priority="196">
      <formula>J11&gt;$AG11</formula>
    </cfRule>
  </conditionalFormatting>
  <conditionalFormatting sqref="A101:A157 A84:A97 A11:A14 A16:A32 A45:A72 A80:A82 A74:A78 A35:A43 A170:A200">
    <cfRule type="expression" dxfId="4547" priority="195">
      <formula>$AH11=0</formula>
    </cfRule>
  </conditionalFormatting>
  <conditionalFormatting sqref="A98">
    <cfRule type="expression" dxfId="4546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545" priority="192">
      <formula>$AH34=0</formula>
    </cfRule>
  </conditionalFormatting>
  <conditionalFormatting sqref="A83">
    <cfRule type="expression" dxfId="4544" priority="191">
      <formula>$AH83=0</formula>
    </cfRule>
  </conditionalFormatting>
  <conditionalFormatting sqref="A15">
    <cfRule type="expression" dxfId="4543" priority="190">
      <formula>$AH15=0</formula>
    </cfRule>
  </conditionalFormatting>
  <conditionalFormatting sqref="A164:A169">
    <cfRule type="expression" dxfId="4542" priority="189">
      <formula>$AH164=0</formula>
    </cfRule>
  </conditionalFormatting>
  <conditionalFormatting sqref="A158:A163">
    <cfRule type="expression" dxfId="4541" priority="188">
      <formula>$AH158=0</formula>
    </cfRule>
  </conditionalFormatting>
  <conditionalFormatting sqref="A44">
    <cfRule type="expression" dxfId="4540" priority="187">
      <formula>$AH44=0</formula>
    </cfRule>
  </conditionalFormatting>
  <conditionalFormatting sqref="A79">
    <cfRule type="expression" dxfId="4539" priority="186">
      <formula>$AH79=0</formula>
    </cfRule>
  </conditionalFormatting>
  <conditionalFormatting sqref="A73">
    <cfRule type="expression" dxfId="4538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537" priority="181">
      <formula>C$9&gt;=20/24</formula>
    </cfRule>
    <cfRule type="expression" dxfId="4536" priority="182">
      <formula>AND(C$9&gt;=14/24,C$9&lt;20/24)</formula>
    </cfRule>
    <cfRule type="expression" dxfId="4535" priority="183">
      <formula>AND(C$9&gt;=8/24,C$9&lt;14/24)</formula>
    </cfRule>
    <cfRule type="expression" dxfId="4534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33" priority="209">
      <formula>C$9&gt;=20/24</formula>
    </cfRule>
    <cfRule type="expression" dxfId="4532" priority="210">
      <formula>AND(C$9&gt;=14/24,C$9&lt;20/24)</formula>
    </cfRule>
    <cfRule type="expression" dxfId="4531" priority="211">
      <formula>AND(C$9&gt;=8/24,C$9&lt;14/24)</formula>
    </cfRule>
    <cfRule type="expression" dxfId="4530" priority="212">
      <formula>C$9&lt;8/24</formula>
    </cfRule>
  </conditionalFormatting>
  <conditionalFormatting sqref="A201">
    <cfRule type="expression" dxfId="4529" priority="213">
      <formula>$AH201=0</formula>
    </cfRule>
  </conditionalFormatting>
  <conditionalFormatting sqref="AG213">
    <cfRule type="expression" dxfId="4528" priority="214">
      <formula>B$9&gt;=20/24</formula>
    </cfRule>
    <cfRule type="expression" dxfId="4527" priority="215">
      <formula>AND(B$9&gt;=14/24,B$9&lt;20/24)</formula>
    </cfRule>
    <cfRule type="expression" dxfId="4526" priority="216">
      <formula>AND(B$9&gt;=8/24,B$9&lt;14/24)</formula>
    </cfRule>
    <cfRule type="expression" dxfId="4525" priority="217">
      <formula>B$9&lt;8/24</formula>
    </cfRule>
  </conditionalFormatting>
  <conditionalFormatting sqref="S8">
    <cfRule type="expression" dxfId="4524" priority="175">
      <formula>U$9&gt;=20/24</formula>
    </cfRule>
    <cfRule type="expression" dxfId="4523" priority="176">
      <formula>AND(U$9&gt;=14/24,U$9&lt;20/24)</formula>
    </cfRule>
    <cfRule type="expression" dxfId="4522" priority="177">
      <formula>AND(U$9&gt;=8/24,U$9&lt;14/24)</formula>
    </cfRule>
    <cfRule type="expression" dxfId="4521" priority="178">
      <formula>U$9&lt;8/24</formula>
    </cfRule>
  </conditionalFormatting>
  <conditionalFormatting sqref="AB8">
    <cfRule type="expression" dxfId="4520" priority="171">
      <formula>AD$9&gt;=20/24</formula>
    </cfRule>
    <cfRule type="expression" dxfId="4519" priority="172">
      <formula>AND(AD$9&gt;=14/24,AD$9&lt;20/24)</formula>
    </cfRule>
    <cfRule type="expression" dxfId="4518" priority="173">
      <formula>AND(AD$9&gt;=8/24,AD$9&lt;14/24)</formula>
    </cfRule>
    <cfRule type="expression" dxfId="4517" priority="174">
      <formula>AD$9&lt;8/24</formula>
    </cfRule>
  </conditionalFormatting>
  <conditionalFormatting sqref="AH213:AX213">
    <cfRule type="expression" dxfId="4516" priority="218">
      <formula>AG$9&gt;=20/24</formula>
    </cfRule>
    <cfRule type="expression" dxfId="4515" priority="219">
      <formula>AND(AG$9&gt;=14/24,AG$9&lt;20/24)</formula>
    </cfRule>
    <cfRule type="expression" dxfId="4514" priority="220">
      <formula>AND(AG$9&gt;=8/24,AG$9&lt;14/24)</formula>
    </cfRule>
    <cfRule type="expression" dxfId="4513" priority="221">
      <formula>AG$9&lt;8/24</formula>
    </cfRule>
  </conditionalFormatting>
  <conditionalFormatting sqref="T213">
    <cfRule type="expression" dxfId="4512" priority="222">
      <formula>AX$9&gt;=20/24</formula>
    </cfRule>
    <cfRule type="expression" dxfId="4511" priority="223">
      <formula>AND(AX$9&gt;=14/24,AX$9&lt;20/24)</formula>
    </cfRule>
    <cfRule type="expression" dxfId="4510" priority="224">
      <formula>AND(AX$9&gt;=8/24,AX$9&lt;14/24)</formula>
    </cfRule>
    <cfRule type="expression" dxfId="4509" priority="225">
      <formula>AX$9&lt;8/24</formula>
    </cfRule>
  </conditionalFormatting>
  <conditionalFormatting sqref="A99:A100">
    <cfRule type="expression" dxfId="4508" priority="170">
      <formula>$AH99=0</formula>
    </cfRule>
  </conditionalFormatting>
  <conditionalFormatting sqref="E11:I11 E40:L41 E57:AF57 AA36:AF36 AB40:AF41">
    <cfRule type="expression" dxfId="4507" priority="166">
      <formula>E$9&gt;=20/24</formula>
    </cfRule>
    <cfRule type="expression" dxfId="4506" priority="167">
      <formula>AND(E$9&gt;=14/24,E$9&lt;20/24)</formula>
    </cfRule>
    <cfRule type="expression" dxfId="4505" priority="168">
      <formula>AND(E$9&gt;=8/24,E$9&lt;14/24)</formula>
    </cfRule>
    <cfRule type="expression" dxfId="4504" priority="169">
      <formula>E$9&lt;8/24</formula>
    </cfRule>
  </conditionalFormatting>
  <conditionalFormatting sqref="E39:L39 AB39:AF39">
    <cfRule type="expression" dxfId="4503" priority="162">
      <formula>E$9&gt;=20/24</formula>
    </cfRule>
    <cfRule type="expression" dxfId="4502" priority="163">
      <formula>AND(E$9&gt;=14/24,E$9&lt;20/24)</formula>
    </cfRule>
    <cfRule type="expression" dxfId="4501" priority="164">
      <formula>AND(E$9&gt;=8/24,E$9&lt;14/24)</formula>
    </cfRule>
    <cfRule type="expression" dxfId="4500" priority="165">
      <formula>E$9&lt;8/24</formula>
    </cfRule>
  </conditionalFormatting>
  <conditionalFormatting sqref="E11:I11 E39:L41 AA36:AF36 AB39:AF41">
    <cfRule type="expression" dxfId="4499" priority="161">
      <formula>E11&gt;$AG11</formula>
    </cfRule>
  </conditionalFormatting>
  <conditionalFormatting sqref="M11:R11 C83:AF83 C75:AF81 E58:L59 C68:AF73 K61 J60:K60 L60:L61 M58:Q61 C85:AF91 C53:AF56 E12:AF14 AA28:AF31 AA18:AF22 AA24:AF26 M16:AF16 R58:AF67">
    <cfRule type="expression" dxfId="4498" priority="157">
      <formula>C$9&gt;=20/24</formula>
    </cfRule>
    <cfRule type="expression" dxfId="4497" priority="158">
      <formula>AND(C$9&gt;=14/24,C$9&lt;20/24)</formula>
    </cfRule>
    <cfRule type="expression" dxfId="4496" priority="159">
      <formula>AND(C$9&gt;=8/24,C$9&lt;14/24)</formula>
    </cfRule>
    <cfRule type="expression" dxfId="4495" priority="160">
      <formula>C$9&lt;8/24</formula>
    </cfRule>
  </conditionalFormatting>
  <conditionalFormatting sqref="AA32:AF32">
    <cfRule type="expression" dxfId="4494" priority="153">
      <formula>AA$9&gt;=20/24</formula>
    </cfRule>
    <cfRule type="expression" dxfId="4493" priority="154">
      <formula>AND(AA$9&gt;=14/24,AA$9&lt;20/24)</formula>
    </cfRule>
    <cfRule type="expression" dxfId="4492" priority="155">
      <formula>AND(AA$9&gt;=8/24,AA$9&lt;14/24)</formula>
    </cfRule>
    <cfRule type="expression" dxfId="4491" priority="156">
      <formula>AA$9&lt;8/24</formula>
    </cfRule>
  </conditionalFormatting>
  <conditionalFormatting sqref="AA35:AF35">
    <cfRule type="expression" dxfId="4490" priority="149">
      <formula>AA$9&gt;=20/24</formula>
    </cfRule>
    <cfRule type="expression" dxfId="4489" priority="150">
      <formula>AND(AA$9&gt;=14/24,AA$9&lt;20/24)</formula>
    </cfRule>
    <cfRule type="expression" dxfId="4488" priority="151">
      <formula>AND(AA$9&gt;=8/24,AA$9&lt;14/24)</formula>
    </cfRule>
    <cfRule type="expression" dxfId="4487" priority="152">
      <formula>AA$9&lt;8/24</formula>
    </cfRule>
  </conditionalFormatting>
  <conditionalFormatting sqref="M11:R11 C38:AF38 E42:L43 C37:R37 M27:Z27 E12:AD15 C51:AF56 M16:AD16 AA34:AF35 AA18:AF22 AA24:AF32 AE12:AF16 AB42:AF43">
    <cfRule type="expression" dxfId="4486" priority="148">
      <formula>C11&gt;$AG11</formula>
    </cfRule>
  </conditionalFormatting>
  <conditionalFormatting sqref="AA34:AF34">
    <cfRule type="expression" dxfId="4485" priority="144">
      <formula>AA$9&gt;=20/24</formula>
    </cfRule>
    <cfRule type="expression" dxfId="4484" priority="145">
      <formula>AND(AA$9&gt;=14/24,AA$9&lt;20/24)</formula>
    </cfRule>
    <cfRule type="expression" dxfId="4483" priority="146">
      <formula>AND(AA$9&gt;=8/24,AA$9&lt;14/24)</formula>
    </cfRule>
    <cfRule type="expression" dxfId="4482" priority="147">
      <formula>AA$9&lt;8/24</formula>
    </cfRule>
  </conditionalFormatting>
  <conditionalFormatting sqref="E15:AF15">
    <cfRule type="expression" dxfId="4481" priority="140">
      <formula>E$9&gt;=20/24</formula>
    </cfRule>
    <cfRule type="expression" dxfId="4480" priority="141">
      <formula>AND(E$9&gt;=14/24,E$9&lt;20/24)</formula>
    </cfRule>
    <cfRule type="expression" dxfId="4479" priority="142">
      <formula>AND(E$9&gt;=8/24,E$9&lt;14/24)</formula>
    </cfRule>
    <cfRule type="expression" dxfId="4478" priority="143">
      <formula>E$9&lt;8/24</formula>
    </cfRule>
  </conditionalFormatting>
  <conditionalFormatting sqref="AA33:AF33">
    <cfRule type="expression" dxfId="4477" priority="136">
      <formula>AA$9&gt;=20/24</formula>
    </cfRule>
    <cfRule type="expression" dxfId="4476" priority="137">
      <formula>AND(AA$9&gt;=14/24,AA$9&lt;20/24)</formula>
    </cfRule>
    <cfRule type="expression" dxfId="4475" priority="138">
      <formula>AND(AA$9&gt;=8/24,AA$9&lt;14/24)</formula>
    </cfRule>
    <cfRule type="expression" dxfId="4474" priority="139">
      <formula>AA$9&lt;8/24</formula>
    </cfRule>
  </conditionalFormatting>
  <conditionalFormatting sqref="AA33:AF33">
    <cfRule type="expression" dxfId="4473" priority="135">
      <formula>AA33&gt;$AG33</formula>
    </cfRule>
  </conditionalFormatting>
  <conditionalFormatting sqref="S11">
    <cfRule type="expression" dxfId="4472" priority="131">
      <formula>S$9&gt;=20/24</formula>
    </cfRule>
    <cfRule type="expression" dxfId="4471" priority="132">
      <formula>AND(S$9&gt;=14/24,S$9&lt;20/24)</formula>
    </cfRule>
    <cfRule type="expression" dxfId="4470" priority="133">
      <formula>AND(S$9&gt;=8/24,S$9&lt;14/24)</formula>
    </cfRule>
    <cfRule type="expression" dxfId="4469" priority="134">
      <formula>S$9&lt;8/24</formula>
    </cfRule>
  </conditionalFormatting>
  <conditionalFormatting sqref="AB44:AF50">
    <cfRule type="expression" dxfId="4468" priority="127">
      <formula>AB$9&gt;=20/24</formula>
    </cfRule>
    <cfRule type="expression" dxfId="4467" priority="128">
      <formula>AND(AB$9&gt;=14/24,AB$9&lt;20/24)</formula>
    </cfRule>
    <cfRule type="expression" dxfId="4466" priority="129">
      <formula>AND(AB$9&gt;=8/24,AB$9&lt;14/24)</formula>
    </cfRule>
    <cfRule type="expression" dxfId="4465" priority="130">
      <formula>AB$9&lt;8/24</formula>
    </cfRule>
  </conditionalFormatting>
  <conditionalFormatting sqref="AB44:AF50">
    <cfRule type="expression" dxfId="4464" priority="126">
      <formula>AB44&gt;$AG44</formula>
    </cfRule>
  </conditionalFormatting>
  <conditionalFormatting sqref="Q39:R41 M39:P43 R42:R50 Q42:Q43 M44:Q44 M49:Q49 S39:AA50">
    <cfRule type="expression" dxfId="4463" priority="122">
      <formula>M$9&gt;=20/24</formula>
    </cfRule>
    <cfRule type="expression" dxfId="4462" priority="123">
      <formula>AND(M$9&gt;=14/24,M$9&lt;20/24)</formula>
    </cfRule>
    <cfRule type="expression" dxfId="4461" priority="124">
      <formula>AND(M$9&gt;=8/24,M$9&lt;14/24)</formula>
    </cfRule>
    <cfRule type="expression" dxfId="4460" priority="125">
      <formula>M$9&lt;8/24</formula>
    </cfRule>
  </conditionalFormatting>
  <conditionalFormatting sqref="Q39:R41 M39:P43 R42:R50 Q42:Q43 M44:Q44 M49:Q49 S39:AA50">
    <cfRule type="expression" dxfId="4459" priority="121">
      <formula>M39&gt;$AG39</formula>
    </cfRule>
  </conditionalFormatting>
  <conditionalFormatting sqref="M27:AF27">
    <cfRule type="expression" dxfId="4458" priority="117">
      <formula>M$9&gt;=20/24</formula>
    </cfRule>
    <cfRule type="expression" dxfId="4457" priority="118">
      <formula>AND(M$9&gt;=14/24,M$9&lt;20/24)</formula>
    </cfRule>
    <cfRule type="expression" dxfId="4456" priority="119">
      <formula>AND(M$9&gt;=8/24,M$9&lt;14/24)</formula>
    </cfRule>
    <cfRule type="expression" dxfId="4455" priority="120">
      <formula>M$9&lt;8/24</formula>
    </cfRule>
  </conditionalFormatting>
  <conditionalFormatting sqref="D11 C74:I74 AA17:AF17 AA23:AF23">
    <cfRule type="expression" dxfId="4454" priority="113">
      <formula>C$9&gt;=20/24</formula>
    </cfRule>
    <cfRule type="expression" dxfId="4453" priority="114">
      <formula>AND(C$9&gt;=14/24,C$9&lt;20/24)</formula>
    </cfRule>
    <cfRule type="expression" dxfId="4452" priority="115">
      <formula>AND(C$9&gt;=8/24,C$9&lt;14/24)</formula>
    </cfRule>
    <cfRule type="expression" dxfId="4451" priority="116">
      <formula>C$9&lt;8/24</formula>
    </cfRule>
  </conditionalFormatting>
  <conditionalFormatting sqref="D11 AA17:AF17 AA23:AF23">
    <cfRule type="expression" dxfId="4450" priority="104">
      <formula>D11&gt;$AG11</formula>
    </cfRule>
  </conditionalFormatting>
  <conditionalFormatting sqref="D39">
    <cfRule type="expression" dxfId="4449" priority="83">
      <formula>D$9&gt;=20/24</formula>
    </cfRule>
    <cfRule type="expression" dxfId="4448" priority="84">
      <formula>AND(D$9&gt;=14/24,D$9&lt;20/24)</formula>
    </cfRule>
    <cfRule type="expression" dxfId="4447" priority="85">
      <formula>AND(D$9&gt;=8/24,D$9&lt;14/24)</formula>
    </cfRule>
    <cfRule type="expression" dxfId="4446" priority="86">
      <formula>D$9&lt;8/24</formula>
    </cfRule>
  </conditionalFormatting>
  <conditionalFormatting sqref="D39">
    <cfRule type="expression" dxfId="4445" priority="82">
      <formula>D39&gt;$AG39</formula>
    </cfRule>
  </conditionalFormatting>
  <conditionalFormatting sqref="B82 B74 B94:B100 B11:C11">
    <cfRule type="expression" dxfId="4444" priority="59">
      <formula>B$9&gt;=20/24</formula>
    </cfRule>
    <cfRule type="expression" dxfId="4443" priority="60">
      <formula>AND(B$9&gt;=14/24,B$9&lt;20/24)</formula>
    </cfRule>
    <cfRule type="expression" dxfId="4442" priority="61">
      <formula>AND(B$9&gt;=8/24,B$9&lt;14/24)</formula>
    </cfRule>
    <cfRule type="expression" dxfId="4441" priority="62">
      <formula>B$9&lt;8/24</formula>
    </cfRule>
  </conditionalFormatting>
  <conditionalFormatting sqref="B37">
    <cfRule type="expression" dxfId="4440" priority="55">
      <formula>B$9&gt;=20/24</formula>
    </cfRule>
    <cfRule type="expression" dxfId="4439" priority="56">
      <formula>AND(B$9&gt;=14/24,B$9&lt;20/24)</formula>
    </cfRule>
    <cfRule type="expression" dxfId="4438" priority="57">
      <formula>AND(B$9&gt;=8/24,B$9&lt;14/24)</formula>
    </cfRule>
    <cfRule type="expression" dxfId="4437" priority="58">
      <formula>B$9&lt;8/24</formula>
    </cfRule>
  </conditionalFormatting>
  <conditionalFormatting sqref="B37 B11:C11">
    <cfRule type="expression" dxfId="4436" priority="54">
      <formula>B11&gt;$AG11</formula>
    </cfRule>
  </conditionalFormatting>
  <conditionalFormatting sqref="B84">
    <cfRule type="expression" dxfId="4435" priority="50">
      <formula>B$9&gt;=20/24</formula>
    </cfRule>
    <cfRule type="expression" dxfId="4434" priority="51">
      <formula>AND(B$9&gt;=14/24,B$9&lt;20/24)</formula>
    </cfRule>
    <cfRule type="expression" dxfId="4433" priority="52">
      <formula>AND(B$9&gt;=8/24,B$9&lt;14/24)</formula>
    </cfRule>
    <cfRule type="expression" dxfId="4432" priority="53">
      <formula>B$9&lt;8/24</formula>
    </cfRule>
  </conditionalFormatting>
  <conditionalFormatting sqref="B40:D41 B57:D57 B36:Z36">
    <cfRule type="expression" dxfId="4431" priority="46">
      <formula>B$9&gt;=20/24</formula>
    </cfRule>
    <cfRule type="expression" dxfId="4430" priority="47">
      <formula>AND(B$9&gt;=14/24,B$9&lt;20/24)</formula>
    </cfRule>
    <cfRule type="expression" dxfId="4429" priority="48">
      <formula>AND(B$9&gt;=8/24,B$9&lt;14/24)</formula>
    </cfRule>
    <cfRule type="expression" dxfId="4428" priority="49">
      <formula>B$9&lt;8/24</formula>
    </cfRule>
  </conditionalFormatting>
  <conditionalFormatting sqref="B39:C39">
    <cfRule type="expression" dxfId="4427" priority="42">
      <formula>B$9&gt;=20/24</formula>
    </cfRule>
    <cfRule type="expression" dxfId="4426" priority="43">
      <formula>AND(B$9&gt;=14/24,B$9&lt;20/24)</formula>
    </cfRule>
    <cfRule type="expression" dxfId="4425" priority="44">
      <formula>AND(B$9&gt;=8/24,B$9&lt;14/24)</formula>
    </cfRule>
    <cfRule type="expression" dxfId="4424" priority="45">
      <formula>B$9&lt;8/24</formula>
    </cfRule>
  </conditionalFormatting>
  <conditionalFormatting sqref="B39:C41 D40:D41 B36:Z36">
    <cfRule type="expression" dxfId="4423" priority="41">
      <formula>B36&gt;$AG36</formula>
    </cfRule>
  </conditionalFormatting>
  <conditionalFormatting sqref="B83 B75:B81 B85:B91 B53:B56 B58:B73 B12:D14 C58:D67 E60:I67 J61:J67 B16:L16 K62:Q67 B18:Z22 B24:Z26 B28:Z31">
    <cfRule type="expression" dxfId="4422" priority="37">
      <formula>B$9&gt;=20/24</formula>
    </cfRule>
    <cfRule type="expression" dxfId="4421" priority="38">
      <formula>AND(B$9&gt;=14/24,B$9&lt;20/24)</formula>
    </cfRule>
    <cfRule type="expression" dxfId="4420" priority="39">
      <formula>AND(B$9&gt;=8/24,B$9&lt;14/24)</formula>
    </cfRule>
    <cfRule type="expression" dxfId="4419" priority="40">
      <formula>B$9&lt;8/24</formula>
    </cfRule>
  </conditionalFormatting>
  <conditionalFormatting sqref="B32:Z32">
    <cfRule type="expression" dxfId="4418" priority="33">
      <formula>B$9&gt;=20/24</formula>
    </cfRule>
    <cfRule type="expression" dxfId="4417" priority="34">
      <formula>AND(B$9&gt;=14/24,B$9&lt;20/24)</formula>
    </cfRule>
    <cfRule type="expression" dxfId="4416" priority="35">
      <formula>AND(B$9&gt;=8/24,B$9&lt;14/24)</formula>
    </cfRule>
    <cfRule type="expression" dxfId="4415" priority="36">
      <formula>B$9&lt;8/24</formula>
    </cfRule>
  </conditionalFormatting>
  <conditionalFormatting sqref="B35:Z35">
    <cfRule type="expression" dxfId="4414" priority="29">
      <formula>B$9&gt;=20/24</formula>
    </cfRule>
    <cfRule type="expression" dxfId="4413" priority="30">
      <formula>AND(B$9&gt;=14/24,B$9&lt;20/24)</formula>
    </cfRule>
    <cfRule type="expression" dxfId="4412" priority="31">
      <formula>AND(B$9&gt;=8/24,B$9&lt;14/24)</formula>
    </cfRule>
    <cfRule type="expression" dxfId="4411" priority="32">
      <formula>B$9&lt;8/24</formula>
    </cfRule>
  </conditionalFormatting>
  <conditionalFormatting sqref="B38 B51:B56 B12:D16 B42:D43 E16:L16 B24:L32 B18:Z22 M24:Z26 B34:Z35 M28:Z32">
    <cfRule type="expression" dxfId="4410" priority="28">
      <formula>B12&gt;$AG12</formula>
    </cfRule>
  </conditionalFormatting>
  <conditionalFormatting sqref="B34:Z34">
    <cfRule type="expression" dxfId="4409" priority="24">
      <formula>B$9&gt;=20/24</formula>
    </cfRule>
    <cfRule type="expression" dxfId="4408" priority="25">
      <formula>AND(B$9&gt;=14/24,B$9&lt;20/24)</formula>
    </cfRule>
    <cfRule type="expression" dxfId="4407" priority="26">
      <formula>AND(B$9&gt;=8/24,B$9&lt;14/24)</formula>
    </cfRule>
    <cfRule type="expression" dxfId="4406" priority="27">
      <formula>B$9&lt;8/24</formula>
    </cfRule>
  </conditionalFormatting>
  <conditionalFormatting sqref="B15:D15">
    <cfRule type="expression" dxfId="4405" priority="20">
      <formula>B$9&gt;=20/24</formula>
    </cfRule>
    <cfRule type="expression" dxfId="4404" priority="21">
      <formula>AND(B$9&gt;=14/24,B$9&lt;20/24)</formula>
    </cfRule>
    <cfRule type="expression" dxfId="4403" priority="22">
      <formula>AND(B$9&gt;=8/24,B$9&lt;14/24)</formula>
    </cfRule>
    <cfRule type="expression" dxfId="4402" priority="23">
      <formula>B$9&lt;8/24</formula>
    </cfRule>
  </conditionalFormatting>
  <conditionalFormatting sqref="B33:Z33">
    <cfRule type="expression" dxfId="4401" priority="16">
      <formula>B$9&gt;=20/24</formula>
    </cfRule>
    <cfRule type="expression" dxfId="4400" priority="17">
      <formula>AND(B$9&gt;=14/24,B$9&lt;20/24)</formula>
    </cfRule>
    <cfRule type="expression" dxfId="4399" priority="18">
      <formula>AND(B$9&gt;=8/24,B$9&lt;14/24)</formula>
    </cfRule>
    <cfRule type="expression" dxfId="4398" priority="19">
      <formula>B$9&lt;8/24</formula>
    </cfRule>
  </conditionalFormatting>
  <conditionalFormatting sqref="B33:Z33">
    <cfRule type="expression" dxfId="4397" priority="15">
      <formula>B33&gt;$AG33</formula>
    </cfRule>
  </conditionalFormatting>
  <conditionalFormatting sqref="B45:Q48 B44:L44 B50:Q50 B49:L49">
    <cfRule type="expression" dxfId="4396" priority="11">
      <formula>B$9&gt;=20/24</formula>
    </cfRule>
    <cfRule type="expression" dxfId="4395" priority="12">
      <formula>AND(B$9&gt;=14/24,B$9&lt;20/24)</formula>
    </cfRule>
    <cfRule type="expression" dxfId="4394" priority="13">
      <formula>AND(B$9&gt;=8/24,B$9&lt;14/24)</formula>
    </cfRule>
    <cfRule type="expression" dxfId="4393" priority="14">
      <formula>B$9&lt;8/24</formula>
    </cfRule>
  </conditionalFormatting>
  <conditionalFormatting sqref="B45:Q48 B44:L44 B50:Q50 B49:L49">
    <cfRule type="expression" dxfId="4392" priority="10">
      <formula>B44&gt;$AG44</formula>
    </cfRule>
  </conditionalFormatting>
  <conditionalFormatting sqref="B27:L27">
    <cfRule type="expression" dxfId="4391" priority="6">
      <formula>B$9&gt;=20/24</formula>
    </cfRule>
    <cfRule type="expression" dxfId="4390" priority="7">
      <formula>AND(B$9&gt;=14/24,B$9&lt;20/24)</formula>
    </cfRule>
    <cfRule type="expression" dxfId="4389" priority="8">
      <formula>AND(B$9&gt;=8/24,B$9&lt;14/24)</formula>
    </cfRule>
    <cfRule type="expression" dxfId="4388" priority="9">
      <formula>B$9&lt;8/24</formula>
    </cfRule>
  </conditionalFormatting>
  <conditionalFormatting sqref="B17:Z17 B23:Z23">
    <cfRule type="expression" dxfId="4387" priority="2">
      <formula>B$9&gt;=20/24</formula>
    </cfRule>
    <cfRule type="expression" dxfId="4386" priority="3">
      <formula>AND(B$9&gt;=14/24,B$9&lt;20/24)</formula>
    </cfRule>
    <cfRule type="expression" dxfId="4385" priority="4">
      <formula>AND(B$9&gt;=8/24,B$9&lt;14/24)</formula>
    </cfRule>
    <cfRule type="expression" dxfId="4384" priority="5">
      <formula>B$9&lt;8/24</formula>
    </cfRule>
  </conditionalFormatting>
  <conditionalFormatting sqref="B17:Z17 B23:Z23">
    <cfRule type="expression" dxfId="4383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27110F28-3D9A-487A-993F-EB4D91FC52E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C19" sqref="AC1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28" width="6.85546875" customWidth="1"/>
    <col min="29" max="29" width="6.28515625" customWidth="1"/>
    <col min="30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2079/02/9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115</v>
      </c>
      <c r="C5" s="32">
        <f t="shared" si="0"/>
        <v>155</v>
      </c>
      <c r="D5" s="32">
        <f t="shared" si="0"/>
        <v>132.6</v>
      </c>
      <c r="E5" s="32">
        <f t="shared" si="0"/>
        <v>116.69999999999999</v>
      </c>
      <c r="F5" s="32">
        <f t="shared" si="0"/>
        <v>110.5</v>
      </c>
      <c r="G5" s="32">
        <f t="shared" si="0"/>
        <v>107.6</v>
      </c>
      <c r="H5" s="32">
        <f t="shared" si="0"/>
        <v>135</v>
      </c>
      <c r="I5" s="32">
        <f t="shared" si="0"/>
        <v>175.3</v>
      </c>
      <c r="J5" s="32">
        <f t="shared" si="0"/>
        <v>177.6</v>
      </c>
      <c r="K5" s="32">
        <f t="shared" si="0"/>
        <v>176.3</v>
      </c>
      <c r="L5" s="32">
        <f t="shared" si="0"/>
        <v>152.30000000000001</v>
      </c>
      <c r="M5" s="32">
        <f t="shared" si="0"/>
        <v>93.3</v>
      </c>
      <c r="N5" s="32">
        <f t="shared" si="0"/>
        <v>56.4</v>
      </c>
      <c r="O5" s="32">
        <f t="shared" si="0"/>
        <v>45.3</v>
      </c>
      <c r="P5" s="32">
        <f t="shared" si="0"/>
        <v>50.9</v>
      </c>
      <c r="Q5" s="32">
        <f t="shared" si="0"/>
        <v>50.9</v>
      </c>
      <c r="R5" s="32">
        <f t="shared" si="0"/>
        <v>50.9</v>
      </c>
      <c r="S5" s="32">
        <f t="shared" si="0"/>
        <v>14.899999999999999</v>
      </c>
      <c r="T5" s="32">
        <f t="shared" si="0"/>
        <v>22</v>
      </c>
      <c r="U5" s="32">
        <f t="shared" si="0"/>
        <v>48</v>
      </c>
      <c r="V5" s="32">
        <f t="shared" si="0"/>
        <v>60</v>
      </c>
      <c r="W5" s="32">
        <f t="shared" si="0"/>
        <v>67</v>
      </c>
      <c r="X5" s="32">
        <f t="shared" si="0"/>
        <v>48</v>
      </c>
      <c r="Y5" s="32">
        <f t="shared" si="0"/>
        <v>54</v>
      </c>
      <c r="Z5" s="32">
        <f t="shared" si="0"/>
        <v>0</v>
      </c>
      <c r="AA5" s="32">
        <f t="shared" si="0"/>
        <v>71.400000000000006</v>
      </c>
      <c r="AB5" s="32">
        <f t="shared" si="0"/>
        <v>65.800000000000011</v>
      </c>
      <c r="AC5" s="32">
        <f t="shared" si="0"/>
        <v>54.4</v>
      </c>
      <c r="AD5" s="32">
        <f t="shared" si="0"/>
        <v>45.9</v>
      </c>
      <c r="AE5" s="32">
        <f t="shared" si="0"/>
        <v>54.9</v>
      </c>
      <c r="AF5" s="32">
        <f>B68</f>
        <v>105.9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1378MW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1273.94</v>
      </c>
      <c r="C7" s="37">
        <f t="shared" ref="C7:AF7" si="1">C75</f>
        <v>1239.24</v>
      </c>
      <c r="D7" s="37">
        <f t="shared" si="1"/>
        <v>1227.44</v>
      </c>
      <c r="E7" s="37">
        <f t="shared" si="1"/>
        <v>1173.6399999999999</v>
      </c>
      <c r="F7" s="37">
        <f t="shared" si="1"/>
        <v>1140.7399999999998</v>
      </c>
      <c r="G7" s="37">
        <f t="shared" si="1"/>
        <v>1127.74</v>
      </c>
      <c r="H7" s="37">
        <f t="shared" si="1"/>
        <v>1150.1399999999999</v>
      </c>
      <c r="I7" s="37">
        <f t="shared" si="1"/>
        <v>1209.6399999999999</v>
      </c>
      <c r="J7" s="37">
        <f t="shared" si="1"/>
        <v>1241.94</v>
      </c>
      <c r="K7" s="37">
        <f t="shared" si="1"/>
        <v>1291.04</v>
      </c>
      <c r="L7" s="37">
        <f t="shared" si="1"/>
        <v>1333.3400000000001</v>
      </c>
      <c r="M7" s="37">
        <f t="shared" si="1"/>
        <v>1377.64</v>
      </c>
      <c r="N7" s="37">
        <f t="shared" si="1"/>
        <v>1372.54</v>
      </c>
      <c r="O7" s="37">
        <f t="shared" si="1"/>
        <v>1375.94</v>
      </c>
      <c r="P7" s="37">
        <f t="shared" si="1"/>
        <v>1353.74</v>
      </c>
      <c r="Q7" s="37">
        <f t="shared" si="1"/>
        <v>1378.74</v>
      </c>
      <c r="R7" s="37">
        <f t="shared" si="1"/>
        <v>1298.74</v>
      </c>
      <c r="S7" s="37">
        <f t="shared" si="1"/>
        <v>1314.04</v>
      </c>
      <c r="T7" s="37">
        <f t="shared" si="1"/>
        <v>1321.54</v>
      </c>
      <c r="U7" s="37">
        <f t="shared" si="1"/>
        <v>1289.94</v>
      </c>
      <c r="V7" s="37">
        <f t="shared" si="1"/>
        <v>1228.6400000000001</v>
      </c>
      <c r="W7" s="37">
        <f t="shared" si="1"/>
        <v>1267.74</v>
      </c>
      <c r="X7" s="37">
        <f t="shared" si="1"/>
        <v>1260.8400000000001</v>
      </c>
      <c r="Y7" s="37">
        <f t="shared" si="1"/>
        <v>1220.24</v>
      </c>
      <c r="Z7" s="37">
        <f t="shared" si="1"/>
        <v>1315.04</v>
      </c>
      <c r="AA7" s="37">
        <f t="shared" si="1"/>
        <v>3.54</v>
      </c>
      <c r="AB7" s="37">
        <f t="shared" si="1"/>
        <v>1303.1400000000001</v>
      </c>
      <c r="AC7" s="37">
        <f t="shared" si="1"/>
        <v>1315.54</v>
      </c>
      <c r="AD7" s="37">
        <f t="shared" si="1"/>
        <v>1262.74</v>
      </c>
      <c r="AE7" s="37">
        <f t="shared" si="1"/>
        <v>1242.8400000000001</v>
      </c>
      <c r="AF7" s="37">
        <f t="shared" si="1"/>
        <v>1183.74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195</v>
      </c>
      <c r="C11" s="50">
        <v>160</v>
      </c>
      <c r="D11" s="50">
        <v>80</v>
      </c>
      <c r="E11" s="51">
        <v>40</v>
      </c>
      <c r="F11" s="51">
        <v>25</v>
      </c>
      <c r="G11" s="51">
        <v>20</v>
      </c>
      <c r="H11" s="51">
        <v>55</v>
      </c>
      <c r="I11" s="51">
        <v>100</v>
      </c>
      <c r="J11" s="52">
        <v>85</v>
      </c>
      <c r="K11" s="52">
        <v>125</v>
      </c>
      <c r="L11" s="52">
        <v>80</v>
      </c>
      <c r="M11" s="51">
        <v>140</v>
      </c>
      <c r="N11" s="51">
        <v>220</v>
      </c>
      <c r="O11" s="51">
        <v>230</v>
      </c>
      <c r="P11" s="51">
        <v>220</v>
      </c>
      <c r="Q11" s="51">
        <v>230</v>
      </c>
      <c r="R11" s="51">
        <v>230</v>
      </c>
      <c r="S11" s="51">
        <v>250</v>
      </c>
      <c r="T11" s="49">
        <v>280</v>
      </c>
      <c r="U11" s="49">
        <v>260</v>
      </c>
      <c r="V11" s="49">
        <v>250</v>
      </c>
      <c r="W11" s="49">
        <v>250</v>
      </c>
      <c r="X11" s="49">
        <v>250</v>
      </c>
      <c r="Y11" s="49">
        <v>220</v>
      </c>
      <c r="Z11" s="49">
        <v>270</v>
      </c>
      <c r="AA11" s="49"/>
      <c r="AB11" s="49">
        <v>240</v>
      </c>
      <c r="AC11" s="49">
        <v>240</v>
      </c>
      <c r="AD11" s="49">
        <v>170</v>
      </c>
      <c r="AE11" s="49">
        <v>160</v>
      </c>
      <c r="AF11" s="49">
        <v>100</v>
      </c>
      <c r="AG11" s="53">
        <v>456</v>
      </c>
      <c r="AH11" s="54">
        <f>MAX(B11:AF11)</f>
        <v>280</v>
      </c>
      <c r="AI11" s="55">
        <f>MIN(B11:AF11)</f>
        <v>20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48</v>
      </c>
      <c r="C12" s="51">
        <v>48</v>
      </c>
      <c r="D12" s="51">
        <v>48</v>
      </c>
      <c r="E12" s="51">
        <v>48</v>
      </c>
      <c r="F12" s="51">
        <v>48</v>
      </c>
      <c r="G12" s="51">
        <v>48</v>
      </c>
      <c r="H12" s="51">
        <v>48</v>
      </c>
      <c r="I12" s="51">
        <v>48</v>
      </c>
      <c r="J12" s="51">
        <v>48</v>
      </c>
      <c r="K12" s="51">
        <v>48</v>
      </c>
      <c r="L12" s="51">
        <v>48</v>
      </c>
      <c r="M12" s="51">
        <v>48</v>
      </c>
      <c r="N12" s="51">
        <v>48</v>
      </c>
      <c r="O12" s="51">
        <v>48</v>
      </c>
      <c r="P12" s="51">
        <v>48</v>
      </c>
      <c r="Q12" s="51">
        <v>48</v>
      </c>
      <c r="R12" s="51">
        <v>48</v>
      </c>
      <c r="S12" s="51">
        <v>48</v>
      </c>
      <c r="T12" s="51">
        <v>48</v>
      </c>
      <c r="U12" s="51">
        <v>48</v>
      </c>
      <c r="V12" s="51">
        <v>48</v>
      </c>
      <c r="W12" s="51">
        <v>48</v>
      </c>
      <c r="X12" s="51">
        <v>48</v>
      </c>
      <c r="Y12" s="51">
        <v>48</v>
      </c>
      <c r="Z12" s="51">
        <v>48</v>
      </c>
      <c r="AA12" s="51"/>
      <c r="AB12" s="51">
        <v>48</v>
      </c>
      <c r="AC12" s="51">
        <v>48</v>
      </c>
      <c r="AD12" s="51">
        <v>48</v>
      </c>
      <c r="AE12" s="51">
        <v>48</v>
      </c>
      <c r="AF12" s="51">
        <v>48</v>
      </c>
      <c r="AG12" s="58">
        <v>60</v>
      </c>
      <c r="AH12" s="54">
        <f t="shared" ref="AH12:AH75" si="2">MAX(B12:AF12)</f>
        <v>48</v>
      </c>
      <c r="AI12" s="55">
        <f t="shared" ref="AI12:AI75" si="3">MIN(B12:AF12)</f>
        <v>48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24</v>
      </c>
      <c r="C13" s="51">
        <v>22.6</v>
      </c>
      <c r="D13" s="51">
        <v>21.8</v>
      </c>
      <c r="E13" s="51">
        <v>19.899999999999999</v>
      </c>
      <c r="F13" s="51">
        <v>22</v>
      </c>
      <c r="G13" s="51">
        <v>19.3</v>
      </c>
      <c r="H13" s="51">
        <v>16.5</v>
      </c>
      <c r="I13" s="51">
        <v>10.4</v>
      </c>
      <c r="J13" s="51">
        <v>17</v>
      </c>
      <c r="K13" s="51">
        <v>22.9</v>
      </c>
      <c r="L13" s="51">
        <v>22.8</v>
      </c>
      <c r="M13" s="51">
        <v>22.8</v>
      </c>
      <c r="N13" s="51">
        <v>22.8</v>
      </c>
      <c r="O13" s="51">
        <v>22.8</v>
      </c>
      <c r="P13" s="51">
        <v>22.8</v>
      </c>
      <c r="Q13" s="51">
        <v>19.100000000000001</v>
      </c>
      <c r="R13" s="51">
        <v>19.100000000000001</v>
      </c>
      <c r="S13" s="51">
        <v>20</v>
      </c>
      <c r="T13" s="51">
        <v>20</v>
      </c>
      <c r="U13" s="51">
        <v>20</v>
      </c>
      <c r="V13" s="51">
        <v>20</v>
      </c>
      <c r="W13" s="51">
        <v>27</v>
      </c>
      <c r="X13" s="51">
        <v>18</v>
      </c>
      <c r="Y13" s="51">
        <v>16</v>
      </c>
      <c r="Z13" s="51">
        <v>16</v>
      </c>
      <c r="AA13" s="51"/>
      <c r="AB13" s="51">
        <v>16</v>
      </c>
      <c r="AC13" s="51">
        <v>26.2</v>
      </c>
      <c r="AD13" s="51">
        <v>20.399999999999999</v>
      </c>
      <c r="AE13" s="51">
        <v>18.399999999999999</v>
      </c>
      <c r="AF13" s="51">
        <v>20.9</v>
      </c>
      <c r="AG13" s="58">
        <v>52.4</v>
      </c>
      <c r="AH13" s="54">
        <f t="shared" si="2"/>
        <v>27</v>
      </c>
      <c r="AI13" s="55">
        <f t="shared" si="3"/>
        <v>10.4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50.5</v>
      </c>
      <c r="C14" s="51">
        <v>50.5</v>
      </c>
      <c r="D14" s="51">
        <v>50.5</v>
      </c>
      <c r="E14" s="51">
        <v>50.4</v>
      </c>
      <c r="F14" s="51">
        <v>50.2</v>
      </c>
      <c r="G14" s="51">
        <v>50.5</v>
      </c>
      <c r="H14" s="51">
        <v>50.2</v>
      </c>
      <c r="I14" s="51">
        <v>50.5</v>
      </c>
      <c r="J14" s="51">
        <v>50.5</v>
      </c>
      <c r="K14" s="51">
        <v>50.4</v>
      </c>
      <c r="L14" s="51">
        <v>50.1</v>
      </c>
      <c r="M14" s="51">
        <v>50.1</v>
      </c>
      <c r="N14" s="51">
        <v>50.1</v>
      </c>
      <c r="O14" s="51">
        <v>50.1</v>
      </c>
      <c r="P14" s="51">
        <v>50.1</v>
      </c>
      <c r="Q14" s="51">
        <v>50.2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50.2</v>
      </c>
      <c r="X14" s="51">
        <v>50.2</v>
      </c>
      <c r="Y14" s="51">
        <v>50.2</v>
      </c>
      <c r="Z14" s="51">
        <v>50.2</v>
      </c>
      <c r="AA14" s="51"/>
      <c r="AB14" s="51">
        <v>50.2</v>
      </c>
      <c r="AC14" s="51">
        <v>50.2</v>
      </c>
      <c r="AD14" s="51">
        <v>50.7</v>
      </c>
      <c r="AE14" s="51">
        <v>50.3</v>
      </c>
      <c r="AF14" s="51">
        <v>50.3</v>
      </c>
      <c r="AG14" s="58">
        <v>50</v>
      </c>
      <c r="AH14" s="54">
        <f t="shared" si="2"/>
        <v>50.7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24.3</v>
      </c>
      <c r="C15" s="51">
        <v>24.3</v>
      </c>
      <c r="D15" s="51">
        <v>24.3</v>
      </c>
      <c r="E15" s="51">
        <v>24.3</v>
      </c>
      <c r="F15" s="51">
        <v>24.2</v>
      </c>
      <c r="G15" s="51">
        <v>24.2</v>
      </c>
      <c r="H15" s="51">
        <v>24.2</v>
      </c>
      <c r="I15" s="51">
        <v>24.2</v>
      </c>
      <c r="J15" s="51">
        <v>24.2</v>
      </c>
      <c r="K15" s="51">
        <v>24.2</v>
      </c>
      <c r="L15" s="51">
        <v>24</v>
      </c>
      <c r="M15" s="51">
        <v>24</v>
      </c>
      <c r="N15" s="51">
        <v>24</v>
      </c>
      <c r="O15" s="51">
        <v>24</v>
      </c>
      <c r="P15" s="51">
        <v>24</v>
      </c>
      <c r="Q15" s="51">
        <v>24.1</v>
      </c>
      <c r="R15" s="51">
        <v>24.1</v>
      </c>
      <c r="S15" s="51">
        <v>24.1</v>
      </c>
      <c r="T15" s="51">
        <v>24.1</v>
      </c>
      <c r="U15" s="51">
        <v>24.1</v>
      </c>
      <c r="V15" s="51">
        <v>24.1</v>
      </c>
      <c r="W15" s="51">
        <v>24.1</v>
      </c>
      <c r="X15" s="51">
        <v>24.1</v>
      </c>
      <c r="Y15" s="51">
        <v>24.1</v>
      </c>
      <c r="Z15" s="51">
        <v>24.1</v>
      </c>
      <c r="AA15" s="51"/>
      <c r="AB15" s="51">
        <v>24.1</v>
      </c>
      <c r="AC15" s="51">
        <v>24.2</v>
      </c>
      <c r="AD15" s="51">
        <v>24.2</v>
      </c>
      <c r="AE15" s="51">
        <v>24.2</v>
      </c>
      <c r="AF15" s="51">
        <v>24.2</v>
      </c>
      <c r="AG15" s="59">
        <v>45</v>
      </c>
      <c r="AH15" s="54">
        <f t="shared" si="2"/>
        <v>24.3</v>
      </c>
      <c r="AI15" s="55">
        <f t="shared" si="3"/>
        <v>24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28</v>
      </c>
      <c r="C16" s="51">
        <v>28</v>
      </c>
      <c r="D16" s="51">
        <v>28</v>
      </c>
      <c r="E16" s="51">
        <v>28</v>
      </c>
      <c r="F16" s="51">
        <v>21</v>
      </c>
      <c r="G16" s="51">
        <v>21</v>
      </c>
      <c r="H16" s="51">
        <v>21</v>
      </c>
      <c r="I16" s="51">
        <v>21</v>
      </c>
      <c r="J16" s="51">
        <v>21</v>
      </c>
      <c r="K16" s="51">
        <v>21</v>
      </c>
      <c r="L16" s="51">
        <v>21</v>
      </c>
      <c r="M16" s="51">
        <v>21</v>
      </c>
      <c r="N16" s="51">
        <v>21</v>
      </c>
      <c r="O16" s="51">
        <v>0</v>
      </c>
      <c r="P16" s="51">
        <v>28</v>
      </c>
      <c r="Q16" s="51">
        <v>28</v>
      </c>
      <c r="R16" s="51">
        <v>28</v>
      </c>
      <c r="S16" s="51">
        <v>28</v>
      </c>
      <c r="T16" s="51">
        <v>28</v>
      </c>
      <c r="U16" s="51">
        <v>28</v>
      </c>
      <c r="V16" s="51">
        <v>28</v>
      </c>
      <c r="W16" s="51">
        <v>28</v>
      </c>
      <c r="X16" s="51">
        <v>28</v>
      </c>
      <c r="Y16" s="51">
        <v>28</v>
      </c>
      <c r="Z16" s="51">
        <v>28</v>
      </c>
      <c r="AA16" s="51"/>
      <c r="AB16" s="51">
        <v>28</v>
      </c>
      <c r="AC16" s="51">
        <v>28</v>
      </c>
      <c r="AD16" s="51">
        <v>28</v>
      </c>
      <c r="AE16" s="51">
        <v>28</v>
      </c>
      <c r="AF16" s="51">
        <v>28</v>
      </c>
      <c r="AG16" s="58">
        <v>45</v>
      </c>
      <c r="AH16" s="54">
        <f t="shared" si="2"/>
        <v>28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/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/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18.7</v>
      </c>
      <c r="C19" s="51">
        <v>18.7</v>
      </c>
      <c r="D19" s="51">
        <v>18.7</v>
      </c>
      <c r="E19" s="51">
        <v>18.7</v>
      </c>
      <c r="F19" s="51">
        <v>18.7</v>
      </c>
      <c r="G19" s="51">
        <v>18.7</v>
      </c>
      <c r="H19" s="51">
        <v>18.7</v>
      </c>
      <c r="I19" s="51">
        <v>18.7</v>
      </c>
      <c r="J19" s="51">
        <v>18.7</v>
      </c>
      <c r="K19" s="51">
        <v>18.7</v>
      </c>
      <c r="L19" s="51">
        <v>18.7</v>
      </c>
      <c r="M19" s="51">
        <v>18.7</v>
      </c>
      <c r="N19" s="51">
        <v>18.7</v>
      </c>
      <c r="O19" s="51">
        <v>18.7</v>
      </c>
      <c r="P19" s="51">
        <v>18.7</v>
      </c>
      <c r="Q19" s="51">
        <v>16.8</v>
      </c>
      <c r="R19" s="51">
        <v>16.8</v>
      </c>
      <c r="S19" s="51">
        <v>16.8</v>
      </c>
      <c r="T19" s="51">
        <v>16.8</v>
      </c>
      <c r="U19" s="51">
        <v>16.8</v>
      </c>
      <c r="V19" s="51">
        <v>16.8</v>
      </c>
      <c r="W19" s="51">
        <v>16.8</v>
      </c>
      <c r="X19" s="51">
        <v>16.8</v>
      </c>
      <c r="Y19" s="51">
        <v>16.8</v>
      </c>
      <c r="Z19" s="51">
        <v>16.8</v>
      </c>
      <c r="AA19" s="51"/>
      <c r="AB19" s="51">
        <v>16.8</v>
      </c>
      <c r="AC19" s="51">
        <v>16.8</v>
      </c>
      <c r="AD19" s="51">
        <v>16.8</v>
      </c>
      <c r="AE19" s="51">
        <v>16.8</v>
      </c>
      <c r="AF19" s="51">
        <v>16.8</v>
      </c>
      <c r="AG19" s="58">
        <v>30</v>
      </c>
      <c r="AH19" s="54">
        <f t="shared" si="2"/>
        <v>18.7</v>
      </c>
      <c r="AI19" s="55">
        <f t="shared" si="3"/>
        <v>16.8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7.1</v>
      </c>
      <c r="C20" s="51">
        <v>7.1</v>
      </c>
      <c r="D20" s="51">
        <v>7.1</v>
      </c>
      <c r="E20" s="51">
        <v>7.1</v>
      </c>
      <c r="F20" s="51">
        <v>7.1</v>
      </c>
      <c r="G20" s="51">
        <v>7.1</v>
      </c>
      <c r="H20" s="51">
        <v>7.1</v>
      </c>
      <c r="I20" s="51">
        <v>7.1</v>
      </c>
      <c r="J20" s="51">
        <v>7.1</v>
      </c>
      <c r="K20" s="51">
        <v>7.1</v>
      </c>
      <c r="L20" s="51">
        <v>7.1</v>
      </c>
      <c r="M20" s="51">
        <v>7.1</v>
      </c>
      <c r="N20" s="51">
        <v>7.1</v>
      </c>
      <c r="O20" s="51">
        <v>7.1</v>
      </c>
      <c r="P20" s="51">
        <v>7.1</v>
      </c>
      <c r="Q20" s="51">
        <v>7.1</v>
      </c>
      <c r="R20" s="51">
        <v>7.1</v>
      </c>
      <c r="S20" s="51">
        <v>7.1</v>
      </c>
      <c r="T20" s="51">
        <v>7.1</v>
      </c>
      <c r="U20" s="51">
        <v>7.1</v>
      </c>
      <c r="V20" s="51">
        <v>7.1</v>
      </c>
      <c r="W20" s="51">
        <v>7.1</v>
      </c>
      <c r="X20" s="51">
        <v>7.1</v>
      </c>
      <c r="Y20" s="51">
        <v>7.1</v>
      </c>
      <c r="Z20" s="51">
        <v>7.1</v>
      </c>
      <c r="AA20" s="51"/>
      <c r="AB20" s="51">
        <v>7.1</v>
      </c>
      <c r="AC20" s="51">
        <v>7.1</v>
      </c>
      <c r="AD20" s="51">
        <v>7.1</v>
      </c>
      <c r="AE20" s="51">
        <v>7.1</v>
      </c>
      <c r="AF20" s="51">
        <v>7.1</v>
      </c>
      <c r="AG20" s="58">
        <v>27</v>
      </c>
      <c r="AH20" s="54">
        <f t="shared" si="2"/>
        <v>7.1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/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20</v>
      </c>
      <c r="C22" s="51">
        <v>20</v>
      </c>
      <c r="D22" s="51">
        <v>20</v>
      </c>
      <c r="E22" s="51">
        <v>20</v>
      </c>
      <c r="F22" s="51">
        <v>20</v>
      </c>
      <c r="G22" s="51">
        <v>20</v>
      </c>
      <c r="H22" s="51">
        <v>20</v>
      </c>
      <c r="I22" s="51">
        <v>20</v>
      </c>
      <c r="J22" s="51">
        <v>20</v>
      </c>
      <c r="K22" s="51">
        <v>20</v>
      </c>
      <c r="L22" s="51">
        <v>20</v>
      </c>
      <c r="M22" s="51">
        <v>20</v>
      </c>
      <c r="N22" s="51">
        <v>20</v>
      </c>
      <c r="O22" s="51">
        <v>20</v>
      </c>
      <c r="P22" s="51">
        <v>20</v>
      </c>
      <c r="Q22" s="51">
        <v>18.5</v>
      </c>
      <c r="R22" s="51">
        <v>18.5</v>
      </c>
      <c r="S22" s="51">
        <v>18.5</v>
      </c>
      <c r="T22" s="51">
        <v>18.5</v>
      </c>
      <c r="U22" s="51">
        <v>18.5</v>
      </c>
      <c r="V22" s="51">
        <v>18.5</v>
      </c>
      <c r="W22" s="51">
        <v>18.5</v>
      </c>
      <c r="X22" s="51">
        <v>18.5</v>
      </c>
      <c r="Y22" s="51">
        <v>18.5</v>
      </c>
      <c r="Z22" s="51">
        <v>18.5</v>
      </c>
      <c r="AA22" s="51"/>
      <c r="AB22" s="51">
        <v>18.5</v>
      </c>
      <c r="AC22" s="51">
        <v>18.5</v>
      </c>
      <c r="AD22" s="51">
        <v>18.5</v>
      </c>
      <c r="AE22" s="51">
        <v>18.5</v>
      </c>
      <c r="AF22" s="51">
        <v>18.5</v>
      </c>
      <c r="AG22" s="58">
        <v>25</v>
      </c>
      <c r="AH22" s="54">
        <f t="shared" si="2"/>
        <v>20</v>
      </c>
      <c r="AI22" s="55">
        <f t="shared" si="3"/>
        <v>18.5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/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23</v>
      </c>
      <c r="C24" s="51">
        <v>23</v>
      </c>
      <c r="D24" s="51">
        <v>22.8</v>
      </c>
      <c r="E24" s="51">
        <v>22.8</v>
      </c>
      <c r="F24" s="51">
        <v>22.8</v>
      </c>
      <c r="G24" s="51">
        <v>22.8</v>
      </c>
      <c r="H24" s="51">
        <v>22.8</v>
      </c>
      <c r="I24" s="51">
        <v>22.8</v>
      </c>
      <c r="J24" s="51">
        <v>22.8</v>
      </c>
      <c r="K24" s="51">
        <v>22.8</v>
      </c>
      <c r="L24" s="51">
        <v>22.8</v>
      </c>
      <c r="M24" s="51">
        <v>22.8</v>
      </c>
      <c r="N24" s="51">
        <v>22.8</v>
      </c>
      <c r="O24" s="51">
        <v>22.8</v>
      </c>
      <c r="P24" s="51">
        <v>22.8</v>
      </c>
      <c r="Q24" s="51">
        <v>23.3</v>
      </c>
      <c r="R24" s="51">
        <v>23.3</v>
      </c>
      <c r="S24" s="51">
        <v>23.3</v>
      </c>
      <c r="T24" s="51">
        <v>23.3</v>
      </c>
      <c r="U24" s="51">
        <v>23.3</v>
      </c>
      <c r="V24" s="51">
        <v>23.3</v>
      </c>
      <c r="W24" s="51">
        <v>23.3</v>
      </c>
      <c r="X24" s="51">
        <v>23.3</v>
      </c>
      <c r="Y24" s="51">
        <v>23.3</v>
      </c>
      <c r="Z24" s="51">
        <v>23.3</v>
      </c>
      <c r="AA24" s="51"/>
      <c r="AB24" s="51">
        <v>23.3</v>
      </c>
      <c r="AC24" s="51">
        <v>23.3</v>
      </c>
      <c r="AD24" s="51">
        <v>23.3</v>
      </c>
      <c r="AE24" s="51">
        <v>23.3</v>
      </c>
      <c r="AF24" s="51">
        <v>23.3</v>
      </c>
      <c r="AG24" s="58">
        <v>25</v>
      </c>
      <c r="AH24" s="54">
        <f t="shared" si="2"/>
        <v>23.3</v>
      </c>
      <c r="AI24" s="55">
        <f t="shared" si="3"/>
        <v>22.8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/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/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/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0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/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/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11</v>
      </c>
      <c r="C30" s="51">
        <v>11</v>
      </c>
      <c r="D30" s="51">
        <v>11</v>
      </c>
      <c r="E30" s="51">
        <v>11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/>
      <c r="AB30" s="51">
        <v>11</v>
      </c>
      <c r="AC30" s="51">
        <v>11</v>
      </c>
      <c r="AD30" s="51">
        <v>11</v>
      </c>
      <c r="AE30" s="51">
        <v>11</v>
      </c>
      <c r="AF30" s="51">
        <v>11</v>
      </c>
      <c r="AG30" s="58">
        <v>22.1</v>
      </c>
      <c r="AH30" s="54">
        <f t="shared" si="2"/>
        <v>11</v>
      </c>
      <c r="AI30" s="55">
        <f t="shared" si="3"/>
        <v>11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/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/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6.6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/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10</v>
      </c>
      <c r="C34" s="51">
        <v>10</v>
      </c>
      <c r="D34" s="51">
        <v>10</v>
      </c>
      <c r="E34" s="51">
        <v>10</v>
      </c>
      <c r="F34" s="51">
        <v>7</v>
      </c>
      <c r="G34" s="51">
        <v>6.5</v>
      </c>
      <c r="H34" s="51">
        <v>6.5</v>
      </c>
      <c r="I34" s="51">
        <v>6.5</v>
      </c>
      <c r="J34" s="51">
        <v>6.5</v>
      </c>
      <c r="K34" s="51">
        <v>6.5</v>
      </c>
      <c r="L34" s="51">
        <v>6.5</v>
      </c>
      <c r="M34" s="51">
        <v>6.5</v>
      </c>
      <c r="N34" s="51">
        <v>6.5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/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63">
        <v>20</v>
      </c>
      <c r="AH34" s="54">
        <f t="shared" si="2"/>
        <v>10</v>
      </c>
      <c r="AI34" s="55">
        <f t="shared" si="3"/>
        <v>0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/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/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/>
      <c r="C37" s="65"/>
      <c r="D37" s="65"/>
      <c r="E37" s="65"/>
      <c r="F37" s="65"/>
      <c r="G37" s="65">
        <v>91</v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7"/>
      <c r="T37" s="67"/>
      <c r="U37" s="67"/>
      <c r="V37" s="67"/>
      <c r="W37" s="67"/>
      <c r="X37" s="67"/>
      <c r="Y37" s="67">
        <f>51+47</f>
        <v>98</v>
      </c>
      <c r="Z37" s="67">
        <v>98</v>
      </c>
      <c r="AA37" s="67"/>
      <c r="AB37" s="67">
        <f>52.3+46.3</f>
        <v>98.6</v>
      </c>
      <c r="AC37" s="67">
        <v>98.9</v>
      </c>
      <c r="AD37" s="67">
        <v>106.3</v>
      </c>
      <c r="AE37" s="67">
        <v>111.3</v>
      </c>
      <c r="AF37" s="67">
        <v>113.6</v>
      </c>
      <c r="AG37" s="63">
        <v>240</v>
      </c>
      <c r="AH37" s="54">
        <f t="shared" si="2"/>
        <v>113.6</v>
      </c>
      <c r="AI37" s="55">
        <f t="shared" si="3"/>
        <v>91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763.7</v>
      </c>
      <c r="C38" s="69">
        <f t="shared" si="4"/>
        <v>727.30000000000007</v>
      </c>
      <c r="D38" s="69">
        <f t="shared" si="4"/>
        <v>646.30000000000007</v>
      </c>
      <c r="E38" s="69">
        <f t="shared" si="4"/>
        <v>604.30000000000007</v>
      </c>
      <c r="F38" s="69">
        <f t="shared" si="4"/>
        <v>581.09999999999991</v>
      </c>
      <c r="G38" s="69">
        <f t="shared" si="4"/>
        <v>573.20000000000005</v>
      </c>
      <c r="H38" s="69">
        <f t="shared" si="4"/>
        <v>605.1</v>
      </c>
      <c r="I38" s="69">
        <f t="shared" si="4"/>
        <v>644.30000000000007</v>
      </c>
      <c r="J38" s="69">
        <f t="shared" si="4"/>
        <v>635.90000000000009</v>
      </c>
      <c r="K38" s="69">
        <f t="shared" si="4"/>
        <v>681.7</v>
      </c>
      <c r="L38" s="69">
        <f t="shared" si="4"/>
        <v>636.1</v>
      </c>
      <c r="M38" s="69">
        <f t="shared" si="4"/>
        <v>696.10000000000014</v>
      </c>
      <c r="N38" s="69">
        <f t="shared" si="4"/>
        <v>776.1</v>
      </c>
      <c r="O38" s="69">
        <f t="shared" si="4"/>
        <v>739.1</v>
      </c>
      <c r="P38" s="69">
        <f t="shared" si="4"/>
        <v>776.6</v>
      </c>
      <c r="Q38" s="69">
        <f t="shared" si="4"/>
        <v>780.2</v>
      </c>
      <c r="R38" s="69">
        <f t="shared" si="4"/>
        <v>780.2</v>
      </c>
      <c r="S38" s="69">
        <f t="shared" si="4"/>
        <v>801.1</v>
      </c>
      <c r="T38" s="69">
        <f t="shared" si="4"/>
        <v>831.1</v>
      </c>
      <c r="U38" s="69">
        <f t="shared" si="4"/>
        <v>811.1</v>
      </c>
      <c r="V38" s="69">
        <f t="shared" si="4"/>
        <v>801.1</v>
      </c>
      <c r="W38" s="69">
        <f t="shared" si="4"/>
        <v>808.1</v>
      </c>
      <c r="X38" s="69">
        <f t="shared" si="4"/>
        <v>799.1</v>
      </c>
      <c r="Y38" s="69">
        <f t="shared" si="4"/>
        <v>767.1</v>
      </c>
      <c r="Z38" s="69">
        <f t="shared" si="4"/>
        <v>817.1</v>
      </c>
      <c r="AA38" s="69">
        <f t="shared" si="4"/>
        <v>0</v>
      </c>
      <c r="AB38" s="69">
        <f t="shared" si="4"/>
        <v>787.1</v>
      </c>
      <c r="AC38" s="69">
        <f t="shared" si="4"/>
        <v>797.4</v>
      </c>
      <c r="AD38" s="69">
        <f t="shared" si="4"/>
        <v>722.1</v>
      </c>
      <c r="AE38" s="69">
        <f t="shared" si="4"/>
        <v>709.7</v>
      </c>
      <c r="AF38" s="69">
        <f t="shared" si="4"/>
        <v>652.20000000000005</v>
      </c>
      <c r="AG38" s="63">
        <f>SUM(AG11:AG37)</f>
        <v>1492.8299999999997</v>
      </c>
      <c r="AH38" s="54">
        <f t="shared" si="2"/>
        <v>831.1</v>
      </c>
      <c r="AI38" s="55">
        <f t="shared" si="3"/>
        <v>0</v>
      </c>
      <c r="AK38" s="56"/>
    </row>
    <row r="39" spans="1:88" x14ac:dyDescent="0.25">
      <c r="A39" s="57" t="s">
        <v>47</v>
      </c>
      <c r="B39" s="51">
        <v>145.4</v>
      </c>
      <c r="C39" s="51">
        <v>145.4</v>
      </c>
      <c r="D39" s="51">
        <v>145.69999999999999</v>
      </c>
      <c r="E39" s="51">
        <v>145.69999999999999</v>
      </c>
      <c r="F39" s="51">
        <v>145.4</v>
      </c>
      <c r="G39" s="51">
        <v>145.4</v>
      </c>
      <c r="H39" s="51">
        <v>145.4</v>
      </c>
      <c r="I39" s="51">
        <v>145.30000000000001</v>
      </c>
      <c r="J39" s="51">
        <v>145.30000000000001</v>
      </c>
      <c r="K39" s="51">
        <v>145.5</v>
      </c>
      <c r="L39" s="51">
        <v>145.4</v>
      </c>
      <c r="M39" s="51">
        <v>145.4</v>
      </c>
      <c r="N39" s="51">
        <v>145.4</v>
      </c>
      <c r="O39" s="51">
        <v>145.4</v>
      </c>
      <c r="P39" s="51">
        <v>122</v>
      </c>
      <c r="Q39" s="51">
        <v>131.5</v>
      </c>
      <c r="R39" s="51">
        <v>131.5</v>
      </c>
      <c r="S39" s="51">
        <v>121</v>
      </c>
      <c r="T39" s="51">
        <v>121</v>
      </c>
      <c r="U39" s="51">
        <v>121</v>
      </c>
      <c r="V39" s="51">
        <v>104</v>
      </c>
      <c r="W39" s="51">
        <v>104</v>
      </c>
      <c r="X39" s="51">
        <v>104</v>
      </c>
      <c r="Y39" s="51">
        <v>113</v>
      </c>
      <c r="Z39" s="51">
        <v>116</v>
      </c>
      <c r="AA39" s="51"/>
      <c r="AB39" s="51">
        <v>131.4</v>
      </c>
      <c r="AC39" s="51">
        <v>145.1</v>
      </c>
      <c r="AD39" s="51">
        <v>145.4</v>
      </c>
      <c r="AE39" s="51">
        <v>145.19999999999999</v>
      </c>
      <c r="AF39" s="51">
        <v>145.5</v>
      </c>
      <c r="AG39" s="59">
        <v>144</v>
      </c>
      <c r="AH39" s="54">
        <f t="shared" si="2"/>
        <v>145.69999999999999</v>
      </c>
      <c r="AI39" s="55">
        <f t="shared" si="3"/>
        <v>104</v>
      </c>
      <c r="AK39" s="56"/>
    </row>
    <row r="40" spans="1:88" x14ac:dyDescent="0.25">
      <c r="A40" s="62" t="s">
        <v>48</v>
      </c>
      <c r="B40" s="70">
        <v>70.8</v>
      </c>
      <c r="C40" s="70">
        <v>70.5</v>
      </c>
      <c r="D40" s="70">
        <v>50</v>
      </c>
      <c r="E40" s="70">
        <v>50</v>
      </c>
      <c r="F40" s="70">
        <v>50</v>
      </c>
      <c r="G40" s="70">
        <v>50</v>
      </c>
      <c r="H40" s="70">
        <v>49.5</v>
      </c>
      <c r="I40" s="70">
        <v>48.7</v>
      </c>
      <c r="J40" s="70">
        <v>48.7</v>
      </c>
      <c r="K40" s="70">
        <v>48.8</v>
      </c>
      <c r="L40" s="70">
        <v>68.900000000000006</v>
      </c>
      <c r="M40" s="70">
        <v>67.5</v>
      </c>
      <c r="N40" s="70">
        <v>67.5</v>
      </c>
      <c r="O40" s="70">
        <v>67.5</v>
      </c>
      <c r="P40" s="70">
        <v>70</v>
      </c>
      <c r="Q40" s="51">
        <v>61.1</v>
      </c>
      <c r="R40" s="51">
        <v>61.1</v>
      </c>
      <c r="S40" s="51">
        <v>66</v>
      </c>
      <c r="T40" s="51">
        <v>59</v>
      </c>
      <c r="U40" s="51">
        <v>59</v>
      </c>
      <c r="V40" s="70">
        <v>46</v>
      </c>
      <c r="W40" s="70">
        <v>52</v>
      </c>
      <c r="X40" s="70">
        <v>52</v>
      </c>
      <c r="Y40" s="70">
        <v>50</v>
      </c>
      <c r="Z40" s="70">
        <v>56</v>
      </c>
      <c r="AA40" s="70"/>
      <c r="AB40" s="70">
        <v>59.1</v>
      </c>
      <c r="AC40" s="70">
        <v>59.3</v>
      </c>
      <c r="AD40" s="70">
        <v>69.5</v>
      </c>
      <c r="AE40" s="70">
        <v>70.400000000000006</v>
      </c>
      <c r="AF40" s="70">
        <v>69.5</v>
      </c>
      <c r="AG40" s="63">
        <v>70</v>
      </c>
      <c r="AH40" s="54">
        <f t="shared" si="2"/>
        <v>70.8</v>
      </c>
      <c r="AI40" s="55">
        <f t="shared" si="3"/>
        <v>46</v>
      </c>
      <c r="AK40" s="56"/>
    </row>
    <row r="41" spans="1:88" x14ac:dyDescent="0.25">
      <c r="A41" s="62" t="s">
        <v>49</v>
      </c>
      <c r="B41" s="70">
        <v>69</v>
      </c>
      <c r="C41" s="70">
        <v>68.599999999999994</v>
      </c>
      <c r="D41" s="70">
        <v>68.599999999999994</v>
      </c>
      <c r="E41" s="70">
        <v>68.599999999999994</v>
      </c>
      <c r="F41" s="70">
        <v>68.900000000000006</v>
      </c>
      <c r="G41" s="70">
        <v>65</v>
      </c>
      <c r="H41" s="70">
        <v>60</v>
      </c>
      <c r="I41" s="70">
        <v>53.7</v>
      </c>
      <c r="J41" s="70">
        <v>53.7</v>
      </c>
      <c r="K41" s="70">
        <v>54.5</v>
      </c>
      <c r="L41" s="70">
        <v>69.2</v>
      </c>
      <c r="M41" s="70">
        <v>68</v>
      </c>
      <c r="N41" s="70">
        <v>68</v>
      </c>
      <c r="O41" s="70">
        <v>68</v>
      </c>
      <c r="P41" s="70">
        <v>60</v>
      </c>
      <c r="Q41" s="51">
        <v>60.7</v>
      </c>
      <c r="R41" s="51">
        <v>60.7</v>
      </c>
      <c r="S41" s="51">
        <v>60.7</v>
      </c>
      <c r="T41" s="51">
        <v>60.7</v>
      </c>
      <c r="U41" s="51">
        <v>60.7</v>
      </c>
      <c r="V41" s="70">
        <v>50</v>
      </c>
      <c r="W41" s="70">
        <v>54</v>
      </c>
      <c r="X41" s="70">
        <v>54</v>
      </c>
      <c r="Y41" s="70">
        <v>53</v>
      </c>
      <c r="Z41" s="70">
        <v>53</v>
      </c>
      <c r="AA41" s="70"/>
      <c r="AB41" s="70">
        <v>60</v>
      </c>
      <c r="AC41" s="70">
        <v>45.8</v>
      </c>
      <c r="AD41" s="70">
        <v>69.400000000000006</v>
      </c>
      <c r="AE41" s="70">
        <v>69</v>
      </c>
      <c r="AF41" s="70">
        <v>69</v>
      </c>
      <c r="AG41" s="63">
        <v>69</v>
      </c>
      <c r="AH41" s="54">
        <f t="shared" si="2"/>
        <v>69.400000000000006</v>
      </c>
      <c r="AI41" s="55">
        <f t="shared" si="3"/>
        <v>45.8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65">
        <v>60.9</v>
      </c>
      <c r="N42" s="65">
        <v>60.9</v>
      </c>
      <c r="O42" s="65">
        <v>60.9</v>
      </c>
      <c r="P42" s="65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70"/>
      <c r="AB42" s="65">
        <v>60.9</v>
      </c>
      <c r="AC42" s="65">
        <v>60.7</v>
      </c>
      <c r="AD42" s="65">
        <v>60.7</v>
      </c>
      <c r="AE42" s="65">
        <v>60.9</v>
      </c>
      <c r="AF42" s="65">
        <v>60.9</v>
      </c>
      <c r="AG42" s="63">
        <v>60</v>
      </c>
      <c r="AH42" s="54">
        <f t="shared" si="2"/>
        <v>60.9</v>
      </c>
      <c r="AI42" s="55">
        <f t="shared" si="3"/>
        <v>60.7</v>
      </c>
      <c r="AK42" s="56"/>
    </row>
    <row r="43" spans="1:88" x14ac:dyDescent="0.25">
      <c r="A43" s="62" t="s">
        <v>51</v>
      </c>
      <c r="B43" s="65">
        <v>6.6</v>
      </c>
      <c r="C43" s="65">
        <v>0</v>
      </c>
      <c r="D43" s="65">
        <v>10</v>
      </c>
      <c r="E43" s="65">
        <v>10</v>
      </c>
      <c r="F43" s="65">
        <v>15</v>
      </c>
      <c r="G43" s="65">
        <v>20</v>
      </c>
      <c r="H43" s="65">
        <v>20</v>
      </c>
      <c r="I43" s="65">
        <v>20</v>
      </c>
      <c r="J43" s="65">
        <v>20</v>
      </c>
      <c r="K43" s="65">
        <v>20</v>
      </c>
      <c r="L43" s="65">
        <v>25</v>
      </c>
      <c r="M43" s="65">
        <v>25</v>
      </c>
      <c r="N43" s="65">
        <v>25</v>
      </c>
      <c r="O43" s="65">
        <v>25</v>
      </c>
      <c r="P43" s="65">
        <v>20</v>
      </c>
      <c r="Q43" s="51">
        <v>18.7</v>
      </c>
      <c r="R43" s="51">
        <v>18.7</v>
      </c>
      <c r="S43" s="51">
        <v>18.7</v>
      </c>
      <c r="T43" s="51">
        <v>18.7</v>
      </c>
      <c r="U43" s="51">
        <v>0</v>
      </c>
      <c r="V43" s="51">
        <v>10</v>
      </c>
      <c r="W43" s="51">
        <v>10</v>
      </c>
      <c r="X43" s="51">
        <v>10</v>
      </c>
      <c r="Y43" s="51">
        <v>20</v>
      </c>
      <c r="Z43" s="51">
        <v>20</v>
      </c>
      <c r="AA43" s="70"/>
      <c r="AB43" s="65">
        <v>20</v>
      </c>
      <c r="AC43" s="65">
        <v>30</v>
      </c>
      <c r="AD43" s="65">
        <v>30</v>
      </c>
      <c r="AE43" s="65">
        <v>30</v>
      </c>
      <c r="AF43" s="65">
        <v>20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65">
        <v>0</v>
      </c>
      <c r="K44" s="65">
        <v>0</v>
      </c>
      <c r="L44" s="65">
        <v>0</v>
      </c>
      <c r="M44" s="65">
        <v>9</v>
      </c>
      <c r="N44" s="65">
        <v>10</v>
      </c>
      <c r="O44" s="65">
        <v>10</v>
      </c>
      <c r="P44" s="65">
        <v>10</v>
      </c>
      <c r="Q44" s="51">
        <v>10</v>
      </c>
      <c r="R44" s="51">
        <v>10</v>
      </c>
      <c r="S44" s="51">
        <v>10</v>
      </c>
      <c r="T44" s="51">
        <v>10</v>
      </c>
      <c r="U44" s="51">
        <v>10</v>
      </c>
      <c r="V44" s="51">
        <v>10</v>
      </c>
      <c r="W44" s="51">
        <v>10</v>
      </c>
      <c r="X44" s="51">
        <v>10</v>
      </c>
      <c r="Y44" s="51">
        <v>10</v>
      </c>
      <c r="Z44" s="51">
        <v>10</v>
      </c>
      <c r="AA44" s="51"/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10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15</v>
      </c>
      <c r="C45" s="70">
        <v>15</v>
      </c>
      <c r="D45" s="70">
        <v>15</v>
      </c>
      <c r="E45" s="70">
        <v>15</v>
      </c>
      <c r="F45" s="70">
        <v>15</v>
      </c>
      <c r="G45" s="70">
        <v>15</v>
      </c>
      <c r="H45" s="70">
        <v>15</v>
      </c>
      <c r="I45" s="70">
        <v>15</v>
      </c>
      <c r="J45" s="70">
        <v>15.4</v>
      </c>
      <c r="K45" s="70">
        <v>15.4</v>
      </c>
      <c r="L45" s="70">
        <v>15.4</v>
      </c>
      <c r="M45" s="70">
        <v>15.4</v>
      </c>
      <c r="N45" s="70">
        <v>15.4</v>
      </c>
      <c r="O45" s="70">
        <v>15.4</v>
      </c>
      <c r="P45" s="70">
        <v>15.4</v>
      </c>
      <c r="Q45" s="70">
        <v>16.3</v>
      </c>
      <c r="R45" s="70">
        <v>16.3</v>
      </c>
      <c r="S45" s="70">
        <v>16.3</v>
      </c>
      <c r="T45" s="70">
        <v>16.3</v>
      </c>
      <c r="U45" s="70">
        <v>16.3</v>
      </c>
      <c r="V45" s="70">
        <v>16.3</v>
      </c>
      <c r="W45" s="70">
        <v>16.3</v>
      </c>
      <c r="X45" s="70">
        <v>16.3</v>
      </c>
      <c r="Y45" s="70">
        <v>17</v>
      </c>
      <c r="Z45" s="70">
        <v>17</v>
      </c>
      <c r="AA45" s="51"/>
      <c r="AB45" s="70">
        <v>17</v>
      </c>
      <c r="AC45" s="70">
        <v>17.899999999999999</v>
      </c>
      <c r="AD45" s="70">
        <v>18</v>
      </c>
      <c r="AE45" s="70">
        <v>18</v>
      </c>
      <c r="AF45" s="70">
        <v>18</v>
      </c>
      <c r="AG45" s="63">
        <v>24</v>
      </c>
      <c r="AH45" s="54">
        <f t="shared" si="2"/>
        <v>18</v>
      </c>
      <c r="AI45" s="55">
        <f t="shared" si="3"/>
        <v>15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  <c r="Z46" s="70">
        <v>0</v>
      </c>
      <c r="AA46" s="51"/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10</v>
      </c>
      <c r="C47" s="70">
        <v>10</v>
      </c>
      <c r="D47" s="70">
        <v>10</v>
      </c>
      <c r="E47" s="70">
        <v>10</v>
      </c>
      <c r="F47" s="70">
        <v>10</v>
      </c>
      <c r="G47" s="70">
        <v>10</v>
      </c>
      <c r="H47" s="70">
        <v>10</v>
      </c>
      <c r="I47" s="70">
        <v>10</v>
      </c>
      <c r="J47" s="70">
        <v>10</v>
      </c>
      <c r="K47" s="70">
        <v>10</v>
      </c>
      <c r="L47" s="70">
        <v>10</v>
      </c>
      <c r="M47" s="70">
        <v>10</v>
      </c>
      <c r="N47" s="70">
        <v>10</v>
      </c>
      <c r="O47" s="70">
        <v>10</v>
      </c>
      <c r="P47" s="70">
        <v>10</v>
      </c>
      <c r="Q47" s="70">
        <v>10</v>
      </c>
      <c r="R47" s="70">
        <v>10</v>
      </c>
      <c r="S47" s="70">
        <v>10</v>
      </c>
      <c r="T47" s="70">
        <v>10</v>
      </c>
      <c r="U47" s="70">
        <v>10</v>
      </c>
      <c r="V47" s="70">
        <v>10</v>
      </c>
      <c r="W47" s="70">
        <v>10</v>
      </c>
      <c r="X47" s="70">
        <v>5</v>
      </c>
      <c r="Y47" s="70">
        <v>5</v>
      </c>
      <c r="Z47" s="70">
        <v>5</v>
      </c>
      <c r="AA47" s="51"/>
      <c r="AB47" s="70">
        <v>5</v>
      </c>
      <c r="AC47" s="70">
        <v>5</v>
      </c>
      <c r="AD47" s="70">
        <v>5</v>
      </c>
      <c r="AE47" s="70">
        <v>5</v>
      </c>
      <c r="AF47" s="70">
        <v>5</v>
      </c>
      <c r="AG47" s="63">
        <v>14.1</v>
      </c>
      <c r="AH47" s="54">
        <f t="shared" si="2"/>
        <v>10</v>
      </c>
      <c r="AI47" s="55">
        <f t="shared" si="3"/>
        <v>5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11</v>
      </c>
      <c r="C48" s="70">
        <v>11</v>
      </c>
      <c r="D48" s="70">
        <v>11</v>
      </c>
      <c r="E48" s="70">
        <v>11</v>
      </c>
      <c r="F48" s="70">
        <v>11</v>
      </c>
      <c r="G48" s="70">
        <v>11</v>
      </c>
      <c r="H48" s="70">
        <v>11</v>
      </c>
      <c r="I48" s="70">
        <v>11</v>
      </c>
      <c r="J48" s="70">
        <v>11</v>
      </c>
      <c r="K48" s="70">
        <v>11</v>
      </c>
      <c r="L48" s="70">
        <v>11</v>
      </c>
      <c r="M48" s="70">
        <v>11</v>
      </c>
      <c r="N48" s="70">
        <v>11</v>
      </c>
      <c r="O48" s="70">
        <v>0</v>
      </c>
      <c r="P48" s="70">
        <v>10</v>
      </c>
      <c r="Q48" s="70">
        <v>10</v>
      </c>
      <c r="R48" s="70">
        <v>10</v>
      </c>
      <c r="S48" s="70">
        <v>10</v>
      </c>
      <c r="T48" s="70">
        <v>10</v>
      </c>
      <c r="U48" s="70">
        <v>10</v>
      </c>
      <c r="V48" s="70">
        <v>10</v>
      </c>
      <c r="W48" s="70">
        <v>10</v>
      </c>
      <c r="X48" s="70">
        <v>10</v>
      </c>
      <c r="Y48" s="70">
        <v>10</v>
      </c>
      <c r="Z48" s="70">
        <v>10</v>
      </c>
      <c r="AA48" s="51"/>
      <c r="AB48" s="70">
        <v>10</v>
      </c>
      <c r="AC48" s="70">
        <v>10</v>
      </c>
      <c r="AD48" s="70">
        <v>10</v>
      </c>
      <c r="AE48" s="70">
        <v>10</v>
      </c>
      <c r="AF48" s="70">
        <v>10</v>
      </c>
      <c r="AG48" s="63">
        <v>14</v>
      </c>
      <c r="AH48" s="54">
        <f t="shared" si="2"/>
        <v>11</v>
      </c>
      <c r="AI48" s="55">
        <f t="shared" si="3"/>
        <v>0</v>
      </c>
      <c r="AK48" s="56"/>
    </row>
    <row r="49" spans="1:37" x14ac:dyDescent="0.25">
      <c r="A49" s="62" t="s">
        <v>57</v>
      </c>
      <c r="B49" s="70">
        <v>9.1</v>
      </c>
      <c r="C49" s="70">
        <v>9</v>
      </c>
      <c r="D49" s="70">
        <v>9</v>
      </c>
      <c r="E49" s="70">
        <v>9</v>
      </c>
      <c r="F49" s="70">
        <v>9</v>
      </c>
      <c r="G49" s="70">
        <v>9</v>
      </c>
      <c r="H49" s="70">
        <v>9</v>
      </c>
      <c r="I49" s="70">
        <v>9</v>
      </c>
      <c r="J49" s="70">
        <v>9</v>
      </c>
      <c r="K49" s="70">
        <v>9</v>
      </c>
      <c r="L49" s="70">
        <v>9</v>
      </c>
      <c r="M49" s="70">
        <v>9</v>
      </c>
      <c r="N49" s="70">
        <v>9</v>
      </c>
      <c r="O49" s="70">
        <v>9</v>
      </c>
      <c r="P49" s="70">
        <v>9</v>
      </c>
      <c r="Q49" s="70">
        <v>9</v>
      </c>
      <c r="R49" s="70">
        <v>9</v>
      </c>
      <c r="S49" s="70">
        <v>9</v>
      </c>
      <c r="T49" s="70">
        <v>9</v>
      </c>
      <c r="U49" s="70">
        <v>9</v>
      </c>
      <c r="V49" s="70">
        <v>9</v>
      </c>
      <c r="W49" s="70">
        <v>9</v>
      </c>
      <c r="X49" s="70">
        <v>9</v>
      </c>
      <c r="Y49" s="70">
        <v>9</v>
      </c>
      <c r="Z49" s="70">
        <v>9</v>
      </c>
      <c r="AA49" s="51"/>
      <c r="AB49" s="70">
        <v>9</v>
      </c>
      <c r="AC49" s="70">
        <v>9</v>
      </c>
      <c r="AD49" s="70">
        <v>9</v>
      </c>
      <c r="AE49" s="70">
        <v>9</v>
      </c>
      <c r="AF49" s="70">
        <v>9</v>
      </c>
      <c r="AG49" s="63">
        <v>10.050000000000001</v>
      </c>
      <c r="AH49" s="54">
        <f t="shared" si="2"/>
        <v>9.1</v>
      </c>
      <c r="AI49" s="55">
        <f t="shared" si="3"/>
        <v>9</v>
      </c>
      <c r="AK49" s="56"/>
    </row>
    <row r="50" spans="1:37" x14ac:dyDescent="0.25">
      <c r="A50" s="62" t="s">
        <v>58</v>
      </c>
      <c r="B50" s="70">
        <v>3</v>
      </c>
      <c r="C50" s="70">
        <v>3</v>
      </c>
      <c r="D50" s="70">
        <v>3</v>
      </c>
      <c r="E50" s="70">
        <v>3</v>
      </c>
      <c r="F50" s="70">
        <v>3</v>
      </c>
      <c r="G50" s="70">
        <v>3</v>
      </c>
      <c r="H50" s="70">
        <v>3</v>
      </c>
      <c r="I50" s="70">
        <v>3</v>
      </c>
      <c r="J50" s="70">
        <v>3</v>
      </c>
      <c r="K50" s="70">
        <v>3</v>
      </c>
      <c r="L50" s="70">
        <v>3</v>
      </c>
      <c r="M50" s="70">
        <v>3</v>
      </c>
      <c r="N50" s="70">
        <v>3</v>
      </c>
      <c r="O50" s="70">
        <v>3</v>
      </c>
      <c r="P50" s="70">
        <v>3</v>
      </c>
      <c r="Q50" s="70">
        <v>3</v>
      </c>
      <c r="R50" s="70">
        <v>3</v>
      </c>
      <c r="S50" s="70">
        <v>3</v>
      </c>
      <c r="T50" s="70">
        <v>3</v>
      </c>
      <c r="U50" s="70">
        <v>3</v>
      </c>
      <c r="V50" s="70">
        <v>3</v>
      </c>
      <c r="W50" s="70">
        <v>3</v>
      </c>
      <c r="X50" s="70">
        <v>3</v>
      </c>
      <c r="Y50" s="70">
        <v>3</v>
      </c>
      <c r="Z50" s="70">
        <v>3</v>
      </c>
      <c r="AA50" s="51"/>
      <c r="AB50" s="70">
        <v>3</v>
      </c>
      <c r="AC50" s="70">
        <v>3</v>
      </c>
      <c r="AD50" s="70">
        <v>3</v>
      </c>
      <c r="AE50" s="70">
        <v>3</v>
      </c>
      <c r="AF50" s="70">
        <v>3</v>
      </c>
      <c r="AG50" s="63">
        <v>6.2</v>
      </c>
      <c r="AH50" s="54">
        <f t="shared" si="2"/>
        <v>3</v>
      </c>
      <c r="AI50" s="55">
        <f t="shared" si="3"/>
        <v>3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404.34000000000003</v>
      </c>
      <c r="C52" s="69">
        <f t="shared" si="6"/>
        <v>396.94</v>
      </c>
      <c r="D52" s="69">
        <f t="shared" si="6"/>
        <v>386.73999999999995</v>
      </c>
      <c r="E52" s="69">
        <f t="shared" si="6"/>
        <v>386.73999999999995</v>
      </c>
      <c r="F52" s="69">
        <f t="shared" si="6"/>
        <v>391.74</v>
      </c>
      <c r="G52" s="69">
        <f t="shared" si="6"/>
        <v>392.84</v>
      </c>
      <c r="H52" s="69">
        <f t="shared" si="6"/>
        <v>387.34000000000003</v>
      </c>
      <c r="I52" s="69">
        <f t="shared" si="6"/>
        <v>380.14</v>
      </c>
      <c r="J52" s="69">
        <f t="shared" si="6"/>
        <v>380.53999999999996</v>
      </c>
      <c r="K52" s="69">
        <f t="shared" si="6"/>
        <v>381.64</v>
      </c>
      <c r="L52" s="69">
        <f t="shared" si="6"/>
        <v>421.34</v>
      </c>
      <c r="M52" s="69">
        <f t="shared" si="6"/>
        <v>427.73999999999995</v>
      </c>
      <c r="N52" s="69">
        <f t="shared" si="6"/>
        <v>428.73999999999995</v>
      </c>
      <c r="O52" s="69">
        <f t="shared" si="6"/>
        <v>417.73999999999995</v>
      </c>
      <c r="P52" s="69">
        <f t="shared" si="6"/>
        <v>393.84</v>
      </c>
      <c r="Q52" s="69">
        <f t="shared" si="6"/>
        <v>394.74</v>
      </c>
      <c r="R52" s="69">
        <f t="shared" si="6"/>
        <v>394.74</v>
      </c>
      <c r="S52" s="69">
        <f t="shared" si="6"/>
        <v>389.14</v>
      </c>
      <c r="T52" s="69">
        <f t="shared" si="6"/>
        <v>382.14</v>
      </c>
      <c r="U52" s="69">
        <f t="shared" si="6"/>
        <v>363.44</v>
      </c>
      <c r="V52" s="69">
        <f t="shared" si="6"/>
        <v>332.74</v>
      </c>
      <c r="W52" s="69">
        <f t="shared" si="6"/>
        <v>342.74</v>
      </c>
      <c r="X52" s="69">
        <f>SUM(X39:X51)</f>
        <v>337.74</v>
      </c>
      <c r="Y52" s="69">
        <f t="shared" si="6"/>
        <v>354.44</v>
      </c>
      <c r="Z52" s="69">
        <f t="shared" si="6"/>
        <v>363.44</v>
      </c>
      <c r="AA52" s="69">
        <f t="shared" si="6"/>
        <v>3.54</v>
      </c>
      <c r="AB52" s="69">
        <f t="shared" si="6"/>
        <v>378.94</v>
      </c>
      <c r="AC52" s="69">
        <f t="shared" si="6"/>
        <v>389.34</v>
      </c>
      <c r="AD52" s="69">
        <f t="shared" si="6"/>
        <v>423.54</v>
      </c>
      <c r="AE52" s="69">
        <f t="shared" si="6"/>
        <v>424.04</v>
      </c>
      <c r="AF52" s="69">
        <f t="shared" si="6"/>
        <v>413.44</v>
      </c>
      <c r="AG52" s="74">
        <f>SUM(AG39:AG51)</f>
        <v>489.91</v>
      </c>
      <c r="AH52" s="54">
        <f t="shared" si="2"/>
        <v>428.73999999999995</v>
      </c>
      <c r="AI52" s="55">
        <f t="shared" si="3"/>
        <v>3.54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29</v>
      </c>
      <c r="E53" s="51">
        <v>29.4</v>
      </c>
      <c r="F53" s="51">
        <v>29.5</v>
      </c>
      <c r="G53" s="51">
        <v>29.5</v>
      </c>
      <c r="H53" s="51">
        <v>29.4</v>
      </c>
      <c r="I53" s="51">
        <v>29.5</v>
      </c>
      <c r="J53" s="51">
        <v>29.5</v>
      </c>
      <c r="K53" s="51">
        <v>29.5</v>
      </c>
      <c r="L53" s="51">
        <v>60.4</v>
      </c>
      <c r="M53" s="51">
        <v>59.7</v>
      </c>
      <c r="N53" s="51">
        <v>45.3</v>
      </c>
      <c r="O53" s="51">
        <v>50</v>
      </c>
      <c r="P53" s="51">
        <v>36.299999999999997</v>
      </c>
      <c r="Q53" s="51">
        <v>39.9</v>
      </c>
      <c r="R53" s="51">
        <v>39.9</v>
      </c>
      <c r="S53" s="51">
        <v>39.9</v>
      </c>
      <c r="T53" s="51">
        <v>54</v>
      </c>
      <c r="U53" s="51">
        <v>54</v>
      </c>
      <c r="V53" s="51">
        <v>30</v>
      </c>
      <c r="W53" s="51">
        <v>35</v>
      </c>
      <c r="X53" s="51">
        <v>35</v>
      </c>
      <c r="Y53" s="51">
        <v>30</v>
      </c>
      <c r="Z53" s="51">
        <v>54</v>
      </c>
      <c r="AA53" s="51"/>
      <c r="AB53" s="51">
        <v>14.1</v>
      </c>
      <c r="AC53" s="51">
        <v>13.9</v>
      </c>
      <c r="AD53" s="51">
        <v>14.1</v>
      </c>
      <c r="AE53" s="51">
        <v>14.1</v>
      </c>
      <c r="AF53" s="51">
        <v>14.1</v>
      </c>
      <c r="AG53" s="59">
        <v>60</v>
      </c>
      <c r="AH53" s="54">
        <f t="shared" si="2"/>
        <v>60.4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7.4</v>
      </c>
      <c r="E54" s="70">
        <v>15.1</v>
      </c>
      <c r="F54" s="70">
        <v>15.9</v>
      </c>
      <c r="G54" s="70">
        <v>15.9</v>
      </c>
      <c r="H54" s="70">
        <v>15.2</v>
      </c>
      <c r="I54" s="70">
        <v>15.2</v>
      </c>
      <c r="J54" s="70">
        <v>15.2</v>
      </c>
      <c r="K54" s="70">
        <v>15.1</v>
      </c>
      <c r="L54" s="70">
        <v>28.7</v>
      </c>
      <c r="M54" s="70">
        <v>30.6</v>
      </c>
      <c r="N54" s="70">
        <v>21.3</v>
      </c>
      <c r="O54" s="70">
        <v>24</v>
      </c>
      <c r="P54" s="70">
        <v>15.9</v>
      </c>
      <c r="Q54" s="70">
        <v>24.2</v>
      </c>
      <c r="R54" s="70">
        <v>24.2</v>
      </c>
      <c r="S54" s="70">
        <v>24.2</v>
      </c>
      <c r="T54" s="70">
        <v>29</v>
      </c>
      <c r="U54" s="70">
        <v>29</v>
      </c>
      <c r="V54" s="70">
        <v>12.3</v>
      </c>
      <c r="W54" s="70">
        <v>16</v>
      </c>
      <c r="X54" s="70">
        <v>16</v>
      </c>
      <c r="Y54" s="70">
        <v>15</v>
      </c>
      <c r="Z54" s="70">
        <v>26</v>
      </c>
      <c r="AA54" s="70"/>
      <c r="AB54" s="70">
        <v>8.5</v>
      </c>
      <c r="AC54" s="70">
        <v>6.7</v>
      </c>
      <c r="AD54" s="70">
        <v>6.3</v>
      </c>
      <c r="AE54" s="70">
        <v>6.7</v>
      </c>
      <c r="AF54" s="70">
        <v>6.7</v>
      </c>
      <c r="AG54" s="63">
        <v>32</v>
      </c>
      <c r="AH54" s="54">
        <f t="shared" si="2"/>
        <v>30.6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3</v>
      </c>
      <c r="E55" s="75">
        <v>5.5</v>
      </c>
      <c r="F55" s="75">
        <v>5.8</v>
      </c>
      <c r="G55" s="75">
        <v>5.8</v>
      </c>
      <c r="H55" s="75">
        <v>5.5</v>
      </c>
      <c r="I55" s="75">
        <v>5.5</v>
      </c>
      <c r="J55" s="75">
        <v>5.5</v>
      </c>
      <c r="K55" s="75">
        <v>5.5</v>
      </c>
      <c r="L55" s="75">
        <v>10.5</v>
      </c>
      <c r="M55" s="75">
        <v>11.2</v>
      </c>
      <c r="N55" s="75">
        <v>7.8</v>
      </c>
      <c r="O55" s="75">
        <v>8.6999999999999993</v>
      </c>
      <c r="P55" s="75">
        <v>5.8</v>
      </c>
      <c r="Q55" s="75">
        <v>8.8000000000000007</v>
      </c>
      <c r="R55" s="75">
        <v>8.8000000000000007</v>
      </c>
      <c r="S55" s="75">
        <v>8.8000000000000007</v>
      </c>
      <c r="T55" s="75">
        <v>10.4</v>
      </c>
      <c r="U55" s="75">
        <v>10.4</v>
      </c>
      <c r="V55" s="75">
        <v>4.5</v>
      </c>
      <c r="W55" s="75">
        <v>5.9</v>
      </c>
      <c r="X55" s="75">
        <v>6</v>
      </c>
      <c r="Y55" s="75">
        <v>5.7</v>
      </c>
      <c r="Z55" s="75">
        <v>0.5</v>
      </c>
      <c r="AA55" s="75"/>
      <c r="AB55" s="75">
        <v>3.1</v>
      </c>
      <c r="AC55" s="75">
        <v>2.4</v>
      </c>
      <c r="AD55" s="75">
        <v>2.2999999999999998</v>
      </c>
      <c r="AE55" s="75">
        <v>2.4</v>
      </c>
      <c r="AF55" s="75">
        <v>2.4</v>
      </c>
      <c r="AG55" s="76">
        <v>14</v>
      </c>
      <c r="AH55" s="54">
        <f t="shared" si="2"/>
        <v>11.2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0</v>
      </c>
      <c r="C56" s="69">
        <f t="shared" si="7"/>
        <v>0</v>
      </c>
      <c r="D56" s="69">
        <f t="shared" si="7"/>
        <v>39.4</v>
      </c>
      <c r="E56" s="69">
        <f t="shared" si="7"/>
        <v>50</v>
      </c>
      <c r="F56" s="69">
        <f t="shared" si="7"/>
        <v>51.199999999999996</v>
      </c>
      <c r="G56" s="69">
        <f t="shared" si="7"/>
        <v>51.199999999999996</v>
      </c>
      <c r="H56" s="69">
        <f t="shared" si="7"/>
        <v>50.099999999999994</v>
      </c>
      <c r="I56" s="69">
        <f t="shared" si="7"/>
        <v>50.2</v>
      </c>
      <c r="J56" s="69">
        <f t="shared" si="7"/>
        <v>50.2</v>
      </c>
      <c r="K56" s="69">
        <f t="shared" si="7"/>
        <v>50.1</v>
      </c>
      <c r="L56" s="69">
        <f t="shared" si="7"/>
        <v>99.6</v>
      </c>
      <c r="M56" s="69">
        <f t="shared" si="7"/>
        <v>101.50000000000001</v>
      </c>
      <c r="N56" s="69">
        <f t="shared" si="7"/>
        <v>74.399999999999991</v>
      </c>
      <c r="O56" s="69">
        <f t="shared" si="7"/>
        <v>82.7</v>
      </c>
      <c r="P56" s="69">
        <f t="shared" si="7"/>
        <v>57.999999999999993</v>
      </c>
      <c r="Q56" s="69">
        <f t="shared" si="7"/>
        <v>72.899999999999991</v>
      </c>
      <c r="R56" s="69">
        <f t="shared" si="7"/>
        <v>72.899999999999991</v>
      </c>
      <c r="S56" s="69">
        <f t="shared" si="7"/>
        <v>72.899999999999991</v>
      </c>
      <c r="T56" s="69">
        <f t="shared" si="7"/>
        <v>93.4</v>
      </c>
      <c r="U56" s="69">
        <f t="shared" si="7"/>
        <v>93.4</v>
      </c>
      <c r="V56" s="69">
        <f t="shared" si="7"/>
        <v>46.8</v>
      </c>
      <c r="W56" s="69">
        <f t="shared" si="7"/>
        <v>56.9</v>
      </c>
      <c r="X56" s="69">
        <f t="shared" si="7"/>
        <v>57</v>
      </c>
      <c r="Y56" s="69">
        <f t="shared" si="7"/>
        <v>50.7</v>
      </c>
      <c r="Z56" s="69">
        <f t="shared" si="7"/>
        <v>80.5</v>
      </c>
      <c r="AA56" s="69">
        <f t="shared" si="7"/>
        <v>0</v>
      </c>
      <c r="AB56" s="69">
        <f t="shared" si="7"/>
        <v>25.700000000000003</v>
      </c>
      <c r="AC56" s="69">
        <f t="shared" si="7"/>
        <v>23</v>
      </c>
      <c r="AD56" s="69">
        <f t="shared" si="7"/>
        <v>22.7</v>
      </c>
      <c r="AE56" s="69">
        <f t="shared" si="7"/>
        <v>23.2</v>
      </c>
      <c r="AF56" s="69">
        <f t="shared" si="7"/>
        <v>23.2</v>
      </c>
      <c r="AG56" s="74">
        <f>SUM(AG53:AG55)</f>
        <v>106</v>
      </c>
      <c r="AH56" s="54">
        <f t="shared" si="2"/>
        <v>101.50000000000001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44.9</v>
      </c>
      <c r="C57" s="51">
        <v>51</v>
      </c>
      <c r="D57" s="51">
        <v>62</v>
      </c>
      <c r="E57" s="51">
        <v>50.4</v>
      </c>
      <c r="F57" s="51">
        <v>49.3</v>
      </c>
      <c r="G57" s="51">
        <v>38.5</v>
      </c>
      <c r="H57" s="51">
        <v>40.200000000000003</v>
      </c>
      <c r="I57" s="51">
        <v>45</v>
      </c>
      <c r="J57" s="51">
        <v>62.3</v>
      </c>
      <c r="K57" s="51">
        <v>58.6</v>
      </c>
      <c r="L57" s="51">
        <v>58.2</v>
      </c>
      <c r="M57" s="51">
        <v>66.3</v>
      </c>
      <c r="N57" s="51">
        <v>47.9</v>
      </c>
      <c r="O57" s="51">
        <v>20.5</v>
      </c>
      <c r="P57" s="51">
        <v>10.9</v>
      </c>
      <c r="Q57" s="51">
        <v>15</v>
      </c>
      <c r="R57" s="51">
        <v>15</v>
      </c>
      <c r="S57" s="51">
        <v>15</v>
      </c>
      <c r="T57" s="51">
        <v>-21</v>
      </c>
      <c r="U57" s="51">
        <v>-11</v>
      </c>
      <c r="V57" s="51">
        <v>40</v>
      </c>
      <c r="W57" s="51">
        <v>52</v>
      </c>
      <c r="X57" s="51">
        <v>59</v>
      </c>
      <c r="Y57" s="51">
        <v>40</v>
      </c>
      <c r="Z57" s="51">
        <v>46</v>
      </c>
      <c r="AA57" s="51"/>
      <c r="AB57" s="51">
        <v>53.4</v>
      </c>
      <c r="AC57" s="51">
        <v>51.7</v>
      </c>
      <c r="AD57" s="51">
        <v>46.4</v>
      </c>
      <c r="AE57" s="51">
        <v>37.9</v>
      </c>
      <c r="AF57" s="51">
        <v>46.9</v>
      </c>
      <c r="AG57" s="59"/>
      <c r="AH57" s="54">
        <f t="shared" si="2"/>
        <v>66.3</v>
      </c>
      <c r="AI57" s="55">
        <f t="shared" si="3"/>
        <v>-21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/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37</v>
      </c>
      <c r="C59" s="70">
        <v>35</v>
      </c>
      <c r="D59" s="70">
        <v>65</v>
      </c>
      <c r="E59" s="70">
        <v>67.2</v>
      </c>
      <c r="F59" s="70">
        <v>55.4</v>
      </c>
      <c r="G59" s="70">
        <v>60</v>
      </c>
      <c r="H59" s="70">
        <v>55.4</v>
      </c>
      <c r="I59" s="70">
        <v>70</v>
      </c>
      <c r="J59" s="70">
        <v>83</v>
      </c>
      <c r="K59" s="70">
        <v>85</v>
      </c>
      <c r="L59" s="70">
        <v>85.3</v>
      </c>
      <c r="M59" s="70">
        <v>52.2</v>
      </c>
      <c r="N59" s="70">
        <v>10.4</v>
      </c>
      <c r="O59" s="70">
        <v>0</v>
      </c>
      <c r="P59" s="70">
        <v>0</v>
      </c>
      <c r="Q59" s="70">
        <v>0</v>
      </c>
      <c r="R59" s="70">
        <v>0</v>
      </c>
      <c r="S59" s="70">
        <v>0</v>
      </c>
      <c r="T59" s="70">
        <v>0</v>
      </c>
      <c r="U59" s="70">
        <v>0</v>
      </c>
      <c r="V59" s="70">
        <v>0</v>
      </c>
      <c r="W59" s="70">
        <v>0</v>
      </c>
      <c r="X59" s="70">
        <v>0</v>
      </c>
      <c r="Y59" s="70">
        <v>0</v>
      </c>
      <c r="Z59" s="70">
        <v>0</v>
      </c>
      <c r="AA59" s="70"/>
      <c r="AB59" s="70">
        <v>10</v>
      </c>
      <c r="AC59" s="70">
        <v>6.1</v>
      </c>
      <c r="AD59" s="70">
        <v>0</v>
      </c>
      <c r="AE59" s="70">
        <v>0</v>
      </c>
      <c r="AF59" s="70">
        <v>0</v>
      </c>
      <c r="AG59" s="77"/>
      <c r="AH59" s="54">
        <f t="shared" si="2"/>
        <v>85.3</v>
      </c>
      <c r="AI59" s="55">
        <f t="shared" si="3"/>
        <v>0</v>
      </c>
      <c r="AK59" s="56"/>
    </row>
    <row r="60" spans="1:37" x14ac:dyDescent="0.25">
      <c r="A60" s="62" t="s">
        <v>68</v>
      </c>
      <c r="B60" s="78">
        <v>24</v>
      </c>
      <c r="C60" s="78">
        <v>29</v>
      </c>
      <c r="D60" s="78">
        <v>28</v>
      </c>
      <c r="E60" s="78">
        <v>15</v>
      </c>
      <c r="F60" s="78">
        <v>12</v>
      </c>
      <c r="G60" s="78">
        <v>12</v>
      </c>
      <c r="H60" s="78">
        <v>12</v>
      </c>
      <c r="I60" s="78">
        <v>12</v>
      </c>
      <c r="J60" s="78">
        <v>22</v>
      </c>
      <c r="K60" s="78">
        <v>26</v>
      </c>
      <c r="L60" s="78">
        <v>24.8</v>
      </c>
      <c r="M60" s="78">
        <v>25.8</v>
      </c>
      <c r="N60" s="78">
        <v>27</v>
      </c>
      <c r="O60" s="78">
        <v>27.9</v>
      </c>
      <c r="P60" s="78">
        <v>26.4</v>
      </c>
      <c r="Q60" s="78">
        <v>27.9</v>
      </c>
      <c r="R60" s="78">
        <v>27.9</v>
      </c>
      <c r="S60" s="78">
        <v>27.9</v>
      </c>
      <c r="T60" s="78">
        <v>27.9</v>
      </c>
      <c r="U60" s="78">
        <v>25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/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29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/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/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/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/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/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/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/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105.9</v>
      </c>
      <c r="C68" s="69">
        <f t="shared" si="8"/>
        <v>115</v>
      </c>
      <c r="D68" s="69">
        <f t="shared" si="8"/>
        <v>155</v>
      </c>
      <c r="E68" s="69">
        <f t="shared" si="8"/>
        <v>132.6</v>
      </c>
      <c r="F68" s="69">
        <f t="shared" si="8"/>
        <v>116.69999999999999</v>
      </c>
      <c r="G68" s="69">
        <f t="shared" si="8"/>
        <v>110.5</v>
      </c>
      <c r="H68" s="69">
        <f t="shared" si="8"/>
        <v>107.6</v>
      </c>
      <c r="I68" s="69">
        <f t="shared" si="8"/>
        <v>135</v>
      </c>
      <c r="J68" s="69">
        <f t="shared" si="8"/>
        <v>175.3</v>
      </c>
      <c r="K68" s="69">
        <f t="shared" si="8"/>
        <v>177.6</v>
      </c>
      <c r="L68" s="69">
        <f t="shared" si="8"/>
        <v>176.3</v>
      </c>
      <c r="M68" s="69">
        <f t="shared" si="8"/>
        <v>152.30000000000001</v>
      </c>
      <c r="N68" s="69">
        <f t="shared" si="8"/>
        <v>93.3</v>
      </c>
      <c r="O68" s="69">
        <f t="shared" si="8"/>
        <v>56.4</v>
      </c>
      <c r="P68" s="69">
        <f t="shared" si="8"/>
        <v>45.3</v>
      </c>
      <c r="Q68" s="69">
        <f t="shared" si="8"/>
        <v>50.9</v>
      </c>
      <c r="R68" s="69">
        <f t="shared" si="8"/>
        <v>50.9</v>
      </c>
      <c r="S68" s="69">
        <f t="shared" si="8"/>
        <v>50.9</v>
      </c>
      <c r="T68" s="69">
        <f t="shared" si="8"/>
        <v>14.899999999999999</v>
      </c>
      <c r="U68" s="69">
        <f t="shared" si="8"/>
        <v>22</v>
      </c>
      <c r="V68" s="69">
        <f>SUM(V57:V67)</f>
        <v>48</v>
      </c>
      <c r="W68" s="69">
        <f t="shared" si="8"/>
        <v>60</v>
      </c>
      <c r="X68" s="69">
        <f t="shared" si="8"/>
        <v>67</v>
      </c>
      <c r="Y68" s="69">
        <f t="shared" si="8"/>
        <v>48</v>
      </c>
      <c r="Z68" s="69">
        <f t="shared" si="8"/>
        <v>54</v>
      </c>
      <c r="AA68" s="69">
        <f t="shared" si="8"/>
        <v>0</v>
      </c>
      <c r="AB68" s="69">
        <f t="shared" si="8"/>
        <v>71.400000000000006</v>
      </c>
      <c r="AC68" s="69">
        <f t="shared" si="8"/>
        <v>65.800000000000011</v>
      </c>
      <c r="AD68" s="69">
        <f t="shared" si="8"/>
        <v>54.4</v>
      </c>
      <c r="AE68" s="69">
        <f t="shared" si="8"/>
        <v>45.9</v>
      </c>
      <c r="AF68" s="69">
        <f t="shared" si="8"/>
        <v>54.9</v>
      </c>
      <c r="AG68" s="74">
        <f>SUM(AG57:AG67)</f>
        <v>0</v>
      </c>
      <c r="AH68" s="54">
        <f t="shared" si="2"/>
        <v>177.6</v>
      </c>
      <c r="AI68" s="55">
        <f t="shared" si="3"/>
        <v>0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>
        <v>80</v>
      </c>
      <c r="P74" s="86">
        <v>80</v>
      </c>
      <c r="Q74" s="86">
        <v>80</v>
      </c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>
        <v>40</v>
      </c>
      <c r="AC74" s="86">
        <v>40</v>
      </c>
      <c r="AD74" s="86">
        <v>40</v>
      </c>
      <c r="AE74" s="86">
        <v>40</v>
      </c>
      <c r="AF74" s="86">
        <v>40</v>
      </c>
      <c r="AG74" s="74"/>
      <c r="AH74" s="54">
        <f t="shared" si="2"/>
        <v>80</v>
      </c>
      <c r="AI74" s="55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1273.94</v>
      </c>
      <c r="C75" s="84">
        <f t="shared" si="10"/>
        <v>1239.24</v>
      </c>
      <c r="D75" s="84">
        <f t="shared" si="10"/>
        <v>1227.44</v>
      </c>
      <c r="E75" s="84">
        <f t="shared" si="10"/>
        <v>1173.6399999999999</v>
      </c>
      <c r="F75" s="84">
        <f t="shared" si="10"/>
        <v>1140.7399999999998</v>
      </c>
      <c r="G75" s="84">
        <f t="shared" si="10"/>
        <v>1127.74</v>
      </c>
      <c r="H75" s="84">
        <f t="shared" si="10"/>
        <v>1150.1399999999999</v>
      </c>
      <c r="I75" s="84">
        <f t="shared" si="10"/>
        <v>1209.6399999999999</v>
      </c>
      <c r="J75" s="84">
        <f t="shared" si="10"/>
        <v>1241.94</v>
      </c>
      <c r="K75" s="84">
        <f t="shared" si="10"/>
        <v>1291.04</v>
      </c>
      <c r="L75" s="84">
        <f t="shared" si="10"/>
        <v>1333.3400000000001</v>
      </c>
      <c r="M75" s="84">
        <f t="shared" si="10"/>
        <v>1377.64</v>
      </c>
      <c r="N75" s="84">
        <f t="shared" si="10"/>
        <v>1372.54</v>
      </c>
      <c r="O75" s="84">
        <f t="shared" si="10"/>
        <v>1375.94</v>
      </c>
      <c r="P75" s="84">
        <f t="shared" si="10"/>
        <v>1353.74</v>
      </c>
      <c r="Q75" s="84">
        <f t="shared" si="10"/>
        <v>1378.74</v>
      </c>
      <c r="R75" s="84">
        <f t="shared" si="10"/>
        <v>1298.74</v>
      </c>
      <c r="S75" s="84">
        <f t="shared" si="10"/>
        <v>1314.04</v>
      </c>
      <c r="T75" s="84">
        <f t="shared" si="10"/>
        <v>1321.54</v>
      </c>
      <c r="U75" s="84">
        <f t="shared" si="10"/>
        <v>1289.94</v>
      </c>
      <c r="V75" s="84">
        <f t="shared" si="10"/>
        <v>1228.6400000000001</v>
      </c>
      <c r="W75" s="84">
        <f t="shared" si="10"/>
        <v>1267.74</v>
      </c>
      <c r="X75" s="84">
        <f t="shared" si="10"/>
        <v>1260.8400000000001</v>
      </c>
      <c r="Y75" s="84">
        <f t="shared" si="10"/>
        <v>1220.24</v>
      </c>
      <c r="Z75" s="84">
        <f t="shared" si="10"/>
        <v>1315.04</v>
      </c>
      <c r="AA75" s="84">
        <f t="shared" si="10"/>
        <v>3.54</v>
      </c>
      <c r="AB75" s="84">
        <f t="shared" si="10"/>
        <v>1303.1400000000001</v>
      </c>
      <c r="AC75" s="84">
        <f t="shared" si="10"/>
        <v>1315.54</v>
      </c>
      <c r="AD75" s="84">
        <f t="shared" si="10"/>
        <v>1262.74</v>
      </c>
      <c r="AE75" s="84">
        <f t="shared" si="10"/>
        <v>1242.8400000000001</v>
      </c>
      <c r="AF75" s="84">
        <f t="shared" si="10"/>
        <v>1183.74</v>
      </c>
      <c r="AG75" s="74">
        <f>AG72+AG68+AG56+AG52+AG38+AG74</f>
        <v>2144.14</v>
      </c>
      <c r="AH75" s="54">
        <f t="shared" si="2"/>
        <v>1378.74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2475.83</v>
      </c>
      <c r="C83" s="69">
        <f t="shared" si="14"/>
        <v>2441.13</v>
      </c>
      <c r="D83" s="69">
        <f t="shared" si="14"/>
        <v>2429.33</v>
      </c>
      <c r="E83" s="69">
        <f t="shared" si="14"/>
        <v>2375.5299999999997</v>
      </c>
      <c r="F83" s="69">
        <f t="shared" si="14"/>
        <v>2342.6299999999997</v>
      </c>
      <c r="G83" s="69">
        <f t="shared" si="14"/>
        <v>2329.63</v>
      </c>
      <c r="H83" s="69">
        <f t="shared" si="14"/>
        <v>2352.0299999999997</v>
      </c>
      <c r="I83" s="69">
        <f t="shared" si="14"/>
        <v>2411.5299999999997</v>
      </c>
      <c r="J83" s="69">
        <f t="shared" si="14"/>
        <v>2443.83</v>
      </c>
      <c r="K83" s="69">
        <f t="shared" si="14"/>
        <v>2492.9299999999998</v>
      </c>
      <c r="L83" s="69">
        <f t="shared" si="14"/>
        <v>2535.23</v>
      </c>
      <c r="M83" s="69">
        <f t="shared" si="14"/>
        <v>2579.5299999999997</v>
      </c>
      <c r="N83" s="69">
        <f t="shared" si="14"/>
        <v>2574.4299999999998</v>
      </c>
      <c r="O83" s="69">
        <f t="shared" si="14"/>
        <v>2657.83</v>
      </c>
      <c r="P83" s="69">
        <f t="shared" si="14"/>
        <v>2635.63</v>
      </c>
      <c r="Q83" s="69">
        <f t="shared" si="14"/>
        <v>2660.63</v>
      </c>
      <c r="R83" s="69">
        <f t="shared" si="14"/>
        <v>2500.63</v>
      </c>
      <c r="S83" s="69">
        <f t="shared" si="14"/>
        <v>2515.9299999999998</v>
      </c>
      <c r="T83" s="69">
        <f t="shared" si="14"/>
        <v>2523.4299999999998</v>
      </c>
      <c r="U83" s="69">
        <f t="shared" si="14"/>
        <v>2491.83</v>
      </c>
      <c r="V83" s="69">
        <f t="shared" si="14"/>
        <v>2430.5299999999997</v>
      </c>
      <c r="W83" s="69">
        <f t="shared" si="14"/>
        <v>2469.63</v>
      </c>
      <c r="X83" s="69">
        <f t="shared" si="14"/>
        <v>2462.73</v>
      </c>
      <c r="Y83" s="69">
        <f t="shared" si="14"/>
        <v>2422.13</v>
      </c>
      <c r="Z83" s="69">
        <f t="shared" si="14"/>
        <v>2516.9299999999998</v>
      </c>
      <c r="AA83" s="69">
        <f t="shared" si="14"/>
        <v>1205.4299999999998</v>
      </c>
      <c r="AB83" s="69">
        <f t="shared" si="14"/>
        <v>2545.0299999999997</v>
      </c>
      <c r="AC83" s="69">
        <f t="shared" si="14"/>
        <v>2557.4299999999998</v>
      </c>
      <c r="AD83" s="69">
        <f t="shared" si="14"/>
        <v>2504.63</v>
      </c>
      <c r="AE83" s="69">
        <f t="shared" si="14"/>
        <v>2484.73</v>
      </c>
      <c r="AF83" s="69">
        <f t="shared" si="14"/>
        <v>2425.63</v>
      </c>
      <c r="AG83" s="74">
        <f t="shared" si="14"/>
        <v>4360.08</v>
      </c>
      <c r="AH83" s="54">
        <f t="shared" si="11"/>
        <v>2660.63</v>
      </c>
      <c r="AI83" s="55">
        <f t="shared" si="12"/>
        <v>1205.4299999999998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50.048000000000002</v>
      </c>
      <c r="C84" s="90">
        <v>49.970999999999997</v>
      </c>
      <c r="D84" s="90">
        <v>50</v>
      </c>
      <c r="E84" s="90">
        <v>50.03</v>
      </c>
      <c r="F84" s="90">
        <v>50.05</v>
      </c>
      <c r="G84" s="90">
        <v>50.076000000000001</v>
      </c>
      <c r="H84" s="90">
        <v>50.06</v>
      </c>
      <c r="I84" s="90">
        <v>50.05</v>
      </c>
      <c r="J84" s="90">
        <v>50.03</v>
      </c>
      <c r="K84" s="90">
        <v>50.103000000000002</v>
      </c>
      <c r="L84" s="90">
        <v>50.088000000000001</v>
      </c>
      <c r="M84" s="90">
        <v>50.2</v>
      </c>
      <c r="N84" s="90">
        <v>50.3</v>
      </c>
      <c r="O84" s="90">
        <v>50.09</v>
      </c>
      <c r="P84" s="90">
        <v>50.082999999999998</v>
      </c>
      <c r="Q84" s="90">
        <v>50.05</v>
      </c>
      <c r="R84" s="90">
        <v>50.05</v>
      </c>
      <c r="S84" s="90">
        <v>50.05</v>
      </c>
      <c r="T84" s="90">
        <v>50.031999999999996</v>
      </c>
      <c r="U84" s="90">
        <v>49.945999999999998</v>
      </c>
      <c r="V84" s="90">
        <v>50.023000000000003</v>
      </c>
      <c r="W84" s="90">
        <v>50.177</v>
      </c>
      <c r="X84" s="90">
        <v>50.21</v>
      </c>
      <c r="Y84" s="90">
        <v>50.329000000000001</v>
      </c>
      <c r="Z84" s="90">
        <v>50.094000000000001</v>
      </c>
      <c r="AA84" s="90"/>
      <c r="AB84" s="90">
        <v>50.045999999999999</v>
      </c>
      <c r="AC84" s="90">
        <v>50.064999999999998</v>
      </c>
      <c r="AD84" s="90">
        <v>49.994999999999997</v>
      </c>
      <c r="AE84" s="90">
        <v>49.993000000000002</v>
      </c>
      <c r="AF84" s="90">
        <v>50.055</v>
      </c>
      <c r="AG84" s="91"/>
      <c r="AH84" s="54">
        <f t="shared" si="11"/>
        <v>50.329000000000001</v>
      </c>
      <c r="AI84" s="55">
        <f t="shared" si="12"/>
        <v>49.945999999999998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123</v>
      </c>
      <c r="C85" s="70">
        <v>124.8</v>
      </c>
      <c r="D85" s="70">
        <v>125</v>
      </c>
      <c r="E85" s="70">
        <v>127</v>
      </c>
      <c r="F85" s="70">
        <v>126.6</v>
      </c>
      <c r="G85" s="70">
        <v>126.3</v>
      </c>
      <c r="H85" s="70">
        <v>125.9</v>
      </c>
      <c r="I85" s="70">
        <v>126.6</v>
      </c>
      <c r="J85" s="70">
        <v>125.7</v>
      </c>
      <c r="K85" s="70">
        <v>125.8</v>
      </c>
      <c r="L85" s="70">
        <v>124.2</v>
      </c>
      <c r="M85" s="70">
        <v>123</v>
      </c>
      <c r="N85" s="70">
        <v>123</v>
      </c>
      <c r="O85" s="70">
        <v>122.9</v>
      </c>
      <c r="P85" s="70">
        <v>122.9</v>
      </c>
      <c r="Q85" s="70">
        <v>123</v>
      </c>
      <c r="R85" s="70">
        <v>123</v>
      </c>
      <c r="S85" s="70">
        <v>123</v>
      </c>
      <c r="T85" s="70">
        <v>123</v>
      </c>
      <c r="U85" s="70">
        <v>122.7</v>
      </c>
      <c r="V85" s="70">
        <v>122.7</v>
      </c>
      <c r="W85" s="70">
        <v>123</v>
      </c>
      <c r="X85" s="70">
        <v>125</v>
      </c>
      <c r="Y85" s="70">
        <v>125</v>
      </c>
      <c r="Z85" s="70">
        <v>125</v>
      </c>
      <c r="AA85" s="70"/>
      <c r="AB85" s="70">
        <v>122.6</v>
      </c>
      <c r="AC85" s="70">
        <v>125.3</v>
      </c>
      <c r="AD85" s="70">
        <v>125.7</v>
      </c>
      <c r="AE85" s="70">
        <v>125.2</v>
      </c>
      <c r="AF85" s="70">
        <v>124.7</v>
      </c>
      <c r="AG85" s="93"/>
      <c r="AH85" s="54">
        <f t="shared" si="11"/>
        <v>127</v>
      </c>
      <c r="AI85" s="55">
        <f t="shared" si="12"/>
        <v>122.6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</v>
      </c>
      <c r="C86" s="70">
        <v>130</v>
      </c>
      <c r="D86" s="70">
        <v>130</v>
      </c>
      <c r="E86" s="70">
        <v>131</v>
      </c>
      <c r="F86" s="70">
        <v>130.9</v>
      </c>
      <c r="G86" s="70">
        <v>130.19999999999999</v>
      </c>
      <c r="H86" s="70">
        <v>129.5</v>
      </c>
      <c r="I86" s="70">
        <v>130.9</v>
      </c>
      <c r="J86" s="70">
        <v>129.5</v>
      </c>
      <c r="K86" s="70">
        <v>129.4</v>
      </c>
      <c r="L86" s="70">
        <v>128.19999999999999</v>
      </c>
      <c r="M86" s="70">
        <v>126.8</v>
      </c>
      <c r="N86" s="70">
        <v>126.8</v>
      </c>
      <c r="O86" s="70">
        <v>127.3</v>
      </c>
      <c r="P86" s="70">
        <v>127.3</v>
      </c>
      <c r="Q86" s="70">
        <v>127.3</v>
      </c>
      <c r="R86" s="70">
        <v>127.3</v>
      </c>
      <c r="S86" s="70">
        <v>127.3</v>
      </c>
      <c r="T86" s="70">
        <v>127.3</v>
      </c>
      <c r="U86" s="70">
        <v>127</v>
      </c>
      <c r="V86" s="70">
        <v>127</v>
      </c>
      <c r="W86" s="70">
        <v>128</v>
      </c>
      <c r="X86" s="70">
        <v>129</v>
      </c>
      <c r="Y86" s="70">
        <v>129</v>
      </c>
      <c r="Z86" s="70">
        <v>129</v>
      </c>
      <c r="AA86" s="70"/>
      <c r="AB86" s="70">
        <v>125.4</v>
      </c>
      <c r="AC86" s="70">
        <v>129</v>
      </c>
      <c r="AD86" s="70">
        <v>129.30000000000001</v>
      </c>
      <c r="AE86" s="70">
        <v>129.69999999999999</v>
      </c>
      <c r="AF86" s="70">
        <v>129.69999999999999</v>
      </c>
      <c r="AG86" s="93"/>
      <c r="AH86" s="54">
        <f t="shared" si="11"/>
        <v>131</v>
      </c>
      <c r="AI86" s="55">
        <f t="shared" si="12"/>
        <v>125.4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>
        <v>131</v>
      </c>
      <c r="Y87" s="70">
        <v>130</v>
      </c>
      <c r="Z87" s="70">
        <v>130</v>
      </c>
      <c r="AA87" s="70"/>
      <c r="AB87" s="70">
        <v>127.3</v>
      </c>
      <c r="AC87" s="70">
        <v>129.19999999999999</v>
      </c>
      <c r="AD87" s="70">
        <v>128.9</v>
      </c>
      <c r="AE87" s="70">
        <v>128</v>
      </c>
      <c r="AF87" s="70">
        <v>126.6</v>
      </c>
      <c r="AG87" s="93"/>
      <c r="AH87" s="54">
        <f t="shared" si="11"/>
        <v>131</v>
      </c>
      <c r="AI87" s="55">
        <f t="shared" si="12"/>
        <v>126.6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>
        <v>132</v>
      </c>
      <c r="Y88" s="70">
        <v>132</v>
      </c>
      <c r="Z88" s="70">
        <v>132</v>
      </c>
      <c r="AA88" s="70"/>
      <c r="AB88" s="70">
        <v>130.5</v>
      </c>
      <c r="AC88" s="70">
        <v>134.80000000000001</v>
      </c>
      <c r="AD88" s="70">
        <v>133.1</v>
      </c>
      <c r="AE88" s="70">
        <v>132</v>
      </c>
      <c r="AF88" s="70">
        <v>131.19999999999999</v>
      </c>
      <c r="AG88" s="93"/>
      <c r="AH88" s="54">
        <f t="shared" si="11"/>
        <v>134.80000000000001</v>
      </c>
      <c r="AI88" s="55">
        <f t="shared" si="12"/>
        <v>130.5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135</v>
      </c>
      <c r="C89" s="95">
        <v>132</v>
      </c>
      <c r="D89" s="95">
        <v>134</v>
      </c>
      <c r="E89" s="95">
        <v>132.80000000000001</v>
      </c>
      <c r="F89" s="95">
        <v>132.1</v>
      </c>
      <c r="G89" s="95">
        <v>132.6</v>
      </c>
      <c r="H89" s="95">
        <v>132.9</v>
      </c>
      <c r="I89" s="95">
        <v>132.1</v>
      </c>
      <c r="J89" s="95">
        <v>134.19999999999999</v>
      </c>
      <c r="K89" s="95">
        <v>133.80000000000001</v>
      </c>
      <c r="L89" s="95">
        <v>131.30000000000001</v>
      </c>
      <c r="M89" s="95">
        <v>135.5</v>
      </c>
      <c r="N89" s="95">
        <v>135.5</v>
      </c>
      <c r="O89" s="95">
        <v>132.9</v>
      </c>
      <c r="P89" s="95">
        <v>132.9</v>
      </c>
      <c r="Q89" s="95">
        <v>133.6</v>
      </c>
      <c r="R89" s="95">
        <v>133.6</v>
      </c>
      <c r="S89" s="95">
        <v>133.6</v>
      </c>
      <c r="T89" s="95">
        <v>133.6</v>
      </c>
      <c r="U89" s="95">
        <v>133</v>
      </c>
      <c r="V89" s="95">
        <v>133</v>
      </c>
      <c r="W89" s="95">
        <v>133</v>
      </c>
      <c r="X89" s="95">
        <v>132.80000000000001</v>
      </c>
      <c r="Y89" s="95">
        <v>133</v>
      </c>
      <c r="Z89" s="95">
        <v>133</v>
      </c>
      <c r="AA89" s="95"/>
      <c r="AB89" s="95">
        <v>128.6</v>
      </c>
      <c r="AC89" s="95">
        <v>133.5</v>
      </c>
      <c r="AD89" s="95">
        <v>132.1</v>
      </c>
      <c r="AE89" s="95">
        <v>134.9</v>
      </c>
      <c r="AF89" s="95">
        <v>133.30000000000001</v>
      </c>
      <c r="AG89" s="96"/>
      <c r="AH89" s="54">
        <f t="shared" si="11"/>
        <v>135.5</v>
      </c>
      <c r="AI89" s="55">
        <f t="shared" si="12"/>
        <v>128.6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135</v>
      </c>
      <c r="C90" s="70">
        <v>130</v>
      </c>
      <c r="D90" s="70">
        <v>132</v>
      </c>
      <c r="E90" s="70">
        <v>138.6</v>
      </c>
      <c r="F90" s="70">
        <v>137.1</v>
      </c>
      <c r="G90" s="70">
        <v>135.80000000000001</v>
      </c>
      <c r="H90" s="70">
        <v>135.80000000000001</v>
      </c>
      <c r="I90" s="70">
        <v>137.1</v>
      </c>
      <c r="J90" s="70">
        <v>135.9</v>
      </c>
      <c r="K90" s="70">
        <v>134.6</v>
      </c>
      <c r="L90" s="70">
        <v>133.1</v>
      </c>
      <c r="M90" s="70">
        <v>133</v>
      </c>
      <c r="N90" s="70">
        <v>133</v>
      </c>
      <c r="O90" s="70">
        <v>134.5</v>
      </c>
      <c r="P90" s="70">
        <v>134.5</v>
      </c>
      <c r="Q90" s="70">
        <v>132.80000000000001</v>
      </c>
      <c r="R90" s="70">
        <v>132.80000000000001</v>
      </c>
      <c r="S90" s="70">
        <v>132.80000000000001</v>
      </c>
      <c r="T90" s="70">
        <v>132.80000000000001</v>
      </c>
      <c r="U90" s="70">
        <v>133</v>
      </c>
      <c r="V90" s="70">
        <v>133</v>
      </c>
      <c r="W90" s="70">
        <v>132</v>
      </c>
      <c r="X90" s="70">
        <v>129</v>
      </c>
      <c r="Y90" s="70">
        <v>136</v>
      </c>
      <c r="Z90" s="70">
        <v>136</v>
      </c>
      <c r="AA90" s="70"/>
      <c r="AB90" s="70">
        <v>131.1</v>
      </c>
      <c r="AC90" s="70">
        <v>131.80000000000001</v>
      </c>
      <c r="AD90" s="70">
        <v>129.69999999999999</v>
      </c>
      <c r="AE90" s="70">
        <v>133.19999999999999</v>
      </c>
      <c r="AF90" s="70">
        <v>133.30000000000001</v>
      </c>
      <c r="AG90" s="93"/>
      <c r="AH90" s="54">
        <f t="shared" si="11"/>
        <v>138.6</v>
      </c>
      <c r="AI90" s="55">
        <f t="shared" si="12"/>
        <v>129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</v>
      </c>
      <c r="C91" s="97">
        <v>65.5</v>
      </c>
      <c r="D91" s="97">
        <v>65.5</v>
      </c>
      <c r="E91" s="97">
        <v>66</v>
      </c>
      <c r="F91" s="97">
        <v>65.900000000000006</v>
      </c>
      <c r="G91" s="97">
        <v>65.3</v>
      </c>
      <c r="H91" s="97">
        <v>65.3</v>
      </c>
      <c r="I91" s="97">
        <v>65.900000000000006</v>
      </c>
      <c r="J91" s="97">
        <v>65</v>
      </c>
      <c r="K91" s="97">
        <v>65.099999999999994</v>
      </c>
      <c r="L91" s="97">
        <v>64.400000000000006</v>
      </c>
      <c r="M91" s="97">
        <v>63.9</v>
      </c>
      <c r="N91" s="97">
        <v>63.9</v>
      </c>
      <c r="O91" s="97">
        <v>64.099999999999994</v>
      </c>
      <c r="P91" s="97">
        <v>64.099999999999994</v>
      </c>
      <c r="Q91" s="97">
        <v>64</v>
      </c>
      <c r="R91" s="97">
        <v>64</v>
      </c>
      <c r="S91" s="97">
        <v>64</v>
      </c>
      <c r="T91" s="97">
        <v>64</v>
      </c>
      <c r="U91" s="97">
        <v>63.8</v>
      </c>
      <c r="V91" s="97">
        <v>63.8</v>
      </c>
      <c r="W91" s="97">
        <v>64</v>
      </c>
      <c r="X91" s="97">
        <v>64.8</v>
      </c>
      <c r="Y91" s="97">
        <v>64.5</v>
      </c>
      <c r="Z91" s="97">
        <v>64.5</v>
      </c>
      <c r="AA91" s="97"/>
      <c r="AB91" s="97">
        <v>63.3</v>
      </c>
      <c r="AC91" s="97">
        <v>64.8</v>
      </c>
      <c r="AD91" s="97">
        <v>65.099999999999994</v>
      </c>
      <c r="AE91" s="97">
        <v>65.599999999999994</v>
      </c>
      <c r="AF91" s="97">
        <v>65.7</v>
      </c>
      <c r="AG91" s="98"/>
      <c r="AH91" s="54">
        <f t="shared" si="11"/>
        <v>66</v>
      </c>
      <c r="AI91" s="55">
        <f t="shared" si="12"/>
        <v>63.3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169.03999999999996</v>
      </c>
      <c r="C93" s="103">
        <f t="shared" si="15"/>
        <v>162.23999999999998</v>
      </c>
      <c r="D93" s="103">
        <f t="shared" si="15"/>
        <v>152.63999999999996</v>
      </c>
      <c r="E93" s="103">
        <f t="shared" si="15"/>
        <v>210.43999999999994</v>
      </c>
      <c r="F93" s="103">
        <f t="shared" si="15"/>
        <v>185.14</v>
      </c>
      <c r="G93" s="103">
        <f t="shared" si="15"/>
        <v>219.63999999999996</v>
      </c>
      <c r="H93" s="103">
        <f t="shared" si="15"/>
        <v>230.43999999999997</v>
      </c>
      <c r="I93" s="103">
        <f t="shared" si="15"/>
        <v>260.04000000000008</v>
      </c>
      <c r="J93" s="103">
        <f t="shared" si="15"/>
        <v>259.84000000000003</v>
      </c>
      <c r="K93" s="103">
        <f t="shared" si="15"/>
        <v>284.84000000000003</v>
      </c>
      <c r="L93" s="103">
        <f t="shared" si="15"/>
        <v>304.24000000000007</v>
      </c>
      <c r="M93" s="103">
        <f t="shared" si="15"/>
        <v>278.14000000000004</v>
      </c>
      <c r="N93" s="103">
        <f t="shared" si="15"/>
        <v>316.54000000000002</v>
      </c>
      <c r="O93" s="103">
        <f t="shared" si="15"/>
        <v>317.94000000000005</v>
      </c>
      <c r="P93" s="103">
        <f t="shared" si="15"/>
        <v>300.04000000000002</v>
      </c>
      <c r="Q93" s="103">
        <f t="shared" si="15"/>
        <v>301.74000000000007</v>
      </c>
      <c r="R93" s="103">
        <f t="shared" si="15"/>
        <v>302.74000000000007</v>
      </c>
      <c r="S93" s="103">
        <f t="shared" si="15"/>
        <v>305.64000000000004</v>
      </c>
      <c r="T93" s="103">
        <f t="shared" si="15"/>
        <v>309.64000000000004</v>
      </c>
      <c r="U93" s="103">
        <f t="shared" si="15"/>
        <v>298.64000000000004</v>
      </c>
      <c r="V93" s="103">
        <f t="shared" si="15"/>
        <v>317.64000000000004</v>
      </c>
      <c r="W93" s="103">
        <f>SUM(W15,W18,W21:W22,W42,W44:W45,W47,W49,W94:W97,W103,W109,W115,W124,W126,W138,W145,W148:W149,W156,W158,W160,W164:W166,W168:W170,W175,W181:W182,W184:W186,W194,W199)</f>
        <v>302.64000000000004</v>
      </c>
      <c r="X93" s="103">
        <f>SUM(X15,X18,X21:X22,X42,X44:X45,X47,X49,X94:X97,X103,X109,X115,X124,X126,X138,X145,X148:X149,X156,X158,X160,X164:X166,X168:X170,X175,X181:X182,X184:X186,X194,X199)</f>
        <v>294.64000000000004</v>
      </c>
      <c r="Y93" s="103">
        <f t="shared" si="15"/>
        <v>299.34000000000003</v>
      </c>
      <c r="Z93" s="103">
        <f t="shared" si="15"/>
        <v>340.34000000000003</v>
      </c>
      <c r="AA93" s="103">
        <f t="shared" si="15"/>
        <v>34.840000000000003</v>
      </c>
      <c r="AB93" s="103">
        <f t="shared" si="15"/>
        <v>337.24</v>
      </c>
      <c r="AC93" s="103">
        <f>SUM(AC15,AC18,AC21:AC22,AC42,AC44:AC45,AC47,AC49,AC94:AC97,AC103,AC109,AC115,AC124,AC126,AC138,AC145,AC148:AC149,AC156,AC158,AC160,AC164:AC166,AC168:AC170,AC175,AC181:AC182,AC184:AC186,AC194,AC199)</f>
        <v>309.54000000000002</v>
      </c>
      <c r="AD93" s="103">
        <f>SUM(AD15,AD18,AD21:AD22,AD42,AD44:AD45,AD47,AD49,AD94:AD97,AD103,AD109,AD115,AD124,AD126,AD138,AD145,AD148:AD149,AD156,AD158,AD160,AD164:AD166,AD168:AD170,AD175,AD181:AD182,AD184:AD186,AD194,AD199)</f>
        <v>276.54000000000002</v>
      </c>
      <c r="AE93" s="103">
        <f t="shared" si="15"/>
        <v>217.13999999999996</v>
      </c>
      <c r="AF93" s="103">
        <f t="shared" si="15"/>
        <v>181.33999999999997</v>
      </c>
      <c r="AG93" s="104"/>
      <c r="AH93" s="54">
        <f>MAX(C93:AF93)</f>
        <v>340.34000000000003</v>
      </c>
      <c r="AI93" s="55">
        <f>MIN(C93:AF93)</f>
        <v>34.840000000000003</v>
      </c>
    </row>
    <row r="94" spans="1:88" x14ac:dyDescent="0.25">
      <c r="A94" s="105" t="s">
        <v>99</v>
      </c>
      <c r="B94" s="106">
        <v>46.7</v>
      </c>
      <c r="C94" s="106">
        <v>47.9</v>
      </c>
      <c r="D94" s="106">
        <v>57.7</v>
      </c>
      <c r="E94" s="106">
        <v>49.1</v>
      </c>
      <c r="F94" s="106">
        <v>54.7</v>
      </c>
      <c r="G94" s="106">
        <v>58.4</v>
      </c>
      <c r="H94" s="106">
        <v>56.4</v>
      </c>
      <c r="I94" s="106">
        <v>55.7</v>
      </c>
      <c r="J94" s="106">
        <v>60.2</v>
      </c>
      <c r="K94" s="106">
        <v>53.1</v>
      </c>
      <c r="L94" s="106">
        <v>63.5</v>
      </c>
      <c r="M94" s="106">
        <v>70.7</v>
      </c>
      <c r="N94" s="106">
        <v>69</v>
      </c>
      <c r="O94" s="106">
        <v>56</v>
      </c>
      <c r="P94" s="106">
        <v>63.6</v>
      </c>
      <c r="Q94" s="106">
        <v>65.400000000000006</v>
      </c>
      <c r="R94" s="106">
        <v>66.400000000000006</v>
      </c>
      <c r="S94" s="106">
        <v>74</v>
      </c>
      <c r="T94" s="106">
        <v>63</v>
      </c>
      <c r="U94" s="106">
        <v>60</v>
      </c>
      <c r="V94" s="106">
        <v>56</v>
      </c>
      <c r="W94" s="106">
        <v>59</v>
      </c>
      <c r="X94" s="106">
        <v>55</v>
      </c>
      <c r="Y94" s="106">
        <v>50</v>
      </c>
      <c r="Z94" s="106">
        <v>55</v>
      </c>
      <c r="AA94" s="106"/>
      <c r="AB94" s="106">
        <v>39.5</v>
      </c>
      <c r="AC94" s="106">
        <v>67.2</v>
      </c>
      <c r="AD94" s="106">
        <v>65.599999999999994</v>
      </c>
      <c r="AE94" s="106">
        <v>55.6</v>
      </c>
      <c r="AF94" s="106">
        <v>58.8</v>
      </c>
      <c r="AG94" s="107">
        <v>75</v>
      </c>
      <c r="AH94" s="54">
        <f t="shared" ref="AH94:AH100" si="16">IF(ABS(MAX(C94:AF94))&gt;ABS(MIN(C94:AF94)),MAX(C94:AF94),MIN(C94:AF94))</f>
        <v>74</v>
      </c>
      <c r="AI94" s="108">
        <f t="shared" ref="AI94:AI100" si="17">INDEX($C$9:$AF$9,1,MATCH(AH94,C94:AF94,0))</f>
        <v>0.58333333333333304</v>
      </c>
    </row>
    <row r="95" spans="1:88" x14ac:dyDescent="0.25">
      <c r="A95" s="109" t="s">
        <v>100</v>
      </c>
      <c r="B95" s="110">
        <v>-103</v>
      </c>
      <c r="C95" s="110">
        <v>-102</v>
      </c>
      <c r="D95" s="110">
        <v>-91</v>
      </c>
      <c r="E95" s="110">
        <v>-80.400000000000006</v>
      </c>
      <c r="F95" s="110">
        <v>-84.8</v>
      </c>
      <c r="G95" s="110">
        <v>-80.400000000000006</v>
      </c>
      <c r="H95" s="110">
        <v>-75.2</v>
      </c>
      <c r="I95" s="110">
        <v>-40.5</v>
      </c>
      <c r="J95" s="110">
        <v>-44.8</v>
      </c>
      <c r="K95" s="110">
        <v>-23.8</v>
      </c>
      <c r="L95" s="110">
        <v>-39.1</v>
      </c>
      <c r="M95" s="110">
        <v>-76</v>
      </c>
      <c r="N95" s="110">
        <v>-40</v>
      </c>
      <c r="O95" s="110">
        <v>-41</v>
      </c>
      <c r="P95" s="110">
        <v>-50</v>
      </c>
      <c r="Q95" s="110">
        <f>-18.8-28.3</f>
        <v>-47.1</v>
      </c>
      <c r="R95" s="110">
        <f>-18.8-28.3</f>
        <v>-47.1</v>
      </c>
      <c r="S95" s="110">
        <v>-58</v>
      </c>
      <c r="T95" s="110">
        <v>-51</v>
      </c>
      <c r="U95" s="110">
        <v>-52</v>
      </c>
      <c r="V95" s="110">
        <v>-32</v>
      </c>
      <c r="W95" s="110">
        <v>-47</v>
      </c>
      <c r="X95" s="110">
        <v>-48</v>
      </c>
      <c r="Y95" s="110">
        <v>-41</v>
      </c>
      <c r="Z95" s="110">
        <v>-27</v>
      </c>
      <c r="AA95" s="110"/>
      <c r="AB95" s="110">
        <v>-5</v>
      </c>
      <c r="AC95" s="110">
        <v>-30.1</v>
      </c>
      <c r="AD95" s="110">
        <v>-45.2</v>
      </c>
      <c r="AE95" s="110">
        <v>-70.900000000000006</v>
      </c>
      <c r="AF95" s="110">
        <v>-86</v>
      </c>
      <c r="AG95" s="107">
        <v>240</v>
      </c>
      <c r="AH95" s="54">
        <f t="shared" si="16"/>
        <v>-102</v>
      </c>
      <c r="AI95" s="108">
        <f t="shared" si="17"/>
        <v>4.1666666666666664E-2</v>
      </c>
    </row>
    <row r="96" spans="1:88" x14ac:dyDescent="0.25">
      <c r="A96" s="109" t="s">
        <v>101</v>
      </c>
      <c r="B96" s="110">
        <v>2.2999999999999998</v>
      </c>
      <c r="C96" s="110">
        <v>6.3</v>
      </c>
      <c r="D96" s="110">
        <v>21.4</v>
      </c>
      <c r="E96" s="110">
        <v>21.5</v>
      </c>
      <c r="F96" s="110">
        <v>20.6</v>
      </c>
      <c r="G96" s="110">
        <v>21.5</v>
      </c>
      <c r="H96" s="110">
        <v>29.1</v>
      </c>
      <c r="I96" s="110">
        <v>30.2</v>
      </c>
      <c r="J96" s="110">
        <v>29</v>
      </c>
      <c r="K96" s="110">
        <v>31.3</v>
      </c>
      <c r="L96" s="110">
        <v>49.2</v>
      </c>
      <c r="M96" s="110">
        <v>50.3</v>
      </c>
      <c r="N96" s="110">
        <v>42.2</v>
      </c>
      <c r="O96" s="110">
        <v>48.8</v>
      </c>
      <c r="P96" s="110">
        <v>38.6</v>
      </c>
      <c r="Q96" s="110">
        <v>41.8</v>
      </c>
      <c r="R96" s="110">
        <v>41.8</v>
      </c>
      <c r="S96" s="110">
        <v>39</v>
      </c>
      <c r="T96" s="110">
        <v>47</v>
      </c>
      <c r="U96" s="110">
        <v>49</v>
      </c>
      <c r="V96" s="110">
        <v>39</v>
      </c>
      <c r="W96" s="110">
        <v>36</v>
      </c>
      <c r="X96" s="110">
        <v>42</v>
      </c>
      <c r="Y96" s="110">
        <v>46</v>
      </c>
      <c r="Z96" s="110">
        <v>57</v>
      </c>
      <c r="AA96" s="110"/>
      <c r="AB96" s="110">
        <v>25</v>
      </c>
      <c r="AC96" s="110">
        <v>32.4</v>
      </c>
      <c r="AD96" s="110">
        <v>28.2</v>
      </c>
      <c r="AE96" s="110">
        <v>20.399999999999999</v>
      </c>
      <c r="AF96" s="110">
        <v>15.8</v>
      </c>
      <c r="AG96" s="107">
        <v>60</v>
      </c>
      <c r="AH96" s="54">
        <f t="shared" si="16"/>
        <v>57</v>
      </c>
      <c r="AI96" s="108">
        <f t="shared" si="17"/>
        <v>0.79166666666666663</v>
      </c>
    </row>
    <row r="97" spans="1:37" x14ac:dyDescent="0.25">
      <c r="A97" s="111" t="s">
        <v>102</v>
      </c>
      <c r="B97" s="112">
        <v>31.9</v>
      </c>
      <c r="C97" s="112">
        <v>19</v>
      </c>
      <c r="D97" s="112">
        <v>-26.5</v>
      </c>
      <c r="E97" s="112">
        <v>29.2</v>
      </c>
      <c r="F97" s="112">
        <v>3.7</v>
      </c>
      <c r="G97" s="112">
        <v>29.2</v>
      </c>
      <c r="H97" s="112">
        <v>29.2</v>
      </c>
      <c r="I97" s="112">
        <v>23.7</v>
      </c>
      <c r="J97" s="112">
        <v>24.1</v>
      </c>
      <c r="K97" s="112">
        <v>32.9</v>
      </c>
      <c r="L97" s="112">
        <v>39.5</v>
      </c>
      <c r="M97" s="112">
        <v>33</v>
      </c>
      <c r="N97" s="112">
        <v>44.2</v>
      </c>
      <c r="O97" s="112">
        <v>53</v>
      </c>
      <c r="P97" s="112">
        <v>46.7</v>
      </c>
      <c r="Q97" s="112">
        <v>41</v>
      </c>
      <c r="R97" s="112">
        <v>41</v>
      </c>
      <c r="S97" s="112">
        <v>50</v>
      </c>
      <c r="T97" s="112">
        <v>50</v>
      </c>
      <c r="U97" s="112">
        <v>41</v>
      </c>
      <c r="V97" s="112">
        <v>54</v>
      </c>
      <c r="W97" s="112">
        <v>54</v>
      </c>
      <c r="X97" s="112">
        <v>50</v>
      </c>
      <c r="Y97" s="112">
        <v>48</v>
      </c>
      <c r="Z97" s="112">
        <v>59</v>
      </c>
      <c r="AA97" s="112"/>
      <c r="AB97" s="112">
        <v>91.4</v>
      </c>
      <c r="AC97" s="112">
        <v>52.9</v>
      </c>
      <c r="AD97" s="112">
        <v>40.700000000000003</v>
      </c>
      <c r="AE97" s="112">
        <v>24.6</v>
      </c>
      <c r="AF97" s="112">
        <v>5.3</v>
      </c>
      <c r="AG97" s="113">
        <v>120</v>
      </c>
      <c r="AH97" s="54">
        <f t="shared" si="16"/>
        <v>91.4</v>
      </c>
      <c r="AI97" s="108">
        <f t="shared" si="17"/>
        <v>0.83333333333333337</v>
      </c>
    </row>
    <row r="98" spans="1:37" x14ac:dyDescent="0.25">
      <c r="A98" s="111" t="s">
        <v>103</v>
      </c>
      <c r="B98" s="112">
        <v>51.5</v>
      </c>
      <c r="C98" s="112">
        <v>44.9</v>
      </c>
      <c r="D98" s="112">
        <v>17.399999999999999</v>
      </c>
      <c r="E98" s="112">
        <v>19.100000000000001</v>
      </c>
      <c r="F98" s="112">
        <v>8.9</v>
      </c>
      <c r="G98" s="112">
        <v>19.100000000000001</v>
      </c>
      <c r="H98" s="112">
        <v>19.100000000000001</v>
      </c>
      <c r="I98" s="112">
        <v>44.2</v>
      </c>
      <c r="J98" s="112">
        <v>44.7</v>
      </c>
      <c r="K98" s="112">
        <v>43.8</v>
      </c>
      <c r="L98" s="112">
        <v>26.9</v>
      </c>
      <c r="M98" s="112">
        <v>32.9</v>
      </c>
      <c r="N98" s="112">
        <v>49.2</v>
      </c>
      <c r="O98" s="112">
        <v>53.1</v>
      </c>
      <c r="P98" s="112">
        <v>50.5</v>
      </c>
      <c r="Q98" s="112">
        <v>49.5</v>
      </c>
      <c r="R98" s="112">
        <v>49.5</v>
      </c>
      <c r="S98" s="112">
        <v>54</v>
      </c>
      <c r="T98" s="112">
        <v>54</v>
      </c>
      <c r="U98" s="112">
        <v>44</v>
      </c>
      <c r="V98" s="112">
        <v>50</v>
      </c>
      <c r="W98" s="112">
        <v>52</v>
      </c>
      <c r="X98" s="112">
        <v>49</v>
      </c>
      <c r="Y98" s="112">
        <v>46</v>
      </c>
      <c r="Z98" s="112">
        <v>50</v>
      </c>
      <c r="AA98" s="112"/>
      <c r="AB98" s="112">
        <v>70.900000000000006</v>
      </c>
      <c r="AC98" s="112">
        <v>50.5</v>
      </c>
      <c r="AD98" s="112">
        <v>43.2</v>
      </c>
      <c r="AE98" s="112">
        <v>33.1</v>
      </c>
      <c r="AF98" s="112">
        <v>29.6</v>
      </c>
      <c r="AG98" s="113"/>
      <c r="AH98" s="54">
        <f t="shared" si="16"/>
        <v>70.900000000000006</v>
      </c>
      <c r="AI98" s="108">
        <f t="shared" si="17"/>
        <v>0.83333333333333337</v>
      </c>
    </row>
    <row r="99" spans="1:37" x14ac:dyDescent="0.25">
      <c r="A99" s="111" t="s">
        <v>104</v>
      </c>
      <c r="B99" s="112">
        <v>59.2</v>
      </c>
      <c r="C99" s="112">
        <v>67</v>
      </c>
      <c r="D99" s="112">
        <v>26</v>
      </c>
      <c r="E99" s="112">
        <v>47.5</v>
      </c>
      <c r="F99" s="112">
        <v>38.5</v>
      </c>
      <c r="G99" s="112">
        <v>47.5</v>
      </c>
      <c r="H99" s="112">
        <v>47.5</v>
      </c>
      <c r="I99" s="112">
        <v>16.2</v>
      </c>
      <c r="J99" s="112">
        <v>15.7</v>
      </c>
      <c r="K99" s="112">
        <v>19.8</v>
      </c>
      <c r="L99" s="112">
        <v>24</v>
      </c>
      <c r="M99" s="112">
        <v>11.3</v>
      </c>
      <c r="N99" s="112">
        <v>35.799999999999997</v>
      </c>
      <c r="O99" s="112">
        <v>37.6</v>
      </c>
      <c r="P99" s="112">
        <v>40.5</v>
      </c>
      <c r="Q99" s="112">
        <v>38.799999999999997</v>
      </c>
      <c r="R99" s="112">
        <v>38.799999999999997</v>
      </c>
      <c r="S99" s="112">
        <v>22</v>
      </c>
      <c r="T99" s="112">
        <v>22</v>
      </c>
      <c r="U99" s="112">
        <v>44</v>
      </c>
      <c r="V99" s="112">
        <v>20</v>
      </c>
      <c r="W99" s="112">
        <v>29</v>
      </c>
      <c r="X99" s="112">
        <v>41</v>
      </c>
      <c r="Y99" s="112">
        <v>52</v>
      </c>
      <c r="Z99" s="112">
        <v>53</v>
      </c>
      <c r="AA99" s="112"/>
      <c r="AB99" s="112">
        <v>2.7</v>
      </c>
      <c r="AC99" s="112">
        <v>6.1</v>
      </c>
      <c r="AD99" s="112">
        <v>17.100000000000001</v>
      </c>
      <c r="AE99" s="112">
        <v>26.2</v>
      </c>
      <c r="AF99" s="112">
        <v>14.5</v>
      </c>
      <c r="AG99" s="114"/>
      <c r="AH99" s="54">
        <f t="shared" si="16"/>
        <v>67</v>
      </c>
      <c r="AI99" s="108">
        <f t="shared" si="17"/>
        <v>4.1666666666666664E-2</v>
      </c>
    </row>
    <row r="100" spans="1:37" ht="15.75" thickBot="1" x14ac:dyDescent="0.3">
      <c r="A100" s="115" t="s">
        <v>105</v>
      </c>
      <c r="B100" s="95">
        <v>55.7</v>
      </c>
      <c r="C100" s="95">
        <v>51</v>
      </c>
      <c r="D100" s="95">
        <v>63</v>
      </c>
      <c r="E100" s="95">
        <v>52.5</v>
      </c>
      <c r="F100" s="95">
        <v>48.8</v>
      </c>
      <c r="G100" s="95">
        <v>52.5</v>
      </c>
      <c r="H100" s="95">
        <v>52.5</v>
      </c>
      <c r="I100" s="95">
        <v>62.7</v>
      </c>
      <c r="J100" s="95">
        <v>62.5</v>
      </c>
      <c r="K100" s="95">
        <v>66.099999999999994</v>
      </c>
      <c r="L100" s="95">
        <v>61.2</v>
      </c>
      <c r="M100" s="95">
        <v>66</v>
      </c>
      <c r="N100" s="95">
        <v>65.599999999999994</v>
      </c>
      <c r="O100" s="95">
        <v>51.4</v>
      </c>
      <c r="P100" s="95">
        <v>54.7</v>
      </c>
      <c r="Q100" s="95">
        <v>60.9</v>
      </c>
      <c r="R100" s="95">
        <v>60.9</v>
      </c>
      <c r="S100" s="95">
        <v>62</v>
      </c>
      <c r="T100" s="95">
        <v>62</v>
      </c>
      <c r="U100" s="95">
        <v>76</v>
      </c>
      <c r="V100" s="95">
        <v>62</v>
      </c>
      <c r="W100" s="95">
        <v>63</v>
      </c>
      <c r="X100" s="95">
        <v>64</v>
      </c>
      <c r="Y100" s="95">
        <v>53</v>
      </c>
      <c r="Z100" s="95">
        <v>62</v>
      </c>
      <c r="AA100" s="95"/>
      <c r="AB100" s="95">
        <v>49</v>
      </c>
      <c r="AC100" s="95">
        <v>43.1</v>
      </c>
      <c r="AD100" s="95">
        <v>32.9</v>
      </c>
      <c r="AE100" s="95">
        <v>32.5</v>
      </c>
      <c r="AF100" s="95">
        <v>35.6</v>
      </c>
      <c r="AG100" s="114"/>
      <c r="AH100" s="54">
        <f t="shared" si="16"/>
        <v>76</v>
      </c>
      <c r="AI100" s="108">
        <f t="shared" si="17"/>
        <v>0.66666666666666696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1377.64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9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2079/02/9)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2079/02/9)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1273.94</v>
      </c>
      <c r="U214" s="161">
        <f t="shared" si="54"/>
        <v>1239.24</v>
      </c>
      <c r="V214" s="161">
        <f t="shared" si="54"/>
        <v>1227.44</v>
      </c>
      <c r="W214" s="161">
        <f t="shared" si="54"/>
        <v>1173.6399999999999</v>
      </c>
      <c r="X214" s="161">
        <f t="shared" si="54"/>
        <v>1140.7399999999998</v>
      </c>
      <c r="Y214" s="161">
        <f t="shared" si="54"/>
        <v>1127.74</v>
      </c>
      <c r="Z214" s="161">
        <f t="shared" si="54"/>
        <v>1150.1399999999999</v>
      </c>
      <c r="AA214" s="161">
        <f t="shared" si="54"/>
        <v>1209.6399999999999</v>
      </c>
      <c r="AB214" s="161">
        <f t="shared" si="54"/>
        <v>1241.94</v>
      </c>
      <c r="AC214" s="161">
        <f t="shared" si="54"/>
        <v>1291.04</v>
      </c>
      <c r="AD214" s="161">
        <f t="shared" si="54"/>
        <v>1333.3400000000001</v>
      </c>
      <c r="AE214" s="161">
        <f t="shared" si="54"/>
        <v>1377.64</v>
      </c>
      <c r="AF214" s="161">
        <f t="shared" si="54"/>
        <v>1372.54</v>
      </c>
      <c r="AG214" s="161">
        <f t="shared" si="54"/>
        <v>1375.94</v>
      </c>
      <c r="AH214" s="161">
        <f t="shared" si="54"/>
        <v>1353.74</v>
      </c>
      <c r="AI214" s="161">
        <f t="shared" si="54"/>
        <v>1378.74</v>
      </c>
      <c r="AJ214" s="161">
        <f t="shared" si="54"/>
        <v>1298.74</v>
      </c>
      <c r="AK214" s="161">
        <f t="shared" si="54"/>
        <v>1314.04</v>
      </c>
      <c r="AL214" s="161">
        <f t="shared" si="54"/>
        <v>1321.54</v>
      </c>
      <c r="AM214" s="161">
        <f t="shared" si="54"/>
        <v>1289.94</v>
      </c>
      <c r="AN214" s="161">
        <f t="shared" si="54"/>
        <v>1228.6400000000001</v>
      </c>
      <c r="AO214" s="161">
        <f t="shared" si="54"/>
        <v>1267.74</v>
      </c>
      <c r="AP214" s="161">
        <f t="shared" si="54"/>
        <v>1260.8400000000001</v>
      </c>
      <c r="AQ214" s="161">
        <f t="shared" si="54"/>
        <v>1220.24</v>
      </c>
      <c r="AR214" s="161">
        <f t="shared" si="54"/>
        <v>1315.04</v>
      </c>
      <c r="AS214" s="161">
        <f t="shared" si="54"/>
        <v>3.54</v>
      </c>
      <c r="AT214" s="161">
        <f t="shared" si="54"/>
        <v>1303.1400000000001</v>
      </c>
      <c r="AU214" s="161">
        <f t="shared" si="54"/>
        <v>1315.54</v>
      </c>
      <c r="AV214" s="161">
        <f t="shared" si="54"/>
        <v>1262.74</v>
      </c>
      <c r="AW214" s="161">
        <f t="shared" si="54"/>
        <v>1242.8400000000001</v>
      </c>
      <c r="AX214" s="161">
        <f t="shared" si="54"/>
        <v>1183.74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4381" priority="202">
      <formula>B$9&gt;=20/24</formula>
    </cfRule>
    <cfRule type="expression" dxfId="4380" priority="203">
      <formula>AND(B$9&gt;=14/24,B$9&lt;20/24)</formula>
    </cfRule>
    <cfRule type="expression" dxfId="4379" priority="204">
      <formula>AND(B$9&gt;=8/24,B$9&lt;14/24)</formula>
    </cfRule>
    <cfRule type="expression" dxfId="4378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377" priority="197">
      <formula>S$9&gt;=20/24</formula>
    </cfRule>
    <cfRule type="expression" dxfId="4376" priority="198">
      <formula>AND(S$9&gt;=14/24,S$9&lt;20/24)</formula>
    </cfRule>
    <cfRule type="expression" dxfId="4375" priority="199">
      <formula>AND(S$9&gt;=8/24,S$9&lt;14/24)</formula>
    </cfRule>
    <cfRule type="expression" dxfId="4374" priority="200">
      <formula>S$9&lt;8/24</formula>
    </cfRule>
  </conditionalFormatting>
  <conditionalFormatting sqref="AG51 J11:AF11 S37:AF37">
    <cfRule type="expression" dxfId="4373" priority="196">
      <formula>J11&gt;$AG11</formula>
    </cfRule>
  </conditionalFormatting>
  <conditionalFormatting sqref="A101:A157 A84:A97 A11:A14 A16:A32 A45:A72 A80:A82 A74:A78 A35:A43 A170:A200">
    <cfRule type="expression" dxfId="4372" priority="195">
      <formula>$AH11=0</formula>
    </cfRule>
  </conditionalFormatting>
  <conditionalFormatting sqref="A98">
    <cfRule type="expression" dxfId="4371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370" priority="192">
      <formula>$AH34=0</formula>
    </cfRule>
  </conditionalFormatting>
  <conditionalFormatting sqref="A83">
    <cfRule type="expression" dxfId="4369" priority="191">
      <formula>$AH83=0</formula>
    </cfRule>
  </conditionalFormatting>
  <conditionalFormatting sqref="A15">
    <cfRule type="expression" dxfId="4368" priority="190">
      <formula>$AH15=0</formula>
    </cfRule>
  </conditionalFormatting>
  <conditionalFormatting sqref="A164:A169">
    <cfRule type="expression" dxfId="4367" priority="189">
      <formula>$AH164=0</formula>
    </cfRule>
  </conditionalFormatting>
  <conditionalFormatting sqref="A158:A163">
    <cfRule type="expression" dxfId="4366" priority="188">
      <formula>$AH158=0</formula>
    </cfRule>
  </conditionalFormatting>
  <conditionalFormatting sqref="A44">
    <cfRule type="expression" dxfId="4365" priority="187">
      <formula>$AH44=0</formula>
    </cfRule>
  </conditionalFormatting>
  <conditionalFormatting sqref="A79">
    <cfRule type="expression" dxfId="4364" priority="186">
      <formula>$AH79=0</formula>
    </cfRule>
  </conditionalFormatting>
  <conditionalFormatting sqref="A73">
    <cfRule type="expression" dxfId="4363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362" priority="181">
      <formula>C$9&gt;=20/24</formula>
    </cfRule>
    <cfRule type="expression" dxfId="4361" priority="182">
      <formula>AND(C$9&gt;=14/24,C$9&lt;20/24)</formula>
    </cfRule>
    <cfRule type="expression" dxfId="4360" priority="183">
      <formula>AND(C$9&gt;=8/24,C$9&lt;14/24)</formula>
    </cfRule>
    <cfRule type="expression" dxfId="4359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358" priority="209">
      <formula>C$9&gt;=20/24</formula>
    </cfRule>
    <cfRule type="expression" dxfId="4357" priority="210">
      <formula>AND(C$9&gt;=14/24,C$9&lt;20/24)</formula>
    </cfRule>
    <cfRule type="expression" dxfId="4356" priority="211">
      <formula>AND(C$9&gt;=8/24,C$9&lt;14/24)</formula>
    </cfRule>
    <cfRule type="expression" dxfId="4355" priority="212">
      <formula>C$9&lt;8/24</formula>
    </cfRule>
  </conditionalFormatting>
  <conditionalFormatting sqref="A201">
    <cfRule type="expression" dxfId="4354" priority="213">
      <formula>$AH201=0</formula>
    </cfRule>
  </conditionalFormatting>
  <conditionalFormatting sqref="AG213">
    <cfRule type="expression" dxfId="4353" priority="214">
      <formula>B$9&gt;=20/24</formula>
    </cfRule>
    <cfRule type="expression" dxfId="4352" priority="215">
      <formula>AND(B$9&gt;=14/24,B$9&lt;20/24)</formula>
    </cfRule>
    <cfRule type="expression" dxfId="4351" priority="216">
      <formula>AND(B$9&gt;=8/24,B$9&lt;14/24)</formula>
    </cfRule>
    <cfRule type="expression" dxfId="4350" priority="217">
      <formula>B$9&lt;8/24</formula>
    </cfRule>
  </conditionalFormatting>
  <conditionalFormatting sqref="S8">
    <cfRule type="expression" dxfId="4349" priority="175">
      <formula>U$9&gt;=20/24</formula>
    </cfRule>
    <cfRule type="expression" dxfId="4348" priority="176">
      <formula>AND(U$9&gt;=14/24,U$9&lt;20/24)</formula>
    </cfRule>
    <cfRule type="expression" dxfId="4347" priority="177">
      <formula>AND(U$9&gt;=8/24,U$9&lt;14/24)</formula>
    </cfRule>
    <cfRule type="expression" dxfId="4346" priority="178">
      <formula>U$9&lt;8/24</formula>
    </cfRule>
  </conditionalFormatting>
  <conditionalFormatting sqref="AB8">
    <cfRule type="expression" dxfId="4345" priority="171">
      <formula>AD$9&gt;=20/24</formula>
    </cfRule>
    <cfRule type="expression" dxfId="4344" priority="172">
      <formula>AND(AD$9&gt;=14/24,AD$9&lt;20/24)</formula>
    </cfRule>
    <cfRule type="expression" dxfId="4343" priority="173">
      <formula>AND(AD$9&gt;=8/24,AD$9&lt;14/24)</formula>
    </cfRule>
    <cfRule type="expression" dxfId="4342" priority="174">
      <formula>AD$9&lt;8/24</formula>
    </cfRule>
  </conditionalFormatting>
  <conditionalFormatting sqref="AH213:AX213">
    <cfRule type="expression" dxfId="4341" priority="218">
      <formula>AG$9&gt;=20/24</formula>
    </cfRule>
    <cfRule type="expression" dxfId="4340" priority="219">
      <formula>AND(AG$9&gt;=14/24,AG$9&lt;20/24)</formula>
    </cfRule>
    <cfRule type="expression" dxfId="4339" priority="220">
      <formula>AND(AG$9&gt;=8/24,AG$9&lt;14/24)</formula>
    </cfRule>
    <cfRule type="expression" dxfId="4338" priority="221">
      <formula>AG$9&lt;8/24</formula>
    </cfRule>
  </conditionalFormatting>
  <conditionalFormatting sqref="T213">
    <cfRule type="expression" dxfId="4337" priority="222">
      <formula>AX$9&gt;=20/24</formula>
    </cfRule>
    <cfRule type="expression" dxfId="4336" priority="223">
      <formula>AND(AX$9&gt;=14/24,AX$9&lt;20/24)</formula>
    </cfRule>
    <cfRule type="expression" dxfId="4335" priority="224">
      <formula>AND(AX$9&gt;=8/24,AX$9&lt;14/24)</formula>
    </cfRule>
    <cfRule type="expression" dxfId="4334" priority="225">
      <formula>AX$9&lt;8/24</formula>
    </cfRule>
  </conditionalFormatting>
  <conditionalFormatting sqref="A99:A100">
    <cfRule type="expression" dxfId="4333" priority="170">
      <formula>$AH99=0</formula>
    </cfRule>
  </conditionalFormatting>
  <conditionalFormatting sqref="E11:I11 F40:P41 C57:AF57 V40:AF41 AA36:AF36">
    <cfRule type="expression" dxfId="4332" priority="166">
      <formula>C$9&gt;=20/24</formula>
    </cfRule>
    <cfRule type="expression" dxfId="4331" priority="167">
      <formula>AND(C$9&gt;=14/24,C$9&lt;20/24)</formula>
    </cfRule>
    <cfRule type="expression" dxfId="4330" priority="168">
      <formula>AND(C$9&gt;=8/24,C$9&lt;14/24)</formula>
    </cfRule>
    <cfRule type="expression" dxfId="4329" priority="169">
      <formula>C$9&lt;8/24</formula>
    </cfRule>
  </conditionalFormatting>
  <conditionalFormatting sqref="F39:P39 U39:AF39">
    <cfRule type="expression" dxfId="4328" priority="162">
      <formula>F$9&gt;=20/24</formula>
    </cfRule>
    <cfRule type="expression" dxfId="4327" priority="163">
      <formula>AND(F$9&gt;=14/24,F$9&lt;20/24)</formula>
    </cfRule>
    <cfRule type="expression" dxfId="4326" priority="164">
      <formula>AND(F$9&gt;=8/24,F$9&lt;14/24)</formula>
    </cfRule>
    <cfRule type="expression" dxfId="4325" priority="165">
      <formula>F$9&lt;8/24</formula>
    </cfRule>
  </conditionalFormatting>
  <conditionalFormatting sqref="E11:I11 U39:W39 F39:P41 V40:W41 X39:AF41 AA36:AF36">
    <cfRule type="expression" dxfId="4324" priority="161">
      <formula>E11&gt;$AG11</formula>
    </cfRule>
  </conditionalFormatting>
  <conditionalFormatting sqref="C83:AF83 C75:AF81 C68:AF73 K61:L62 M11:S11 C58:S60 M61:S67 C53:AF56 X36:Z36 C85:AF91 AA16:AF16 AA28:AF31 AA18:AF22 AA24:AF26 T58:AF67 E12:AF14">
    <cfRule type="expression" dxfId="4323" priority="157">
      <formula>C$9&gt;=20/24</formula>
    </cfRule>
    <cfRule type="expression" dxfId="4322" priority="158">
      <formula>AND(C$9&gt;=14/24,C$9&lt;20/24)</formula>
    </cfRule>
    <cfRule type="expression" dxfId="4321" priority="159">
      <formula>AND(C$9&gt;=8/24,C$9&lt;14/24)</formula>
    </cfRule>
    <cfRule type="expression" dxfId="4320" priority="160">
      <formula>C$9&lt;8/24</formula>
    </cfRule>
  </conditionalFormatting>
  <conditionalFormatting sqref="AA32:AF32">
    <cfRule type="expression" dxfId="4319" priority="153">
      <formula>AA$9&gt;=20/24</formula>
    </cfRule>
    <cfRule type="expression" dxfId="4318" priority="154">
      <formula>AND(AA$9&gt;=14/24,AA$9&lt;20/24)</formula>
    </cfRule>
    <cfRule type="expression" dxfId="4317" priority="155">
      <formula>AND(AA$9&gt;=8/24,AA$9&lt;14/24)</formula>
    </cfRule>
    <cfRule type="expression" dxfId="4316" priority="156">
      <formula>AA$9&lt;8/24</formula>
    </cfRule>
  </conditionalFormatting>
  <conditionalFormatting sqref="AA35:AF35">
    <cfRule type="expression" dxfId="4315" priority="149">
      <formula>AA$9&gt;=20/24</formula>
    </cfRule>
    <cfRule type="expression" dxfId="4314" priority="150">
      <formula>AND(AA$9&gt;=14/24,AA$9&lt;20/24)</formula>
    </cfRule>
    <cfRule type="expression" dxfId="4313" priority="151">
      <formula>AND(AA$9&gt;=8/24,AA$9&lt;14/24)</formula>
    </cfRule>
    <cfRule type="expression" dxfId="4312" priority="152">
      <formula>AA$9&lt;8/24</formula>
    </cfRule>
  </conditionalFormatting>
  <conditionalFormatting sqref="C38:AF38 F42:L43 J44:L44 M42:P44 C37:R37 M11:S11 C51:AF56 X36:Z36 F15:AF15 AA34:AF35 AA18:AF22 AA24:AF32 AA16:AF16 AB42:AF43 E12:AF14">
    <cfRule type="expression" dxfId="4311" priority="148">
      <formula>C11&gt;$AG11</formula>
    </cfRule>
  </conditionalFormatting>
  <conditionalFormatting sqref="AA34:AF34">
    <cfRule type="expression" dxfId="4310" priority="144">
      <formula>AA$9&gt;=20/24</formula>
    </cfRule>
    <cfRule type="expression" dxfId="4309" priority="145">
      <formula>AND(AA$9&gt;=14/24,AA$9&lt;20/24)</formula>
    </cfRule>
    <cfRule type="expression" dxfId="4308" priority="146">
      <formula>AND(AA$9&gt;=8/24,AA$9&lt;14/24)</formula>
    </cfRule>
    <cfRule type="expression" dxfId="4307" priority="147">
      <formula>AA$9&lt;8/24</formula>
    </cfRule>
  </conditionalFormatting>
  <conditionalFormatting sqref="F15:AF15">
    <cfRule type="expression" dxfId="4306" priority="140">
      <formula>F$9&gt;=20/24</formula>
    </cfRule>
    <cfRule type="expression" dxfId="4305" priority="141">
      <formula>AND(F$9&gt;=14/24,F$9&lt;20/24)</formula>
    </cfRule>
    <cfRule type="expression" dxfId="4304" priority="142">
      <formula>AND(F$9&gt;=8/24,F$9&lt;14/24)</formula>
    </cfRule>
    <cfRule type="expression" dxfId="4303" priority="143">
      <formula>F$9&lt;8/24</formula>
    </cfRule>
  </conditionalFormatting>
  <conditionalFormatting sqref="AA33:AF33">
    <cfRule type="expression" dxfId="4302" priority="136">
      <formula>AA$9&gt;=20/24</formula>
    </cfRule>
    <cfRule type="expression" dxfId="4301" priority="137">
      <formula>AND(AA$9&gt;=14/24,AA$9&lt;20/24)</formula>
    </cfRule>
    <cfRule type="expression" dxfId="4300" priority="138">
      <formula>AND(AA$9&gt;=8/24,AA$9&lt;14/24)</formula>
    </cfRule>
    <cfRule type="expression" dxfId="4299" priority="139">
      <formula>AA$9&lt;8/24</formula>
    </cfRule>
  </conditionalFormatting>
  <conditionalFormatting sqref="AA33:AF33">
    <cfRule type="expression" dxfId="4298" priority="135">
      <formula>AA33&gt;$AG33</formula>
    </cfRule>
  </conditionalFormatting>
  <conditionalFormatting sqref="AA42:AA43 AB44:AF50">
    <cfRule type="expression" dxfId="4297" priority="127">
      <formula>AA$9&gt;=20/24</formula>
    </cfRule>
    <cfRule type="expression" dxfId="4296" priority="128">
      <formula>AND(AA$9&gt;=14/24,AA$9&lt;20/24)</formula>
    </cfRule>
    <cfRule type="expression" dxfId="4295" priority="129">
      <formula>AND(AA$9&gt;=8/24,AA$9&lt;14/24)</formula>
    </cfRule>
    <cfRule type="expression" dxfId="4294" priority="130">
      <formula>AA$9&lt;8/24</formula>
    </cfRule>
  </conditionalFormatting>
  <conditionalFormatting sqref="AA42:AA43 AB44:AF50">
    <cfRule type="expression" dxfId="4293" priority="126">
      <formula>AA42&gt;$AG42</formula>
    </cfRule>
  </conditionalFormatting>
  <conditionalFormatting sqref="AA44:AA50 Q39:T44 U40:U44 V42:Z44">
    <cfRule type="expression" dxfId="4292" priority="122">
      <formula>Q$9&gt;=20/24</formula>
    </cfRule>
    <cfRule type="expression" dxfId="4291" priority="123">
      <formula>AND(Q$9&gt;=14/24,Q$9&lt;20/24)</formula>
    </cfRule>
    <cfRule type="expression" dxfId="4290" priority="124">
      <formula>AND(Q$9&gt;=8/24,Q$9&lt;14/24)</formula>
    </cfRule>
    <cfRule type="expression" dxfId="4289" priority="125">
      <formula>Q$9&lt;8/24</formula>
    </cfRule>
  </conditionalFormatting>
  <conditionalFormatting sqref="AA44:AA50 Q39:T44 U40:U44 V42:Z44">
    <cfRule type="expression" dxfId="4288" priority="121">
      <formula>Q39&gt;$AG39</formula>
    </cfRule>
  </conditionalFormatting>
  <conditionalFormatting sqref="AA27:AF27">
    <cfRule type="expression" dxfId="4287" priority="117">
      <formula>AA$9&gt;=20/24</formula>
    </cfRule>
    <cfRule type="expression" dxfId="4286" priority="118">
      <formula>AND(AA$9&gt;=14/24,AA$9&lt;20/24)</formula>
    </cfRule>
    <cfRule type="expression" dxfId="4285" priority="119">
      <formula>AND(AA$9&gt;=8/24,AA$9&lt;14/24)</formula>
    </cfRule>
    <cfRule type="expression" dxfId="4284" priority="120">
      <formula>AA$9&lt;8/24</formula>
    </cfRule>
  </conditionalFormatting>
  <conditionalFormatting sqref="C11:D11 C74:I74 J16:Z16 AA17:AF17 AA23:AF23">
    <cfRule type="expression" dxfId="4283" priority="113">
      <formula>C$9&gt;=20/24</formula>
    </cfRule>
    <cfRule type="expression" dxfId="4282" priority="114">
      <formula>AND(C$9&gt;=14/24,C$9&lt;20/24)</formula>
    </cfRule>
    <cfRule type="expression" dxfId="4281" priority="115">
      <formula>AND(C$9&gt;=8/24,C$9&lt;14/24)</formula>
    </cfRule>
    <cfRule type="expression" dxfId="4280" priority="116">
      <formula>C$9&lt;8/24</formula>
    </cfRule>
  </conditionalFormatting>
  <conditionalFormatting sqref="C11:D11 J16:Z16 AA17:AF17 AA23:AF23">
    <cfRule type="expression" dxfId="4279" priority="104">
      <formula>C11&gt;$AG11</formula>
    </cfRule>
  </conditionalFormatting>
  <conditionalFormatting sqref="C40:E41">
    <cfRule type="expression" dxfId="4278" priority="87">
      <formula>C$9&gt;=20/24</formula>
    </cfRule>
    <cfRule type="expression" dxfId="4277" priority="88">
      <formula>AND(C$9&gt;=14/24,C$9&lt;20/24)</formula>
    </cfRule>
    <cfRule type="expression" dxfId="4276" priority="89">
      <formula>AND(C$9&gt;=8/24,C$9&lt;14/24)</formula>
    </cfRule>
    <cfRule type="expression" dxfId="4275" priority="90">
      <formula>C$9&lt;8/24</formula>
    </cfRule>
  </conditionalFormatting>
  <conditionalFormatting sqref="C39:E39">
    <cfRule type="expression" dxfId="4274" priority="83">
      <formula>C$9&gt;=20/24</formula>
    </cfRule>
    <cfRule type="expression" dxfId="4273" priority="84">
      <formula>AND(C$9&gt;=14/24,C$9&lt;20/24)</formula>
    </cfRule>
    <cfRule type="expression" dxfId="4272" priority="85">
      <formula>AND(C$9&gt;=8/24,C$9&lt;14/24)</formula>
    </cfRule>
    <cfRule type="expression" dxfId="4271" priority="86">
      <formula>C$9&lt;8/24</formula>
    </cfRule>
  </conditionalFormatting>
  <conditionalFormatting sqref="C39:E41">
    <cfRule type="expression" dxfId="4270" priority="82">
      <formula>C39&gt;$AG39</formula>
    </cfRule>
  </conditionalFormatting>
  <conditionalFormatting sqref="C42:E43">
    <cfRule type="expression" dxfId="4269" priority="77">
      <formula>C42&gt;$AG42</formula>
    </cfRule>
  </conditionalFormatting>
  <conditionalFormatting sqref="C44:H50 I47:J50 J45:J46 I44:I46 K45:Z50">
    <cfRule type="expression" dxfId="4268" priority="73">
      <formula>C$9&gt;=20/24</formula>
    </cfRule>
    <cfRule type="expression" dxfId="4267" priority="74">
      <formula>AND(C$9&gt;=14/24,C$9&lt;20/24)</formula>
    </cfRule>
    <cfRule type="expression" dxfId="4266" priority="75">
      <formula>AND(C$9&gt;=8/24,C$9&lt;14/24)</formula>
    </cfRule>
    <cfRule type="expression" dxfId="4265" priority="76">
      <formula>C$9&lt;8/24</formula>
    </cfRule>
  </conditionalFormatting>
  <conditionalFormatting sqref="C44:H50 I47:J50 J45:J46 I44:I46 K45:Z50">
    <cfRule type="expression" dxfId="4264" priority="72">
      <formula>C44&gt;$AG44</formula>
    </cfRule>
  </conditionalFormatting>
  <conditionalFormatting sqref="B82 B74 B94:B100 B11">
    <cfRule type="expression" dxfId="4263" priority="59">
      <formula>B$9&gt;=20/24</formula>
    </cfRule>
    <cfRule type="expression" dxfId="4262" priority="60">
      <formula>AND(B$9&gt;=14/24,B$9&lt;20/24)</formula>
    </cfRule>
    <cfRule type="expression" dxfId="4261" priority="61">
      <formula>AND(B$9&gt;=8/24,B$9&lt;14/24)</formula>
    </cfRule>
    <cfRule type="expression" dxfId="4260" priority="62">
      <formula>B$9&lt;8/24</formula>
    </cfRule>
  </conditionalFormatting>
  <conditionalFormatting sqref="B37">
    <cfRule type="expression" dxfId="4259" priority="55">
      <formula>B$9&gt;=20/24</formula>
    </cfRule>
    <cfRule type="expression" dxfId="4258" priority="56">
      <formula>AND(B$9&gt;=14/24,B$9&lt;20/24)</formula>
    </cfRule>
    <cfRule type="expression" dxfId="4257" priority="57">
      <formula>AND(B$9&gt;=8/24,B$9&lt;14/24)</formula>
    </cfRule>
    <cfRule type="expression" dxfId="4256" priority="58">
      <formula>B$9&lt;8/24</formula>
    </cfRule>
  </conditionalFormatting>
  <conditionalFormatting sqref="B37 B11">
    <cfRule type="expression" dxfId="4255" priority="54">
      <formula>B11&gt;$AG11</formula>
    </cfRule>
  </conditionalFormatting>
  <conditionalFormatting sqref="B84">
    <cfRule type="expression" dxfId="4254" priority="50">
      <formula>B$9&gt;=20/24</formula>
    </cfRule>
    <cfRule type="expression" dxfId="4253" priority="51">
      <formula>AND(B$9&gt;=14/24,B$9&lt;20/24)</formula>
    </cfRule>
    <cfRule type="expression" dxfId="4252" priority="52">
      <formula>AND(B$9&gt;=8/24,B$9&lt;14/24)</formula>
    </cfRule>
    <cfRule type="expression" dxfId="4251" priority="53">
      <formula>B$9&lt;8/24</formula>
    </cfRule>
  </conditionalFormatting>
  <conditionalFormatting sqref="B40:B41 B57 B36:W36">
    <cfRule type="expression" dxfId="4250" priority="46">
      <formula>B$9&gt;=20/24</formula>
    </cfRule>
    <cfRule type="expression" dxfId="4249" priority="47">
      <formula>AND(B$9&gt;=14/24,B$9&lt;20/24)</formula>
    </cfRule>
    <cfRule type="expression" dxfId="4248" priority="48">
      <formula>AND(B$9&gt;=8/24,B$9&lt;14/24)</formula>
    </cfRule>
    <cfRule type="expression" dxfId="4247" priority="49">
      <formula>B$9&lt;8/24</formula>
    </cfRule>
  </conditionalFormatting>
  <conditionalFormatting sqref="B39">
    <cfRule type="expression" dxfId="4246" priority="42">
      <formula>B$9&gt;=20/24</formula>
    </cfRule>
    <cfRule type="expression" dxfId="4245" priority="43">
      <formula>AND(B$9&gt;=14/24,B$9&lt;20/24)</formula>
    </cfRule>
    <cfRule type="expression" dxfId="4244" priority="44">
      <formula>AND(B$9&gt;=8/24,B$9&lt;14/24)</formula>
    </cfRule>
    <cfRule type="expression" dxfId="4243" priority="45">
      <formula>B$9&lt;8/24</formula>
    </cfRule>
  </conditionalFormatting>
  <conditionalFormatting sqref="B39:B41 B36:W36">
    <cfRule type="expression" dxfId="4242" priority="41">
      <formula>B36&gt;$AG36</formula>
    </cfRule>
  </conditionalFormatting>
  <conditionalFormatting sqref="B83 B75:B81 B85:B91 B53:B56 B58:B73 B12:D14 B16:I16 C61:J67 K63:L67 B28:Z31 B18:Z22 B24:Z26">
    <cfRule type="expression" dxfId="4241" priority="37">
      <formula>B$9&gt;=20/24</formula>
    </cfRule>
    <cfRule type="expression" dxfId="4240" priority="38">
      <formula>AND(B$9&gt;=14/24,B$9&lt;20/24)</formula>
    </cfRule>
    <cfRule type="expression" dxfId="4239" priority="39">
      <formula>AND(B$9&gt;=8/24,B$9&lt;14/24)</formula>
    </cfRule>
    <cfRule type="expression" dxfId="4238" priority="40">
      <formula>B$9&lt;8/24</formula>
    </cfRule>
  </conditionalFormatting>
  <conditionalFormatting sqref="B32:Z32">
    <cfRule type="expression" dxfId="4237" priority="33">
      <formula>B$9&gt;=20/24</formula>
    </cfRule>
    <cfRule type="expression" dxfId="4236" priority="34">
      <formula>AND(B$9&gt;=14/24,B$9&lt;20/24)</formula>
    </cfRule>
    <cfRule type="expression" dxfId="4235" priority="35">
      <formula>AND(B$9&gt;=8/24,B$9&lt;14/24)</formula>
    </cfRule>
    <cfRule type="expression" dxfId="4234" priority="36">
      <formula>B$9&lt;8/24</formula>
    </cfRule>
  </conditionalFormatting>
  <conditionalFormatting sqref="B35:Z35">
    <cfRule type="expression" dxfId="4233" priority="29">
      <formula>B$9&gt;=20/24</formula>
    </cfRule>
    <cfRule type="expression" dxfId="4232" priority="30">
      <formula>AND(B$9&gt;=14/24,B$9&lt;20/24)</formula>
    </cfRule>
    <cfRule type="expression" dxfId="4231" priority="31">
      <formula>AND(B$9&gt;=8/24,B$9&lt;14/24)</formula>
    </cfRule>
    <cfRule type="expression" dxfId="4230" priority="32">
      <formula>B$9&lt;8/24</formula>
    </cfRule>
  </conditionalFormatting>
  <conditionalFormatting sqref="B38 B42:B43 B51:B56 B12:D16 E15:E16 F16:I16 B34:Z35 B18:Z22 B24:Z32">
    <cfRule type="expression" dxfId="4229" priority="28">
      <formula>B12&gt;$AG12</formula>
    </cfRule>
  </conditionalFormatting>
  <conditionalFormatting sqref="B34:Z34">
    <cfRule type="expression" dxfId="4228" priority="24">
      <formula>B$9&gt;=20/24</formula>
    </cfRule>
    <cfRule type="expression" dxfId="4227" priority="25">
      <formula>AND(B$9&gt;=14/24,B$9&lt;20/24)</formula>
    </cfRule>
    <cfRule type="expression" dxfId="4226" priority="26">
      <formula>AND(B$9&gt;=8/24,B$9&lt;14/24)</formula>
    </cfRule>
    <cfRule type="expression" dxfId="4225" priority="27">
      <formula>B$9&lt;8/24</formula>
    </cfRule>
  </conditionalFormatting>
  <conditionalFormatting sqref="B15:E15">
    <cfRule type="expression" dxfId="4224" priority="20">
      <formula>B$9&gt;=20/24</formula>
    </cfRule>
    <cfRule type="expression" dxfId="4223" priority="21">
      <formula>AND(B$9&gt;=14/24,B$9&lt;20/24)</formula>
    </cfRule>
    <cfRule type="expression" dxfId="4222" priority="22">
      <formula>AND(B$9&gt;=8/24,B$9&lt;14/24)</formula>
    </cfRule>
    <cfRule type="expression" dxfId="4221" priority="23">
      <formula>B$9&lt;8/24</formula>
    </cfRule>
  </conditionalFormatting>
  <conditionalFormatting sqref="B33:Z33">
    <cfRule type="expression" dxfId="4220" priority="16">
      <formula>B$9&gt;=20/24</formula>
    </cfRule>
    <cfRule type="expression" dxfId="4219" priority="17">
      <formula>AND(B$9&gt;=14/24,B$9&lt;20/24)</formula>
    </cfRule>
    <cfRule type="expression" dxfId="4218" priority="18">
      <formula>AND(B$9&gt;=8/24,B$9&lt;14/24)</formula>
    </cfRule>
    <cfRule type="expression" dxfId="4217" priority="19">
      <formula>B$9&lt;8/24</formula>
    </cfRule>
  </conditionalFormatting>
  <conditionalFormatting sqref="B33:Z33">
    <cfRule type="expression" dxfId="4216" priority="15">
      <formula>B33&gt;$AG33</formula>
    </cfRule>
  </conditionalFormatting>
  <conditionalFormatting sqref="B44:B50">
    <cfRule type="expression" dxfId="4215" priority="11">
      <formula>B$9&gt;=20/24</formula>
    </cfRule>
    <cfRule type="expression" dxfId="4214" priority="12">
      <formula>AND(B$9&gt;=14/24,B$9&lt;20/24)</formula>
    </cfRule>
    <cfRule type="expression" dxfId="4213" priority="13">
      <formula>AND(B$9&gt;=8/24,B$9&lt;14/24)</formula>
    </cfRule>
    <cfRule type="expression" dxfId="4212" priority="14">
      <formula>B$9&lt;8/24</formula>
    </cfRule>
  </conditionalFormatting>
  <conditionalFormatting sqref="B44:B50">
    <cfRule type="expression" dxfId="4211" priority="10">
      <formula>B44&gt;$AG44</formula>
    </cfRule>
  </conditionalFormatting>
  <conditionalFormatting sqref="B27:Z27">
    <cfRule type="expression" dxfId="4210" priority="6">
      <formula>B$9&gt;=20/24</formula>
    </cfRule>
    <cfRule type="expression" dxfId="4209" priority="7">
      <formula>AND(B$9&gt;=14/24,B$9&lt;20/24)</formula>
    </cfRule>
    <cfRule type="expression" dxfId="4208" priority="8">
      <formula>AND(B$9&gt;=8/24,B$9&lt;14/24)</formula>
    </cfRule>
    <cfRule type="expression" dxfId="4207" priority="9">
      <formula>B$9&lt;8/24</formula>
    </cfRule>
  </conditionalFormatting>
  <conditionalFormatting sqref="B17:Z17 B23:Z23">
    <cfRule type="expression" dxfId="4206" priority="2">
      <formula>B$9&gt;=20/24</formula>
    </cfRule>
    <cfRule type="expression" dxfId="4205" priority="3">
      <formula>AND(B$9&gt;=14/24,B$9&lt;20/24)</formula>
    </cfRule>
    <cfRule type="expression" dxfId="4204" priority="4">
      <formula>AND(B$9&gt;=8/24,B$9&lt;14/24)</formula>
    </cfRule>
    <cfRule type="expression" dxfId="4203" priority="5">
      <formula>B$9&lt;8/24</formula>
    </cfRule>
  </conditionalFormatting>
  <conditionalFormatting sqref="B17:Z17 B23:Z23">
    <cfRule type="expression" dxfId="4202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E3EE8818-3FB5-4DA5-A2EF-E6DBE1DAB42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Y12" sqref="Y1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2079/02/10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59</v>
      </c>
      <c r="C5" s="32">
        <f t="shared" si="0"/>
        <v>50.5</v>
      </c>
      <c r="D5" s="32">
        <f t="shared" si="0"/>
        <v>58</v>
      </c>
      <c r="E5" s="32">
        <f t="shared" si="0"/>
        <v>76.099999999999994</v>
      </c>
      <c r="F5" s="32">
        <f t="shared" si="0"/>
        <v>91.2</v>
      </c>
      <c r="G5" s="32">
        <f t="shared" si="0"/>
        <v>99.9</v>
      </c>
      <c r="H5" s="32">
        <f t="shared" si="0"/>
        <v>103.5</v>
      </c>
      <c r="I5" s="32">
        <f t="shared" si="0"/>
        <v>176.8</v>
      </c>
      <c r="J5" s="32">
        <f t="shared" si="0"/>
        <v>196.7</v>
      </c>
      <c r="K5" s="32">
        <f t="shared" si="0"/>
        <v>204.2</v>
      </c>
      <c r="L5" s="32">
        <f t="shared" si="0"/>
        <v>178.3</v>
      </c>
      <c r="M5" s="32">
        <f t="shared" si="0"/>
        <v>196.2</v>
      </c>
      <c r="N5" s="32">
        <f t="shared" si="0"/>
        <v>174.60000000000002</v>
      </c>
      <c r="O5" s="32">
        <f t="shared" si="0"/>
        <v>185</v>
      </c>
      <c r="P5" s="32">
        <f t="shared" si="0"/>
        <v>196.8</v>
      </c>
      <c r="Q5" s="32">
        <f t="shared" si="0"/>
        <v>183.5</v>
      </c>
      <c r="R5" s="32">
        <f t="shared" si="0"/>
        <v>208.8</v>
      </c>
      <c r="S5" s="32">
        <f t="shared" si="0"/>
        <v>268.60000000000002</v>
      </c>
      <c r="T5" s="32">
        <f t="shared" si="0"/>
        <v>275.29999999999995</v>
      </c>
      <c r="U5" s="32">
        <f t="shared" si="0"/>
        <v>229.83999999999997</v>
      </c>
      <c r="V5" s="32">
        <f t="shared" si="0"/>
        <v>237.4</v>
      </c>
      <c r="W5" s="32">
        <f t="shared" si="0"/>
        <v>186.74</v>
      </c>
      <c r="X5" s="32">
        <f t="shared" si="0"/>
        <v>198.1</v>
      </c>
      <c r="Y5" s="32">
        <f t="shared" si="0"/>
        <v>206.64000000000001</v>
      </c>
      <c r="Z5" s="32">
        <f t="shared" si="0"/>
        <v>206.64000000000001</v>
      </c>
      <c r="AA5" s="32">
        <f t="shared" si="0"/>
        <v>129</v>
      </c>
      <c r="AB5" s="32">
        <f t="shared" si="0"/>
        <v>108.3</v>
      </c>
      <c r="AC5" s="32">
        <f t="shared" si="0"/>
        <v>107</v>
      </c>
      <c r="AD5" s="32">
        <f t="shared" si="0"/>
        <v>167.2</v>
      </c>
      <c r="AE5" s="32">
        <f t="shared" si="0"/>
        <v>141.69999999999999</v>
      </c>
      <c r="AF5" s="32">
        <f>B68</f>
        <v>55.5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1389MW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Load=1122</v>
      </c>
      <c r="B7" s="37">
        <f>B75</f>
        <v>1185.44</v>
      </c>
      <c r="C7" s="37">
        <f t="shared" ref="C7:AF7" si="1">C75</f>
        <v>1186.94</v>
      </c>
      <c r="D7" s="37">
        <f t="shared" si="1"/>
        <v>1183.6400000000001</v>
      </c>
      <c r="E7" s="37">
        <f t="shared" si="1"/>
        <v>1121.6400000000001</v>
      </c>
      <c r="F7" s="37">
        <f t="shared" si="1"/>
        <v>1167.6400000000001</v>
      </c>
      <c r="G7" s="37">
        <f t="shared" si="1"/>
        <v>1188.2400000000002</v>
      </c>
      <c r="H7" s="37">
        <f t="shared" si="1"/>
        <v>1198.0400000000002</v>
      </c>
      <c r="I7" s="37">
        <f t="shared" si="1"/>
        <v>1237.2400000000002</v>
      </c>
      <c r="J7" s="37">
        <f t="shared" si="1"/>
        <v>1310.04</v>
      </c>
      <c r="K7" s="37">
        <f t="shared" si="1"/>
        <v>1357.54</v>
      </c>
      <c r="L7" s="37">
        <f t="shared" si="1"/>
        <v>1389.3400000000001</v>
      </c>
      <c r="M7" s="37">
        <f t="shared" si="1"/>
        <v>1362.54</v>
      </c>
      <c r="N7" s="37">
        <f t="shared" si="1"/>
        <v>1348.8400000000001</v>
      </c>
      <c r="O7" s="37">
        <f t="shared" si="1"/>
        <v>1387.6400000000003</v>
      </c>
      <c r="P7" s="37">
        <f t="shared" si="1"/>
        <v>1363.7400000000002</v>
      </c>
      <c r="Q7" s="37">
        <f t="shared" si="1"/>
        <v>1404.74</v>
      </c>
      <c r="R7" s="37">
        <f t="shared" si="1"/>
        <v>1433.44</v>
      </c>
      <c r="S7" s="37">
        <f t="shared" si="1"/>
        <v>1467.2400000000002</v>
      </c>
      <c r="T7" s="37">
        <f t="shared" si="1"/>
        <v>1479.8400000000001</v>
      </c>
      <c r="U7" s="37">
        <f t="shared" si="1"/>
        <v>1453.24</v>
      </c>
      <c r="V7" s="37">
        <f t="shared" si="1"/>
        <v>1407.78</v>
      </c>
      <c r="W7" s="37">
        <f t="shared" si="1"/>
        <v>1375.3400000000001</v>
      </c>
      <c r="X7" s="37">
        <f t="shared" si="1"/>
        <v>1324.2800000000002</v>
      </c>
      <c r="Y7" s="37">
        <f t="shared" si="1"/>
        <v>1335.64</v>
      </c>
      <c r="Z7" s="37">
        <f t="shared" si="1"/>
        <v>1493.38</v>
      </c>
      <c r="AA7" s="37">
        <f t="shared" si="1"/>
        <v>1423.38</v>
      </c>
      <c r="AB7" s="37">
        <f t="shared" si="1"/>
        <v>1488.3400000000001</v>
      </c>
      <c r="AC7" s="37">
        <f t="shared" si="1"/>
        <v>1489.04</v>
      </c>
      <c r="AD7" s="37">
        <f t="shared" si="1"/>
        <v>1473.64</v>
      </c>
      <c r="AE7" s="37">
        <f t="shared" si="1"/>
        <v>1474.24</v>
      </c>
      <c r="AF7" s="37">
        <f t="shared" si="1"/>
        <v>1438.94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100</v>
      </c>
      <c r="C11" s="50">
        <v>100</v>
      </c>
      <c r="D11" s="50">
        <v>115</v>
      </c>
      <c r="E11" s="51">
        <v>105</v>
      </c>
      <c r="F11" s="51">
        <v>130</v>
      </c>
      <c r="G11" s="51">
        <v>150</v>
      </c>
      <c r="H11" s="51">
        <v>150</v>
      </c>
      <c r="I11" s="51">
        <v>170</v>
      </c>
      <c r="J11" s="51">
        <v>170</v>
      </c>
      <c r="K11" s="52">
        <v>185</v>
      </c>
      <c r="L11" s="52">
        <v>200</v>
      </c>
      <c r="M11" s="51">
        <v>200</v>
      </c>
      <c r="N11" s="51">
        <v>180</v>
      </c>
      <c r="O11" s="51">
        <v>230</v>
      </c>
      <c r="P11" s="51">
        <v>170</v>
      </c>
      <c r="Q11" s="51">
        <v>160</v>
      </c>
      <c r="R11" s="51">
        <v>210</v>
      </c>
      <c r="S11" s="49">
        <v>210</v>
      </c>
      <c r="T11" s="49">
        <v>180</v>
      </c>
      <c r="U11" s="49">
        <v>150</v>
      </c>
      <c r="V11" s="49">
        <v>150</v>
      </c>
      <c r="W11" s="49">
        <v>110</v>
      </c>
      <c r="X11" s="49">
        <v>110</v>
      </c>
      <c r="Y11" s="49">
        <v>120</v>
      </c>
      <c r="Z11" s="49">
        <v>170</v>
      </c>
      <c r="AA11" s="49">
        <v>170</v>
      </c>
      <c r="AB11" s="49">
        <v>320</v>
      </c>
      <c r="AC11" s="49">
        <v>350</v>
      </c>
      <c r="AD11" s="49">
        <v>320</v>
      </c>
      <c r="AE11" s="49">
        <v>155</v>
      </c>
      <c r="AF11" s="49">
        <v>155</v>
      </c>
      <c r="AG11" s="53">
        <v>456</v>
      </c>
      <c r="AH11" s="54">
        <f>MAX(B11:AF11)</f>
        <v>350</v>
      </c>
      <c r="AI11" s="55">
        <f>MIN(B11:AF11)</f>
        <v>100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46</v>
      </c>
      <c r="C12" s="51">
        <v>46</v>
      </c>
      <c r="D12" s="51">
        <v>46</v>
      </c>
      <c r="E12" s="51">
        <v>46</v>
      </c>
      <c r="F12" s="51">
        <v>46</v>
      </c>
      <c r="G12" s="51">
        <v>46</v>
      </c>
      <c r="H12" s="51">
        <v>46</v>
      </c>
      <c r="I12" s="51">
        <v>46</v>
      </c>
      <c r="J12" s="51">
        <v>46</v>
      </c>
      <c r="K12" s="51">
        <v>46</v>
      </c>
      <c r="L12" s="51">
        <v>46</v>
      </c>
      <c r="M12" s="51">
        <v>37</v>
      </c>
      <c r="N12" s="51">
        <v>37</v>
      </c>
      <c r="O12" s="51">
        <v>37</v>
      </c>
      <c r="P12" s="51">
        <v>37</v>
      </c>
      <c r="Q12" s="51">
        <v>37</v>
      </c>
      <c r="R12" s="51">
        <v>37</v>
      </c>
      <c r="S12" s="51">
        <v>37</v>
      </c>
      <c r="T12" s="51">
        <v>37</v>
      </c>
      <c r="U12" s="51">
        <v>37</v>
      </c>
      <c r="V12" s="51">
        <v>37</v>
      </c>
      <c r="W12" s="51">
        <v>37</v>
      </c>
      <c r="X12" s="51">
        <v>37</v>
      </c>
      <c r="Y12" s="51">
        <v>37</v>
      </c>
      <c r="Z12" s="51">
        <v>37</v>
      </c>
      <c r="AA12" s="51">
        <v>37</v>
      </c>
      <c r="AB12" s="51">
        <v>37</v>
      </c>
      <c r="AC12" s="51">
        <v>37</v>
      </c>
      <c r="AD12" s="51">
        <v>37</v>
      </c>
      <c r="AE12" s="51">
        <v>37</v>
      </c>
      <c r="AF12" s="51">
        <v>37</v>
      </c>
      <c r="AG12" s="58">
        <v>60</v>
      </c>
      <c r="AH12" s="54">
        <f t="shared" ref="AH12:AH75" si="2">MAX(B12:AF12)</f>
        <v>46</v>
      </c>
      <c r="AI12" s="55">
        <f t="shared" ref="AI12:AI75" si="3">MIN(B12:AF12)</f>
        <v>37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16.899999999999999</v>
      </c>
      <c r="C13" s="51">
        <v>20.7</v>
      </c>
      <c r="D13" s="51">
        <v>16.100000000000001</v>
      </c>
      <c r="E13" s="51">
        <v>18.3</v>
      </c>
      <c r="F13" s="51">
        <v>18.3</v>
      </c>
      <c r="G13" s="51">
        <v>18.3</v>
      </c>
      <c r="H13" s="51">
        <v>18.3</v>
      </c>
      <c r="I13" s="51">
        <v>18.3</v>
      </c>
      <c r="J13" s="51">
        <v>18.3</v>
      </c>
      <c r="K13" s="51">
        <v>18.3</v>
      </c>
      <c r="L13" s="51">
        <v>18.3</v>
      </c>
      <c r="M13" s="51">
        <v>18.3</v>
      </c>
      <c r="N13" s="51">
        <v>18.3</v>
      </c>
      <c r="O13" s="51">
        <v>18.3</v>
      </c>
      <c r="P13" s="51">
        <v>19</v>
      </c>
      <c r="Q13" s="51">
        <v>19</v>
      </c>
      <c r="R13" s="51">
        <v>19</v>
      </c>
      <c r="S13" s="51">
        <v>19</v>
      </c>
      <c r="T13" s="51">
        <v>19</v>
      </c>
      <c r="U13" s="51">
        <v>19</v>
      </c>
      <c r="V13" s="51">
        <v>19</v>
      </c>
      <c r="W13" s="51">
        <v>19</v>
      </c>
      <c r="X13" s="51">
        <v>19</v>
      </c>
      <c r="Y13" s="51">
        <v>19</v>
      </c>
      <c r="Z13" s="51">
        <v>19</v>
      </c>
      <c r="AA13" s="51">
        <v>19</v>
      </c>
      <c r="AB13" s="51">
        <v>19</v>
      </c>
      <c r="AC13" s="51">
        <v>19</v>
      </c>
      <c r="AD13" s="51">
        <v>19</v>
      </c>
      <c r="AE13" s="51">
        <v>17.8</v>
      </c>
      <c r="AF13" s="51">
        <v>17.8</v>
      </c>
      <c r="AG13" s="58">
        <v>52.4</v>
      </c>
      <c r="AH13" s="54">
        <f t="shared" si="2"/>
        <v>20.7</v>
      </c>
      <c r="AI13" s="55">
        <f t="shared" si="3"/>
        <v>16.100000000000001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50.5</v>
      </c>
      <c r="C14" s="51">
        <v>50.3</v>
      </c>
      <c r="D14" s="51">
        <v>50.7</v>
      </c>
      <c r="E14" s="51">
        <v>50.6</v>
      </c>
      <c r="F14" s="51">
        <v>50.6</v>
      </c>
      <c r="G14" s="51">
        <v>50.6</v>
      </c>
      <c r="H14" s="51">
        <v>50.6</v>
      </c>
      <c r="I14" s="51">
        <v>50.6</v>
      </c>
      <c r="J14" s="51">
        <v>50.6</v>
      </c>
      <c r="K14" s="51">
        <v>50.6</v>
      </c>
      <c r="L14" s="51">
        <v>50.6</v>
      </c>
      <c r="M14" s="51">
        <v>50.6</v>
      </c>
      <c r="N14" s="51">
        <v>50.6</v>
      </c>
      <c r="O14" s="51">
        <v>50.6</v>
      </c>
      <c r="P14" s="51">
        <v>50.6</v>
      </c>
      <c r="Q14" s="51">
        <v>50.6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49.9</v>
      </c>
      <c r="AF14" s="51">
        <v>50.1</v>
      </c>
      <c r="AG14" s="58">
        <v>50</v>
      </c>
      <c r="AH14" s="54">
        <f t="shared" si="2"/>
        <v>50.7</v>
      </c>
      <c r="AI14" s="55">
        <f t="shared" si="3"/>
        <v>49.9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24.1</v>
      </c>
      <c r="C15" s="51">
        <v>24.1</v>
      </c>
      <c r="D15" s="51">
        <v>24.1</v>
      </c>
      <c r="E15" s="51">
        <v>24.1</v>
      </c>
      <c r="F15" s="51">
        <v>24</v>
      </c>
      <c r="G15" s="51">
        <v>24</v>
      </c>
      <c r="H15" s="51">
        <v>24</v>
      </c>
      <c r="I15" s="51">
        <v>24</v>
      </c>
      <c r="J15" s="51">
        <v>24</v>
      </c>
      <c r="K15" s="51">
        <v>24</v>
      </c>
      <c r="L15" s="51">
        <v>24</v>
      </c>
      <c r="M15" s="51">
        <v>24</v>
      </c>
      <c r="N15" s="51">
        <v>24</v>
      </c>
      <c r="O15" s="51">
        <v>24</v>
      </c>
      <c r="P15" s="51">
        <v>24</v>
      </c>
      <c r="Q15" s="51">
        <v>24</v>
      </c>
      <c r="R15" s="51">
        <v>24</v>
      </c>
      <c r="S15" s="51">
        <v>24</v>
      </c>
      <c r="T15" s="51">
        <v>24</v>
      </c>
      <c r="U15" s="51">
        <v>24</v>
      </c>
      <c r="V15" s="51">
        <v>24</v>
      </c>
      <c r="W15" s="51">
        <v>24</v>
      </c>
      <c r="X15" s="51">
        <v>24</v>
      </c>
      <c r="Y15" s="51">
        <v>24</v>
      </c>
      <c r="Z15" s="51">
        <v>24</v>
      </c>
      <c r="AA15" s="51">
        <v>24</v>
      </c>
      <c r="AB15" s="51">
        <v>24</v>
      </c>
      <c r="AC15" s="51">
        <v>24</v>
      </c>
      <c r="AD15" s="51">
        <v>24</v>
      </c>
      <c r="AE15" s="51">
        <v>24</v>
      </c>
      <c r="AF15" s="51">
        <v>24</v>
      </c>
      <c r="AG15" s="59">
        <v>45</v>
      </c>
      <c r="AH15" s="54">
        <f t="shared" si="2"/>
        <v>24.1</v>
      </c>
      <c r="AI15" s="55">
        <f t="shared" si="3"/>
        <v>24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28</v>
      </c>
      <c r="C16" s="51">
        <v>28</v>
      </c>
      <c r="D16" s="51">
        <v>28</v>
      </c>
      <c r="E16" s="51">
        <v>28</v>
      </c>
      <c r="F16" s="51">
        <v>28</v>
      </c>
      <c r="G16" s="51">
        <v>28</v>
      </c>
      <c r="H16" s="51">
        <v>18</v>
      </c>
      <c r="I16" s="51">
        <v>18</v>
      </c>
      <c r="J16" s="51">
        <v>18</v>
      </c>
      <c r="K16" s="51">
        <v>18</v>
      </c>
      <c r="L16" s="51">
        <v>18</v>
      </c>
      <c r="M16" s="51">
        <v>18</v>
      </c>
      <c r="N16" s="51">
        <v>18</v>
      </c>
      <c r="O16" s="51">
        <v>18</v>
      </c>
      <c r="P16" s="51">
        <v>18</v>
      </c>
      <c r="Q16" s="51">
        <v>18</v>
      </c>
      <c r="R16" s="51">
        <v>18</v>
      </c>
      <c r="S16" s="51">
        <v>18</v>
      </c>
      <c r="T16" s="51">
        <v>18</v>
      </c>
      <c r="U16" s="51">
        <v>18</v>
      </c>
      <c r="V16" s="51">
        <v>18</v>
      </c>
      <c r="W16" s="51">
        <v>18</v>
      </c>
      <c r="X16" s="51">
        <v>18</v>
      </c>
      <c r="Y16" s="51">
        <v>18</v>
      </c>
      <c r="Z16" s="51">
        <v>18</v>
      </c>
      <c r="AA16" s="51">
        <v>18</v>
      </c>
      <c r="AB16" s="51">
        <v>26</v>
      </c>
      <c r="AC16" s="51">
        <v>26</v>
      </c>
      <c r="AD16" s="51">
        <v>26</v>
      </c>
      <c r="AE16" s="51">
        <v>26</v>
      </c>
      <c r="AF16" s="51">
        <v>26</v>
      </c>
      <c r="AG16" s="58">
        <v>45</v>
      </c>
      <c r="AH16" s="54">
        <f t="shared" si="2"/>
        <v>28</v>
      </c>
      <c r="AI16" s="55">
        <f t="shared" si="3"/>
        <v>18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>
        <v>13</v>
      </c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16.8</v>
      </c>
      <c r="C19" s="51">
        <v>16.8</v>
      </c>
      <c r="D19" s="51">
        <v>16.8</v>
      </c>
      <c r="E19" s="51">
        <v>16.8</v>
      </c>
      <c r="F19" s="51">
        <v>14</v>
      </c>
      <c r="G19" s="51">
        <v>13.3</v>
      </c>
      <c r="H19" s="51">
        <v>13.3</v>
      </c>
      <c r="I19" s="51">
        <v>13.3</v>
      </c>
      <c r="J19" s="51">
        <v>13.3</v>
      </c>
      <c r="K19" s="51">
        <v>13.3</v>
      </c>
      <c r="L19" s="51">
        <v>13.3</v>
      </c>
      <c r="M19" s="51">
        <v>13.3</v>
      </c>
      <c r="N19" s="51">
        <v>13.3</v>
      </c>
      <c r="O19" s="51">
        <v>13.3</v>
      </c>
      <c r="P19" s="51">
        <v>13.3</v>
      </c>
      <c r="Q19" s="51">
        <v>13.3</v>
      </c>
      <c r="R19" s="51">
        <v>13.3</v>
      </c>
      <c r="S19" s="51">
        <v>13.3</v>
      </c>
      <c r="T19" s="51">
        <v>13.3</v>
      </c>
      <c r="U19" s="51">
        <v>13.3</v>
      </c>
      <c r="V19" s="51">
        <v>13.3</v>
      </c>
      <c r="W19" s="51">
        <v>13.3</v>
      </c>
      <c r="X19" s="51">
        <v>13.3</v>
      </c>
      <c r="Y19" s="51">
        <v>13.3</v>
      </c>
      <c r="Z19" s="51">
        <v>13.3</v>
      </c>
      <c r="AA19" s="51">
        <v>13.3</v>
      </c>
      <c r="AB19" s="51">
        <v>13.3</v>
      </c>
      <c r="AC19" s="51">
        <v>13.3</v>
      </c>
      <c r="AD19" s="51">
        <v>13.3</v>
      </c>
      <c r="AE19" s="51">
        <v>21.4</v>
      </c>
      <c r="AF19" s="51">
        <v>20</v>
      </c>
      <c r="AG19" s="58">
        <v>30</v>
      </c>
      <c r="AH19" s="54">
        <f t="shared" si="2"/>
        <v>21.4</v>
      </c>
      <c r="AI19" s="55">
        <f t="shared" si="3"/>
        <v>13.3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7.1</v>
      </c>
      <c r="C20" s="51">
        <v>7.1</v>
      </c>
      <c r="D20" s="51">
        <v>7.1</v>
      </c>
      <c r="E20" s="51">
        <v>7.1</v>
      </c>
      <c r="F20" s="51">
        <v>7.1</v>
      </c>
      <c r="G20" s="51">
        <v>7.1</v>
      </c>
      <c r="H20" s="51">
        <v>7.1</v>
      </c>
      <c r="I20" s="51">
        <v>7.1</v>
      </c>
      <c r="J20" s="51">
        <v>7.1</v>
      </c>
      <c r="K20" s="51">
        <v>7.1</v>
      </c>
      <c r="L20" s="51">
        <v>7.1</v>
      </c>
      <c r="M20" s="51">
        <v>7.1</v>
      </c>
      <c r="N20" s="51">
        <v>7.1</v>
      </c>
      <c r="O20" s="51">
        <v>7.1</v>
      </c>
      <c r="P20" s="51">
        <v>7.1</v>
      </c>
      <c r="Q20" s="51">
        <v>7.1</v>
      </c>
      <c r="R20" s="51">
        <v>7.1</v>
      </c>
      <c r="S20" s="51">
        <v>7.1</v>
      </c>
      <c r="T20" s="51">
        <v>7.1</v>
      </c>
      <c r="U20" s="51">
        <v>7.1</v>
      </c>
      <c r="V20" s="51">
        <v>7.1</v>
      </c>
      <c r="W20" s="51">
        <v>7.1</v>
      </c>
      <c r="X20" s="51">
        <v>7.1</v>
      </c>
      <c r="Y20" s="51">
        <v>7.1</v>
      </c>
      <c r="Z20" s="51">
        <v>7.1</v>
      </c>
      <c r="AA20" s="51">
        <v>7.1</v>
      </c>
      <c r="AB20" s="51">
        <v>7.1</v>
      </c>
      <c r="AC20" s="51">
        <v>7.1</v>
      </c>
      <c r="AD20" s="51">
        <v>7.1</v>
      </c>
      <c r="AE20" s="51">
        <v>7.1</v>
      </c>
      <c r="AF20" s="51">
        <v>7.1</v>
      </c>
      <c r="AG20" s="58">
        <v>27</v>
      </c>
      <c r="AH20" s="54">
        <f t="shared" si="2"/>
        <v>7.1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18.5</v>
      </c>
      <c r="C22" s="51">
        <v>18.5</v>
      </c>
      <c r="D22" s="51">
        <v>18.5</v>
      </c>
      <c r="E22" s="51">
        <v>18.5</v>
      </c>
      <c r="F22" s="51">
        <v>18.5</v>
      </c>
      <c r="G22" s="51">
        <v>18.5</v>
      </c>
      <c r="H22" s="51">
        <v>18.5</v>
      </c>
      <c r="I22" s="51">
        <v>18.5</v>
      </c>
      <c r="J22" s="51">
        <v>18.5</v>
      </c>
      <c r="K22" s="51">
        <v>18.5</v>
      </c>
      <c r="L22" s="51">
        <v>18.5</v>
      </c>
      <c r="M22" s="51">
        <v>18.5</v>
      </c>
      <c r="N22" s="51">
        <v>18.5</v>
      </c>
      <c r="O22" s="51">
        <v>18.5</v>
      </c>
      <c r="P22" s="51">
        <v>18.5</v>
      </c>
      <c r="Q22" s="51">
        <v>18.5</v>
      </c>
      <c r="R22" s="51">
        <v>18.5</v>
      </c>
      <c r="S22" s="51">
        <v>18.5</v>
      </c>
      <c r="T22" s="51">
        <v>16.7</v>
      </c>
      <c r="U22" s="51">
        <v>16.7</v>
      </c>
      <c r="V22" s="51">
        <v>16.7</v>
      </c>
      <c r="W22" s="51">
        <v>16.7</v>
      </c>
      <c r="X22" s="51">
        <v>16.7</v>
      </c>
      <c r="Y22" s="51">
        <v>16.7</v>
      </c>
      <c r="Z22" s="51">
        <v>16.7</v>
      </c>
      <c r="AA22" s="51">
        <v>16.7</v>
      </c>
      <c r="AB22" s="51">
        <v>16.7</v>
      </c>
      <c r="AC22" s="51">
        <v>16.7</v>
      </c>
      <c r="AD22" s="51">
        <v>16.7</v>
      </c>
      <c r="AE22" s="51">
        <v>18.8</v>
      </c>
      <c r="AF22" s="51">
        <v>19</v>
      </c>
      <c r="AG22" s="58">
        <v>25</v>
      </c>
      <c r="AH22" s="54">
        <f t="shared" si="2"/>
        <v>19</v>
      </c>
      <c r="AI22" s="55">
        <f t="shared" si="3"/>
        <v>16.7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23.3</v>
      </c>
      <c r="C24" s="51">
        <v>23.3</v>
      </c>
      <c r="D24" s="51">
        <v>23.3</v>
      </c>
      <c r="E24" s="51">
        <v>23.3</v>
      </c>
      <c r="F24" s="51">
        <v>23.2</v>
      </c>
      <c r="G24" s="51">
        <v>23.2</v>
      </c>
      <c r="H24" s="51">
        <v>23.2</v>
      </c>
      <c r="I24" s="51">
        <v>21.9</v>
      </c>
      <c r="J24" s="51">
        <v>21.9</v>
      </c>
      <c r="K24" s="51">
        <v>21.9</v>
      </c>
      <c r="L24" s="51">
        <v>21.9</v>
      </c>
      <c r="M24" s="51">
        <v>21.9</v>
      </c>
      <c r="N24" s="51">
        <v>21.9</v>
      </c>
      <c r="O24" s="51">
        <v>21.9</v>
      </c>
      <c r="P24" s="51">
        <v>21.9</v>
      </c>
      <c r="Q24" s="51">
        <v>21.9</v>
      </c>
      <c r="R24" s="51">
        <v>21.9</v>
      </c>
      <c r="S24" s="51">
        <v>21.9</v>
      </c>
      <c r="T24" s="51">
        <v>21.9</v>
      </c>
      <c r="U24" s="51">
        <v>21.9</v>
      </c>
      <c r="V24" s="51">
        <v>21.9</v>
      </c>
      <c r="W24" s="51">
        <v>21.9</v>
      </c>
      <c r="X24" s="51">
        <v>21.9</v>
      </c>
      <c r="Y24" s="51">
        <v>21.9</v>
      </c>
      <c r="Z24" s="51">
        <v>21.9</v>
      </c>
      <c r="AA24" s="51">
        <v>21.9</v>
      </c>
      <c r="AB24" s="51">
        <v>21.9</v>
      </c>
      <c r="AC24" s="51">
        <v>21.9</v>
      </c>
      <c r="AD24" s="51">
        <v>21.9</v>
      </c>
      <c r="AE24" s="51">
        <v>17</v>
      </c>
      <c r="AF24" s="51">
        <v>15.9</v>
      </c>
      <c r="AG24" s="58">
        <v>25</v>
      </c>
      <c r="AH24" s="54">
        <f t="shared" si="2"/>
        <v>23.3</v>
      </c>
      <c r="AI24" s="55">
        <f t="shared" si="3"/>
        <v>15.9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11</v>
      </c>
      <c r="C30" s="51">
        <v>11</v>
      </c>
      <c r="D30" s="51">
        <v>11</v>
      </c>
      <c r="E30" s="51">
        <v>11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>
        <v>11</v>
      </c>
      <c r="AB30" s="51">
        <v>11</v>
      </c>
      <c r="AC30" s="51">
        <v>11</v>
      </c>
      <c r="AD30" s="51">
        <v>11</v>
      </c>
      <c r="AE30" s="51">
        <v>11</v>
      </c>
      <c r="AF30" s="51">
        <v>11</v>
      </c>
      <c r="AG30" s="58">
        <v>22.1</v>
      </c>
      <c r="AH30" s="54">
        <f t="shared" si="2"/>
        <v>11</v>
      </c>
      <c r="AI30" s="55">
        <f t="shared" si="3"/>
        <v>11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>
        <v>6.6</v>
      </c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6.6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6</v>
      </c>
      <c r="C34" s="51">
        <v>6</v>
      </c>
      <c r="D34" s="51">
        <v>6</v>
      </c>
      <c r="E34" s="51">
        <v>6</v>
      </c>
      <c r="F34" s="51">
        <v>6</v>
      </c>
      <c r="G34" s="51">
        <v>6</v>
      </c>
      <c r="H34" s="51">
        <v>6</v>
      </c>
      <c r="I34" s="51">
        <v>6</v>
      </c>
      <c r="J34" s="51">
        <v>6</v>
      </c>
      <c r="K34" s="51">
        <v>6</v>
      </c>
      <c r="L34" s="51">
        <v>6</v>
      </c>
      <c r="M34" s="51">
        <v>6</v>
      </c>
      <c r="N34" s="51">
        <v>6</v>
      </c>
      <c r="O34" s="51">
        <v>6</v>
      </c>
      <c r="P34" s="51">
        <v>6</v>
      </c>
      <c r="Q34" s="51">
        <v>6</v>
      </c>
      <c r="R34" s="51">
        <v>6</v>
      </c>
      <c r="S34" s="51">
        <v>6</v>
      </c>
      <c r="T34" s="51">
        <v>6</v>
      </c>
      <c r="U34" s="51">
        <v>6</v>
      </c>
      <c r="V34" s="51">
        <v>6</v>
      </c>
      <c r="W34" s="51">
        <v>6</v>
      </c>
      <c r="X34" s="51">
        <v>6</v>
      </c>
      <c r="Y34" s="51">
        <v>6</v>
      </c>
      <c r="Z34" s="51">
        <v>6</v>
      </c>
      <c r="AA34" s="51">
        <v>6</v>
      </c>
      <c r="AB34" s="51">
        <v>6</v>
      </c>
      <c r="AC34" s="51">
        <v>6</v>
      </c>
      <c r="AD34" s="51">
        <v>6</v>
      </c>
      <c r="AE34" s="51">
        <v>6</v>
      </c>
      <c r="AF34" s="51">
        <v>6</v>
      </c>
      <c r="AG34" s="63">
        <v>20</v>
      </c>
      <c r="AH34" s="54">
        <f t="shared" si="2"/>
        <v>6</v>
      </c>
      <c r="AI34" s="55">
        <f t="shared" si="3"/>
        <v>6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105.3</v>
      </c>
      <c r="C37" s="65">
        <v>113.4</v>
      </c>
      <c r="D37" s="65">
        <v>114.2</v>
      </c>
      <c r="E37" s="65">
        <v>108</v>
      </c>
      <c r="F37" s="65">
        <f>55.8+50.6</f>
        <v>106.4</v>
      </c>
      <c r="G37" s="65">
        <f>48.6+51.4</f>
        <v>100</v>
      </c>
      <c r="H37" s="65">
        <f>48.4+52.1</f>
        <v>100.5</v>
      </c>
      <c r="I37" s="65">
        <f>48+5</f>
        <v>53</v>
      </c>
      <c r="J37" s="65">
        <v>95.4</v>
      </c>
      <c r="K37" s="65">
        <f>45.1+51.4</f>
        <v>96.5</v>
      </c>
      <c r="L37" s="65">
        <f>45+51</f>
        <v>96</v>
      </c>
      <c r="M37" s="65">
        <f>51+40.3</f>
        <v>91.3</v>
      </c>
      <c r="N37" s="65">
        <f>50.2+42.4</f>
        <v>92.6</v>
      </c>
      <c r="O37" s="65">
        <f>51.3+41.8</f>
        <v>93.1</v>
      </c>
      <c r="P37" s="65">
        <f>51.3+41.8</f>
        <v>93.1</v>
      </c>
      <c r="Q37" s="65">
        <f>52.6+41.7</f>
        <v>94.300000000000011</v>
      </c>
      <c r="R37" s="65">
        <f>51.6+47.6</f>
        <v>99.2</v>
      </c>
      <c r="S37" s="65">
        <f>51.6+37.7</f>
        <v>89.300000000000011</v>
      </c>
      <c r="T37" s="67">
        <f>50+31.1</f>
        <v>81.099999999999994</v>
      </c>
      <c r="U37" s="67">
        <v>87.7</v>
      </c>
      <c r="V37" s="67">
        <v>86.9</v>
      </c>
      <c r="W37" s="67">
        <v>83</v>
      </c>
      <c r="X37" s="67">
        <v>89</v>
      </c>
      <c r="Y37" s="67">
        <v>89</v>
      </c>
      <c r="Z37" s="67">
        <v>87</v>
      </c>
      <c r="AA37" s="67">
        <v>87</v>
      </c>
      <c r="AB37" s="67">
        <v>87</v>
      </c>
      <c r="AC37" s="67">
        <f>48.4+39.2</f>
        <v>87.6</v>
      </c>
      <c r="AD37" s="67">
        <f>48.4+39.2</f>
        <v>87.6</v>
      </c>
      <c r="AE37" s="67">
        <f>50.1+39.6</f>
        <v>89.7</v>
      </c>
      <c r="AF37" s="67">
        <f>50.4+40.6</f>
        <v>91</v>
      </c>
      <c r="AG37" s="63">
        <v>240</v>
      </c>
      <c r="AH37" s="54">
        <f t="shared" si="2"/>
        <v>114.2</v>
      </c>
      <c r="AI37" s="55">
        <f t="shared" si="3"/>
        <v>53</v>
      </c>
      <c r="AK37" s="56"/>
    </row>
    <row r="38" spans="1:88" ht="15.75" thickBot="1" x14ac:dyDescent="0.3">
      <c r="A38" s="68" t="s">
        <v>46</v>
      </c>
      <c r="B38" s="69">
        <f t="shared" ref="B38" si="4">SUM(B11:B36)</f>
        <v>652.30000000000007</v>
      </c>
      <c r="C38" s="69">
        <f t="shared" ref="C38:AF38" si="5">SUM(C11:C36)</f>
        <v>655.90000000000009</v>
      </c>
      <c r="D38" s="69">
        <f t="shared" si="5"/>
        <v>666.7</v>
      </c>
      <c r="E38" s="69">
        <f t="shared" si="5"/>
        <v>658.80000000000007</v>
      </c>
      <c r="F38" s="69">
        <f t="shared" si="5"/>
        <v>680.8</v>
      </c>
      <c r="G38" s="69">
        <f t="shared" si="5"/>
        <v>700.10000000000014</v>
      </c>
      <c r="H38" s="69">
        <f t="shared" si="5"/>
        <v>690.10000000000014</v>
      </c>
      <c r="I38" s="69">
        <f t="shared" si="5"/>
        <v>708.80000000000007</v>
      </c>
      <c r="J38" s="69">
        <f t="shared" si="5"/>
        <v>708.80000000000007</v>
      </c>
      <c r="K38" s="69">
        <f t="shared" si="5"/>
        <v>723.80000000000007</v>
      </c>
      <c r="L38" s="69">
        <f t="shared" si="5"/>
        <v>738.80000000000007</v>
      </c>
      <c r="M38" s="69">
        <f t="shared" si="5"/>
        <v>729.80000000000007</v>
      </c>
      <c r="N38" s="69">
        <f t="shared" si="5"/>
        <v>709.80000000000007</v>
      </c>
      <c r="O38" s="69">
        <f t="shared" si="5"/>
        <v>759.80000000000007</v>
      </c>
      <c r="P38" s="69">
        <f t="shared" si="5"/>
        <v>700.5</v>
      </c>
      <c r="Q38" s="69">
        <f t="shared" si="5"/>
        <v>690.5</v>
      </c>
      <c r="R38" s="69">
        <f t="shared" si="5"/>
        <v>740.50000000000011</v>
      </c>
      <c r="S38" s="69">
        <f t="shared" si="5"/>
        <v>740.50000000000011</v>
      </c>
      <c r="T38" s="69">
        <f t="shared" si="5"/>
        <v>708.7</v>
      </c>
      <c r="U38" s="69">
        <f t="shared" si="5"/>
        <v>678.7</v>
      </c>
      <c r="V38" s="69">
        <f t="shared" si="5"/>
        <v>678.7</v>
      </c>
      <c r="W38" s="69">
        <f t="shared" si="5"/>
        <v>638.70000000000005</v>
      </c>
      <c r="X38" s="69">
        <f t="shared" si="5"/>
        <v>638.70000000000005</v>
      </c>
      <c r="Y38" s="69">
        <f t="shared" si="5"/>
        <v>648.70000000000005</v>
      </c>
      <c r="Z38" s="69">
        <f t="shared" si="5"/>
        <v>698.7</v>
      </c>
      <c r="AA38" s="69">
        <f t="shared" si="5"/>
        <v>698.7</v>
      </c>
      <c r="AB38" s="69">
        <f t="shared" si="5"/>
        <v>856.7</v>
      </c>
      <c r="AC38" s="69">
        <f t="shared" si="5"/>
        <v>886.7</v>
      </c>
      <c r="AD38" s="69">
        <f t="shared" si="5"/>
        <v>856.7</v>
      </c>
      <c r="AE38" s="69">
        <f t="shared" si="5"/>
        <v>695.1</v>
      </c>
      <c r="AF38" s="69">
        <f t="shared" si="5"/>
        <v>693</v>
      </c>
      <c r="AG38" s="63">
        <f>SUM(AG11:AG37)</f>
        <v>1492.8299999999997</v>
      </c>
      <c r="AH38" s="54">
        <f t="shared" si="2"/>
        <v>886.7</v>
      </c>
      <c r="AI38" s="55">
        <f t="shared" si="3"/>
        <v>638.70000000000005</v>
      </c>
      <c r="AK38" s="56"/>
    </row>
    <row r="39" spans="1:88" x14ac:dyDescent="0.25">
      <c r="A39" s="57" t="s">
        <v>47</v>
      </c>
      <c r="B39" s="51">
        <v>145.5</v>
      </c>
      <c r="C39" s="51">
        <v>145.1</v>
      </c>
      <c r="D39" s="51">
        <v>145.4</v>
      </c>
      <c r="E39" s="51">
        <v>134</v>
      </c>
      <c r="F39" s="51">
        <v>140</v>
      </c>
      <c r="G39" s="51">
        <v>141.5</v>
      </c>
      <c r="H39" s="51">
        <v>141.5</v>
      </c>
      <c r="I39" s="51">
        <v>141.80000000000001</v>
      </c>
      <c r="J39" s="51">
        <v>141.5</v>
      </c>
      <c r="K39" s="51">
        <v>141.5</v>
      </c>
      <c r="L39" s="51">
        <v>141.4</v>
      </c>
      <c r="M39" s="51">
        <v>141.6</v>
      </c>
      <c r="N39" s="51">
        <v>141.1</v>
      </c>
      <c r="O39" s="51">
        <v>145.80000000000001</v>
      </c>
      <c r="P39" s="51">
        <v>145.80000000000001</v>
      </c>
      <c r="Q39" s="51">
        <v>145.80000000000001</v>
      </c>
      <c r="R39" s="51">
        <v>145.69999999999999</v>
      </c>
      <c r="S39" s="51">
        <v>145.69999999999999</v>
      </c>
      <c r="T39" s="51">
        <v>145.5</v>
      </c>
      <c r="U39" s="51">
        <v>145.5</v>
      </c>
      <c r="V39" s="51">
        <v>145.5</v>
      </c>
      <c r="W39" s="51">
        <v>145.5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145.5</v>
      </c>
      <c r="AC39" s="51">
        <v>144.69999999999999</v>
      </c>
      <c r="AD39" s="51">
        <v>144.69999999999999</v>
      </c>
      <c r="AE39" s="51">
        <v>144.6</v>
      </c>
      <c r="AF39" s="51">
        <v>125.3</v>
      </c>
      <c r="AG39" s="59">
        <v>144</v>
      </c>
      <c r="AH39" s="54">
        <f t="shared" si="2"/>
        <v>145.80000000000001</v>
      </c>
      <c r="AI39" s="55">
        <f t="shared" si="3"/>
        <v>125.3</v>
      </c>
      <c r="AK39" s="56"/>
    </row>
    <row r="40" spans="1:88" x14ac:dyDescent="0.25">
      <c r="A40" s="62" t="s">
        <v>48</v>
      </c>
      <c r="B40" s="70">
        <v>69.5</v>
      </c>
      <c r="C40" s="70">
        <v>64.599999999999994</v>
      </c>
      <c r="D40" s="70">
        <v>65.7</v>
      </c>
      <c r="E40" s="70">
        <v>55.2</v>
      </c>
      <c r="F40" s="70">
        <v>55.3</v>
      </c>
      <c r="G40" s="70">
        <v>46.4</v>
      </c>
      <c r="H40" s="70">
        <v>57.8</v>
      </c>
      <c r="I40" s="70">
        <v>57.6</v>
      </c>
      <c r="J40" s="70">
        <v>56.6</v>
      </c>
      <c r="K40" s="70">
        <v>70</v>
      </c>
      <c r="L40" s="70">
        <v>69.400000000000006</v>
      </c>
      <c r="M40" s="51">
        <v>69.2</v>
      </c>
      <c r="N40" s="51">
        <v>70.900000000000006</v>
      </c>
      <c r="O40" s="51">
        <v>60</v>
      </c>
      <c r="P40" s="51">
        <v>60</v>
      </c>
      <c r="Q40" s="51">
        <v>70.2</v>
      </c>
      <c r="R40" s="51">
        <v>70.2</v>
      </c>
      <c r="S40" s="51">
        <v>70.2</v>
      </c>
      <c r="T40" s="70">
        <v>49.9</v>
      </c>
      <c r="U40" s="70">
        <v>49.9</v>
      </c>
      <c r="V40" s="70">
        <v>49.9</v>
      </c>
      <c r="W40" s="70">
        <v>49.9</v>
      </c>
      <c r="X40" s="70">
        <v>49.9</v>
      </c>
      <c r="Y40" s="70">
        <v>49.9</v>
      </c>
      <c r="Z40" s="70">
        <v>70</v>
      </c>
      <c r="AA40" s="70">
        <v>70</v>
      </c>
      <c r="AB40" s="70">
        <v>70</v>
      </c>
      <c r="AC40" s="70">
        <v>59.7</v>
      </c>
      <c r="AD40" s="70">
        <v>59.7</v>
      </c>
      <c r="AE40" s="70">
        <v>69.8</v>
      </c>
      <c r="AF40" s="70">
        <v>60.8</v>
      </c>
      <c r="AG40" s="63">
        <v>70</v>
      </c>
      <c r="AH40" s="54">
        <f t="shared" si="2"/>
        <v>70.900000000000006</v>
      </c>
      <c r="AI40" s="55">
        <f t="shared" si="3"/>
        <v>46.4</v>
      </c>
      <c r="AK40" s="56"/>
    </row>
    <row r="41" spans="1:88" x14ac:dyDescent="0.25">
      <c r="A41" s="62" t="s">
        <v>49</v>
      </c>
      <c r="B41" s="70">
        <v>69</v>
      </c>
      <c r="C41" s="70">
        <v>68.900000000000006</v>
      </c>
      <c r="D41" s="70">
        <v>67.900000000000006</v>
      </c>
      <c r="E41" s="70">
        <v>68.2</v>
      </c>
      <c r="F41" s="70">
        <v>68.400000000000006</v>
      </c>
      <c r="G41" s="70">
        <v>68.3</v>
      </c>
      <c r="H41" s="70">
        <v>68.599999999999994</v>
      </c>
      <c r="I41" s="70">
        <v>68.400000000000006</v>
      </c>
      <c r="J41" s="70">
        <v>68.8</v>
      </c>
      <c r="K41" s="70">
        <v>68.3</v>
      </c>
      <c r="L41" s="70">
        <v>69.099999999999994</v>
      </c>
      <c r="M41" s="51">
        <v>68.3</v>
      </c>
      <c r="N41" s="51">
        <v>68.400000000000006</v>
      </c>
      <c r="O41" s="51">
        <v>68.400000000000006</v>
      </c>
      <c r="P41" s="51">
        <v>68.400000000000006</v>
      </c>
      <c r="Q41" s="51">
        <v>67.900000000000006</v>
      </c>
      <c r="R41" s="51">
        <v>60</v>
      </c>
      <c r="S41" s="51">
        <v>60</v>
      </c>
      <c r="T41" s="70">
        <v>62.1</v>
      </c>
      <c r="U41" s="70">
        <v>62.1</v>
      </c>
      <c r="V41" s="70">
        <v>62.1</v>
      </c>
      <c r="W41" s="70">
        <v>62.1</v>
      </c>
      <c r="X41" s="70">
        <v>61.7</v>
      </c>
      <c r="Y41" s="70">
        <v>61.7</v>
      </c>
      <c r="Z41" s="70">
        <v>65.8</v>
      </c>
      <c r="AA41" s="70">
        <v>65.8</v>
      </c>
      <c r="AB41" s="70">
        <v>65.8</v>
      </c>
      <c r="AC41" s="70">
        <v>67.2</v>
      </c>
      <c r="AD41" s="70">
        <v>67.2</v>
      </c>
      <c r="AE41" s="70">
        <v>67.5</v>
      </c>
      <c r="AF41" s="70">
        <v>67.099999999999994</v>
      </c>
      <c r="AG41" s="63">
        <v>69</v>
      </c>
      <c r="AH41" s="54">
        <f t="shared" si="2"/>
        <v>69.099999999999994</v>
      </c>
      <c r="AI41" s="55">
        <f t="shared" si="3"/>
        <v>60</v>
      </c>
      <c r="AK41" s="56"/>
    </row>
    <row r="42" spans="1:88" x14ac:dyDescent="0.25">
      <c r="A42" s="62" t="s">
        <v>50</v>
      </c>
      <c r="B42" s="65">
        <v>60.9</v>
      </c>
      <c r="C42" s="65">
        <v>60.7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51">
        <v>60.7</v>
      </c>
      <c r="N42" s="51">
        <v>60.9</v>
      </c>
      <c r="O42" s="51">
        <v>60.7</v>
      </c>
      <c r="P42" s="51">
        <v>60.7</v>
      </c>
      <c r="Q42" s="51">
        <v>60.7</v>
      </c>
      <c r="R42" s="51">
        <v>60.7</v>
      </c>
      <c r="S42" s="51">
        <v>62</v>
      </c>
      <c r="T42" s="51">
        <v>60.7</v>
      </c>
      <c r="U42" s="51">
        <v>60.7</v>
      </c>
      <c r="V42" s="51">
        <v>60.7</v>
      </c>
      <c r="W42" s="51">
        <v>60.7</v>
      </c>
      <c r="X42" s="51">
        <v>60.7</v>
      </c>
      <c r="Y42" s="51">
        <v>60.7</v>
      </c>
      <c r="Z42" s="51">
        <v>60.7</v>
      </c>
      <c r="AA42" s="51">
        <v>60.7</v>
      </c>
      <c r="AB42" s="51">
        <v>60.7</v>
      </c>
      <c r="AC42" s="51">
        <v>60.7</v>
      </c>
      <c r="AD42" s="51">
        <v>60.7</v>
      </c>
      <c r="AE42" s="65">
        <v>60.7</v>
      </c>
      <c r="AF42" s="65">
        <v>60.9</v>
      </c>
      <c r="AG42" s="63">
        <v>60</v>
      </c>
      <c r="AH42" s="54">
        <f t="shared" si="2"/>
        <v>62</v>
      </c>
      <c r="AI42" s="55">
        <f t="shared" si="3"/>
        <v>60.7</v>
      </c>
      <c r="AK42" s="56"/>
    </row>
    <row r="43" spans="1:88" x14ac:dyDescent="0.25">
      <c r="A43" s="62" t="s">
        <v>51</v>
      </c>
      <c r="B43" s="65">
        <v>15</v>
      </c>
      <c r="C43" s="65">
        <v>15</v>
      </c>
      <c r="D43" s="65">
        <v>10</v>
      </c>
      <c r="E43" s="65">
        <v>10</v>
      </c>
      <c r="F43" s="65">
        <v>10</v>
      </c>
      <c r="G43" s="65">
        <v>10</v>
      </c>
      <c r="H43" s="65">
        <v>10</v>
      </c>
      <c r="I43" s="65">
        <v>10</v>
      </c>
      <c r="J43" s="65">
        <v>10</v>
      </c>
      <c r="K43" s="65">
        <v>10</v>
      </c>
      <c r="L43" s="65">
        <v>10</v>
      </c>
      <c r="M43" s="51">
        <v>10</v>
      </c>
      <c r="N43" s="51">
        <v>10.8</v>
      </c>
      <c r="O43" s="51">
        <v>10.6</v>
      </c>
      <c r="P43" s="51">
        <v>10.6</v>
      </c>
      <c r="Q43" s="51">
        <v>10.6</v>
      </c>
      <c r="R43" s="51">
        <v>10.6</v>
      </c>
      <c r="S43" s="51">
        <v>18.8</v>
      </c>
      <c r="T43" s="51">
        <v>23.3</v>
      </c>
      <c r="U43" s="51">
        <v>20</v>
      </c>
      <c r="V43" s="51">
        <v>20</v>
      </c>
      <c r="W43" s="51">
        <v>20</v>
      </c>
      <c r="X43" s="51">
        <v>20</v>
      </c>
      <c r="Y43" s="51">
        <v>20</v>
      </c>
      <c r="Z43" s="51">
        <v>25</v>
      </c>
      <c r="AA43" s="51">
        <v>25</v>
      </c>
      <c r="AB43" s="51">
        <v>30</v>
      </c>
      <c r="AC43" s="51">
        <v>30</v>
      </c>
      <c r="AD43" s="51">
        <v>30</v>
      </c>
      <c r="AE43" s="65">
        <v>20.100000000000001</v>
      </c>
      <c r="AF43" s="65">
        <v>20.7</v>
      </c>
      <c r="AG43" s="63">
        <v>30</v>
      </c>
      <c r="AH43" s="54">
        <f t="shared" si="2"/>
        <v>30</v>
      </c>
      <c r="AI43" s="55">
        <f t="shared" si="3"/>
        <v>10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51">
        <v>8</v>
      </c>
      <c r="N44" s="51">
        <v>10</v>
      </c>
      <c r="O44" s="51">
        <v>10</v>
      </c>
      <c r="P44" s="51">
        <v>10</v>
      </c>
      <c r="Q44" s="51">
        <v>10</v>
      </c>
      <c r="R44" s="51">
        <v>10</v>
      </c>
      <c r="S44" s="51">
        <v>10</v>
      </c>
      <c r="T44" s="51">
        <v>10</v>
      </c>
      <c r="U44" s="51">
        <v>10</v>
      </c>
      <c r="V44" s="51">
        <v>10</v>
      </c>
      <c r="W44" s="51">
        <v>10</v>
      </c>
      <c r="X44" s="51">
        <v>10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10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18</v>
      </c>
      <c r="C45" s="70">
        <v>18</v>
      </c>
      <c r="D45" s="70">
        <v>17</v>
      </c>
      <c r="E45" s="70">
        <v>17</v>
      </c>
      <c r="F45" s="70">
        <v>16.8</v>
      </c>
      <c r="G45" s="70">
        <v>16.8</v>
      </c>
      <c r="H45" s="70">
        <v>16.8</v>
      </c>
      <c r="I45" s="70">
        <v>16.8</v>
      </c>
      <c r="J45" s="70">
        <v>16.8</v>
      </c>
      <c r="K45" s="70">
        <v>16.8</v>
      </c>
      <c r="L45" s="70">
        <v>16.8</v>
      </c>
      <c r="M45" s="51">
        <v>15.5</v>
      </c>
      <c r="N45" s="51">
        <v>16.600000000000001</v>
      </c>
      <c r="O45" s="51">
        <v>16.600000000000001</v>
      </c>
      <c r="P45" s="51">
        <v>16.600000000000001</v>
      </c>
      <c r="Q45" s="51">
        <v>17.5</v>
      </c>
      <c r="R45" s="51">
        <v>17.5</v>
      </c>
      <c r="S45" s="51">
        <v>17.5</v>
      </c>
      <c r="T45" s="51">
        <v>17.5</v>
      </c>
      <c r="U45" s="51">
        <v>17.5</v>
      </c>
      <c r="V45" s="51">
        <v>17.5</v>
      </c>
      <c r="W45" s="51">
        <v>17.5</v>
      </c>
      <c r="X45" s="51">
        <v>17.5</v>
      </c>
      <c r="Y45" s="51">
        <v>17.5</v>
      </c>
      <c r="Z45" s="51">
        <v>17.5</v>
      </c>
      <c r="AA45" s="51">
        <v>17.5</v>
      </c>
      <c r="AB45" s="51">
        <v>17.5</v>
      </c>
      <c r="AC45" s="51">
        <v>17.5</v>
      </c>
      <c r="AD45" s="51">
        <v>17.5</v>
      </c>
      <c r="AE45" s="51">
        <v>17.5</v>
      </c>
      <c r="AF45" s="51">
        <v>17.5</v>
      </c>
      <c r="AG45" s="63">
        <v>24</v>
      </c>
      <c r="AH45" s="54">
        <f t="shared" si="2"/>
        <v>18</v>
      </c>
      <c r="AI45" s="55">
        <f t="shared" si="3"/>
        <v>15.5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14</v>
      </c>
      <c r="C47" s="70">
        <v>14</v>
      </c>
      <c r="D47" s="70">
        <v>14</v>
      </c>
      <c r="E47" s="70">
        <v>14</v>
      </c>
      <c r="F47" s="70">
        <v>14</v>
      </c>
      <c r="G47" s="70">
        <v>14</v>
      </c>
      <c r="H47" s="70">
        <v>14</v>
      </c>
      <c r="I47" s="70">
        <v>14</v>
      </c>
      <c r="J47" s="70">
        <v>14</v>
      </c>
      <c r="K47" s="70">
        <v>14</v>
      </c>
      <c r="L47" s="70">
        <v>14</v>
      </c>
      <c r="M47" s="51">
        <v>9.5</v>
      </c>
      <c r="N47" s="51">
        <v>9.5</v>
      </c>
      <c r="O47" s="51">
        <v>9.5</v>
      </c>
      <c r="P47" s="51">
        <v>9.5</v>
      </c>
      <c r="Q47" s="51">
        <v>9.5</v>
      </c>
      <c r="R47" s="51">
        <v>9.5</v>
      </c>
      <c r="S47" s="51">
        <v>9.5</v>
      </c>
      <c r="T47" s="51">
        <v>9.5</v>
      </c>
      <c r="U47" s="51">
        <v>9.5</v>
      </c>
      <c r="V47" s="51">
        <v>9.5</v>
      </c>
      <c r="W47" s="51">
        <v>9.5</v>
      </c>
      <c r="X47" s="51">
        <v>9.5</v>
      </c>
      <c r="Y47" s="51">
        <v>9.5</v>
      </c>
      <c r="Z47" s="51">
        <v>9.5</v>
      </c>
      <c r="AA47" s="51">
        <v>9.5</v>
      </c>
      <c r="AB47" s="51">
        <v>9.5</v>
      </c>
      <c r="AC47" s="51">
        <v>9.5</v>
      </c>
      <c r="AD47" s="51">
        <v>9.5</v>
      </c>
      <c r="AE47" s="51">
        <v>9.5</v>
      </c>
      <c r="AF47" s="51">
        <v>9.5</v>
      </c>
      <c r="AG47" s="63">
        <v>14.1</v>
      </c>
      <c r="AH47" s="54">
        <f t="shared" si="2"/>
        <v>14</v>
      </c>
      <c r="AI47" s="55">
        <f t="shared" si="3"/>
        <v>9.5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10</v>
      </c>
      <c r="C48" s="70">
        <v>10</v>
      </c>
      <c r="D48" s="70">
        <v>10</v>
      </c>
      <c r="E48" s="70">
        <v>10</v>
      </c>
      <c r="F48" s="70">
        <v>10.1</v>
      </c>
      <c r="G48" s="70">
        <v>10.1</v>
      </c>
      <c r="H48" s="70">
        <v>10.1</v>
      </c>
      <c r="I48" s="70">
        <v>10.1</v>
      </c>
      <c r="J48" s="70">
        <v>10.1</v>
      </c>
      <c r="K48" s="70">
        <v>10.1</v>
      </c>
      <c r="L48" s="70">
        <v>10.1</v>
      </c>
      <c r="M48" s="51">
        <v>9.6</v>
      </c>
      <c r="N48" s="51">
        <v>9.6</v>
      </c>
      <c r="O48" s="51">
        <v>9.6</v>
      </c>
      <c r="P48" s="51">
        <v>9.6</v>
      </c>
      <c r="Q48" s="51">
        <v>9.6</v>
      </c>
      <c r="R48" s="51">
        <v>9.6</v>
      </c>
      <c r="S48" s="51">
        <v>9.6</v>
      </c>
      <c r="T48" s="51">
        <v>9.6</v>
      </c>
      <c r="U48" s="51">
        <v>9.6</v>
      </c>
      <c r="V48" s="51">
        <v>9.6</v>
      </c>
      <c r="W48" s="51">
        <v>9.6</v>
      </c>
      <c r="X48" s="51">
        <v>9.6</v>
      </c>
      <c r="Y48" s="51">
        <v>9.6</v>
      </c>
      <c r="Z48" s="51">
        <v>9.6</v>
      </c>
      <c r="AA48" s="51">
        <v>9.6</v>
      </c>
      <c r="AB48" s="51">
        <v>9.6</v>
      </c>
      <c r="AC48" s="51">
        <v>9.6</v>
      </c>
      <c r="AD48" s="51">
        <v>9.6</v>
      </c>
      <c r="AE48" s="51">
        <v>9.6</v>
      </c>
      <c r="AF48" s="51">
        <v>9.6</v>
      </c>
      <c r="AG48" s="63">
        <v>14</v>
      </c>
      <c r="AH48" s="54">
        <f t="shared" si="2"/>
        <v>10.1</v>
      </c>
      <c r="AI48" s="55">
        <f t="shared" si="3"/>
        <v>9.6</v>
      </c>
      <c r="AK48" s="56"/>
    </row>
    <row r="49" spans="1:37" x14ac:dyDescent="0.25">
      <c r="A49" s="62" t="s">
        <v>57</v>
      </c>
      <c r="B49" s="70">
        <v>9</v>
      </c>
      <c r="C49" s="70">
        <v>9</v>
      </c>
      <c r="D49" s="70">
        <v>9</v>
      </c>
      <c r="E49" s="70">
        <v>9</v>
      </c>
      <c r="F49" s="70">
        <v>8.6</v>
      </c>
      <c r="G49" s="70">
        <v>8.6</v>
      </c>
      <c r="H49" s="70">
        <v>8.6</v>
      </c>
      <c r="I49" s="70">
        <v>8.6</v>
      </c>
      <c r="J49" s="70">
        <v>8.6</v>
      </c>
      <c r="K49" s="70">
        <v>8.6</v>
      </c>
      <c r="L49" s="70">
        <v>8.6</v>
      </c>
      <c r="M49" s="51">
        <v>8.5</v>
      </c>
      <c r="N49" s="51">
        <v>8.5</v>
      </c>
      <c r="O49" s="51">
        <v>8.5</v>
      </c>
      <c r="P49" s="51">
        <v>8.5</v>
      </c>
      <c r="Q49" s="51">
        <v>8.5</v>
      </c>
      <c r="R49" s="51">
        <v>8.5</v>
      </c>
      <c r="S49" s="51">
        <v>8.5</v>
      </c>
      <c r="T49" s="51">
        <v>8.5</v>
      </c>
      <c r="U49" s="51">
        <v>8.5</v>
      </c>
      <c r="V49" s="51">
        <v>8.5</v>
      </c>
      <c r="W49" s="51">
        <v>8.5</v>
      </c>
      <c r="X49" s="51">
        <v>8.5</v>
      </c>
      <c r="Y49" s="51">
        <v>8.5</v>
      </c>
      <c r="Z49" s="51">
        <v>8.5</v>
      </c>
      <c r="AA49" s="51">
        <v>8.5</v>
      </c>
      <c r="AB49" s="51">
        <v>8.5</v>
      </c>
      <c r="AC49" s="51">
        <v>8.5</v>
      </c>
      <c r="AD49" s="51">
        <v>8.5</v>
      </c>
      <c r="AE49" s="51">
        <v>8.5</v>
      </c>
      <c r="AF49" s="51">
        <v>8.5</v>
      </c>
      <c r="AG49" s="63">
        <v>10.050000000000001</v>
      </c>
      <c r="AH49" s="54">
        <f t="shared" si="2"/>
        <v>9</v>
      </c>
      <c r="AI49" s="55">
        <f t="shared" si="3"/>
        <v>8.5</v>
      </c>
      <c r="AK49" s="56"/>
    </row>
    <row r="50" spans="1:37" x14ac:dyDescent="0.25">
      <c r="A50" s="62" t="s">
        <v>58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63">
        <v>6.2</v>
      </c>
      <c r="AH50" s="54">
        <f t="shared" si="2"/>
        <v>0</v>
      </c>
      <c r="AI50" s="55">
        <f t="shared" si="3"/>
        <v>0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7">SUM(B39:B51)</f>
        <v>414.44</v>
      </c>
      <c r="C52" s="69">
        <f t="shared" ref="C52:AF52" si="8">SUM(C39:C51)</f>
        <v>408.84000000000003</v>
      </c>
      <c r="D52" s="69">
        <f t="shared" si="8"/>
        <v>403.44</v>
      </c>
      <c r="E52" s="69">
        <f t="shared" si="8"/>
        <v>381.84</v>
      </c>
      <c r="F52" s="69">
        <f t="shared" si="8"/>
        <v>387.6400000000001</v>
      </c>
      <c r="G52" s="69">
        <f t="shared" si="8"/>
        <v>380.14000000000004</v>
      </c>
      <c r="H52" s="69">
        <f t="shared" si="8"/>
        <v>391.84000000000003</v>
      </c>
      <c r="I52" s="69">
        <f t="shared" si="8"/>
        <v>391.74000000000007</v>
      </c>
      <c r="J52" s="69">
        <f t="shared" si="8"/>
        <v>390.84000000000003</v>
      </c>
      <c r="K52" s="69">
        <f t="shared" si="8"/>
        <v>403.74000000000007</v>
      </c>
      <c r="L52" s="69">
        <f t="shared" si="8"/>
        <v>403.84000000000003</v>
      </c>
      <c r="M52" s="69">
        <f t="shared" si="8"/>
        <v>404.44000000000005</v>
      </c>
      <c r="N52" s="69">
        <f t="shared" si="8"/>
        <v>409.84000000000003</v>
      </c>
      <c r="O52" s="69">
        <f t="shared" si="8"/>
        <v>403.24000000000012</v>
      </c>
      <c r="P52" s="69">
        <f t="shared" si="8"/>
        <v>403.24000000000012</v>
      </c>
      <c r="Q52" s="69">
        <f t="shared" si="8"/>
        <v>413.84000000000003</v>
      </c>
      <c r="R52" s="69">
        <f t="shared" si="8"/>
        <v>405.84000000000003</v>
      </c>
      <c r="S52" s="69">
        <f t="shared" si="8"/>
        <v>415.34000000000003</v>
      </c>
      <c r="T52" s="69">
        <f t="shared" si="8"/>
        <v>400.14000000000004</v>
      </c>
      <c r="U52" s="69">
        <f t="shared" si="8"/>
        <v>396.84000000000003</v>
      </c>
      <c r="V52" s="69">
        <f t="shared" si="8"/>
        <v>396.84000000000003</v>
      </c>
      <c r="W52" s="69">
        <f t="shared" si="8"/>
        <v>396.84000000000003</v>
      </c>
      <c r="X52" s="69">
        <f>SUM(X39:X51)</f>
        <v>396.44000000000005</v>
      </c>
      <c r="Y52" s="69">
        <f t="shared" si="8"/>
        <v>386.44000000000005</v>
      </c>
      <c r="Z52" s="69">
        <f t="shared" si="8"/>
        <v>415.64000000000004</v>
      </c>
      <c r="AA52" s="69">
        <f t="shared" si="8"/>
        <v>415.64000000000004</v>
      </c>
      <c r="AB52" s="69">
        <f t="shared" si="8"/>
        <v>420.64000000000004</v>
      </c>
      <c r="AC52" s="69">
        <f t="shared" si="8"/>
        <v>410.94</v>
      </c>
      <c r="AD52" s="69">
        <f t="shared" si="8"/>
        <v>410.94</v>
      </c>
      <c r="AE52" s="69">
        <f t="shared" si="8"/>
        <v>411.34000000000003</v>
      </c>
      <c r="AF52" s="69">
        <f t="shared" si="8"/>
        <v>383.44</v>
      </c>
      <c r="AG52" s="74">
        <f>SUM(AG39:AG51)</f>
        <v>489.91</v>
      </c>
      <c r="AH52" s="54">
        <f t="shared" si="2"/>
        <v>420.64000000000004</v>
      </c>
      <c r="AI52" s="55">
        <f t="shared" si="3"/>
        <v>380.14000000000004</v>
      </c>
      <c r="AK52" s="56"/>
    </row>
    <row r="53" spans="1:37" x14ac:dyDescent="0.25">
      <c r="A53" s="57" t="s">
        <v>61</v>
      </c>
      <c r="B53" s="51">
        <v>14.1</v>
      </c>
      <c r="C53" s="51">
        <v>14.1</v>
      </c>
      <c r="D53" s="51">
        <v>14.1</v>
      </c>
      <c r="E53" s="51">
        <v>14.1</v>
      </c>
      <c r="F53" s="51">
        <v>13.8</v>
      </c>
      <c r="G53" s="51">
        <v>10.199999999999999</v>
      </c>
      <c r="H53" s="51">
        <v>10.199999999999999</v>
      </c>
      <c r="I53" s="51">
        <v>20</v>
      </c>
      <c r="J53" s="51">
        <v>20</v>
      </c>
      <c r="K53" s="51">
        <v>19.7</v>
      </c>
      <c r="L53" s="51">
        <v>29</v>
      </c>
      <c r="M53" s="51">
        <v>29</v>
      </c>
      <c r="N53" s="51">
        <v>20.3</v>
      </c>
      <c r="O53" s="51">
        <v>29.2</v>
      </c>
      <c r="P53" s="51">
        <v>45</v>
      </c>
      <c r="Q53" s="51">
        <v>60</v>
      </c>
      <c r="R53" s="51">
        <v>60</v>
      </c>
      <c r="S53" s="51">
        <v>60</v>
      </c>
      <c r="T53" s="51">
        <v>60</v>
      </c>
      <c r="U53" s="51">
        <v>60</v>
      </c>
      <c r="V53" s="51">
        <v>60</v>
      </c>
      <c r="W53" s="51">
        <v>60</v>
      </c>
      <c r="X53" s="51">
        <v>60</v>
      </c>
      <c r="Y53" s="51">
        <v>60</v>
      </c>
      <c r="Z53" s="51">
        <v>60</v>
      </c>
      <c r="AA53" s="51">
        <v>60</v>
      </c>
      <c r="AB53" s="51">
        <v>49</v>
      </c>
      <c r="AC53" s="51">
        <v>49.8</v>
      </c>
      <c r="AD53" s="51">
        <v>58</v>
      </c>
      <c r="AE53" s="51">
        <v>59</v>
      </c>
      <c r="AF53" s="51">
        <v>59.2</v>
      </c>
      <c r="AG53" s="59">
        <v>60</v>
      </c>
      <c r="AH53" s="54">
        <f t="shared" si="2"/>
        <v>60</v>
      </c>
      <c r="AI53" s="55">
        <f t="shared" si="3"/>
        <v>10.199999999999999</v>
      </c>
      <c r="AK53" s="56"/>
    </row>
    <row r="54" spans="1:37" x14ac:dyDescent="0.25">
      <c r="A54" s="62" t="s">
        <v>62</v>
      </c>
      <c r="B54" s="70">
        <v>6.7</v>
      </c>
      <c r="C54" s="70">
        <v>6.7</v>
      </c>
      <c r="D54" s="70">
        <v>6.5</v>
      </c>
      <c r="E54" s="70">
        <v>6.5</v>
      </c>
      <c r="F54" s="70">
        <v>6.8</v>
      </c>
      <c r="G54" s="70">
        <v>4.8</v>
      </c>
      <c r="H54" s="70">
        <v>4.4000000000000004</v>
      </c>
      <c r="I54" s="70">
        <v>9.6999999999999993</v>
      </c>
      <c r="J54" s="70">
        <v>10</v>
      </c>
      <c r="K54" s="70">
        <v>10</v>
      </c>
      <c r="L54" s="70">
        <v>9.9</v>
      </c>
      <c r="M54" s="70">
        <v>15.4</v>
      </c>
      <c r="N54" s="70">
        <v>9.3000000000000007</v>
      </c>
      <c r="O54" s="70">
        <v>15.2</v>
      </c>
      <c r="P54" s="70">
        <v>22</v>
      </c>
      <c r="Q54" s="70">
        <v>31.9</v>
      </c>
      <c r="R54" s="70">
        <v>31.9</v>
      </c>
      <c r="S54" s="70">
        <v>31.2</v>
      </c>
      <c r="T54" s="70">
        <v>31.1</v>
      </c>
      <c r="U54" s="70">
        <v>31.1</v>
      </c>
      <c r="V54" s="70">
        <v>31.1</v>
      </c>
      <c r="W54" s="70">
        <v>31.1</v>
      </c>
      <c r="X54" s="70">
        <v>31.1</v>
      </c>
      <c r="Y54" s="70">
        <v>31.1</v>
      </c>
      <c r="Z54" s="70">
        <v>31.1</v>
      </c>
      <c r="AA54" s="70">
        <v>31.1</v>
      </c>
      <c r="AB54" s="70">
        <v>24</v>
      </c>
      <c r="AC54" s="70">
        <v>24.4</v>
      </c>
      <c r="AD54" s="70">
        <v>30</v>
      </c>
      <c r="AE54" s="70">
        <v>30.5</v>
      </c>
      <c r="AF54" s="70">
        <v>30.5</v>
      </c>
      <c r="AG54" s="63">
        <v>32</v>
      </c>
      <c r="AH54" s="54">
        <f t="shared" si="2"/>
        <v>31.9</v>
      </c>
      <c r="AI54" s="55">
        <f t="shared" si="3"/>
        <v>4.4000000000000004</v>
      </c>
      <c r="AK54" s="56"/>
    </row>
    <row r="55" spans="1:37" ht="15.75" thickBot="1" x14ac:dyDescent="0.3">
      <c r="A55" s="72" t="s">
        <v>63</v>
      </c>
      <c r="B55" s="75">
        <v>2.4</v>
      </c>
      <c r="C55" s="75">
        <v>2.4</v>
      </c>
      <c r="D55" s="75">
        <v>2.4</v>
      </c>
      <c r="E55" s="75">
        <v>2.4</v>
      </c>
      <c r="F55" s="75">
        <v>2.5</v>
      </c>
      <c r="G55" s="75">
        <v>1.8</v>
      </c>
      <c r="H55" s="75">
        <v>1.6</v>
      </c>
      <c r="I55" s="75">
        <v>3.5</v>
      </c>
      <c r="J55" s="75">
        <v>3.6</v>
      </c>
      <c r="K55" s="75">
        <v>3.6</v>
      </c>
      <c r="L55" s="75">
        <v>3.6</v>
      </c>
      <c r="M55" s="75">
        <v>5.6</v>
      </c>
      <c r="N55" s="75">
        <v>3.4</v>
      </c>
      <c r="O55" s="75">
        <v>5.6</v>
      </c>
      <c r="P55" s="75">
        <v>8</v>
      </c>
      <c r="Q55" s="75">
        <v>11.7</v>
      </c>
      <c r="R55" s="75">
        <v>11.7</v>
      </c>
      <c r="S55" s="75">
        <v>11.4</v>
      </c>
      <c r="T55" s="75">
        <v>11.3</v>
      </c>
      <c r="U55" s="75">
        <v>11.3</v>
      </c>
      <c r="V55" s="75">
        <v>11.3</v>
      </c>
      <c r="W55" s="75">
        <v>11.3</v>
      </c>
      <c r="X55" s="75">
        <v>11.3</v>
      </c>
      <c r="Y55" s="75">
        <v>11.3</v>
      </c>
      <c r="Z55" s="75">
        <v>11.3</v>
      </c>
      <c r="AA55" s="75">
        <v>11.3</v>
      </c>
      <c r="AB55" s="75">
        <v>9</v>
      </c>
      <c r="AC55" s="75">
        <v>8.9</v>
      </c>
      <c r="AD55" s="75">
        <v>11</v>
      </c>
      <c r="AE55" s="75">
        <v>11.1</v>
      </c>
      <c r="AF55" s="75">
        <v>11.1</v>
      </c>
      <c r="AG55" s="76">
        <v>14</v>
      </c>
      <c r="AH55" s="54">
        <f t="shared" si="2"/>
        <v>11.7</v>
      </c>
      <c r="AI55" s="55">
        <f t="shared" si="3"/>
        <v>1.6</v>
      </c>
      <c r="AK55" s="56"/>
    </row>
    <row r="56" spans="1:37" ht="15.75" thickBot="1" x14ac:dyDescent="0.3">
      <c r="A56" s="68" t="s">
        <v>64</v>
      </c>
      <c r="B56" s="69">
        <f t="shared" ref="B56" si="9">SUM(B53:B55)</f>
        <v>23.2</v>
      </c>
      <c r="C56" s="69">
        <f t="shared" ref="C56:AF56" si="10">SUM(C53:C55)</f>
        <v>23.2</v>
      </c>
      <c r="D56" s="69">
        <f t="shared" si="10"/>
        <v>23</v>
      </c>
      <c r="E56" s="69">
        <f t="shared" si="10"/>
        <v>23</v>
      </c>
      <c r="F56" s="69">
        <f t="shared" si="10"/>
        <v>23.1</v>
      </c>
      <c r="G56" s="69">
        <f t="shared" si="10"/>
        <v>16.8</v>
      </c>
      <c r="H56" s="69">
        <f t="shared" si="10"/>
        <v>16.2</v>
      </c>
      <c r="I56" s="69">
        <f t="shared" si="10"/>
        <v>33.200000000000003</v>
      </c>
      <c r="J56" s="69">
        <f t="shared" si="10"/>
        <v>33.6</v>
      </c>
      <c r="K56" s="69">
        <f t="shared" si="10"/>
        <v>33.299999999999997</v>
      </c>
      <c r="L56" s="69">
        <f t="shared" si="10"/>
        <v>42.5</v>
      </c>
      <c r="M56" s="69">
        <f t="shared" si="10"/>
        <v>50</v>
      </c>
      <c r="N56" s="69">
        <f t="shared" si="10"/>
        <v>33</v>
      </c>
      <c r="O56" s="69">
        <f t="shared" si="10"/>
        <v>50</v>
      </c>
      <c r="P56" s="69">
        <f t="shared" si="10"/>
        <v>75</v>
      </c>
      <c r="Q56" s="69">
        <f t="shared" si="10"/>
        <v>103.60000000000001</v>
      </c>
      <c r="R56" s="69">
        <f t="shared" si="10"/>
        <v>103.60000000000001</v>
      </c>
      <c r="S56" s="69">
        <f t="shared" si="10"/>
        <v>102.60000000000001</v>
      </c>
      <c r="T56" s="69">
        <f t="shared" si="10"/>
        <v>102.39999999999999</v>
      </c>
      <c r="U56" s="69">
        <f t="shared" si="10"/>
        <v>102.39999999999999</v>
      </c>
      <c r="V56" s="69">
        <f t="shared" si="10"/>
        <v>102.39999999999999</v>
      </c>
      <c r="W56" s="69">
        <f t="shared" si="10"/>
        <v>102.39999999999999</v>
      </c>
      <c r="X56" s="69">
        <f t="shared" si="10"/>
        <v>102.39999999999999</v>
      </c>
      <c r="Y56" s="69">
        <f t="shared" si="10"/>
        <v>102.39999999999999</v>
      </c>
      <c r="Z56" s="69">
        <f t="shared" si="10"/>
        <v>102.39999999999999</v>
      </c>
      <c r="AA56" s="69">
        <f t="shared" si="10"/>
        <v>102.39999999999999</v>
      </c>
      <c r="AB56" s="69">
        <f t="shared" si="10"/>
        <v>82</v>
      </c>
      <c r="AC56" s="69">
        <f t="shared" si="10"/>
        <v>83.1</v>
      </c>
      <c r="AD56" s="69">
        <f t="shared" si="10"/>
        <v>99</v>
      </c>
      <c r="AE56" s="69">
        <f t="shared" si="10"/>
        <v>100.6</v>
      </c>
      <c r="AF56" s="69">
        <f t="shared" si="10"/>
        <v>100.8</v>
      </c>
      <c r="AG56" s="74">
        <f>SUM(AG53:AG55)</f>
        <v>106</v>
      </c>
      <c r="AH56" s="54">
        <f t="shared" si="2"/>
        <v>103.60000000000001</v>
      </c>
      <c r="AI56" s="55">
        <f t="shared" si="3"/>
        <v>16.2</v>
      </c>
      <c r="AK56" s="56"/>
    </row>
    <row r="57" spans="1:37" x14ac:dyDescent="0.25">
      <c r="A57" s="57" t="s">
        <v>65</v>
      </c>
      <c r="B57" s="51">
        <v>35.5</v>
      </c>
      <c r="C57" s="51">
        <v>35</v>
      </c>
      <c r="D57" s="51">
        <v>37.5</v>
      </c>
      <c r="E57" s="51">
        <v>35</v>
      </c>
      <c r="F57" s="51">
        <v>31.7</v>
      </c>
      <c r="G57" s="51">
        <v>33.200000000000003</v>
      </c>
      <c r="H57" s="51">
        <v>33.9</v>
      </c>
      <c r="I57" s="51">
        <v>35.5</v>
      </c>
      <c r="J57" s="51">
        <v>40.799999999999997</v>
      </c>
      <c r="K57" s="51">
        <v>43.7</v>
      </c>
      <c r="L57" s="51">
        <v>42.2</v>
      </c>
      <c r="M57" s="51">
        <v>48.1</v>
      </c>
      <c r="N57" s="51">
        <v>45.5</v>
      </c>
      <c r="O57" s="51">
        <v>45.7</v>
      </c>
      <c r="P57" s="51">
        <v>50</v>
      </c>
      <c r="Q57" s="51">
        <v>46.8</v>
      </c>
      <c r="R57" s="51">
        <v>51.5</v>
      </c>
      <c r="S57" s="51">
        <v>49</v>
      </c>
      <c r="T57" s="51">
        <v>60.6</v>
      </c>
      <c r="U57" s="51">
        <v>67.2</v>
      </c>
      <c r="V57" s="51">
        <v>68.64</v>
      </c>
      <c r="W57" s="51">
        <v>65.900000000000006</v>
      </c>
      <c r="X57" s="51">
        <v>57.94</v>
      </c>
      <c r="Y57" s="51">
        <v>64.400000000000006</v>
      </c>
      <c r="Z57" s="51">
        <v>64.040000000000006</v>
      </c>
      <c r="AA57" s="51">
        <v>64.040000000000006</v>
      </c>
      <c r="AB57" s="51">
        <v>51</v>
      </c>
      <c r="AC57" s="51">
        <v>53</v>
      </c>
      <c r="AD57" s="51">
        <v>55</v>
      </c>
      <c r="AE57" s="51">
        <v>58.2</v>
      </c>
      <c r="AF57" s="51">
        <v>53</v>
      </c>
      <c r="AG57" s="59"/>
      <c r="AH57" s="54">
        <f t="shared" si="2"/>
        <v>68.64</v>
      </c>
      <c r="AI57" s="55">
        <f t="shared" si="3"/>
        <v>31.7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12</v>
      </c>
      <c r="C59" s="70">
        <v>16</v>
      </c>
      <c r="D59" s="70">
        <v>5</v>
      </c>
      <c r="E59" s="70">
        <v>15</v>
      </c>
      <c r="F59" s="70">
        <v>36.4</v>
      </c>
      <c r="G59" s="70">
        <v>50</v>
      </c>
      <c r="H59" s="70">
        <v>58</v>
      </c>
      <c r="I59" s="70">
        <v>60</v>
      </c>
      <c r="J59" s="70">
        <v>116</v>
      </c>
      <c r="K59" s="70">
        <v>130</v>
      </c>
      <c r="L59" s="70">
        <v>139</v>
      </c>
      <c r="M59" s="70">
        <v>110.2</v>
      </c>
      <c r="N59" s="70">
        <v>130.69999999999999</v>
      </c>
      <c r="O59" s="70">
        <v>98.9</v>
      </c>
      <c r="P59" s="70">
        <v>105</v>
      </c>
      <c r="Q59" s="70">
        <v>118</v>
      </c>
      <c r="R59" s="70">
        <v>100</v>
      </c>
      <c r="S59" s="70">
        <v>125.8</v>
      </c>
      <c r="T59" s="70">
        <v>174</v>
      </c>
      <c r="U59" s="70">
        <v>177.2</v>
      </c>
      <c r="V59" s="70">
        <v>133.19999999999999</v>
      </c>
      <c r="W59" s="70">
        <v>140.69999999999999</v>
      </c>
      <c r="X59" s="70">
        <v>98</v>
      </c>
      <c r="Y59" s="70">
        <v>111.8</v>
      </c>
      <c r="Z59" s="70">
        <v>120.3</v>
      </c>
      <c r="AA59" s="70">
        <v>120.3</v>
      </c>
      <c r="AB59" s="70">
        <v>56</v>
      </c>
      <c r="AC59" s="70">
        <v>32</v>
      </c>
      <c r="AD59" s="70">
        <v>32</v>
      </c>
      <c r="AE59" s="70">
        <v>79.8</v>
      </c>
      <c r="AF59" s="70">
        <v>56.2</v>
      </c>
      <c r="AG59" s="77"/>
      <c r="AH59" s="54">
        <f t="shared" si="2"/>
        <v>177.2</v>
      </c>
      <c r="AI59" s="55">
        <f t="shared" si="3"/>
        <v>5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12</v>
      </c>
      <c r="K60" s="78">
        <v>15</v>
      </c>
      <c r="L60" s="78">
        <v>15</v>
      </c>
      <c r="M60" s="78">
        <v>12</v>
      </c>
      <c r="N60" s="78">
        <v>12</v>
      </c>
      <c r="O60" s="78">
        <v>22</v>
      </c>
      <c r="P60" s="78">
        <v>22</v>
      </c>
      <c r="Q60" s="78">
        <v>24</v>
      </c>
      <c r="R60" s="78">
        <v>24</v>
      </c>
      <c r="S60" s="78">
        <v>26</v>
      </c>
      <c r="T60" s="78">
        <v>26</v>
      </c>
      <c r="U60" s="78">
        <v>22.9</v>
      </c>
      <c r="V60" s="78">
        <v>20</v>
      </c>
      <c r="W60" s="78">
        <v>22.8</v>
      </c>
      <c r="X60" s="78">
        <v>22.8</v>
      </c>
      <c r="Y60" s="78">
        <v>21.9</v>
      </c>
      <c r="Z60" s="78">
        <v>22.3</v>
      </c>
      <c r="AA60" s="78">
        <v>22.3</v>
      </c>
      <c r="AB60" s="78">
        <v>22</v>
      </c>
      <c r="AC60" s="78">
        <v>23.3</v>
      </c>
      <c r="AD60" s="78">
        <v>20</v>
      </c>
      <c r="AE60" s="78">
        <v>21.2</v>
      </c>
      <c r="AF60" s="78">
        <v>24.5</v>
      </c>
      <c r="AG60" s="77"/>
      <c r="AH60" s="54">
        <f t="shared" si="2"/>
        <v>26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1">SUM(B57:B67)</f>
        <v>55.5</v>
      </c>
      <c r="C68" s="69">
        <f t="shared" ref="C68:AF68" si="12">SUM(C57:C67)</f>
        <v>59</v>
      </c>
      <c r="D68" s="69">
        <f t="shared" si="12"/>
        <v>50.5</v>
      </c>
      <c r="E68" s="69">
        <f t="shared" si="12"/>
        <v>58</v>
      </c>
      <c r="F68" s="69">
        <f t="shared" si="12"/>
        <v>76.099999999999994</v>
      </c>
      <c r="G68" s="69">
        <f t="shared" si="12"/>
        <v>91.2</v>
      </c>
      <c r="H68" s="69">
        <f t="shared" si="12"/>
        <v>99.9</v>
      </c>
      <c r="I68" s="69">
        <f t="shared" si="12"/>
        <v>103.5</v>
      </c>
      <c r="J68" s="69">
        <f t="shared" si="12"/>
        <v>176.8</v>
      </c>
      <c r="K68" s="69">
        <f t="shared" si="12"/>
        <v>196.7</v>
      </c>
      <c r="L68" s="69">
        <f t="shared" si="12"/>
        <v>204.2</v>
      </c>
      <c r="M68" s="69">
        <f t="shared" si="12"/>
        <v>178.3</v>
      </c>
      <c r="N68" s="69">
        <f t="shared" si="12"/>
        <v>196.2</v>
      </c>
      <c r="O68" s="69">
        <f t="shared" si="12"/>
        <v>174.60000000000002</v>
      </c>
      <c r="P68" s="69">
        <f t="shared" si="12"/>
        <v>185</v>
      </c>
      <c r="Q68" s="69">
        <f t="shared" si="12"/>
        <v>196.8</v>
      </c>
      <c r="R68" s="69">
        <f t="shared" si="12"/>
        <v>183.5</v>
      </c>
      <c r="S68" s="69">
        <f t="shared" si="12"/>
        <v>208.8</v>
      </c>
      <c r="T68" s="69">
        <f t="shared" si="12"/>
        <v>268.60000000000002</v>
      </c>
      <c r="U68" s="69">
        <f t="shared" si="12"/>
        <v>275.29999999999995</v>
      </c>
      <c r="V68" s="69">
        <f>SUM(V57:V67)</f>
        <v>229.83999999999997</v>
      </c>
      <c r="W68" s="69">
        <f t="shared" si="12"/>
        <v>237.4</v>
      </c>
      <c r="X68" s="69">
        <f t="shared" si="12"/>
        <v>186.74</v>
      </c>
      <c r="Y68" s="69">
        <f t="shared" si="12"/>
        <v>198.1</v>
      </c>
      <c r="Z68" s="69">
        <f t="shared" si="12"/>
        <v>206.64000000000001</v>
      </c>
      <c r="AA68" s="69">
        <f t="shared" si="12"/>
        <v>206.64000000000001</v>
      </c>
      <c r="AB68" s="69">
        <f t="shared" si="12"/>
        <v>129</v>
      </c>
      <c r="AC68" s="69">
        <f t="shared" si="12"/>
        <v>108.3</v>
      </c>
      <c r="AD68" s="69">
        <f t="shared" si="12"/>
        <v>107</v>
      </c>
      <c r="AE68" s="69">
        <f t="shared" ref="AE68" si="13">SUM(AE57:AE67)</f>
        <v>167.2</v>
      </c>
      <c r="AF68" s="69">
        <f t="shared" si="12"/>
        <v>141.69999999999999</v>
      </c>
      <c r="AG68" s="74">
        <f>SUM(AG57:AG67)</f>
        <v>0</v>
      </c>
      <c r="AH68" s="54">
        <f t="shared" si="2"/>
        <v>275.29999999999995</v>
      </c>
      <c r="AI68" s="55">
        <f t="shared" si="3"/>
        <v>50.5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4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40</v>
      </c>
      <c r="C74" s="86">
        <v>40</v>
      </c>
      <c r="D74" s="86">
        <v>40</v>
      </c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>
        <v>70</v>
      </c>
      <c r="AA74" s="86"/>
      <c r="AB74" s="86"/>
      <c r="AC74" s="86"/>
      <c r="AD74" s="86"/>
      <c r="AE74" s="86">
        <v>100</v>
      </c>
      <c r="AF74" s="86">
        <v>120</v>
      </c>
      <c r="AG74" s="74"/>
      <c r="AH74" s="54">
        <f t="shared" si="2"/>
        <v>120</v>
      </c>
      <c r="AI74" s="55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5">B72+B68+B56+B52+B38+B74</f>
        <v>1185.44</v>
      </c>
      <c r="C75" s="84">
        <f t="shared" ref="C75:AF75" si="16">C72+C68+C56+C52+C38+C74</f>
        <v>1186.94</v>
      </c>
      <c r="D75" s="84">
        <f t="shared" si="16"/>
        <v>1183.6400000000001</v>
      </c>
      <c r="E75" s="84">
        <f t="shared" si="16"/>
        <v>1121.6400000000001</v>
      </c>
      <c r="F75" s="84">
        <f t="shared" si="16"/>
        <v>1167.6400000000001</v>
      </c>
      <c r="G75" s="84">
        <f t="shared" si="16"/>
        <v>1188.2400000000002</v>
      </c>
      <c r="H75" s="84">
        <f t="shared" si="16"/>
        <v>1198.0400000000002</v>
      </c>
      <c r="I75" s="84">
        <f t="shared" si="16"/>
        <v>1237.2400000000002</v>
      </c>
      <c r="J75" s="84">
        <f t="shared" si="16"/>
        <v>1310.04</v>
      </c>
      <c r="K75" s="84">
        <f t="shared" si="16"/>
        <v>1357.54</v>
      </c>
      <c r="L75" s="84">
        <f t="shared" si="16"/>
        <v>1389.3400000000001</v>
      </c>
      <c r="M75" s="84">
        <f t="shared" si="16"/>
        <v>1362.54</v>
      </c>
      <c r="N75" s="84">
        <f t="shared" si="16"/>
        <v>1348.8400000000001</v>
      </c>
      <c r="O75" s="84">
        <f t="shared" si="16"/>
        <v>1387.6400000000003</v>
      </c>
      <c r="P75" s="84">
        <f t="shared" si="16"/>
        <v>1363.7400000000002</v>
      </c>
      <c r="Q75" s="84">
        <f t="shared" si="16"/>
        <v>1404.74</v>
      </c>
      <c r="R75" s="84">
        <f t="shared" si="16"/>
        <v>1433.44</v>
      </c>
      <c r="S75" s="84">
        <f t="shared" si="16"/>
        <v>1467.2400000000002</v>
      </c>
      <c r="T75" s="84">
        <f t="shared" si="16"/>
        <v>1479.8400000000001</v>
      </c>
      <c r="U75" s="84">
        <f t="shared" si="16"/>
        <v>1453.24</v>
      </c>
      <c r="V75" s="84">
        <f t="shared" si="16"/>
        <v>1407.78</v>
      </c>
      <c r="W75" s="84">
        <f t="shared" si="16"/>
        <v>1375.3400000000001</v>
      </c>
      <c r="X75" s="84">
        <f t="shared" si="16"/>
        <v>1324.2800000000002</v>
      </c>
      <c r="Y75" s="84">
        <f t="shared" si="16"/>
        <v>1335.64</v>
      </c>
      <c r="Z75" s="84">
        <f t="shared" si="16"/>
        <v>1493.38</v>
      </c>
      <c r="AA75" s="84">
        <f t="shared" si="16"/>
        <v>1423.38</v>
      </c>
      <c r="AB75" s="84">
        <f t="shared" si="16"/>
        <v>1488.3400000000001</v>
      </c>
      <c r="AC75" s="84">
        <f t="shared" si="16"/>
        <v>1489.04</v>
      </c>
      <c r="AD75" s="84">
        <f t="shared" si="16"/>
        <v>1473.64</v>
      </c>
      <c r="AE75" s="84">
        <f t="shared" si="16"/>
        <v>1474.24</v>
      </c>
      <c r="AF75" s="84">
        <f t="shared" si="16"/>
        <v>1438.94</v>
      </c>
      <c r="AG75" s="74">
        <f>AG72+AG68+AG56+AG52+AG38+AG74</f>
        <v>2144.14</v>
      </c>
      <c r="AH75" s="54">
        <f t="shared" si="2"/>
        <v>1493.38</v>
      </c>
      <c r="AI75" s="55">
        <f t="shared" si="3"/>
        <v>1121.6400000000001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7">MAX(B76:AF76)</f>
        <v>0</v>
      </c>
      <c r="AI76" s="55">
        <f t="shared" ref="AI76:AI91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7"/>
        <v>0</v>
      </c>
      <c r="AI77" s="55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7"/>
        <v>0</v>
      </c>
      <c r="AI78" s="55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7"/>
        <v>0</v>
      </c>
      <c r="AI79" s="55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7"/>
        <v>0</v>
      </c>
      <c r="AI80" s="55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7"/>
        <v>0</v>
      </c>
      <c r="AI81" s="55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9">SUM(AG76:AG81)</f>
        <v>0</v>
      </c>
      <c r="AH82" s="54">
        <f t="shared" si="17"/>
        <v>0</v>
      </c>
      <c r="AI82" s="55">
        <f t="shared" si="18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20">SUM(B70:B82)</f>
        <v>2427.33</v>
      </c>
      <c r="C83" s="69">
        <f t="shared" ref="C83:AG83" si="21">SUM(C70:C82)</f>
        <v>2428.83</v>
      </c>
      <c r="D83" s="69">
        <f t="shared" si="21"/>
        <v>2425.5299999999997</v>
      </c>
      <c r="E83" s="69">
        <f t="shared" si="21"/>
        <v>2323.5299999999997</v>
      </c>
      <c r="F83" s="69">
        <f t="shared" si="21"/>
        <v>2369.5299999999997</v>
      </c>
      <c r="G83" s="69">
        <f t="shared" si="21"/>
        <v>2390.13</v>
      </c>
      <c r="H83" s="69">
        <f t="shared" si="21"/>
        <v>2399.9300000000003</v>
      </c>
      <c r="I83" s="69">
        <f t="shared" si="21"/>
        <v>2439.13</v>
      </c>
      <c r="J83" s="69">
        <f t="shared" si="21"/>
        <v>2511.9299999999998</v>
      </c>
      <c r="K83" s="69">
        <f t="shared" si="21"/>
        <v>2559.4299999999998</v>
      </c>
      <c r="L83" s="69">
        <f t="shared" si="21"/>
        <v>2591.23</v>
      </c>
      <c r="M83" s="69">
        <f t="shared" si="21"/>
        <v>2564.4299999999998</v>
      </c>
      <c r="N83" s="69">
        <f t="shared" si="21"/>
        <v>2550.73</v>
      </c>
      <c r="O83" s="69">
        <f t="shared" si="21"/>
        <v>2589.5300000000002</v>
      </c>
      <c r="P83" s="69">
        <f t="shared" si="21"/>
        <v>2565.63</v>
      </c>
      <c r="Q83" s="69">
        <f t="shared" si="21"/>
        <v>2606.63</v>
      </c>
      <c r="R83" s="69">
        <f t="shared" si="21"/>
        <v>2635.33</v>
      </c>
      <c r="S83" s="69">
        <f t="shared" si="21"/>
        <v>2669.13</v>
      </c>
      <c r="T83" s="69">
        <f t="shared" si="21"/>
        <v>2681.73</v>
      </c>
      <c r="U83" s="69">
        <f t="shared" si="21"/>
        <v>2655.13</v>
      </c>
      <c r="V83" s="69">
        <f t="shared" si="21"/>
        <v>2609.67</v>
      </c>
      <c r="W83" s="69">
        <f t="shared" si="21"/>
        <v>2577.23</v>
      </c>
      <c r="X83" s="69">
        <f t="shared" si="21"/>
        <v>2526.17</v>
      </c>
      <c r="Y83" s="69">
        <f t="shared" si="21"/>
        <v>2537.5299999999997</v>
      </c>
      <c r="Z83" s="69">
        <f t="shared" si="21"/>
        <v>2765.27</v>
      </c>
      <c r="AA83" s="69">
        <f t="shared" si="21"/>
        <v>2625.27</v>
      </c>
      <c r="AB83" s="69">
        <f t="shared" si="21"/>
        <v>2690.23</v>
      </c>
      <c r="AC83" s="69">
        <f t="shared" si="21"/>
        <v>2690.93</v>
      </c>
      <c r="AD83" s="69">
        <f t="shared" si="21"/>
        <v>2675.5299999999997</v>
      </c>
      <c r="AE83" s="69">
        <f t="shared" si="21"/>
        <v>2776.13</v>
      </c>
      <c r="AF83" s="69">
        <f t="shared" si="21"/>
        <v>2760.83</v>
      </c>
      <c r="AG83" s="74">
        <f t="shared" si="21"/>
        <v>4360.08</v>
      </c>
      <c r="AH83" s="54">
        <f t="shared" si="17"/>
        <v>2776.13</v>
      </c>
      <c r="AI83" s="55">
        <f t="shared" si="18"/>
        <v>2323.5299999999997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50.055</v>
      </c>
      <c r="C84" s="90">
        <v>50.005000000000003</v>
      </c>
      <c r="D84" s="90">
        <v>49.945</v>
      </c>
      <c r="E84" s="90">
        <v>50.026000000000003</v>
      </c>
      <c r="F84" s="90">
        <v>49.997</v>
      </c>
      <c r="G84" s="90">
        <v>49.965000000000003</v>
      </c>
      <c r="H84" s="90">
        <v>49.857999999999997</v>
      </c>
      <c r="I84" s="90">
        <v>49.832000000000001</v>
      </c>
      <c r="J84" s="90">
        <v>49.936999999999998</v>
      </c>
      <c r="K84" s="90">
        <v>50.057000000000002</v>
      </c>
      <c r="L84" s="90">
        <v>50.030999999999999</v>
      </c>
      <c r="M84" s="90">
        <v>50.124000000000002</v>
      </c>
      <c r="N84" s="90">
        <v>50.033999999999999</v>
      </c>
      <c r="O84" s="90">
        <v>50.012</v>
      </c>
      <c r="P84" s="90">
        <v>49.954000000000001</v>
      </c>
      <c r="Q84" s="90">
        <v>49.975999999999999</v>
      </c>
      <c r="R84" s="90">
        <v>50.03</v>
      </c>
      <c r="S84" s="90">
        <v>49.948</v>
      </c>
      <c r="T84" s="90">
        <v>49.92</v>
      </c>
      <c r="U84" s="90">
        <v>50.029000000000003</v>
      </c>
      <c r="V84" s="90">
        <v>49.96</v>
      </c>
      <c r="W84" s="90">
        <v>50.052999999999997</v>
      </c>
      <c r="X84" s="90">
        <v>49.999000000000002</v>
      </c>
      <c r="Y84" s="90">
        <v>49.984999999999999</v>
      </c>
      <c r="Z84" s="90">
        <v>50.033999999999999</v>
      </c>
      <c r="AA84" s="90">
        <v>50.033999999999999</v>
      </c>
      <c r="AB84" s="90">
        <v>50.033999999999999</v>
      </c>
      <c r="AC84" s="90">
        <v>50.036000000000001</v>
      </c>
      <c r="AD84" s="90">
        <v>49.94</v>
      </c>
      <c r="AE84" s="90">
        <v>50</v>
      </c>
      <c r="AF84" s="90">
        <v>49.98</v>
      </c>
      <c r="AG84" s="91"/>
      <c r="AH84" s="54">
        <f t="shared" si="17"/>
        <v>50.124000000000002</v>
      </c>
      <c r="AI84" s="55">
        <f t="shared" si="18"/>
        <v>49.832000000000001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124.5</v>
      </c>
      <c r="C85" s="70">
        <v>125.8</v>
      </c>
      <c r="D85" s="70">
        <v>125.9</v>
      </c>
      <c r="E85" s="70">
        <v>126.3</v>
      </c>
      <c r="F85" s="70">
        <v>125</v>
      </c>
      <c r="G85" s="70">
        <v>125</v>
      </c>
      <c r="H85" s="70">
        <v>124.4</v>
      </c>
      <c r="I85" s="70">
        <v>124.7</v>
      </c>
      <c r="J85" s="70">
        <v>123.3</v>
      </c>
      <c r="K85" s="70">
        <v>123.6</v>
      </c>
      <c r="L85" s="70">
        <v>121.7</v>
      </c>
      <c r="M85" s="70">
        <v>123</v>
      </c>
      <c r="N85" s="70">
        <v>121.3</v>
      </c>
      <c r="O85" s="70">
        <v>120.5</v>
      </c>
      <c r="P85" s="70">
        <v>123.2</v>
      </c>
      <c r="Q85" s="70">
        <v>123.7</v>
      </c>
      <c r="R85" s="70">
        <v>121.5</v>
      </c>
      <c r="S85" s="70">
        <v>121.5</v>
      </c>
      <c r="T85" s="70">
        <v>121.6</v>
      </c>
      <c r="U85" s="70">
        <v>121.2</v>
      </c>
      <c r="V85" s="70">
        <v>123.8</v>
      </c>
      <c r="W85" s="70">
        <v>124.8</v>
      </c>
      <c r="X85" s="70">
        <v>125.2</v>
      </c>
      <c r="Y85" s="70">
        <v>125</v>
      </c>
      <c r="Z85" s="70">
        <v>125.4</v>
      </c>
      <c r="AA85" s="70">
        <v>125.4</v>
      </c>
      <c r="AB85" s="70">
        <v>125</v>
      </c>
      <c r="AC85" s="70">
        <v>124</v>
      </c>
      <c r="AD85" s="70">
        <v>124</v>
      </c>
      <c r="AE85" s="70">
        <v>125.6</v>
      </c>
      <c r="AF85" s="70">
        <v>124.5</v>
      </c>
      <c r="AG85" s="93"/>
      <c r="AH85" s="54">
        <f t="shared" si="17"/>
        <v>126.3</v>
      </c>
      <c r="AI85" s="55">
        <f t="shared" si="18"/>
        <v>120.5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129.5</v>
      </c>
      <c r="C86" s="70">
        <v>130.6</v>
      </c>
      <c r="D86" s="70">
        <v>130.80000000000001</v>
      </c>
      <c r="E86" s="70">
        <v>130.9</v>
      </c>
      <c r="F86" s="70">
        <v>130.19999999999999</v>
      </c>
      <c r="G86" s="70">
        <v>129.69999999999999</v>
      </c>
      <c r="H86" s="70">
        <v>128.80000000000001</v>
      </c>
      <c r="I86" s="70">
        <v>129.1</v>
      </c>
      <c r="J86" s="70">
        <v>127.7</v>
      </c>
      <c r="K86" s="70">
        <v>127.1</v>
      </c>
      <c r="L86" s="70">
        <v>125.8</v>
      </c>
      <c r="M86" s="70">
        <v>126.8</v>
      </c>
      <c r="N86" s="70">
        <v>125.8</v>
      </c>
      <c r="O86" s="70">
        <v>125.3</v>
      </c>
      <c r="P86" s="70">
        <v>127.5</v>
      </c>
      <c r="Q86" s="70">
        <v>127.6</v>
      </c>
      <c r="R86" s="70">
        <v>126.6</v>
      </c>
      <c r="S86" s="70">
        <v>126.6</v>
      </c>
      <c r="T86" s="70">
        <v>126.6</v>
      </c>
      <c r="U86" s="70">
        <v>126.5</v>
      </c>
      <c r="V86" s="70">
        <v>128.19999999999999</v>
      </c>
      <c r="W86" s="70">
        <v>129</v>
      </c>
      <c r="X86" s="70">
        <v>129.19999999999999</v>
      </c>
      <c r="Y86" s="70">
        <v>128.80000000000001</v>
      </c>
      <c r="Z86" s="70">
        <v>128.69999999999999</v>
      </c>
      <c r="AA86" s="70">
        <v>128.69999999999999</v>
      </c>
      <c r="AB86" s="70">
        <v>129</v>
      </c>
      <c r="AC86" s="70">
        <v>128.4</v>
      </c>
      <c r="AD86" s="70">
        <v>129</v>
      </c>
      <c r="AE86" s="70">
        <v>130.19999999999999</v>
      </c>
      <c r="AF86" s="70">
        <v>129</v>
      </c>
      <c r="AG86" s="93"/>
      <c r="AH86" s="54">
        <f t="shared" si="17"/>
        <v>130.9</v>
      </c>
      <c r="AI86" s="55">
        <f t="shared" si="18"/>
        <v>125.3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126.6</v>
      </c>
      <c r="C87" s="70">
        <v>127.4</v>
      </c>
      <c r="D87" s="70">
        <v>128.30000000000001</v>
      </c>
      <c r="E87" s="70">
        <v>130</v>
      </c>
      <c r="F87" s="70">
        <v>128</v>
      </c>
      <c r="G87" s="70">
        <v>127.6</v>
      </c>
      <c r="H87" s="70">
        <v>126.6</v>
      </c>
      <c r="I87" s="70">
        <v>127.7</v>
      </c>
      <c r="J87" s="70">
        <v>126.8</v>
      </c>
      <c r="K87" s="70">
        <v>128.80000000000001</v>
      </c>
      <c r="L87" s="70">
        <v>125.7</v>
      </c>
      <c r="M87" s="70">
        <v>127.3</v>
      </c>
      <c r="N87" s="70">
        <v>126</v>
      </c>
      <c r="O87" s="70">
        <v>127.5</v>
      </c>
      <c r="P87" s="70">
        <v>127</v>
      </c>
      <c r="Q87" s="70">
        <v>128.1</v>
      </c>
      <c r="R87" s="70">
        <v>126</v>
      </c>
      <c r="S87" s="70">
        <v>126</v>
      </c>
      <c r="T87" s="70">
        <v>123.8</v>
      </c>
      <c r="U87" s="70">
        <v>124.8</v>
      </c>
      <c r="V87" s="70">
        <v>127</v>
      </c>
      <c r="W87" s="70">
        <v>126.9</v>
      </c>
      <c r="X87" s="70">
        <v>127.8</v>
      </c>
      <c r="Y87" s="70">
        <v>127</v>
      </c>
      <c r="Z87" s="70">
        <v>125.8</v>
      </c>
      <c r="AA87" s="70">
        <v>125.8</v>
      </c>
      <c r="AB87" s="70">
        <v>128</v>
      </c>
      <c r="AC87" s="70">
        <v>127</v>
      </c>
      <c r="AD87" s="70">
        <v>125</v>
      </c>
      <c r="AE87" s="70">
        <v>127.7</v>
      </c>
      <c r="AF87" s="70">
        <v>127.3</v>
      </c>
      <c r="AG87" s="93"/>
      <c r="AH87" s="54">
        <f t="shared" si="17"/>
        <v>130</v>
      </c>
      <c r="AI87" s="55">
        <f t="shared" si="18"/>
        <v>123.8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131.19999999999999</v>
      </c>
      <c r="C88" s="70">
        <v>131.4</v>
      </c>
      <c r="D88" s="70">
        <v>132.1</v>
      </c>
      <c r="E88" s="70">
        <v>133.19999999999999</v>
      </c>
      <c r="F88" s="70">
        <v>131.80000000000001</v>
      </c>
      <c r="G88" s="70">
        <v>131.19999999999999</v>
      </c>
      <c r="H88" s="70">
        <v>129.9</v>
      </c>
      <c r="I88" s="70">
        <v>131.69999999999999</v>
      </c>
      <c r="J88" s="70">
        <v>130.80000000000001</v>
      </c>
      <c r="K88" s="70">
        <v>132.4</v>
      </c>
      <c r="L88" s="70">
        <v>128.9</v>
      </c>
      <c r="M88" s="70">
        <v>130</v>
      </c>
      <c r="N88" s="70">
        <v>126.4</v>
      </c>
      <c r="O88" s="70">
        <v>128.4</v>
      </c>
      <c r="P88" s="70">
        <v>127.2</v>
      </c>
      <c r="Q88" s="70">
        <v>128.6</v>
      </c>
      <c r="R88" s="70">
        <v>127.6</v>
      </c>
      <c r="S88" s="70">
        <v>127.6</v>
      </c>
      <c r="T88" s="70">
        <v>122</v>
      </c>
      <c r="U88" s="70">
        <v>124.2</v>
      </c>
      <c r="V88" s="70">
        <v>127.7</v>
      </c>
      <c r="W88" s="70">
        <v>127.5</v>
      </c>
      <c r="X88" s="70">
        <v>129</v>
      </c>
      <c r="Y88" s="70">
        <v>128.1</v>
      </c>
      <c r="Z88" s="70">
        <v>126.6</v>
      </c>
      <c r="AA88" s="70">
        <v>126.6</v>
      </c>
      <c r="AB88" s="70">
        <v>130</v>
      </c>
      <c r="AC88" s="70">
        <v>129.69999999999999</v>
      </c>
      <c r="AD88" s="70">
        <v>128</v>
      </c>
      <c r="AE88" s="70">
        <v>130.69999999999999</v>
      </c>
      <c r="AF88" s="70">
        <v>130.6</v>
      </c>
      <c r="AG88" s="93"/>
      <c r="AH88" s="54">
        <f t="shared" si="17"/>
        <v>133.19999999999999</v>
      </c>
      <c r="AI88" s="55">
        <f t="shared" si="18"/>
        <v>122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133.30000000000001</v>
      </c>
      <c r="C89" s="95">
        <v>134.1</v>
      </c>
      <c r="D89" s="95">
        <v>134.9</v>
      </c>
      <c r="E89" s="95">
        <v>131.1</v>
      </c>
      <c r="F89" s="95">
        <v>131.19999999999999</v>
      </c>
      <c r="G89" s="95">
        <v>133</v>
      </c>
      <c r="H89" s="95">
        <v>129.9</v>
      </c>
      <c r="I89" s="95">
        <v>132.5</v>
      </c>
      <c r="J89" s="95">
        <v>132.69999999999999</v>
      </c>
      <c r="K89" s="95">
        <v>133</v>
      </c>
      <c r="L89" s="95">
        <v>131.19999999999999</v>
      </c>
      <c r="M89" s="95">
        <v>133.5</v>
      </c>
      <c r="N89" s="95">
        <v>131.5</v>
      </c>
      <c r="O89" s="95">
        <v>132.80000000000001</v>
      </c>
      <c r="P89" s="95">
        <v>131.69999999999999</v>
      </c>
      <c r="Q89" s="95">
        <v>132.30000000000001</v>
      </c>
      <c r="R89" s="95">
        <v>133.69999999999999</v>
      </c>
      <c r="S89" s="95">
        <v>133.69999999999999</v>
      </c>
      <c r="T89" s="95">
        <v>131.69999999999999</v>
      </c>
      <c r="U89" s="95">
        <v>132.80000000000001</v>
      </c>
      <c r="V89" s="95">
        <v>134.5</v>
      </c>
      <c r="W89" s="95">
        <v>136.6</v>
      </c>
      <c r="X89" s="95">
        <v>135.6</v>
      </c>
      <c r="Y89" s="95">
        <v>132</v>
      </c>
      <c r="Z89" s="95">
        <v>133.69999999999999</v>
      </c>
      <c r="AA89" s="95">
        <v>133.69999999999999</v>
      </c>
      <c r="AB89" s="95">
        <v>132</v>
      </c>
      <c r="AC89" s="95">
        <v>132</v>
      </c>
      <c r="AD89" s="95">
        <v>128</v>
      </c>
      <c r="AE89" s="95">
        <v>129.1</v>
      </c>
      <c r="AF89" s="95">
        <v>131.4</v>
      </c>
      <c r="AG89" s="96"/>
      <c r="AH89" s="54">
        <f t="shared" si="17"/>
        <v>136.6</v>
      </c>
      <c r="AI89" s="55">
        <f t="shared" si="18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133.30000000000001</v>
      </c>
      <c r="C90" s="70">
        <v>133.1</v>
      </c>
      <c r="D90" s="70">
        <v>134.5</v>
      </c>
      <c r="E90" s="70">
        <v>135.80000000000001</v>
      </c>
      <c r="F90" s="70">
        <v>136.1</v>
      </c>
      <c r="G90" s="70">
        <v>135.6</v>
      </c>
      <c r="H90" s="70">
        <v>134.9</v>
      </c>
      <c r="I90" s="70">
        <v>133.9</v>
      </c>
      <c r="J90" s="70">
        <v>132.80000000000001</v>
      </c>
      <c r="K90" s="70">
        <v>131.4</v>
      </c>
      <c r="L90" s="70">
        <v>131.30000000000001</v>
      </c>
      <c r="M90" s="70">
        <v>128.9</v>
      </c>
      <c r="N90" s="70">
        <v>127.7</v>
      </c>
      <c r="O90" s="70">
        <v>131.80000000000001</v>
      </c>
      <c r="P90" s="70">
        <v>127.8</v>
      </c>
      <c r="Q90" s="70">
        <v>128.5</v>
      </c>
      <c r="R90" s="70">
        <v>129.5</v>
      </c>
      <c r="S90" s="70">
        <v>129.5</v>
      </c>
      <c r="T90" s="70">
        <v>127.8</v>
      </c>
      <c r="U90" s="70">
        <v>133.6</v>
      </c>
      <c r="V90" s="70">
        <v>134.69999999999999</v>
      </c>
      <c r="W90" s="70">
        <v>128.80000000000001</v>
      </c>
      <c r="X90" s="70">
        <v>131</v>
      </c>
      <c r="Y90" s="70">
        <v>128.4</v>
      </c>
      <c r="Z90" s="70">
        <v>128.4</v>
      </c>
      <c r="AA90" s="70">
        <v>128.4</v>
      </c>
      <c r="AB90" s="70">
        <v>131</v>
      </c>
      <c r="AC90" s="70">
        <v>129</v>
      </c>
      <c r="AD90" s="70">
        <v>129</v>
      </c>
      <c r="AE90" s="70">
        <v>129.80000000000001</v>
      </c>
      <c r="AF90" s="70">
        <v>130.1</v>
      </c>
      <c r="AG90" s="93"/>
      <c r="AH90" s="54">
        <f t="shared" si="17"/>
        <v>136.1</v>
      </c>
      <c r="AI90" s="55">
        <f t="shared" si="18"/>
        <v>127.7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65.7</v>
      </c>
      <c r="C91" s="97">
        <v>65.900000000000006</v>
      </c>
      <c r="D91" s="97">
        <v>66</v>
      </c>
      <c r="E91" s="97">
        <v>66</v>
      </c>
      <c r="F91" s="97">
        <v>65.7</v>
      </c>
      <c r="G91" s="97">
        <v>65.3</v>
      </c>
      <c r="H91" s="97">
        <v>65</v>
      </c>
      <c r="I91" s="97">
        <v>65.099999999999994</v>
      </c>
      <c r="J91" s="97">
        <v>64.099999999999994</v>
      </c>
      <c r="K91" s="97">
        <v>63.8</v>
      </c>
      <c r="L91" s="97">
        <v>63</v>
      </c>
      <c r="M91" s="97">
        <v>63.7</v>
      </c>
      <c r="N91" s="97">
        <v>63.3</v>
      </c>
      <c r="O91" s="97">
        <v>62.8</v>
      </c>
      <c r="P91" s="97">
        <v>64.099999999999994</v>
      </c>
      <c r="Q91" s="97">
        <v>64.099999999999994</v>
      </c>
      <c r="R91" s="97">
        <v>63.6</v>
      </c>
      <c r="S91" s="97">
        <v>63.6</v>
      </c>
      <c r="T91" s="97">
        <v>63.8</v>
      </c>
      <c r="U91" s="97">
        <v>63.5</v>
      </c>
      <c r="V91" s="97">
        <v>64.400000000000006</v>
      </c>
      <c r="W91" s="97">
        <v>64.8</v>
      </c>
      <c r="X91" s="97">
        <v>65</v>
      </c>
      <c r="Y91" s="97">
        <v>64.8</v>
      </c>
      <c r="Z91" s="97">
        <v>64.8</v>
      </c>
      <c r="AA91" s="97">
        <v>64.8</v>
      </c>
      <c r="AB91" s="97">
        <v>64.8</v>
      </c>
      <c r="AC91" s="97">
        <v>65</v>
      </c>
      <c r="AD91" s="97">
        <v>65</v>
      </c>
      <c r="AE91" s="97">
        <v>66.099999999999994</v>
      </c>
      <c r="AF91" s="97">
        <v>65.099999999999994</v>
      </c>
      <c r="AG91" s="98"/>
      <c r="AH91" s="54">
        <f t="shared" si="17"/>
        <v>66.099999999999994</v>
      </c>
      <c r="AI91" s="55">
        <f t="shared" si="18"/>
        <v>62.8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22">SUM(B15,B18,B21:B22,B42,B44:B45,B47,B49,B94:B97,B103,B109,B115,B124,B126,B138,B145,B148:B149,B156,B158,B160,B164:B166,B168:B170,B175,B181:B182,B184:B186,B194,B199)</f>
        <v>172.33999999999997</v>
      </c>
      <c r="C93" s="103">
        <f t="shared" si="22"/>
        <v>166.64</v>
      </c>
      <c r="D93" s="103">
        <f t="shared" si="22"/>
        <v>162.93999999999997</v>
      </c>
      <c r="E93" s="103">
        <f t="shared" si="22"/>
        <v>357.04</v>
      </c>
      <c r="F93" s="103">
        <f t="shared" si="22"/>
        <v>164.74</v>
      </c>
      <c r="G93" s="103">
        <f t="shared" si="22"/>
        <v>197.83999999999997</v>
      </c>
      <c r="H93" s="103">
        <f t="shared" si="22"/>
        <v>215.93999999999997</v>
      </c>
      <c r="I93" s="103">
        <f t="shared" si="22"/>
        <v>248.44</v>
      </c>
      <c r="J93" s="103">
        <f t="shared" si="22"/>
        <v>288.54000000000002</v>
      </c>
      <c r="K93" s="103">
        <f t="shared" si="22"/>
        <v>315.44000000000005</v>
      </c>
      <c r="L93" s="103">
        <f t="shared" si="22"/>
        <v>318.54000000000008</v>
      </c>
      <c r="M93" s="103">
        <f t="shared" si="22"/>
        <v>326.94000000000005</v>
      </c>
      <c r="N93" s="103">
        <f t="shared" si="22"/>
        <v>309.44000000000005</v>
      </c>
      <c r="O93" s="103">
        <f t="shared" si="22"/>
        <v>319.14</v>
      </c>
      <c r="P93" s="103">
        <f t="shared" si="22"/>
        <v>306.14</v>
      </c>
      <c r="Q93" s="103">
        <f t="shared" si="22"/>
        <v>305.34000000000003</v>
      </c>
      <c r="R93" s="103">
        <f t="shared" si="22"/>
        <v>311.54000000000002</v>
      </c>
      <c r="S93" s="103">
        <f t="shared" si="22"/>
        <v>310.84000000000003</v>
      </c>
      <c r="T93" s="103">
        <f t="shared" si="22"/>
        <v>304.04000000000002</v>
      </c>
      <c r="U93" s="103">
        <f t="shared" si="22"/>
        <v>310.74</v>
      </c>
      <c r="V93" s="103">
        <f t="shared" si="22"/>
        <v>228.83999999999997</v>
      </c>
      <c r="W93" s="103">
        <f>SUM(W15,W18,W21:W22,W42,W44:W45,W47,W49,W94:W97,W103,W109,W115,W124,W126,W138,W145,W148:W149,W156,W158,W160,W164:W166,W168:W170,W175,W181:W182,W184:W186,W194,W199)</f>
        <v>245.64</v>
      </c>
      <c r="X93" s="103">
        <f>SUM(X15,X18,X21:X22,X42,X44:X45,X47,X49,X94:X97,X103,X109,X115,X124,X126,X138,X145,X148:X149,X156,X158,X160,X164:X166,X168:X170,X175,X181:X182,X184:X186,X194,X199)</f>
        <v>302.14000000000004</v>
      </c>
      <c r="Y93" s="103">
        <f t="shared" si="22"/>
        <v>307.84000000000003</v>
      </c>
      <c r="Z93" s="103">
        <f t="shared" si="22"/>
        <v>344.34000000000003</v>
      </c>
      <c r="AA93" s="103">
        <f t="shared" si="22"/>
        <v>345.34000000000003</v>
      </c>
      <c r="AB93" s="103">
        <f t="shared" si="22"/>
        <v>334.74</v>
      </c>
      <c r="AC93" s="103">
        <f t="shared" si="22"/>
        <v>322.74</v>
      </c>
      <c r="AD93" s="103">
        <f t="shared" si="22"/>
        <v>282.74</v>
      </c>
      <c r="AE93" s="103">
        <f t="shared" si="22"/>
        <v>225.93999999999997</v>
      </c>
      <c r="AF93" s="103">
        <f t="shared" si="22"/>
        <v>190.83999999999997</v>
      </c>
      <c r="AG93" s="104"/>
      <c r="AH93" s="54">
        <f>MAX(C93:AF93)</f>
        <v>357.04</v>
      </c>
      <c r="AI93" s="55">
        <f>MIN(C93:AF93)</f>
        <v>162.93999999999997</v>
      </c>
    </row>
    <row r="94" spans="1:88" x14ac:dyDescent="0.25">
      <c r="A94" s="105" t="s">
        <v>99</v>
      </c>
      <c r="B94" s="106">
        <v>59.3</v>
      </c>
      <c r="C94" s="106">
        <v>53.2</v>
      </c>
      <c r="D94" s="106">
        <v>49.5</v>
      </c>
      <c r="E94" s="106">
        <v>45.3</v>
      </c>
      <c r="F94" s="106">
        <v>41.3</v>
      </c>
      <c r="G94" s="106">
        <v>42.7</v>
      </c>
      <c r="H94" s="106">
        <v>40.5</v>
      </c>
      <c r="I94" s="106">
        <v>41.8</v>
      </c>
      <c r="J94" s="106">
        <v>34.6</v>
      </c>
      <c r="K94" s="106">
        <v>41.7</v>
      </c>
      <c r="L94" s="106">
        <v>45.9</v>
      </c>
      <c r="M94" s="106">
        <v>51.3</v>
      </c>
      <c r="N94" s="106">
        <v>51.9</v>
      </c>
      <c r="O94" s="106">
        <v>49.1</v>
      </c>
      <c r="P94" s="106">
        <v>51.5</v>
      </c>
      <c r="Q94" s="106">
        <v>48</v>
      </c>
      <c r="R94" s="106">
        <v>42</v>
      </c>
      <c r="S94" s="106">
        <v>39.1</v>
      </c>
      <c r="T94" s="106">
        <v>38.799999999999997</v>
      </c>
      <c r="U94" s="106">
        <v>48.5</v>
      </c>
      <c r="V94" s="106">
        <v>53.9</v>
      </c>
      <c r="W94" s="106">
        <v>63.7</v>
      </c>
      <c r="X94" s="106">
        <v>72</v>
      </c>
      <c r="Y94" s="106">
        <v>64.7</v>
      </c>
      <c r="Z94" s="106">
        <v>74.7</v>
      </c>
      <c r="AA94" s="106">
        <v>75.7</v>
      </c>
      <c r="AB94" s="106">
        <v>67</v>
      </c>
      <c r="AC94" s="106">
        <v>68</v>
      </c>
      <c r="AD94" s="106">
        <v>55</v>
      </c>
      <c r="AE94" s="106">
        <v>63.2</v>
      </c>
      <c r="AF94" s="106">
        <v>56.6</v>
      </c>
      <c r="AG94" s="107">
        <v>75</v>
      </c>
      <c r="AH94" s="54">
        <f t="shared" ref="AH94:AH100" si="23">IF(ABS(MAX(C94:AF94))&gt;ABS(MIN(C94:AF94)),MAX(C94:AF94),MIN(C94:AF94))</f>
        <v>75.7</v>
      </c>
      <c r="AI94" s="108">
        <f t="shared" ref="AI94:AI100" si="24">INDEX($C$9:$AF$9,1,MATCH(AH94,C94:AF94,0))</f>
        <v>0.8125</v>
      </c>
    </row>
    <row r="95" spans="1:88" x14ac:dyDescent="0.25">
      <c r="A95" s="109" t="s">
        <v>100</v>
      </c>
      <c r="B95" s="110">
        <v>-93.5</v>
      </c>
      <c r="C95" s="110">
        <v>-91.1</v>
      </c>
      <c r="D95" s="110">
        <v>-95.5</v>
      </c>
      <c r="E95" s="110">
        <v>96.8</v>
      </c>
      <c r="F95" s="110">
        <v>-98</v>
      </c>
      <c r="G95" s="110">
        <v>-83</v>
      </c>
      <c r="H95" s="110">
        <v>-73</v>
      </c>
      <c r="I95" s="110">
        <v>-58</v>
      </c>
      <c r="J95" s="110">
        <v>-40</v>
      </c>
      <c r="K95" s="110">
        <v>-30</v>
      </c>
      <c r="L95" s="110">
        <v>-35</v>
      </c>
      <c r="M95" s="110">
        <v>-27.4</v>
      </c>
      <c r="N95" s="110">
        <v>-37</v>
      </c>
      <c r="O95" s="110">
        <v>-36</v>
      </c>
      <c r="P95" s="110">
        <v>-43</v>
      </c>
      <c r="Q95" s="110">
        <v>-44</v>
      </c>
      <c r="R95" s="110">
        <v>-42</v>
      </c>
      <c r="S95" s="110">
        <f>-15.5-27</f>
        <v>-42.5</v>
      </c>
      <c r="T95" s="110">
        <v>-44</v>
      </c>
      <c r="U95" s="110">
        <f>-15.2-26.2</f>
        <v>-41.4</v>
      </c>
      <c r="V95" s="110">
        <f>-13.8-24.1</f>
        <v>-37.900000000000006</v>
      </c>
      <c r="W95" s="110">
        <f>-15.5-26.4</f>
        <v>-41.9</v>
      </c>
      <c r="X95" s="110">
        <f>-13.8-25.4</f>
        <v>-39.200000000000003</v>
      </c>
      <c r="Y95" s="110">
        <v>-30</v>
      </c>
      <c r="Z95" s="110">
        <f>-3.3-13.5</f>
        <v>-16.8</v>
      </c>
      <c r="AA95" s="110">
        <f t="shared" ref="AA95" si="25">-3.3-13.5</f>
        <v>-16.8</v>
      </c>
      <c r="AB95" s="110">
        <v>-28</v>
      </c>
      <c r="AC95" s="110">
        <v>-40</v>
      </c>
      <c r="AD95" s="110">
        <v>-55</v>
      </c>
      <c r="AE95" s="110">
        <f>-31-42.5</f>
        <v>-73.5</v>
      </c>
      <c r="AF95" s="110">
        <f>-30.7-42.7</f>
        <v>-73.400000000000006</v>
      </c>
      <c r="AG95" s="107">
        <v>240</v>
      </c>
      <c r="AH95" s="54">
        <f t="shared" si="23"/>
        <v>-98</v>
      </c>
      <c r="AI95" s="108">
        <f t="shared" si="24"/>
        <v>0.16666666666666699</v>
      </c>
    </row>
    <row r="96" spans="1:88" x14ac:dyDescent="0.25">
      <c r="A96" s="109" t="s">
        <v>101</v>
      </c>
      <c r="B96" s="110">
        <v>15.5</v>
      </c>
      <c r="C96" s="110">
        <v>13.4</v>
      </c>
      <c r="D96" s="110">
        <v>13.6</v>
      </c>
      <c r="E96" s="110">
        <v>13.4</v>
      </c>
      <c r="F96" s="110">
        <v>14.3</v>
      </c>
      <c r="G96" s="110">
        <v>14.8</v>
      </c>
      <c r="H96" s="110">
        <v>17.2</v>
      </c>
      <c r="I96" s="110">
        <v>22.3</v>
      </c>
      <c r="J96" s="110">
        <v>26.7</v>
      </c>
      <c r="K96" s="110">
        <v>30.3</v>
      </c>
      <c r="L96" s="110">
        <v>34.5</v>
      </c>
      <c r="M96" s="110">
        <v>33</v>
      </c>
      <c r="N96" s="110">
        <v>25.3</v>
      </c>
      <c r="O96" s="110">
        <v>32.799999999999997</v>
      </c>
      <c r="P96" s="110">
        <v>48.8</v>
      </c>
      <c r="Q96" s="110">
        <v>50.3</v>
      </c>
      <c r="R96" s="110">
        <v>46.6</v>
      </c>
      <c r="S96" s="110">
        <v>47.3</v>
      </c>
      <c r="T96" s="110">
        <v>49.7</v>
      </c>
      <c r="U96" s="110">
        <v>51.1</v>
      </c>
      <c r="V96" s="110">
        <v>52.3</v>
      </c>
      <c r="W96" s="110">
        <v>52.9</v>
      </c>
      <c r="X96" s="110">
        <v>52.8</v>
      </c>
      <c r="Y96" s="110">
        <v>55.2</v>
      </c>
      <c r="Z96" s="110">
        <v>57.3</v>
      </c>
      <c r="AA96" s="110">
        <v>57.3</v>
      </c>
      <c r="AB96" s="110">
        <v>45</v>
      </c>
      <c r="AC96" s="110">
        <v>43</v>
      </c>
      <c r="AD96" s="110">
        <v>46</v>
      </c>
      <c r="AE96" s="110">
        <v>41.1</v>
      </c>
      <c r="AF96" s="110">
        <v>40.4</v>
      </c>
      <c r="AG96" s="107">
        <v>60</v>
      </c>
      <c r="AH96" s="54">
        <f t="shared" si="23"/>
        <v>57.3</v>
      </c>
      <c r="AI96" s="108">
        <f t="shared" si="24"/>
        <v>0.79166666666666663</v>
      </c>
    </row>
    <row r="97" spans="1:37" x14ac:dyDescent="0.25">
      <c r="A97" s="111" t="s">
        <v>102</v>
      </c>
      <c r="B97" s="112">
        <v>-5.3</v>
      </c>
      <c r="C97" s="112">
        <v>-5</v>
      </c>
      <c r="D97" s="112">
        <v>0</v>
      </c>
      <c r="E97" s="112">
        <v>6.2</v>
      </c>
      <c r="F97" s="112">
        <v>12.5</v>
      </c>
      <c r="G97" s="112">
        <v>28.7</v>
      </c>
      <c r="H97" s="112">
        <v>36.6</v>
      </c>
      <c r="I97" s="112">
        <v>47.7</v>
      </c>
      <c r="J97" s="112">
        <v>72.599999999999994</v>
      </c>
      <c r="K97" s="112">
        <v>78.8</v>
      </c>
      <c r="L97" s="112">
        <v>78.5</v>
      </c>
      <c r="M97" s="112">
        <v>73.5</v>
      </c>
      <c r="N97" s="112">
        <v>69.400000000000006</v>
      </c>
      <c r="O97" s="112">
        <v>73.599999999999994</v>
      </c>
      <c r="P97" s="112">
        <v>49.2</v>
      </c>
      <c r="Q97" s="112">
        <v>50.5</v>
      </c>
      <c r="R97" s="112">
        <v>64.400000000000006</v>
      </c>
      <c r="S97" s="112">
        <v>65.099999999999994</v>
      </c>
      <c r="T97" s="112">
        <v>60.8</v>
      </c>
      <c r="U97" s="112">
        <v>53.8</v>
      </c>
      <c r="V97" s="112">
        <f>-20-18.2</f>
        <v>-38.200000000000003</v>
      </c>
      <c r="W97" s="112">
        <f>-20-7.8</f>
        <v>-27.8</v>
      </c>
      <c r="X97" s="112">
        <v>17.8</v>
      </c>
      <c r="Y97" s="112">
        <v>29.2</v>
      </c>
      <c r="Z97" s="112">
        <v>40.4</v>
      </c>
      <c r="AA97" s="112">
        <v>40.4</v>
      </c>
      <c r="AB97" s="112">
        <v>62</v>
      </c>
      <c r="AC97" s="112">
        <v>63</v>
      </c>
      <c r="AD97" s="112">
        <v>48</v>
      </c>
      <c r="AE97" s="112">
        <v>4.3</v>
      </c>
      <c r="AF97" s="112">
        <v>-24</v>
      </c>
      <c r="AG97" s="113">
        <v>120</v>
      </c>
      <c r="AH97" s="54">
        <f t="shared" si="23"/>
        <v>78.8</v>
      </c>
      <c r="AI97" s="108">
        <f t="shared" si="24"/>
        <v>0.29166666666666669</v>
      </c>
    </row>
    <row r="98" spans="1:37" x14ac:dyDescent="0.25">
      <c r="A98" s="111" t="s">
        <v>103</v>
      </c>
      <c r="B98" s="112">
        <v>26.1</v>
      </c>
      <c r="C98" s="112">
        <v>25.4</v>
      </c>
      <c r="D98" s="112">
        <v>26.1</v>
      </c>
      <c r="E98" s="112">
        <v>29.9</v>
      </c>
      <c r="F98" s="112">
        <v>40</v>
      </c>
      <c r="G98" s="112">
        <v>48</v>
      </c>
      <c r="H98" s="112">
        <v>53</v>
      </c>
      <c r="I98" s="112">
        <v>60.3</v>
      </c>
      <c r="J98" s="112">
        <v>80</v>
      </c>
      <c r="K98" s="112">
        <v>83</v>
      </c>
      <c r="L98" s="112">
        <v>84</v>
      </c>
      <c r="M98" s="112">
        <v>72.3</v>
      </c>
      <c r="N98" s="112">
        <v>71.5</v>
      </c>
      <c r="O98" s="112">
        <v>76.3</v>
      </c>
      <c r="P98" s="112">
        <v>60</v>
      </c>
      <c r="Q98" s="112">
        <v>64.2</v>
      </c>
      <c r="R98" s="112">
        <v>75.5</v>
      </c>
      <c r="S98" s="112">
        <v>72.3</v>
      </c>
      <c r="T98" s="112">
        <v>68.400000000000006</v>
      </c>
      <c r="U98" s="112">
        <v>68.2</v>
      </c>
      <c r="V98" s="112">
        <v>46.8</v>
      </c>
      <c r="W98" s="112">
        <v>43</v>
      </c>
      <c r="X98" s="112">
        <v>30.6</v>
      </c>
      <c r="Y98" s="112">
        <v>36</v>
      </c>
      <c r="Z98" s="112">
        <v>40</v>
      </c>
      <c r="AA98" s="112">
        <v>40</v>
      </c>
      <c r="AB98" s="112">
        <v>55</v>
      </c>
      <c r="AC98" s="112">
        <v>62</v>
      </c>
      <c r="AD98" s="112">
        <v>50</v>
      </c>
      <c r="AE98" s="112">
        <v>23.3</v>
      </c>
      <c r="AF98" s="112">
        <v>38.4</v>
      </c>
      <c r="AG98" s="113"/>
      <c r="AH98" s="54">
        <f t="shared" si="23"/>
        <v>84</v>
      </c>
      <c r="AI98" s="108">
        <f t="shared" si="24"/>
        <v>0.3125</v>
      </c>
    </row>
    <row r="99" spans="1:37" x14ac:dyDescent="0.25">
      <c r="A99" s="111" t="s">
        <v>104</v>
      </c>
      <c r="B99" s="112">
        <v>20.3</v>
      </c>
      <c r="C99" s="112">
        <v>34.4</v>
      </c>
      <c r="D99" s="112">
        <v>40.5</v>
      </c>
      <c r="E99" s="112">
        <v>42.8</v>
      </c>
      <c r="F99" s="112">
        <v>50.8</v>
      </c>
      <c r="G99" s="112">
        <v>50</v>
      </c>
      <c r="H99" s="112">
        <v>56</v>
      </c>
      <c r="I99" s="112">
        <v>65</v>
      </c>
      <c r="J99" s="112">
        <v>66</v>
      </c>
      <c r="K99" s="112">
        <v>62</v>
      </c>
      <c r="L99" s="112">
        <v>62</v>
      </c>
      <c r="M99" s="112">
        <v>55.4</v>
      </c>
      <c r="N99" s="112">
        <v>58.4</v>
      </c>
      <c r="O99" s="112">
        <v>54</v>
      </c>
      <c r="P99" s="112">
        <v>57.7</v>
      </c>
      <c r="Q99" s="112">
        <v>59</v>
      </c>
      <c r="R99" s="112">
        <v>61.1</v>
      </c>
      <c r="S99" s="112">
        <v>64.400000000000006</v>
      </c>
      <c r="T99" s="112">
        <v>51.9</v>
      </c>
      <c r="U99" s="112">
        <v>38.9</v>
      </c>
      <c r="V99" s="112">
        <v>36.799999999999997</v>
      </c>
      <c r="W99" s="112">
        <v>22.1</v>
      </c>
      <c r="X99" s="112">
        <v>12.8</v>
      </c>
      <c r="Y99" s="112">
        <v>20.7</v>
      </c>
      <c r="Z99" s="112">
        <v>26.5</v>
      </c>
      <c r="AA99" s="112">
        <v>26.5</v>
      </c>
      <c r="AB99" s="112">
        <v>23.7</v>
      </c>
      <c r="AC99" s="112">
        <v>28</v>
      </c>
      <c r="AD99" s="112">
        <v>44</v>
      </c>
      <c r="AE99" s="112">
        <v>44.6</v>
      </c>
      <c r="AF99" s="112">
        <v>47</v>
      </c>
      <c r="AG99" s="114"/>
      <c r="AH99" s="54">
        <f t="shared" si="23"/>
        <v>66</v>
      </c>
      <c r="AI99" s="108">
        <f t="shared" si="24"/>
        <v>0.27083333333333331</v>
      </c>
    </row>
    <row r="100" spans="1:37" ht="15.75" thickBot="1" x14ac:dyDescent="0.3">
      <c r="A100" s="115" t="s">
        <v>105</v>
      </c>
      <c r="B100" s="95">
        <v>33</v>
      </c>
      <c r="C100" s="95">
        <v>39.799999999999997</v>
      </c>
      <c r="D100" s="95">
        <v>35.5</v>
      </c>
      <c r="E100" s="95">
        <v>38.5</v>
      </c>
      <c r="F100" s="95">
        <v>43</v>
      </c>
      <c r="G100" s="95">
        <v>44</v>
      </c>
      <c r="H100" s="95">
        <v>44</v>
      </c>
      <c r="I100" s="95">
        <v>42</v>
      </c>
      <c r="J100" s="95">
        <v>54</v>
      </c>
      <c r="K100" s="95">
        <v>60</v>
      </c>
      <c r="L100" s="95">
        <v>65</v>
      </c>
      <c r="M100" s="95">
        <v>65.099999999999994</v>
      </c>
      <c r="N100" s="95">
        <v>68</v>
      </c>
      <c r="O100" s="95">
        <v>60</v>
      </c>
      <c r="P100" s="95">
        <v>68</v>
      </c>
      <c r="Q100" s="95">
        <v>64.5</v>
      </c>
      <c r="R100" s="95">
        <v>64.400000000000006</v>
      </c>
      <c r="S100" s="95">
        <v>83</v>
      </c>
      <c r="T100" s="95">
        <v>84</v>
      </c>
      <c r="U100" s="95">
        <v>80</v>
      </c>
      <c r="V100" s="95">
        <v>82</v>
      </c>
      <c r="W100" s="95">
        <v>82</v>
      </c>
      <c r="X100" s="95">
        <v>30</v>
      </c>
      <c r="Y100" s="95">
        <v>75</v>
      </c>
      <c r="Z100" s="95">
        <v>94</v>
      </c>
      <c r="AA100" s="95">
        <v>94</v>
      </c>
      <c r="AB100" s="95">
        <v>91</v>
      </c>
      <c r="AC100" s="95">
        <v>92</v>
      </c>
      <c r="AD100" s="95">
        <v>100</v>
      </c>
      <c r="AE100" s="95">
        <v>89.2</v>
      </c>
      <c r="AF100" s="95">
        <v>84.4</v>
      </c>
      <c r="AG100" s="114"/>
      <c r="AH100" s="54">
        <f t="shared" si="23"/>
        <v>100</v>
      </c>
      <c r="AI100" s="108">
        <f t="shared" si="24"/>
        <v>0.875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6">AF102</f>
        <v>9.9</v>
      </c>
      <c r="C102" s="53">
        <v>9.9</v>
      </c>
      <c r="D102" s="121">
        <f t="shared" ref="D102:S107" si="27">C102</f>
        <v>9.9</v>
      </c>
      <c r="E102" s="121">
        <f t="shared" si="27"/>
        <v>9.9</v>
      </c>
      <c r="F102" s="121">
        <f t="shared" si="27"/>
        <v>9.9</v>
      </c>
      <c r="G102" s="121">
        <f t="shared" si="27"/>
        <v>9.9</v>
      </c>
      <c r="H102" s="121">
        <f t="shared" si="27"/>
        <v>9.9</v>
      </c>
      <c r="I102" s="121">
        <f t="shared" si="27"/>
        <v>9.9</v>
      </c>
      <c r="J102" s="121">
        <f t="shared" si="27"/>
        <v>9.9</v>
      </c>
      <c r="K102" s="121">
        <f t="shared" si="27"/>
        <v>9.9</v>
      </c>
      <c r="L102" s="121">
        <f t="shared" si="27"/>
        <v>9.9</v>
      </c>
      <c r="M102" s="121">
        <f t="shared" si="27"/>
        <v>9.9</v>
      </c>
      <c r="N102" s="121">
        <f t="shared" si="27"/>
        <v>9.9</v>
      </c>
      <c r="O102" s="121">
        <f t="shared" si="27"/>
        <v>9.9</v>
      </c>
      <c r="P102" s="121">
        <f t="shared" si="27"/>
        <v>9.9</v>
      </c>
      <c r="Q102" s="121">
        <f t="shared" si="27"/>
        <v>9.9</v>
      </c>
      <c r="R102" s="121">
        <f t="shared" si="27"/>
        <v>9.9</v>
      </c>
      <c r="S102" s="121">
        <f t="shared" si="27"/>
        <v>9.9</v>
      </c>
      <c r="T102" s="121">
        <f t="shared" ref="T102:AF107" si="28">S102</f>
        <v>9.9</v>
      </c>
      <c r="U102" s="121">
        <f t="shared" si="28"/>
        <v>9.9</v>
      </c>
      <c r="V102" s="121">
        <f t="shared" si="28"/>
        <v>9.9</v>
      </c>
      <c r="W102" s="121">
        <f t="shared" si="28"/>
        <v>9.9</v>
      </c>
      <c r="X102" s="121">
        <f t="shared" si="28"/>
        <v>9.9</v>
      </c>
      <c r="Y102" s="121">
        <f t="shared" si="28"/>
        <v>9.9</v>
      </c>
      <c r="Z102" s="121">
        <f t="shared" si="28"/>
        <v>9.9</v>
      </c>
      <c r="AA102" s="121">
        <f t="shared" si="28"/>
        <v>9.9</v>
      </c>
      <c r="AB102" s="121">
        <f t="shared" si="28"/>
        <v>9.9</v>
      </c>
      <c r="AC102" s="121">
        <f t="shared" si="28"/>
        <v>9.9</v>
      </c>
      <c r="AD102" s="121">
        <f t="shared" si="28"/>
        <v>9.9</v>
      </c>
      <c r="AE102" s="121">
        <f t="shared" si="28"/>
        <v>9.9</v>
      </c>
      <c r="AF102" s="121">
        <f t="shared" si="28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6"/>
        <v>9.6</v>
      </c>
      <c r="C103" s="124">
        <v>9.6</v>
      </c>
      <c r="D103" s="123">
        <f t="shared" si="27"/>
        <v>9.6</v>
      </c>
      <c r="E103" s="123">
        <f t="shared" si="27"/>
        <v>9.6</v>
      </c>
      <c r="F103" s="123">
        <f t="shared" si="27"/>
        <v>9.6</v>
      </c>
      <c r="G103" s="123">
        <f t="shared" si="27"/>
        <v>9.6</v>
      </c>
      <c r="H103" s="123">
        <f t="shared" si="27"/>
        <v>9.6</v>
      </c>
      <c r="I103" s="123">
        <f t="shared" si="27"/>
        <v>9.6</v>
      </c>
      <c r="J103" s="123">
        <f t="shared" si="27"/>
        <v>9.6</v>
      </c>
      <c r="K103" s="123">
        <f t="shared" si="27"/>
        <v>9.6</v>
      </c>
      <c r="L103" s="123">
        <f t="shared" si="27"/>
        <v>9.6</v>
      </c>
      <c r="M103" s="123">
        <f t="shared" si="27"/>
        <v>9.6</v>
      </c>
      <c r="N103" s="123">
        <f t="shared" si="27"/>
        <v>9.6</v>
      </c>
      <c r="O103" s="123">
        <f t="shared" si="27"/>
        <v>9.6</v>
      </c>
      <c r="P103" s="123">
        <f t="shared" si="27"/>
        <v>9.6</v>
      </c>
      <c r="Q103" s="123">
        <f t="shared" si="27"/>
        <v>9.6</v>
      </c>
      <c r="R103" s="123">
        <f t="shared" si="27"/>
        <v>9.6</v>
      </c>
      <c r="S103" s="123">
        <f t="shared" si="27"/>
        <v>9.6</v>
      </c>
      <c r="T103" s="123">
        <f t="shared" si="28"/>
        <v>9.6</v>
      </c>
      <c r="U103" s="123">
        <f t="shared" si="28"/>
        <v>9.6</v>
      </c>
      <c r="V103" s="123">
        <f t="shared" si="28"/>
        <v>9.6</v>
      </c>
      <c r="W103" s="123">
        <f t="shared" si="28"/>
        <v>9.6</v>
      </c>
      <c r="X103" s="123">
        <f t="shared" si="28"/>
        <v>9.6</v>
      </c>
      <c r="Y103" s="123">
        <f t="shared" si="28"/>
        <v>9.6</v>
      </c>
      <c r="Z103" s="123">
        <f t="shared" si="28"/>
        <v>9.6</v>
      </c>
      <c r="AA103" s="123">
        <f t="shared" si="28"/>
        <v>9.6</v>
      </c>
      <c r="AB103" s="123">
        <f t="shared" si="28"/>
        <v>9.6</v>
      </c>
      <c r="AC103" s="123">
        <f t="shared" si="28"/>
        <v>9.6</v>
      </c>
      <c r="AD103" s="123">
        <f t="shared" si="28"/>
        <v>9.6</v>
      </c>
      <c r="AE103" s="123">
        <f t="shared" si="28"/>
        <v>9.6</v>
      </c>
      <c r="AF103" s="123">
        <f t="shared" si="28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6"/>
        <v>9.98</v>
      </c>
      <c r="C104" s="124">
        <v>9.98</v>
      </c>
      <c r="D104" s="123">
        <f t="shared" si="27"/>
        <v>9.98</v>
      </c>
      <c r="E104" s="123">
        <f t="shared" si="27"/>
        <v>9.98</v>
      </c>
      <c r="F104" s="123">
        <f t="shared" si="27"/>
        <v>9.98</v>
      </c>
      <c r="G104" s="123">
        <f t="shared" si="27"/>
        <v>9.98</v>
      </c>
      <c r="H104" s="123">
        <f t="shared" si="27"/>
        <v>9.98</v>
      </c>
      <c r="I104" s="123">
        <f t="shared" si="27"/>
        <v>9.98</v>
      </c>
      <c r="J104" s="123">
        <f t="shared" si="27"/>
        <v>9.98</v>
      </c>
      <c r="K104" s="123">
        <f t="shared" si="27"/>
        <v>9.98</v>
      </c>
      <c r="L104" s="123">
        <f t="shared" si="27"/>
        <v>9.98</v>
      </c>
      <c r="M104" s="123">
        <f t="shared" si="27"/>
        <v>9.98</v>
      </c>
      <c r="N104" s="123">
        <f t="shared" si="27"/>
        <v>9.98</v>
      </c>
      <c r="O104" s="123">
        <f t="shared" si="27"/>
        <v>9.98</v>
      </c>
      <c r="P104" s="123">
        <f t="shared" si="27"/>
        <v>9.98</v>
      </c>
      <c r="Q104" s="123">
        <f t="shared" si="27"/>
        <v>9.98</v>
      </c>
      <c r="R104" s="123">
        <f t="shared" si="27"/>
        <v>9.98</v>
      </c>
      <c r="S104" s="123">
        <f t="shared" si="27"/>
        <v>9.98</v>
      </c>
      <c r="T104" s="123">
        <f t="shared" si="28"/>
        <v>9.98</v>
      </c>
      <c r="U104" s="123">
        <f t="shared" si="28"/>
        <v>9.98</v>
      </c>
      <c r="V104" s="123">
        <f t="shared" si="28"/>
        <v>9.98</v>
      </c>
      <c r="W104" s="123">
        <f t="shared" si="28"/>
        <v>9.98</v>
      </c>
      <c r="X104" s="123">
        <f t="shared" si="28"/>
        <v>9.98</v>
      </c>
      <c r="Y104" s="123">
        <f t="shared" si="28"/>
        <v>9.98</v>
      </c>
      <c r="Z104" s="123">
        <f t="shared" si="28"/>
        <v>9.98</v>
      </c>
      <c r="AA104" s="123">
        <f t="shared" si="28"/>
        <v>9.98</v>
      </c>
      <c r="AB104" s="123">
        <f t="shared" si="28"/>
        <v>9.98</v>
      </c>
      <c r="AC104" s="123">
        <f t="shared" si="28"/>
        <v>9.98</v>
      </c>
      <c r="AD104" s="123">
        <f t="shared" si="28"/>
        <v>9.98</v>
      </c>
      <c r="AE104" s="123">
        <f t="shared" si="28"/>
        <v>9.98</v>
      </c>
      <c r="AF104" s="123">
        <f t="shared" si="28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6"/>
        <v>9.1</v>
      </c>
      <c r="C105" s="124">
        <v>9.1</v>
      </c>
      <c r="D105" s="123">
        <f t="shared" si="27"/>
        <v>9.1</v>
      </c>
      <c r="E105" s="123">
        <f t="shared" si="27"/>
        <v>9.1</v>
      </c>
      <c r="F105" s="123">
        <f t="shared" si="27"/>
        <v>9.1</v>
      </c>
      <c r="G105" s="123">
        <f t="shared" si="27"/>
        <v>9.1</v>
      </c>
      <c r="H105" s="123">
        <f t="shared" si="27"/>
        <v>9.1</v>
      </c>
      <c r="I105" s="123">
        <f t="shared" si="27"/>
        <v>9.1</v>
      </c>
      <c r="J105" s="123">
        <f t="shared" si="27"/>
        <v>9.1</v>
      </c>
      <c r="K105" s="123">
        <f t="shared" si="27"/>
        <v>9.1</v>
      </c>
      <c r="L105" s="123">
        <f t="shared" si="27"/>
        <v>9.1</v>
      </c>
      <c r="M105" s="123">
        <f t="shared" si="27"/>
        <v>9.1</v>
      </c>
      <c r="N105" s="123">
        <f t="shared" si="27"/>
        <v>9.1</v>
      </c>
      <c r="O105" s="123">
        <f t="shared" si="27"/>
        <v>9.1</v>
      </c>
      <c r="P105" s="123">
        <f t="shared" si="27"/>
        <v>9.1</v>
      </c>
      <c r="Q105" s="123">
        <f t="shared" si="27"/>
        <v>9.1</v>
      </c>
      <c r="R105" s="123">
        <f t="shared" si="27"/>
        <v>9.1</v>
      </c>
      <c r="S105" s="123">
        <f t="shared" si="27"/>
        <v>9.1</v>
      </c>
      <c r="T105" s="123">
        <f t="shared" si="28"/>
        <v>9.1</v>
      </c>
      <c r="U105" s="123">
        <f t="shared" si="28"/>
        <v>9.1</v>
      </c>
      <c r="V105" s="123">
        <f t="shared" si="28"/>
        <v>9.1</v>
      </c>
      <c r="W105" s="123">
        <f t="shared" si="28"/>
        <v>9.1</v>
      </c>
      <c r="X105" s="123">
        <f t="shared" si="28"/>
        <v>9.1</v>
      </c>
      <c r="Y105" s="123">
        <f t="shared" si="28"/>
        <v>9.1</v>
      </c>
      <c r="Z105" s="123">
        <f t="shared" si="28"/>
        <v>9.1</v>
      </c>
      <c r="AA105" s="123">
        <f t="shared" si="28"/>
        <v>9.1</v>
      </c>
      <c r="AB105" s="123">
        <f t="shared" si="28"/>
        <v>9.1</v>
      </c>
      <c r="AC105" s="123">
        <f t="shared" si="28"/>
        <v>9.1</v>
      </c>
      <c r="AD105" s="123">
        <f t="shared" si="28"/>
        <v>9.1</v>
      </c>
      <c r="AE105" s="123">
        <f t="shared" si="28"/>
        <v>9.1</v>
      </c>
      <c r="AF105" s="123">
        <f t="shared" si="28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6"/>
        <v>9.18</v>
      </c>
      <c r="C106" s="124">
        <v>9.18</v>
      </c>
      <c r="D106" s="123">
        <f t="shared" si="27"/>
        <v>9.18</v>
      </c>
      <c r="E106" s="123">
        <f t="shared" si="27"/>
        <v>9.18</v>
      </c>
      <c r="F106" s="123">
        <f t="shared" si="27"/>
        <v>9.18</v>
      </c>
      <c r="G106" s="123">
        <f t="shared" si="27"/>
        <v>9.18</v>
      </c>
      <c r="H106" s="123">
        <f t="shared" si="27"/>
        <v>9.18</v>
      </c>
      <c r="I106" s="123">
        <f t="shared" si="27"/>
        <v>9.18</v>
      </c>
      <c r="J106" s="123">
        <f t="shared" si="27"/>
        <v>9.18</v>
      </c>
      <c r="K106" s="123">
        <f t="shared" si="27"/>
        <v>9.18</v>
      </c>
      <c r="L106" s="123">
        <f t="shared" si="27"/>
        <v>9.18</v>
      </c>
      <c r="M106" s="123">
        <f t="shared" si="27"/>
        <v>9.18</v>
      </c>
      <c r="N106" s="123">
        <f t="shared" si="27"/>
        <v>9.18</v>
      </c>
      <c r="O106" s="123">
        <f t="shared" si="27"/>
        <v>9.18</v>
      </c>
      <c r="P106" s="123">
        <f t="shared" si="27"/>
        <v>9.18</v>
      </c>
      <c r="Q106" s="123">
        <f t="shared" si="27"/>
        <v>9.18</v>
      </c>
      <c r="R106" s="123">
        <f t="shared" si="27"/>
        <v>9.18</v>
      </c>
      <c r="S106" s="123">
        <f t="shared" si="27"/>
        <v>9.18</v>
      </c>
      <c r="T106" s="123">
        <f t="shared" si="28"/>
        <v>9.18</v>
      </c>
      <c r="U106" s="123">
        <f t="shared" si="28"/>
        <v>9.18</v>
      </c>
      <c r="V106" s="123">
        <f t="shared" si="28"/>
        <v>9.18</v>
      </c>
      <c r="W106" s="123">
        <f t="shared" si="28"/>
        <v>9.18</v>
      </c>
      <c r="X106" s="123">
        <f t="shared" si="28"/>
        <v>9.18</v>
      </c>
      <c r="Y106" s="123">
        <f t="shared" si="28"/>
        <v>9.18</v>
      </c>
      <c r="Z106" s="123">
        <f t="shared" si="28"/>
        <v>9.18</v>
      </c>
      <c r="AA106" s="123">
        <f t="shared" si="28"/>
        <v>9.18</v>
      </c>
      <c r="AB106" s="123">
        <f t="shared" si="28"/>
        <v>9.18</v>
      </c>
      <c r="AC106" s="123">
        <f t="shared" si="28"/>
        <v>9.18</v>
      </c>
      <c r="AD106" s="123">
        <f t="shared" si="28"/>
        <v>9.18</v>
      </c>
      <c r="AE106" s="123">
        <f t="shared" si="28"/>
        <v>9.18</v>
      </c>
      <c r="AF106" s="123">
        <f t="shared" si="28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6"/>
        <v>7</v>
      </c>
      <c r="C107" s="124">
        <v>7</v>
      </c>
      <c r="D107" s="123">
        <f t="shared" si="27"/>
        <v>7</v>
      </c>
      <c r="E107" s="123">
        <f t="shared" si="27"/>
        <v>7</v>
      </c>
      <c r="F107" s="123">
        <f t="shared" si="27"/>
        <v>7</v>
      </c>
      <c r="G107" s="123">
        <f t="shared" si="27"/>
        <v>7</v>
      </c>
      <c r="H107" s="123">
        <f t="shared" si="27"/>
        <v>7</v>
      </c>
      <c r="I107" s="123">
        <f t="shared" si="27"/>
        <v>7</v>
      </c>
      <c r="J107" s="123">
        <f t="shared" si="27"/>
        <v>7</v>
      </c>
      <c r="K107" s="123">
        <f t="shared" si="27"/>
        <v>7</v>
      </c>
      <c r="L107" s="123">
        <f t="shared" si="27"/>
        <v>7</v>
      </c>
      <c r="M107" s="123">
        <f t="shared" si="27"/>
        <v>7</v>
      </c>
      <c r="N107" s="123">
        <f t="shared" si="27"/>
        <v>7</v>
      </c>
      <c r="O107" s="123">
        <f t="shared" si="27"/>
        <v>7</v>
      </c>
      <c r="P107" s="123">
        <f t="shared" si="27"/>
        <v>7</v>
      </c>
      <c r="Q107" s="123">
        <f t="shared" si="27"/>
        <v>7</v>
      </c>
      <c r="R107" s="123">
        <f t="shared" si="27"/>
        <v>7</v>
      </c>
      <c r="S107" s="123">
        <f t="shared" si="27"/>
        <v>7</v>
      </c>
      <c r="T107" s="123">
        <f t="shared" si="28"/>
        <v>7</v>
      </c>
      <c r="U107" s="123">
        <f t="shared" si="28"/>
        <v>7</v>
      </c>
      <c r="V107" s="123">
        <f t="shared" si="28"/>
        <v>7</v>
      </c>
      <c r="W107" s="123">
        <f t="shared" si="28"/>
        <v>7</v>
      </c>
      <c r="X107" s="123">
        <f t="shared" si="28"/>
        <v>7</v>
      </c>
      <c r="Y107" s="123">
        <f t="shared" si="28"/>
        <v>7</v>
      </c>
      <c r="Z107" s="123">
        <f t="shared" si="28"/>
        <v>7</v>
      </c>
      <c r="AA107" s="123">
        <f t="shared" si="28"/>
        <v>7</v>
      </c>
      <c r="AB107" s="123">
        <f t="shared" si="28"/>
        <v>7</v>
      </c>
      <c r="AC107" s="123">
        <f t="shared" si="28"/>
        <v>7</v>
      </c>
      <c r="AD107" s="123">
        <f t="shared" si="28"/>
        <v>7</v>
      </c>
      <c r="AE107" s="123">
        <f t="shared" si="28"/>
        <v>7</v>
      </c>
      <c r="AF107" s="123">
        <f t="shared" si="28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9">C109</f>
        <v>2.25</v>
      </c>
      <c r="E109" s="123">
        <f t="shared" si="29"/>
        <v>2.25</v>
      </c>
      <c r="F109" s="123">
        <f t="shared" si="29"/>
        <v>2.25</v>
      </c>
      <c r="G109" s="123">
        <f t="shared" si="29"/>
        <v>2.25</v>
      </c>
      <c r="H109" s="123">
        <f t="shared" si="29"/>
        <v>2.25</v>
      </c>
      <c r="I109" s="123">
        <f t="shared" si="29"/>
        <v>2.25</v>
      </c>
      <c r="J109" s="123">
        <f t="shared" si="29"/>
        <v>2.25</v>
      </c>
      <c r="K109" s="123">
        <f t="shared" si="29"/>
        <v>2.25</v>
      </c>
      <c r="L109" s="123">
        <f t="shared" si="29"/>
        <v>2.25</v>
      </c>
      <c r="M109" s="123">
        <f t="shared" si="29"/>
        <v>2.25</v>
      </c>
      <c r="N109" s="123">
        <f t="shared" si="29"/>
        <v>2.25</v>
      </c>
      <c r="O109" s="123">
        <f t="shared" si="29"/>
        <v>2.25</v>
      </c>
      <c r="P109" s="123">
        <f t="shared" si="29"/>
        <v>2.25</v>
      </c>
      <c r="Q109" s="123">
        <f t="shared" si="29"/>
        <v>2.25</v>
      </c>
      <c r="R109" s="123">
        <f t="shared" si="29"/>
        <v>2.25</v>
      </c>
      <c r="S109" s="123">
        <f t="shared" si="29"/>
        <v>2.25</v>
      </c>
      <c r="T109" s="123">
        <f t="shared" ref="T109:AF110" si="30">S109</f>
        <v>2.25</v>
      </c>
      <c r="U109" s="123">
        <f t="shared" si="30"/>
        <v>2.25</v>
      </c>
      <c r="V109" s="123">
        <f t="shared" si="30"/>
        <v>2.25</v>
      </c>
      <c r="W109" s="123">
        <f t="shared" si="30"/>
        <v>2.25</v>
      </c>
      <c r="X109" s="123">
        <f t="shared" si="30"/>
        <v>2.25</v>
      </c>
      <c r="Y109" s="123">
        <f t="shared" si="30"/>
        <v>2.25</v>
      </c>
      <c r="Z109" s="123">
        <f t="shared" si="30"/>
        <v>2.25</v>
      </c>
      <c r="AA109" s="123">
        <f t="shared" si="30"/>
        <v>2.25</v>
      </c>
      <c r="AB109" s="123">
        <f t="shared" si="30"/>
        <v>2.25</v>
      </c>
      <c r="AC109" s="123">
        <f t="shared" si="30"/>
        <v>2.25</v>
      </c>
      <c r="AD109" s="123">
        <f t="shared" si="30"/>
        <v>2.25</v>
      </c>
      <c r="AE109" s="123">
        <f t="shared" si="30"/>
        <v>2.25</v>
      </c>
      <c r="AF109" s="123">
        <f t="shared" si="30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9"/>
        <v>1.64</v>
      </c>
      <c r="E110" s="123">
        <f t="shared" si="29"/>
        <v>1.64</v>
      </c>
      <c r="F110" s="123">
        <f t="shared" si="29"/>
        <v>1.64</v>
      </c>
      <c r="G110" s="123">
        <f t="shared" si="29"/>
        <v>1.64</v>
      </c>
      <c r="H110" s="123">
        <f t="shared" si="29"/>
        <v>1.64</v>
      </c>
      <c r="I110" s="123">
        <f t="shared" si="29"/>
        <v>1.64</v>
      </c>
      <c r="J110" s="123">
        <f t="shared" si="29"/>
        <v>1.64</v>
      </c>
      <c r="K110" s="123">
        <f t="shared" si="29"/>
        <v>1.64</v>
      </c>
      <c r="L110" s="123">
        <f t="shared" si="29"/>
        <v>1.64</v>
      </c>
      <c r="M110" s="123">
        <f t="shared" si="29"/>
        <v>1.64</v>
      </c>
      <c r="N110" s="123">
        <f t="shared" si="29"/>
        <v>1.64</v>
      </c>
      <c r="O110" s="123">
        <f t="shared" si="29"/>
        <v>1.64</v>
      </c>
      <c r="P110" s="123">
        <f t="shared" si="29"/>
        <v>1.64</v>
      </c>
      <c r="Q110" s="123">
        <f t="shared" si="29"/>
        <v>1.64</v>
      </c>
      <c r="R110" s="123">
        <f t="shared" si="29"/>
        <v>1.64</v>
      </c>
      <c r="S110" s="123">
        <f t="shared" si="29"/>
        <v>1.64</v>
      </c>
      <c r="T110" s="123">
        <f t="shared" si="30"/>
        <v>1.64</v>
      </c>
      <c r="U110" s="123">
        <f t="shared" si="30"/>
        <v>1.64</v>
      </c>
      <c r="V110" s="123">
        <f t="shared" si="30"/>
        <v>1.64</v>
      </c>
      <c r="W110" s="123">
        <f t="shared" si="30"/>
        <v>1.64</v>
      </c>
      <c r="X110" s="123">
        <f t="shared" si="30"/>
        <v>1.64</v>
      </c>
      <c r="Y110" s="123">
        <f t="shared" si="30"/>
        <v>1.64</v>
      </c>
      <c r="Z110" s="123">
        <f t="shared" si="30"/>
        <v>1.64</v>
      </c>
      <c r="AA110" s="123">
        <f t="shared" si="30"/>
        <v>1.64</v>
      </c>
      <c r="AB110" s="123">
        <f t="shared" si="30"/>
        <v>1.64</v>
      </c>
      <c r="AC110" s="123">
        <f t="shared" si="30"/>
        <v>1.64</v>
      </c>
      <c r="AD110" s="123">
        <f t="shared" si="30"/>
        <v>1.64</v>
      </c>
      <c r="AE110" s="123">
        <f t="shared" si="30"/>
        <v>1.64</v>
      </c>
      <c r="AF110" s="123">
        <f t="shared" si="30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1">AF112</f>
        <v>1.62</v>
      </c>
      <c r="C112" s="124">
        <v>1.62</v>
      </c>
      <c r="D112" s="123">
        <f t="shared" ref="D112:S119" si="32">C112</f>
        <v>1.62</v>
      </c>
      <c r="E112" s="123">
        <f t="shared" si="32"/>
        <v>1.62</v>
      </c>
      <c r="F112" s="123">
        <f t="shared" si="32"/>
        <v>1.62</v>
      </c>
      <c r="G112" s="123">
        <f t="shared" si="32"/>
        <v>1.62</v>
      </c>
      <c r="H112" s="123">
        <f t="shared" si="32"/>
        <v>1.62</v>
      </c>
      <c r="I112" s="123">
        <f t="shared" si="32"/>
        <v>1.62</v>
      </c>
      <c r="J112" s="123">
        <f t="shared" si="32"/>
        <v>1.62</v>
      </c>
      <c r="K112" s="123">
        <f t="shared" si="32"/>
        <v>1.62</v>
      </c>
      <c r="L112" s="123">
        <f t="shared" si="32"/>
        <v>1.62</v>
      </c>
      <c r="M112" s="123">
        <f t="shared" si="32"/>
        <v>1.62</v>
      </c>
      <c r="N112" s="123">
        <f t="shared" si="32"/>
        <v>1.62</v>
      </c>
      <c r="O112" s="123">
        <f t="shared" si="32"/>
        <v>1.62</v>
      </c>
      <c r="P112" s="123">
        <f t="shared" si="32"/>
        <v>1.62</v>
      </c>
      <c r="Q112" s="123">
        <f t="shared" si="32"/>
        <v>1.62</v>
      </c>
      <c r="R112" s="123">
        <f t="shared" si="32"/>
        <v>1.62</v>
      </c>
      <c r="S112" s="123">
        <f t="shared" si="32"/>
        <v>1.62</v>
      </c>
      <c r="T112" s="123">
        <f t="shared" ref="T112:AF127" si="33">S112</f>
        <v>1.62</v>
      </c>
      <c r="U112" s="123">
        <f t="shared" si="33"/>
        <v>1.62</v>
      </c>
      <c r="V112" s="123">
        <f t="shared" si="33"/>
        <v>1.62</v>
      </c>
      <c r="W112" s="123">
        <f t="shared" si="33"/>
        <v>1.62</v>
      </c>
      <c r="X112" s="123">
        <f t="shared" si="33"/>
        <v>1.62</v>
      </c>
      <c r="Y112" s="123">
        <f t="shared" si="33"/>
        <v>1.62</v>
      </c>
      <c r="Z112" s="123">
        <f t="shared" si="33"/>
        <v>1.62</v>
      </c>
      <c r="AA112" s="123">
        <f t="shared" si="33"/>
        <v>1.62</v>
      </c>
      <c r="AB112" s="123">
        <f t="shared" si="33"/>
        <v>1.62</v>
      </c>
      <c r="AC112" s="123">
        <f t="shared" si="33"/>
        <v>1.62</v>
      </c>
      <c r="AD112" s="123">
        <f t="shared" si="33"/>
        <v>1.62</v>
      </c>
      <c r="AE112" s="123">
        <f t="shared" si="33"/>
        <v>1.62</v>
      </c>
      <c r="AF112" s="123">
        <f t="shared" si="33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1"/>
        <v>8.36</v>
      </c>
      <c r="C113" s="124">
        <v>8.36</v>
      </c>
      <c r="D113" s="123">
        <f t="shared" si="32"/>
        <v>8.36</v>
      </c>
      <c r="E113" s="123">
        <f t="shared" si="32"/>
        <v>8.36</v>
      </c>
      <c r="F113" s="123">
        <f t="shared" si="32"/>
        <v>8.36</v>
      </c>
      <c r="G113" s="123">
        <f t="shared" si="32"/>
        <v>8.36</v>
      </c>
      <c r="H113" s="123">
        <f t="shared" si="32"/>
        <v>8.36</v>
      </c>
      <c r="I113" s="123">
        <f t="shared" si="32"/>
        <v>8.36</v>
      </c>
      <c r="J113" s="123">
        <f t="shared" si="32"/>
        <v>8.36</v>
      </c>
      <c r="K113" s="123">
        <f t="shared" si="32"/>
        <v>8.36</v>
      </c>
      <c r="L113" s="123">
        <f t="shared" si="32"/>
        <v>8.36</v>
      </c>
      <c r="M113" s="123">
        <f t="shared" si="32"/>
        <v>8.36</v>
      </c>
      <c r="N113" s="123">
        <f t="shared" si="32"/>
        <v>8.36</v>
      </c>
      <c r="O113" s="123">
        <f t="shared" si="32"/>
        <v>8.36</v>
      </c>
      <c r="P113" s="123">
        <f t="shared" si="32"/>
        <v>8.36</v>
      </c>
      <c r="Q113" s="123">
        <f t="shared" si="32"/>
        <v>8.36</v>
      </c>
      <c r="R113" s="123">
        <f t="shared" si="32"/>
        <v>8.36</v>
      </c>
      <c r="S113" s="123">
        <f t="shared" si="32"/>
        <v>8.36</v>
      </c>
      <c r="T113" s="123">
        <f t="shared" si="33"/>
        <v>8.36</v>
      </c>
      <c r="U113" s="123">
        <f t="shared" si="33"/>
        <v>8.36</v>
      </c>
      <c r="V113" s="123">
        <f t="shared" si="33"/>
        <v>8.36</v>
      </c>
      <c r="W113" s="123">
        <f t="shared" si="33"/>
        <v>8.36</v>
      </c>
      <c r="X113" s="123">
        <f t="shared" si="33"/>
        <v>8.36</v>
      </c>
      <c r="Y113" s="123">
        <f t="shared" si="33"/>
        <v>8.36</v>
      </c>
      <c r="Z113" s="123">
        <f t="shared" si="33"/>
        <v>8.36</v>
      </c>
      <c r="AA113" s="123">
        <f t="shared" si="33"/>
        <v>8.36</v>
      </c>
      <c r="AB113" s="123">
        <f t="shared" si="33"/>
        <v>8.36</v>
      </c>
      <c r="AC113" s="123">
        <f t="shared" si="33"/>
        <v>8.36</v>
      </c>
      <c r="AD113" s="123">
        <f t="shared" si="33"/>
        <v>8.36</v>
      </c>
      <c r="AE113" s="123">
        <f t="shared" si="33"/>
        <v>8.36</v>
      </c>
      <c r="AF113" s="123">
        <f t="shared" si="33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1"/>
        <v>5.4</v>
      </c>
      <c r="C114" s="124">
        <v>8</v>
      </c>
      <c r="D114" s="123">
        <f t="shared" si="32"/>
        <v>8</v>
      </c>
      <c r="E114" s="123">
        <f t="shared" si="32"/>
        <v>8</v>
      </c>
      <c r="F114" s="123">
        <f t="shared" si="32"/>
        <v>8</v>
      </c>
      <c r="G114" s="123">
        <f t="shared" si="32"/>
        <v>8</v>
      </c>
      <c r="H114" s="123">
        <f t="shared" si="32"/>
        <v>8</v>
      </c>
      <c r="I114" s="123">
        <f t="shared" si="32"/>
        <v>8</v>
      </c>
      <c r="J114" s="123">
        <v>5.4</v>
      </c>
      <c r="K114" s="123">
        <f t="shared" si="32"/>
        <v>5.4</v>
      </c>
      <c r="L114" s="123">
        <f t="shared" si="32"/>
        <v>5.4</v>
      </c>
      <c r="M114" s="123">
        <f t="shared" si="32"/>
        <v>5.4</v>
      </c>
      <c r="N114" s="123">
        <f t="shared" si="32"/>
        <v>5.4</v>
      </c>
      <c r="O114" s="123">
        <f t="shared" si="32"/>
        <v>5.4</v>
      </c>
      <c r="P114" s="123">
        <f t="shared" si="32"/>
        <v>5.4</v>
      </c>
      <c r="Q114" s="123">
        <f t="shared" si="32"/>
        <v>5.4</v>
      </c>
      <c r="R114" s="123">
        <f t="shared" si="32"/>
        <v>5.4</v>
      </c>
      <c r="S114" s="123">
        <f t="shared" si="32"/>
        <v>5.4</v>
      </c>
      <c r="T114" s="123">
        <f t="shared" si="33"/>
        <v>5.4</v>
      </c>
      <c r="U114" s="123">
        <f t="shared" si="33"/>
        <v>5.4</v>
      </c>
      <c r="V114" s="123">
        <f t="shared" si="33"/>
        <v>5.4</v>
      </c>
      <c r="W114" s="123">
        <f t="shared" si="33"/>
        <v>5.4</v>
      </c>
      <c r="X114" s="123">
        <f t="shared" si="33"/>
        <v>5.4</v>
      </c>
      <c r="Y114" s="123">
        <f t="shared" si="33"/>
        <v>5.4</v>
      </c>
      <c r="Z114" s="123">
        <f t="shared" si="33"/>
        <v>5.4</v>
      </c>
      <c r="AA114" s="123">
        <f t="shared" si="33"/>
        <v>5.4</v>
      </c>
      <c r="AB114" s="123">
        <f t="shared" si="33"/>
        <v>5.4</v>
      </c>
      <c r="AC114" s="123">
        <f t="shared" si="33"/>
        <v>5.4</v>
      </c>
      <c r="AD114" s="123">
        <f t="shared" si="33"/>
        <v>5.4</v>
      </c>
      <c r="AE114" s="123">
        <f t="shared" si="33"/>
        <v>5.4</v>
      </c>
      <c r="AF114" s="123">
        <f t="shared" si="33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1"/>
        <v>6.57</v>
      </c>
      <c r="C115" s="124">
        <v>6.57</v>
      </c>
      <c r="D115" s="123">
        <f t="shared" si="32"/>
        <v>6.57</v>
      </c>
      <c r="E115" s="123">
        <f t="shared" si="32"/>
        <v>6.57</v>
      </c>
      <c r="F115" s="123">
        <f t="shared" si="32"/>
        <v>6.57</v>
      </c>
      <c r="G115" s="123">
        <f t="shared" si="32"/>
        <v>6.57</v>
      </c>
      <c r="H115" s="123">
        <f t="shared" si="32"/>
        <v>6.57</v>
      </c>
      <c r="I115" s="123">
        <f t="shared" si="32"/>
        <v>6.57</v>
      </c>
      <c r="J115" s="123">
        <f t="shared" si="32"/>
        <v>6.57</v>
      </c>
      <c r="K115" s="123">
        <f t="shared" si="32"/>
        <v>6.57</v>
      </c>
      <c r="L115" s="123">
        <f t="shared" si="32"/>
        <v>6.57</v>
      </c>
      <c r="M115" s="123">
        <f t="shared" si="32"/>
        <v>6.57</v>
      </c>
      <c r="N115" s="123">
        <f t="shared" si="32"/>
        <v>6.57</v>
      </c>
      <c r="O115" s="123">
        <f t="shared" si="32"/>
        <v>6.57</v>
      </c>
      <c r="P115" s="123">
        <f t="shared" si="32"/>
        <v>6.57</v>
      </c>
      <c r="Q115" s="123">
        <f t="shared" si="32"/>
        <v>6.57</v>
      </c>
      <c r="R115" s="123">
        <f t="shared" si="32"/>
        <v>6.57</v>
      </c>
      <c r="S115" s="123">
        <f t="shared" si="32"/>
        <v>6.57</v>
      </c>
      <c r="T115" s="123">
        <f t="shared" si="33"/>
        <v>6.57</v>
      </c>
      <c r="U115" s="123">
        <f t="shared" si="33"/>
        <v>6.57</v>
      </c>
      <c r="V115" s="123">
        <f t="shared" si="33"/>
        <v>6.57</v>
      </c>
      <c r="W115" s="123">
        <f t="shared" si="33"/>
        <v>6.57</v>
      </c>
      <c r="X115" s="123">
        <f t="shared" si="33"/>
        <v>6.57</v>
      </c>
      <c r="Y115" s="123">
        <f t="shared" si="33"/>
        <v>6.57</v>
      </c>
      <c r="Z115" s="123">
        <f t="shared" si="33"/>
        <v>6.57</v>
      </c>
      <c r="AA115" s="123">
        <f t="shared" si="33"/>
        <v>6.57</v>
      </c>
      <c r="AB115" s="123">
        <f t="shared" si="33"/>
        <v>6.57</v>
      </c>
      <c r="AC115" s="123">
        <f t="shared" si="33"/>
        <v>6.57</v>
      </c>
      <c r="AD115" s="123">
        <f t="shared" si="33"/>
        <v>6.57</v>
      </c>
      <c r="AE115" s="123">
        <f t="shared" si="33"/>
        <v>6.57</v>
      </c>
      <c r="AF115" s="123">
        <f t="shared" si="33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1"/>
        <v>3.43</v>
      </c>
      <c r="C116" s="124">
        <v>3.43</v>
      </c>
      <c r="D116" s="123">
        <f t="shared" si="32"/>
        <v>3.43</v>
      </c>
      <c r="E116" s="123">
        <f t="shared" si="32"/>
        <v>3.43</v>
      </c>
      <c r="F116" s="123">
        <f t="shared" si="32"/>
        <v>3.43</v>
      </c>
      <c r="G116" s="123">
        <f t="shared" si="32"/>
        <v>3.43</v>
      </c>
      <c r="H116" s="123">
        <f t="shared" si="32"/>
        <v>3.43</v>
      </c>
      <c r="I116" s="123">
        <f t="shared" si="32"/>
        <v>3.43</v>
      </c>
      <c r="J116" s="123">
        <f t="shared" si="32"/>
        <v>3.43</v>
      </c>
      <c r="K116" s="123">
        <f t="shared" si="32"/>
        <v>3.43</v>
      </c>
      <c r="L116" s="123">
        <f t="shared" si="32"/>
        <v>3.43</v>
      </c>
      <c r="M116" s="123">
        <f t="shared" si="32"/>
        <v>3.43</v>
      </c>
      <c r="N116" s="123">
        <f t="shared" si="32"/>
        <v>3.43</v>
      </c>
      <c r="O116" s="123">
        <f t="shared" si="32"/>
        <v>3.43</v>
      </c>
      <c r="P116" s="123">
        <f t="shared" si="32"/>
        <v>3.43</v>
      </c>
      <c r="Q116" s="123">
        <f t="shared" si="32"/>
        <v>3.43</v>
      </c>
      <c r="R116" s="123">
        <f t="shared" si="32"/>
        <v>3.43</v>
      </c>
      <c r="S116" s="123">
        <f t="shared" si="32"/>
        <v>3.43</v>
      </c>
      <c r="T116" s="123">
        <f t="shared" si="33"/>
        <v>3.43</v>
      </c>
      <c r="U116" s="123">
        <f t="shared" si="33"/>
        <v>3.43</v>
      </c>
      <c r="V116" s="123">
        <f t="shared" si="33"/>
        <v>3.43</v>
      </c>
      <c r="W116" s="123">
        <f t="shared" si="33"/>
        <v>3.43</v>
      </c>
      <c r="X116" s="123">
        <f t="shared" si="33"/>
        <v>3.43</v>
      </c>
      <c r="Y116" s="123">
        <f t="shared" si="33"/>
        <v>3.43</v>
      </c>
      <c r="Z116" s="123">
        <f t="shared" si="33"/>
        <v>3.43</v>
      </c>
      <c r="AA116" s="123">
        <f t="shared" si="33"/>
        <v>3.43</v>
      </c>
      <c r="AB116" s="123">
        <f t="shared" si="33"/>
        <v>3.43</v>
      </c>
      <c r="AC116" s="123">
        <f t="shared" si="33"/>
        <v>3.43</v>
      </c>
      <c r="AD116" s="123">
        <f t="shared" si="33"/>
        <v>3.43</v>
      </c>
      <c r="AE116" s="123">
        <f t="shared" si="33"/>
        <v>3.43</v>
      </c>
      <c r="AF116" s="123">
        <f t="shared" si="33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1"/>
        <v>2.96</v>
      </c>
      <c r="C117" s="124">
        <v>2.96</v>
      </c>
      <c r="D117" s="123">
        <f t="shared" si="32"/>
        <v>2.96</v>
      </c>
      <c r="E117" s="123">
        <f t="shared" si="32"/>
        <v>2.96</v>
      </c>
      <c r="F117" s="123">
        <f t="shared" si="32"/>
        <v>2.96</v>
      </c>
      <c r="G117" s="123">
        <f t="shared" si="32"/>
        <v>2.96</v>
      </c>
      <c r="H117" s="123">
        <f t="shared" si="32"/>
        <v>2.96</v>
      </c>
      <c r="I117" s="123">
        <f t="shared" si="32"/>
        <v>2.96</v>
      </c>
      <c r="J117" s="123">
        <f t="shared" si="32"/>
        <v>2.96</v>
      </c>
      <c r="K117" s="123">
        <f t="shared" si="32"/>
        <v>2.96</v>
      </c>
      <c r="L117" s="123">
        <f t="shared" si="32"/>
        <v>2.96</v>
      </c>
      <c r="M117" s="123">
        <f t="shared" si="32"/>
        <v>2.96</v>
      </c>
      <c r="N117" s="123">
        <f t="shared" si="32"/>
        <v>2.96</v>
      </c>
      <c r="O117" s="123">
        <f t="shared" si="32"/>
        <v>2.96</v>
      </c>
      <c r="P117" s="123">
        <f t="shared" si="32"/>
        <v>2.96</v>
      </c>
      <c r="Q117" s="123">
        <f t="shared" si="32"/>
        <v>2.96</v>
      </c>
      <c r="R117" s="123">
        <f t="shared" si="32"/>
        <v>2.96</v>
      </c>
      <c r="S117" s="123">
        <f t="shared" si="32"/>
        <v>2.96</v>
      </c>
      <c r="T117" s="123">
        <f t="shared" si="33"/>
        <v>2.96</v>
      </c>
      <c r="U117" s="123">
        <f t="shared" si="33"/>
        <v>2.96</v>
      </c>
      <c r="V117" s="123">
        <f t="shared" si="33"/>
        <v>2.96</v>
      </c>
      <c r="W117" s="123">
        <f t="shared" si="33"/>
        <v>2.96</v>
      </c>
      <c r="X117" s="123">
        <f t="shared" si="33"/>
        <v>2.96</v>
      </c>
      <c r="Y117" s="123">
        <f t="shared" si="33"/>
        <v>2.96</v>
      </c>
      <c r="Z117" s="123">
        <f t="shared" si="33"/>
        <v>2.96</v>
      </c>
      <c r="AA117" s="123">
        <f t="shared" si="33"/>
        <v>2.96</v>
      </c>
      <c r="AB117" s="123">
        <f t="shared" si="33"/>
        <v>2.96</v>
      </c>
      <c r="AC117" s="123">
        <f t="shared" si="33"/>
        <v>2.96</v>
      </c>
      <c r="AD117" s="123">
        <f t="shared" si="33"/>
        <v>2.96</v>
      </c>
      <c r="AE117" s="123">
        <f t="shared" si="33"/>
        <v>2.96</v>
      </c>
      <c r="AF117" s="123">
        <f t="shared" si="33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1"/>
        <v>8</v>
      </c>
      <c r="C118" s="124">
        <v>8</v>
      </c>
      <c r="D118" s="123">
        <f t="shared" si="32"/>
        <v>8</v>
      </c>
      <c r="E118" s="123">
        <f t="shared" si="32"/>
        <v>8</v>
      </c>
      <c r="F118" s="123">
        <f t="shared" si="32"/>
        <v>8</v>
      </c>
      <c r="G118" s="123">
        <f t="shared" si="32"/>
        <v>8</v>
      </c>
      <c r="H118" s="123">
        <f t="shared" si="32"/>
        <v>8</v>
      </c>
      <c r="I118" s="123">
        <f t="shared" si="32"/>
        <v>8</v>
      </c>
      <c r="J118" s="123">
        <f t="shared" si="32"/>
        <v>8</v>
      </c>
      <c r="K118" s="123">
        <f t="shared" si="32"/>
        <v>8</v>
      </c>
      <c r="L118" s="123">
        <f t="shared" si="32"/>
        <v>8</v>
      </c>
      <c r="M118" s="123">
        <f t="shared" si="32"/>
        <v>8</v>
      </c>
      <c r="N118" s="123">
        <f t="shared" si="32"/>
        <v>8</v>
      </c>
      <c r="O118" s="123">
        <f t="shared" si="32"/>
        <v>8</v>
      </c>
      <c r="P118" s="123">
        <f t="shared" si="32"/>
        <v>8</v>
      </c>
      <c r="Q118" s="123">
        <f t="shared" si="32"/>
        <v>8</v>
      </c>
      <c r="R118" s="123">
        <f t="shared" si="32"/>
        <v>8</v>
      </c>
      <c r="S118" s="123">
        <f t="shared" si="32"/>
        <v>8</v>
      </c>
      <c r="T118" s="123">
        <f t="shared" si="33"/>
        <v>8</v>
      </c>
      <c r="U118" s="123">
        <f t="shared" si="33"/>
        <v>8</v>
      </c>
      <c r="V118" s="123">
        <f t="shared" si="33"/>
        <v>8</v>
      </c>
      <c r="W118" s="123">
        <f t="shared" si="33"/>
        <v>8</v>
      </c>
      <c r="X118" s="123">
        <f t="shared" si="33"/>
        <v>8</v>
      </c>
      <c r="Y118" s="123">
        <f t="shared" si="33"/>
        <v>8</v>
      </c>
      <c r="Z118" s="123">
        <f t="shared" si="33"/>
        <v>8</v>
      </c>
      <c r="AA118" s="123">
        <f t="shared" si="33"/>
        <v>8</v>
      </c>
      <c r="AB118" s="123">
        <f t="shared" si="33"/>
        <v>8</v>
      </c>
      <c r="AC118" s="123">
        <f t="shared" si="33"/>
        <v>8</v>
      </c>
      <c r="AD118" s="123">
        <f t="shared" si="33"/>
        <v>8</v>
      </c>
      <c r="AE118" s="123">
        <f t="shared" si="33"/>
        <v>8</v>
      </c>
      <c r="AF118" s="123">
        <f t="shared" si="33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1"/>
        <v>7</v>
      </c>
      <c r="C119" s="124">
        <v>7</v>
      </c>
      <c r="D119" s="123">
        <f>C119</f>
        <v>7</v>
      </c>
      <c r="E119" s="123">
        <f t="shared" si="32"/>
        <v>7</v>
      </c>
      <c r="F119" s="123">
        <f t="shared" si="32"/>
        <v>7</v>
      </c>
      <c r="G119" s="123">
        <f t="shared" si="32"/>
        <v>7</v>
      </c>
      <c r="H119" s="123">
        <f t="shared" si="32"/>
        <v>7</v>
      </c>
      <c r="I119" s="123">
        <f t="shared" si="32"/>
        <v>7</v>
      </c>
      <c r="J119" s="123">
        <f t="shared" si="32"/>
        <v>7</v>
      </c>
      <c r="K119" s="123">
        <f t="shared" si="32"/>
        <v>7</v>
      </c>
      <c r="L119" s="123">
        <f t="shared" si="32"/>
        <v>7</v>
      </c>
      <c r="M119" s="123">
        <f t="shared" si="32"/>
        <v>7</v>
      </c>
      <c r="N119" s="123">
        <f t="shared" si="32"/>
        <v>7</v>
      </c>
      <c r="O119" s="123">
        <f t="shared" si="32"/>
        <v>7</v>
      </c>
      <c r="P119" s="123">
        <f t="shared" si="32"/>
        <v>7</v>
      </c>
      <c r="Q119" s="123">
        <f t="shared" si="32"/>
        <v>7</v>
      </c>
      <c r="R119" s="123">
        <f t="shared" si="32"/>
        <v>7</v>
      </c>
      <c r="S119" s="123">
        <f t="shared" si="32"/>
        <v>7</v>
      </c>
      <c r="T119" s="123">
        <f t="shared" si="33"/>
        <v>7</v>
      </c>
      <c r="U119" s="123">
        <f t="shared" si="33"/>
        <v>7</v>
      </c>
      <c r="V119" s="123">
        <f t="shared" si="33"/>
        <v>7</v>
      </c>
      <c r="W119" s="123">
        <f t="shared" si="33"/>
        <v>7</v>
      </c>
      <c r="X119" s="123">
        <f t="shared" si="33"/>
        <v>7</v>
      </c>
      <c r="Y119" s="123">
        <f t="shared" si="33"/>
        <v>7</v>
      </c>
      <c r="Z119" s="123">
        <f t="shared" si="33"/>
        <v>7</v>
      </c>
      <c r="AA119" s="123">
        <f t="shared" si="33"/>
        <v>7</v>
      </c>
      <c r="AB119" s="123">
        <f t="shared" si="33"/>
        <v>7</v>
      </c>
      <c r="AC119" s="123">
        <f t="shared" si="33"/>
        <v>7</v>
      </c>
      <c r="AD119" s="123">
        <f t="shared" si="33"/>
        <v>7</v>
      </c>
      <c r="AE119" s="123">
        <f t="shared" si="33"/>
        <v>7</v>
      </c>
      <c r="AF119" s="123">
        <f t="shared" si="33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1"/>
        <v>3.47</v>
      </c>
      <c r="C120" s="124">
        <v>3.47</v>
      </c>
      <c r="D120" s="123">
        <f t="shared" ref="D120:S129" si="34">C120</f>
        <v>3.47</v>
      </c>
      <c r="E120" s="123">
        <f t="shared" si="34"/>
        <v>3.47</v>
      </c>
      <c r="F120" s="123">
        <f t="shared" si="34"/>
        <v>3.47</v>
      </c>
      <c r="G120" s="123">
        <f t="shared" si="34"/>
        <v>3.47</v>
      </c>
      <c r="H120" s="123">
        <f t="shared" si="34"/>
        <v>3.47</v>
      </c>
      <c r="I120" s="123">
        <f t="shared" si="34"/>
        <v>3.47</v>
      </c>
      <c r="J120" s="123">
        <f t="shared" si="34"/>
        <v>3.47</v>
      </c>
      <c r="K120" s="123">
        <f t="shared" si="34"/>
        <v>3.47</v>
      </c>
      <c r="L120" s="123">
        <f t="shared" si="34"/>
        <v>3.47</v>
      </c>
      <c r="M120" s="123">
        <f t="shared" si="34"/>
        <v>3.47</v>
      </c>
      <c r="N120" s="123">
        <f t="shared" si="34"/>
        <v>3.47</v>
      </c>
      <c r="O120" s="123">
        <f t="shared" si="34"/>
        <v>3.47</v>
      </c>
      <c r="P120" s="123">
        <f t="shared" si="34"/>
        <v>3.47</v>
      </c>
      <c r="Q120" s="123">
        <f t="shared" si="34"/>
        <v>3.47</v>
      </c>
      <c r="R120" s="123">
        <f t="shared" si="34"/>
        <v>3.47</v>
      </c>
      <c r="S120" s="123">
        <f t="shared" si="34"/>
        <v>3.47</v>
      </c>
      <c r="T120" s="123">
        <f t="shared" si="33"/>
        <v>3.47</v>
      </c>
      <c r="U120" s="123">
        <f t="shared" si="33"/>
        <v>3.47</v>
      </c>
      <c r="V120" s="123">
        <f t="shared" si="33"/>
        <v>3.47</v>
      </c>
      <c r="W120" s="123">
        <f t="shared" si="33"/>
        <v>3.47</v>
      </c>
      <c r="X120" s="123">
        <f t="shared" si="33"/>
        <v>3.47</v>
      </c>
      <c r="Y120" s="123">
        <f t="shared" si="33"/>
        <v>3.47</v>
      </c>
      <c r="Z120" s="123">
        <f t="shared" si="33"/>
        <v>3.47</v>
      </c>
      <c r="AA120" s="123">
        <f t="shared" si="33"/>
        <v>3.47</v>
      </c>
      <c r="AB120" s="123">
        <f t="shared" si="33"/>
        <v>3.47</v>
      </c>
      <c r="AC120" s="123">
        <f t="shared" si="33"/>
        <v>3.47</v>
      </c>
      <c r="AD120" s="123">
        <f t="shared" si="33"/>
        <v>3.47</v>
      </c>
      <c r="AE120" s="123">
        <f t="shared" si="33"/>
        <v>3.47</v>
      </c>
      <c r="AF120" s="123">
        <f t="shared" si="33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1"/>
        <v>2.1</v>
      </c>
      <c r="C121" s="124">
        <v>2.1</v>
      </c>
      <c r="D121" s="123">
        <f t="shared" si="34"/>
        <v>2.1</v>
      </c>
      <c r="E121" s="123">
        <f t="shared" si="34"/>
        <v>2.1</v>
      </c>
      <c r="F121" s="123">
        <f t="shared" si="34"/>
        <v>2.1</v>
      </c>
      <c r="G121" s="123">
        <f t="shared" si="34"/>
        <v>2.1</v>
      </c>
      <c r="H121" s="123">
        <f t="shared" si="34"/>
        <v>2.1</v>
      </c>
      <c r="I121" s="123">
        <f t="shared" si="34"/>
        <v>2.1</v>
      </c>
      <c r="J121" s="123">
        <f t="shared" si="34"/>
        <v>2.1</v>
      </c>
      <c r="K121" s="123">
        <f t="shared" si="34"/>
        <v>2.1</v>
      </c>
      <c r="L121" s="123">
        <f t="shared" si="34"/>
        <v>2.1</v>
      </c>
      <c r="M121" s="123">
        <f t="shared" si="34"/>
        <v>2.1</v>
      </c>
      <c r="N121" s="123">
        <f t="shared" si="34"/>
        <v>2.1</v>
      </c>
      <c r="O121" s="123">
        <f t="shared" si="34"/>
        <v>2.1</v>
      </c>
      <c r="P121" s="123">
        <f t="shared" si="34"/>
        <v>2.1</v>
      </c>
      <c r="Q121" s="123">
        <f t="shared" si="34"/>
        <v>2.1</v>
      </c>
      <c r="R121" s="123">
        <f t="shared" si="34"/>
        <v>2.1</v>
      </c>
      <c r="S121" s="123">
        <f t="shared" si="34"/>
        <v>2.1</v>
      </c>
      <c r="T121" s="123">
        <f t="shared" si="33"/>
        <v>2.1</v>
      </c>
      <c r="U121" s="123">
        <f t="shared" si="33"/>
        <v>2.1</v>
      </c>
      <c r="V121" s="123">
        <f t="shared" si="33"/>
        <v>2.1</v>
      </c>
      <c r="W121" s="123">
        <f t="shared" si="33"/>
        <v>2.1</v>
      </c>
      <c r="X121" s="123">
        <f t="shared" si="33"/>
        <v>2.1</v>
      </c>
      <c r="Y121" s="123">
        <f t="shared" si="33"/>
        <v>2.1</v>
      </c>
      <c r="Z121" s="123">
        <f t="shared" si="33"/>
        <v>2.1</v>
      </c>
      <c r="AA121" s="123">
        <f t="shared" si="33"/>
        <v>2.1</v>
      </c>
      <c r="AB121" s="123">
        <f t="shared" si="33"/>
        <v>2.1</v>
      </c>
      <c r="AC121" s="123">
        <f t="shared" si="33"/>
        <v>2.1</v>
      </c>
      <c r="AD121" s="123">
        <f t="shared" si="33"/>
        <v>2.1</v>
      </c>
      <c r="AE121" s="123">
        <f t="shared" si="33"/>
        <v>2.1</v>
      </c>
      <c r="AF121" s="123">
        <f t="shared" si="33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1"/>
        <v>9.3000000000000007</v>
      </c>
      <c r="C122" s="124">
        <v>9.3000000000000007</v>
      </c>
      <c r="D122" s="123">
        <f t="shared" si="34"/>
        <v>9.3000000000000007</v>
      </c>
      <c r="E122" s="123">
        <f t="shared" si="34"/>
        <v>9.3000000000000007</v>
      </c>
      <c r="F122" s="123">
        <f t="shared" si="34"/>
        <v>9.3000000000000007</v>
      </c>
      <c r="G122" s="123">
        <f t="shared" si="34"/>
        <v>9.3000000000000007</v>
      </c>
      <c r="H122" s="123">
        <f t="shared" si="34"/>
        <v>9.3000000000000007</v>
      </c>
      <c r="I122" s="123">
        <f t="shared" si="34"/>
        <v>9.3000000000000007</v>
      </c>
      <c r="J122" s="123">
        <f t="shared" si="34"/>
        <v>9.3000000000000007</v>
      </c>
      <c r="K122" s="123">
        <f t="shared" si="34"/>
        <v>9.3000000000000007</v>
      </c>
      <c r="L122" s="123">
        <f t="shared" si="34"/>
        <v>9.3000000000000007</v>
      </c>
      <c r="M122" s="123">
        <f t="shared" si="34"/>
        <v>9.3000000000000007</v>
      </c>
      <c r="N122" s="123">
        <f t="shared" si="34"/>
        <v>9.3000000000000007</v>
      </c>
      <c r="O122" s="123">
        <f t="shared" si="34"/>
        <v>9.3000000000000007</v>
      </c>
      <c r="P122" s="123">
        <f t="shared" si="34"/>
        <v>9.3000000000000007</v>
      </c>
      <c r="Q122" s="123">
        <f t="shared" si="34"/>
        <v>9.3000000000000007</v>
      </c>
      <c r="R122" s="123">
        <f t="shared" si="34"/>
        <v>9.3000000000000007</v>
      </c>
      <c r="S122" s="123">
        <f t="shared" si="34"/>
        <v>9.3000000000000007</v>
      </c>
      <c r="T122" s="123">
        <f t="shared" si="33"/>
        <v>9.3000000000000007</v>
      </c>
      <c r="U122" s="123">
        <f t="shared" si="33"/>
        <v>9.3000000000000007</v>
      </c>
      <c r="V122" s="123">
        <f t="shared" si="33"/>
        <v>9.3000000000000007</v>
      </c>
      <c r="W122" s="123">
        <f t="shared" si="33"/>
        <v>9.3000000000000007</v>
      </c>
      <c r="X122" s="123">
        <f t="shared" si="33"/>
        <v>9.3000000000000007</v>
      </c>
      <c r="Y122" s="123">
        <f t="shared" si="33"/>
        <v>9.3000000000000007</v>
      </c>
      <c r="Z122" s="123">
        <f t="shared" si="33"/>
        <v>9.3000000000000007</v>
      </c>
      <c r="AA122" s="123">
        <f t="shared" si="33"/>
        <v>9.3000000000000007</v>
      </c>
      <c r="AB122" s="123">
        <f t="shared" si="33"/>
        <v>9.3000000000000007</v>
      </c>
      <c r="AC122" s="123">
        <f t="shared" si="33"/>
        <v>9.3000000000000007</v>
      </c>
      <c r="AD122" s="123">
        <f t="shared" si="33"/>
        <v>9.3000000000000007</v>
      </c>
      <c r="AE122" s="123">
        <f t="shared" si="33"/>
        <v>9.3000000000000007</v>
      </c>
      <c r="AF122" s="123">
        <f t="shared" si="33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1"/>
        <v>0</v>
      </c>
      <c r="C123" s="124">
        <v>0</v>
      </c>
      <c r="D123" s="123">
        <f t="shared" si="34"/>
        <v>0</v>
      </c>
      <c r="E123" s="123">
        <f t="shared" si="34"/>
        <v>0</v>
      </c>
      <c r="F123" s="123">
        <f t="shared" si="34"/>
        <v>0</v>
      </c>
      <c r="G123" s="123">
        <f t="shared" si="34"/>
        <v>0</v>
      </c>
      <c r="H123" s="123">
        <f t="shared" si="34"/>
        <v>0</v>
      </c>
      <c r="I123" s="123">
        <f t="shared" si="34"/>
        <v>0</v>
      </c>
      <c r="J123" s="123">
        <f t="shared" si="34"/>
        <v>0</v>
      </c>
      <c r="K123" s="123">
        <f t="shared" si="34"/>
        <v>0</v>
      </c>
      <c r="L123" s="123">
        <f t="shared" si="34"/>
        <v>0</v>
      </c>
      <c r="M123" s="123">
        <f t="shared" si="34"/>
        <v>0</v>
      </c>
      <c r="N123" s="123">
        <f t="shared" si="34"/>
        <v>0</v>
      </c>
      <c r="O123" s="123">
        <f t="shared" si="34"/>
        <v>0</v>
      </c>
      <c r="P123" s="123">
        <f t="shared" si="34"/>
        <v>0</v>
      </c>
      <c r="Q123" s="123">
        <f t="shared" si="34"/>
        <v>0</v>
      </c>
      <c r="R123" s="123">
        <f t="shared" si="34"/>
        <v>0</v>
      </c>
      <c r="S123" s="123">
        <f t="shared" si="34"/>
        <v>0</v>
      </c>
      <c r="T123" s="123">
        <f t="shared" si="33"/>
        <v>0</v>
      </c>
      <c r="U123" s="123">
        <f t="shared" si="33"/>
        <v>0</v>
      </c>
      <c r="V123" s="123">
        <f t="shared" si="33"/>
        <v>0</v>
      </c>
      <c r="W123" s="123">
        <f t="shared" si="33"/>
        <v>0</v>
      </c>
      <c r="X123" s="123">
        <f t="shared" si="33"/>
        <v>0</v>
      </c>
      <c r="Y123" s="123">
        <f t="shared" si="33"/>
        <v>0</v>
      </c>
      <c r="Z123" s="123">
        <f t="shared" si="33"/>
        <v>0</v>
      </c>
      <c r="AA123" s="123">
        <f t="shared" si="33"/>
        <v>0</v>
      </c>
      <c r="AB123" s="123">
        <f t="shared" si="33"/>
        <v>0</v>
      </c>
      <c r="AC123" s="123">
        <f t="shared" si="33"/>
        <v>0</v>
      </c>
      <c r="AD123" s="123">
        <f t="shared" si="33"/>
        <v>0</v>
      </c>
      <c r="AE123" s="123">
        <f t="shared" si="33"/>
        <v>0</v>
      </c>
      <c r="AF123" s="123">
        <f t="shared" si="33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1"/>
        <v>;/</v>
      </c>
      <c r="C125" s="124">
        <v>5</v>
      </c>
      <c r="D125" s="123">
        <f t="shared" si="34"/>
        <v>5</v>
      </c>
      <c r="E125" s="123">
        <f t="shared" si="34"/>
        <v>5</v>
      </c>
      <c r="F125" s="123">
        <f t="shared" si="34"/>
        <v>5</v>
      </c>
      <c r="G125" s="123">
        <f t="shared" si="34"/>
        <v>5</v>
      </c>
      <c r="H125" s="123">
        <f t="shared" si="34"/>
        <v>5</v>
      </c>
      <c r="I125" s="123" t="s">
        <v>131</v>
      </c>
      <c r="J125" s="123" t="str">
        <f t="shared" si="34"/>
        <v>;/</v>
      </c>
      <c r="K125" s="123" t="str">
        <f t="shared" si="34"/>
        <v>;/</v>
      </c>
      <c r="L125" s="123" t="str">
        <f t="shared" si="34"/>
        <v>;/</v>
      </c>
      <c r="M125" s="123" t="str">
        <f t="shared" si="34"/>
        <v>;/</v>
      </c>
      <c r="N125" s="123" t="str">
        <f t="shared" si="34"/>
        <v>;/</v>
      </c>
      <c r="O125" s="123" t="str">
        <f t="shared" si="34"/>
        <v>;/</v>
      </c>
      <c r="P125" s="123" t="str">
        <f t="shared" si="34"/>
        <v>;/</v>
      </c>
      <c r="Q125" s="123" t="str">
        <f t="shared" si="34"/>
        <v>;/</v>
      </c>
      <c r="R125" s="123" t="str">
        <f t="shared" si="34"/>
        <v>;/</v>
      </c>
      <c r="S125" s="123" t="str">
        <f t="shared" si="34"/>
        <v>;/</v>
      </c>
      <c r="T125" s="123" t="str">
        <f t="shared" si="33"/>
        <v>;/</v>
      </c>
      <c r="U125" s="123" t="str">
        <f t="shared" si="33"/>
        <v>;/</v>
      </c>
      <c r="V125" s="123" t="str">
        <f t="shared" si="33"/>
        <v>;/</v>
      </c>
      <c r="W125" s="123" t="str">
        <f t="shared" si="33"/>
        <v>;/</v>
      </c>
      <c r="X125" s="123" t="str">
        <f t="shared" si="33"/>
        <v>;/</v>
      </c>
      <c r="Y125" s="123" t="str">
        <f t="shared" si="33"/>
        <v>;/</v>
      </c>
      <c r="Z125" s="123" t="str">
        <f t="shared" si="33"/>
        <v>;/</v>
      </c>
      <c r="AA125" s="123" t="str">
        <f t="shared" si="33"/>
        <v>;/</v>
      </c>
      <c r="AB125" s="123" t="str">
        <f t="shared" si="33"/>
        <v>;/</v>
      </c>
      <c r="AC125" s="123" t="str">
        <f t="shared" si="33"/>
        <v>;/</v>
      </c>
      <c r="AD125" s="123" t="str">
        <f t="shared" si="33"/>
        <v>;/</v>
      </c>
      <c r="AE125" s="123" t="str">
        <f t="shared" si="33"/>
        <v>;/</v>
      </c>
      <c r="AF125" s="123" t="str">
        <f t="shared" si="33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1"/>
        <v>1</v>
      </c>
      <c r="C126" s="124">
        <v>1</v>
      </c>
      <c r="D126" s="123">
        <f t="shared" si="34"/>
        <v>1</v>
      </c>
      <c r="E126" s="123">
        <f t="shared" si="34"/>
        <v>1</v>
      </c>
      <c r="F126" s="123">
        <f t="shared" si="34"/>
        <v>1</v>
      </c>
      <c r="G126" s="123">
        <f t="shared" si="34"/>
        <v>1</v>
      </c>
      <c r="H126" s="123">
        <f t="shared" si="34"/>
        <v>1</v>
      </c>
      <c r="I126" s="123">
        <f t="shared" si="34"/>
        <v>1</v>
      </c>
      <c r="J126" s="123">
        <f t="shared" si="34"/>
        <v>1</v>
      </c>
      <c r="K126" s="123">
        <f t="shared" si="34"/>
        <v>1</v>
      </c>
      <c r="L126" s="123">
        <f t="shared" si="34"/>
        <v>1</v>
      </c>
      <c r="M126" s="123">
        <f t="shared" si="34"/>
        <v>1</v>
      </c>
      <c r="N126" s="123">
        <f t="shared" si="34"/>
        <v>1</v>
      </c>
      <c r="O126" s="123">
        <f t="shared" si="34"/>
        <v>1</v>
      </c>
      <c r="P126" s="123">
        <f t="shared" si="34"/>
        <v>1</v>
      </c>
      <c r="Q126" s="123">
        <f t="shared" si="34"/>
        <v>1</v>
      </c>
      <c r="R126" s="123">
        <f t="shared" si="34"/>
        <v>1</v>
      </c>
      <c r="S126" s="123">
        <f t="shared" si="34"/>
        <v>1</v>
      </c>
      <c r="T126" s="123">
        <f t="shared" si="33"/>
        <v>1</v>
      </c>
      <c r="U126" s="123">
        <f t="shared" si="33"/>
        <v>1</v>
      </c>
      <c r="V126" s="123">
        <f t="shared" si="33"/>
        <v>1</v>
      </c>
      <c r="W126" s="123">
        <f t="shared" si="33"/>
        <v>1</v>
      </c>
      <c r="X126" s="123">
        <f t="shared" si="33"/>
        <v>1</v>
      </c>
      <c r="Y126" s="123">
        <f t="shared" si="33"/>
        <v>1</v>
      </c>
      <c r="Z126" s="123">
        <f t="shared" si="33"/>
        <v>1</v>
      </c>
      <c r="AA126" s="123">
        <f t="shared" si="33"/>
        <v>1</v>
      </c>
      <c r="AB126" s="123">
        <f t="shared" si="33"/>
        <v>1</v>
      </c>
      <c r="AC126" s="123">
        <f t="shared" si="33"/>
        <v>1</v>
      </c>
      <c r="AD126" s="123">
        <f t="shared" si="33"/>
        <v>1</v>
      </c>
      <c r="AE126" s="123">
        <f t="shared" si="33"/>
        <v>1</v>
      </c>
      <c r="AF126" s="123">
        <f t="shared" si="33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1"/>
        <v>1.58</v>
      </c>
      <c r="C127" s="124">
        <v>1.58</v>
      </c>
      <c r="D127" s="123">
        <f t="shared" si="34"/>
        <v>1.58</v>
      </c>
      <c r="E127" s="123">
        <f t="shared" si="34"/>
        <v>1.58</v>
      </c>
      <c r="F127" s="123">
        <f t="shared" si="34"/>
        <v>1.58</v>
      </c>
      <c r="G127" s="123">
        <f t="shared" si="34"/>
        <v>1.58</v>
      </c>
      <c r="H127" s="123">
        <f t="shared" si="34"/>
        <v>1.58</v>
      </c>
      <c r="I127" s="123">
        <f t="shared" si="34"/>
        <v>1.58</v>
      </c>
      <c r="J127" s="123">
        <f t="shared" si="34"/>
        <v>1.58</v>
      </c>
      <c r="K127" s="123">
        <f t="shared" si="34"/>
        <v>1.58</v>
      </c>
      <c r="L127" s="123">
        <f t="shared" si="34"/>
        <v>1.58</v>
      </c>
      <c r="M127" s="123">
        <f t="shared" si="34"/>
        <v>1.58</v>
      </c>
      <c r="N127" s="123">
        <f t="shared" si="34"/>
        <v>1.58</v>
      </c>
      <c r="O127" s="123">
        <f t="shared" si="34"/>
        <v>1.58</v>
      </c>
      <c r="P127" s="123">
        <f t="shared" si="34"/>
        <v>1.58</v>
      </c>
      <c r="Q127" s="123">
        <f t="shared" si="34"/>
        <v>1.58</v>
      </c>
      <c r="R127" s="123">
        <f t="shared" si="34"/>
        <v>1.58</v>
      </c>
      <c r="S127" s="123">
        <f t="shared" si="34"/>
        <v>1.58</v>
      </c>
      <c r="T127" s="123">
        <f t="shared" si="33"/>
        <v>1.58</v>
      </c>
      <c r="U127" s="123">
        <f t="shared" si="33"/>
        <v>1.58</v>
      </c>
      <c r="V127" s="123">
        <f t="shared" si="33"/>
        <v>1.58</v>
      </c>
      <c r="W127" s="123">
        <f t="shared" si="33"/>
        <v>1.58</v>
      </c>
      <c r="X127" s="123">
        <f t="shared" si="33"/>
        <v>1.58</v>
      </c>
      <c r="Y127" s="123">
        <f t="shared" si="33"/>
        <v>1.58</v>
      </c>
      <c r="Z127" s="123">
        <f t="shared" si="33"/>
        <v>1.58</v>
      </c>
      <c r="AA127" s="123">
        <f t="shared" si="33"/>
        <v>1.58</v>
      </c>
      <c r="AB127" s="123">
        <f t="shared" si="33"/>
        <v>1.58</v>
      </c>
      <c r="AC127" s="123">
        <f t="shared" si="33"/>
        <v>1.58</v>
      </c>
      <c r="AD127" s="123">
        <f t="shared" si="33"/>
        <v>1.58</v>
      </c>
      <c r="AE127" s="123">
        <f t="shared" si="33"/>
        <v>1.58</v>
      </c>
      <c r="AF127" s="123">
        <f t="shared" si="33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1"/>
        <v>1.46</v>
      </c>
      <c r="C128" s="124">
        <v>1.46</v>
      </c>
      <c r="D128" s="123">
        <f t="shared" si="34"/>
        <v>1.46</v>
      </c>
      <c r="E128" s="123">
        <f t="shared" si="34"/>
        <v>1.46</v>
      </c>
      <c r="F128" s="123">
        <f t="shared" si="34"/>
        <v>1.46</v>
      </c>
      <c r="G128" s="123">
        <f t="shared" si="34"/>
        <v>1.46</v>
      </c>
      <c r="H128" s="123">
        <f t="shared" si="34"/>
        <v>1.46</v>
      </c>
      <c r="I128" s="123">
        <f t="shared" si="34"/>
        <v>1.46</v>
      </c>
      <c r="J128" s="123">
        <f t="shared" si="34"/>
        <v>1.46</v>
      </c>
      <c r="K128" s="123">
        <f t="shared" si="34"/>
        <v>1.46</v>
      </c>
      <c r="L128" s="123">
        <f t="shared" si="34"/>
        <v>1.46</v>
      </c>
      <c r="M128" s="123">
        <f t="shared" si="34"/>
        <v>1.46</v>
      </c>
      <c r="N128" s="123">
        <f t="shared" si="34"/>
        <v>1.46</v>
      </c>
      <c r="O128" s="123">
        <f t="shared" si="34"/>
        <v>1.46</v>
      </c>
      <c r="P128" s="123">
        <f t="shared" si="34"/>
        <v>1.46</v>
      </c>
      <c r="Q128" s="123">
        <f t="shared" si="34"/>
        <v>1.46</v>
      </c>
      <c r="R128" s="123">
        <f t="shared" si="34"/>
        <v>1.46</v>
      </c>
      <c r="S128" s="123">
        <f t="shared" si="34"/>
        <v>1.46</v>
      </c>
      <c r="T128" s="123">
        <f t="shared" ref="T128:AF129" si="35">S128</f>
        <v>1.46</v>
      </c>
      <c r="U128" s="123">
        <f t="shared" si="35"/>
        <v>1.46</v>
      </c>
      <c r="V128" s="123">
        <f t="shared" si="35"/>
        <v>1.46</v>
      </c>
      <c r="W128" s="123">
        <f t="shared" si="35"/>
        <v>1.46</v>
      </c>
      <c r="X128" s="123">
        <f t="shared" si="35"/>
        <v>1.46</v>
      </c>
      <c r="Y128" s="123">
        <f t="shared" si="35"/>
        <v>1.46</v>
      </c>
      <c r="Z128" s="123">
        <f t="shared" si="35"/>
        <v>1.46</v>
      </c>
      <c r="AA128" s="123">
        <f t="shared" si="35"/>
        <v>1.46</v>
      </c>
      <c r="AB128" s="123">
        <f t="shared" si="35"/>
        <v>1.46</v>
      </c>
      <c r="AC128" s="123">
        <f t="shared" si="35"/>
        <v>1.46</v>
      </c>
      <c r="AD128" s="123">
        <f t="shared" si="35"/>
        <v>1.46</v>
      </c>
      <c r="AE128" s="123">
        <f t="shared" si="35"/>
        <v>1.46</v>
      </c>
      <c r="AF128" s="123">
        <f t="shared" si="35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1"/>
        <v>1.48</v>
      </c>
      <c r="C129" s="124">
        <v>1.48</v>
      </c>
      <c r="D129" s="123">
        <f t="shared" si="34"/>
        <v>1.48</v>
      </c>
      <c r="E129" s="123">
        <f t="shared" si="34"/>
        <v>1.48</v>
      </c>
      <c r="F129" s="123">
        <f t="shared" si="34"/>
        <v>1.48</v>
      </c>
      <c r="G129" s="123">
        <f t="shared" si="34"/>
        <v>1.48</v>
      </c>
      <c r="H129" s="123">
        <f t="shared" si="34"/>
        <v>1.48</v>
      </c>
      <c r="I129" s="123">
        <f t="shared" si="34"/>
        <v>1.48</v>
      </c>
      <c r="J129" s="123">
        <f t="shared" si="34"/>
        <v>1.48</v>
      </c>
      <c r="K129" s="123">
        <f t="shared" si="34"/>
        <v>1.48</v>
      </c>
      <c r="L129" s="123">
        <f t="shared" si="34"/>
        <v>1.48</v>
      </c>
      <c r="M129" s="123">
        <f t="shared" si="34"/>
        <v>1.48</v>
      </c>
      <c r="N129" s="123">
        <f t="shared" si="34"/>
        <v>1.48</v>
      </c>
      <c r="O129" s="123">
        <f t="shared" si="34"/>
        <v>1.48</v>
      </c>
      <c r="P129" s="123">
        <f t="shared" si="34"/>
        <v>1.48</v>
      </c>
      <c r="Q129" s="123">
        <f t="shared" si="34"/>
        <v>1.48</v>
      </c>
      <c r="R129" s="123">
        <f t="shared" si="34"/>
        <v>1.48</v>
      </c>
      <c r="S129" s="123">
        <f t="shared" si="34"/>
        <v>1.48</v>
      </c>
      <c r="T129" s="123">
        <f t="shared" si="35"/>
        <v>1.48</v>
      </c>
      <c r="U129" s="123">
        <f t="shared" si="35"/>
        <v>1.48</v>
      </c>
      <c r="V129" s="123">
        <f t="shared" si="35"/>
        <v>1.48</v>
      </c>
      <c r="W129" s="123">
        <f t="shared" si="35"/>
        <v>1.48</v>
      </c>
      <c r="X129" s="123">
        <f t="shared" si="35"/>
        <v>1.48</v>
      </c>
      <c r="Y129" s="123">
        <f t="shared" si="35"/>
        <v>1.48</v>
      </c>
      <c r="Z129" s="123">
        <f t="shared" si="35"/>
        <v>1.48</v>
      </c>
      <c r="AA129" s="123">
        <f t="shared" si="35"/>
        <v>1.48</v>
      </c>
      <c r="AB129" s="123">
        <f t="shared" si="35"/>
        <v>1.48</v>
      </c>
      <c r="AC129" s="123">
        <f t="shared" si="35"/>
        <v>1.48</v>
      </c>
      <c r="AD129" s="123">
        <f t="shared" si="35"/>
        <v>1.48</v>
      </c>
      <c r="AE129" s="123">
        <f t="shared" si="35"/>
        <v>1.48</v>
      </c>
      <c r="AF129" s="123">
        <f t="shared" si="35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6">AF131</f>
        <v>2.2000000000000002</v>
      </c>
      <c r="C131" s="124">
        <v>2.2000000000000002</v>
      </c>
      <c r="D131" s="123">
        <f t="shared" ref="D131:S138" si="37">C131</f>
        <v>2.2000000000000002</v>
      </c>
      <c r="E131" s="123">
        <f t="shared" si="37"/>
        <v>2.2000000000000002</v>
      </c>
      <c r="F131" s="123">
        <f t="shared" si="37"/>
        <v>2.2000000000000002</v>
      </c>
      <c r="G131" s="123">
        <f t="shared" si="37"/>
        <v>2.2000000000000002</v>
      </c>
      <c r="H131" s="123">
        <f t="shared" si="37"/>
        <v>2.2000000000000002</v>
      </c>
      <c r="I131" s="123">
        <f t="shared" si="37"/>
        <v>2.2000000000000002</v>
      </c>
      <c r="J131" s="123">
        <f t="shared" si="37"/>
        <v>2.2000000000000002</v>
      </c>
      <c r="K131" s="123">
        <f t="shared" si="37"/>
        <v>2.2000000000000002</v>
      </c>
      <c r="L131" s="123">
        <f t="shared" si="37"/>
        <v>2.2000000000000002</v>
      </c>
      <c r="M131" s="123">
        <f t="shared" si="37"/>
        <v>2.2000000000000002</v>
      </c>
      <c r="N131" s="123">
        <f t="shared" si="37"/>
        <v>2.2000000000000002</v>
      </c>
      <c r="O131" s="123">
        <f t="shared" si="37"/>
        <v>2.2000000000000002</v>
      </c>
      <c r="P131" s="123">
        <f t="shared" si="37"/>
        <v>2.2000000000000002</v>
      </c>
      <c r="Q131" s="123">
        <f t="shared" si="37"/>
        <v>2.2000000000000002</v>
      </c>
      <c r="R131" s="123">
        <f t="shared" si="37"/>
        <v>2.2000000000000002</v>
      </c>
      <c r="S131" s="123">
        <f t="shared" si="37"/>
        <v>2.2000000000000002</v>
      </c>
      <c r="T131" s="123">
        <f t="shared" ref="T131:AF138" si="38">S131</f>
        <v>2.2000000000000002</v>
      </c>
      <c r="U131" s="123">
        <f t="shared" si="38"/>
        <v>2.2000000000000002</v>
      </c>
      <c r="V131" s="123">
        <f t="shared" si="38"/>
        <v>2.2000000000000002</v>
      </c>
      <c r="W131" s="123">
        <f t="shared" si="38"/>
        <v>2.2000000000000002</v>
      </c>
      <c r="X131" s="123">
        <f t="shared" si="38"/>
        <v>2.2000000000000002</v>
      </c>
      <c r="Y131" s="123">
        <f t="shared" si="38"/>
        <v>2.2000000000000002</v>
      </c>
      <c r="Z131" s="123">
        <f t="shared" si="38"/>
        <v>2.2000000000000002</v>
      </c>
      <c r="AA131" s="123">
        <f t="shared" si="38"/>
        <v>2.2000000000000002</v>
      </c>
      <c r="AB131" s="123">
        <f t="shared" si="38"/>
        <v>2.2000000000000002</v>
      </c>
      <c r="AC131" s="123">
        <f t="shared" si="38"/>
        <v>2.2000000000000002</v>
      </c>
      <c r="AD131" s="123">
        <f t="shared" si="38"/>
        <v>2.2000000000000002</v>
      </c>
      <c r="AE131" s="123">
        <f t="shared" si="38"/>
        <v>2.2000000000000002</v>
      </c>
      <c r="AF131" s="123">
        <f t="shared" si="38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6"/>
        <v>2</v>
      </c>
      <c r="C132" s="124">
        <v>2</v>
      </c>
      <c r="D132" s="123">
        <f t="shared" si="37"/>
        <v>2</v>
      </c>
      <c r="E132" s="123">
        <f t="shared" si="37"/>
        <v>2</v>
      </c>
      <c r="F132" s="123">
        <f t="shared" si="37"/>
        <v>2</v>
      </c>
      <c r="G132" s="123">
        <f t="shared" si="37"/>
        <v>2</v>
      </c>
      <c r="H132" s="123">
        <f t="shared" si="37"/>
        <v>2</v>
      </c>
      <c r="I132" s="123">
        <f t="shared" si="37"/>
        <v>2</v>
      </c>
      <c r="J132" s="123">
        <f t="shared" si="37"/>
        <v>2</v>
      </c>
      <c r="K132" s="123">
        <f t="shared" si="37"/>
        <v>2</v>
      </c>
      <c r="L132" s="123">
        <f t="shared" si="37"/>
        <v>2</v>
      </c>
      <c r="M132" s="123">
        <f t="shared" si="37"/>
        <v>2</v>
      </c>
      <c r="N132" s="123">
        <f t="shared" si="37"/>
        <v>2</v>
      </c>
      <c r="O132" s="123">
        <f t="shared" si="37"/>
        <v>2</v>
      </c>
      <c r="P132" s="123">
        <f t="shared" si="37"/>
        <v>2</v>
      </c>
      <c r="Q132" s="123">
        <f t="shared" si="37"/>
        <v>2</v>
      </c>
      <c r="R132" s="123">
        <f t="shared" si="37"/>
        <v>2</v>
      </c>
      <c r="S132" s="123">
        <f t="shared" si="37"/>
        <v>2</v>
      </c>
      <c r="T132" s="123">
        <f t="shared" si="38"/>
        <v>2</v>
      </c>
      <c r="U132" s="123">
        <f t="shared" si="38"/>
        <v>2</v>
      </c>
      <c r="V132" s="123">
        <f t="shared" si="38"/>
        <v>2</v>
      </c>
      <c r="W132" s="123">
        <f t="shared" si="38"/>
        <v>2</v>
      </c>
      <c r="X132" s="123">
        <f t="shared" si="38"/>
        <v>2</v>
      </c>
      <c r="Y132" s="123">
        <f t="shared" si="38"/>
        <v>2</v>
      </c>
      <c r="Z132" s="123">
        <f t="shared" si="38"/>
        <v>2</v>
      </c>
      <c r="AA132" s="123">
        <f t="shared" si="38"/>
        <v>2</v>
      </c>
      <c r="AB132" s="123">
        <f t="shared" si="38"/>
        <v>2</v>
      </c>
      <c r="AC132" s="123">
        <f t="shared" si="38"/>
        <v>2</v>
      </c>
      <c r="AD132" s="123">
        <f t="shared" si="38"/>
        <v>2</v>
      </c>
      <c r="AE132" s="123">
        <f t="shared" si="38"/>
        <v>2</v>
      </c>
      <c r="AF132" s="123">
        <f t="shared" si="38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6"/>
        <v>1.25</v>
      </c>
      <c r="C133" s="124">
        <v>1.25</v>
      </c>
      <c r="D133" s="123">
        <f t="shared" si="37"/>
        <v>1.25</v>
      </c>
      <c r="E133" s="123">
        <f t="shared" si="37"/>
        <v>1.25</v>
      </c>
      <c r="F133" s="123">
        <f t="shared" si="37"/>
        <v>1.25</v>
      </c>
      <c r="G133" s="123">
        <f t="shared" si="37"/>
        <v>1.25</v>
      </c>
      <c r="H133" s="123">
        <f t="shared" si="37"/>
        <v>1.25</v>
      </c>
      <c r="I133" s="123">
        <f t="shared" si="37"/>
        <v>1.25</v>
      </c>
      <c r="J133" s="123">
        <f t="shared" si="37"/>
        <v>1.25</v>
      </c>
      <c r="K133" s="123">
        <f t="shared" si="37"/>
        <v>1.25</v>
      </c>
      <c r="L133" s="123">
        <f t="shared" si="37"/>
        <v>1.25</v>
      </c>
      <c r="M133" s="123">
        <f t="shared" si="37"/>
        <v>1.25</v>
      </c>
      <c r="N133" s="123">
        <f t="shared" si="37"/>
        <v>1.25</v>
      </c>
      <c r="O133" s="123">
        <f t="shared" si="37"/>
        <v>1.25</v>
      </c>
      <c r="P133" s="123">
        <f t="shared" si="37"/>
        <v>1.25</v>
      </c>
      <c r="Q133" s="123">
        <f t="shared" si="37"/>
        <v>1.25</v>
      </c>
      <c r="R133" s="123">
        <f t="shared" si="37"/>
        <v>1.25</v>
      </c>
      <c r="S133" s="123">
        <f t="shared" si="37"/>
        <v>1.25</v>
      </c>
      <c r="T133" s="123">
        <f t="shared" si="38"/>
        <v>1.25</v>
      </c>
      <c r="U133" s="123">
        <f t="shared" si="38"/>
        <v>1.25</v>
      </c>
      <c r="V133" s="123">
        <f t="shared" si="38"/>
        <v>1.25</v>
      </c>
      <c r="W133" s="123">
        <f t="shared" si="38"/>
        <v>1.25</v>
      </c>
      <c r="X133" s="123">
        <f t="shared" si="38"/>
        <v>1.25</v>
      </c>
      <c r="Y133" s="123">
        <f t="shared" si="38"/>
        <v>1.25</v>
      </c>
      <c r="Z133" s="123">
        <f t="shared" si="38"/>
        <v>1.25</v>
      </c>
      <c r="AA133" s="123">
        <f t="shared" si="38"/>
        <v>1.25</v>
      </c>
      <c r="AB133" s="123">
        <f t="shared" si="38"/>
        <v>1.25</v>
      </c>
      <c r="AC133" s="123">
        <f t="shared" si="38"/>
        <v>1.25</v>
      </c>
      <c r="AD133" s="123">
        <f t="shared" si="38"/>
        <v>1.25</v>
      </c>
      <c r="AE133" s="123">
        <f t="shared" si="38"/>
        <v>1.25</v>
      </c>
      <c r="AF133" s="123">
        <f t="shared" si="38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6"/>
        <v>1.1499999999999999</v>
      </c>
      <c r="C134" s="124">
        <v>1.1499999999999999</v>
      </c>
      <c r="D134" s="123">
        <f t="shared" si="37"/>
        <v>1.1499999999999999</v>
      </c>
      <c r="E134" s="123">
        <f t="shared" si="37"/>
        <v>1.1499999999999999</v>
      </c>
      <c r="F134" s="123">
        <f t="shared" si="37"/>
        <v>1.1499999999999999</v>
      </c>
      <c r="G134" s="123">
        <f t="shared" si="37"/>
        <v>1.1499999999999999</v>
      </c>
      <c r="H134" s="123">
        <f t="shared" si="37"/>
        <v>1.1499999999999999</v>
      </c>
      <c r="I134" s="123">
        <f t="shared" si="37"/>
        <v>1.1499999999999999</v>
      </c>
      <c r="J134" s="123">
        <f t="shared" si="37"/>
        <v>1.1499999999999999</v>
      </c>
      <c r="K134" s="123">
        <f t="shared" si="37"/>
        <v>1.1499999999999999</v>
      </c>
      <c r="L134" s="123">
        <f t="shared" si="37"/>
        <v>1.1499999999999999</v>
      </c>
      <c r="M134" s="123">
        <f t="shared" si="37"/>
        <v>1.1499999999999999</v>
      </c>
      <c r="N134" s="123">
        <f t="shared" si="37"/>
        <v>1.1499999999999999</v>
      </c>
      <c r="O134" s="123">
        <f t="shared" si="37"/>
        <v>1.1499999999999999</v>
      </c>
      <c r="P134" s="123">
        <f t="shared" si="37"/>
        <v>1.1499999999999999</v>
      </c>
      <c r="Q134" s="123">
        <f t="shared" si="37"/>
        <v>1.1499999999999999</v>
      </c>
      <c r="R134" s="123">
        <f t="shared" si="37"/>
        <v>1.1499999999999999</v>
      </c>
      <c r="S134" s="123">
        <f t="shared" si="37"/>
        <v>1.1499999999999999</v>
      </c>
      <c r="T134" s="123">
        <f t="shared" si="38"/>
        <v>1.1499999999999999</v>
      </c>
      <c r="U134" s="123">
        <f t="shared" si="38"/>
        <v>1.1499999999999999</v>
      </c>
      <c r="V134" s="123">
        <f t="shared" si="38"/>
        <v>1.1499999999999999</v>
      </c>
      <c r="W134" s="123">
        <f t="shared" si="38"/>
        <v>1.1499999999999999</v>
      </c>
      <c r="X134" s="123">
        <f t="shared" si="38"/>
        <v>1.1499999999999999</v>
      </c>
      <c r="Y134" s="123">
        <f t="shared" si="38"/>
        <v>1.1499999999999999</v>
      </c>
      <c r="Z134" s="123">
        <f t="shared" si="38"/>
        <v>1.1499999999999999</v>
      </c>
      <c r="AA134" s="123">
        <f t="shared" si="38"/>
        <v>1.1499999999999999</v>
      </c>
      <c r="AB134" s="123">
        <f t="shared" si="38"/>
        <v>1.1499999999999999</v>
      </c>
      <c r="AC134" s="123">
        <f t="shared" si="38"/>
        <v>1.1499999999999999</v>
      </c>
      <c r="AD134" s="123">
        <f t="shared" si="38"/>
        <v>1.1499999999999999</v>
      </c>
      <c r="AE134" s="123">
        <f t="shared" si="38"/>
        <v>1.1499999999999999</v>
      </c>
      <c r="AF134" s="123">
        <f t="shared" si="38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6"/>
        <v>2.133</v>
      </c>
      <c r="C135" s="124">
        <v>2.133</v>
      </c>
      <c r="D135" s="123">
        <f t="shared" si="37"/>
        <v>2.133</v>
      </c>
      <c r="E135" s="123">
        <f t="shared" si="37"/>
        <v>2.133</v>
      </c>
      <c r="F135" s="123">
        <f t="shared" si="37"/>
        <v>2.133</v>
      </c>
      <c r="G135" s="123">
        <f t="shared" si="37"/>
        <v>2.133</v>
      </c>
      <c r="H135" s="123">
        <f t="shared" si="37"/>
        <v>2.133</v>
      </c>
      <c r="I135" s="123">
        <f t="shared" si="37"/>
        <v>2.133</v>
      </c>
      <c r="J135" s="123">
        <f t="shared" si="37"/>
        <v>2.133</v>
      </c>
      <c r="K135" s="123">
        <f t="shared" si="37"/>
        <v>2.133</v>
      </c>
      <c r="L135" s="123">
        <f t="shared" si="37"/>
        <v>2.133</v>
      </c>
      <c r="M135" s="123">
        <f t="shared" si="37"/>
        <v>2.133</v>
      </c>
      <c r="N135" s="123">
        <f t="shared" si="37"/>
        <v>2.133</v>
      </c>
      <c r="O135" s="123">
        <f t="shared" si="37"/>
        <v>2.133</v>
      </c>
      <c r="P135" s="123">
        <f t="shared" si="37"/>
        <v>2.133</v>
      </c>
      <c r="Q135" s="123">
        <f t="shared" si="37"/>
        <v>2.133</v>
      </c>
      <c r="R135" s="123">
        <f t="shared" si="37"/>
        <v>2.133</v>
      </c>
      <c r="S135" s="123">
        <f t="shared" si="37"/>
        <v>2.133</v>
      </c>
      <c r="T135" s="123">
        <f t="shared" si="38"/>
        <v>2.133</v>
      </c>
      <c r="U135" s="123">
        <f t="shared" si="38"/>
        <v>2.133</v>
      </c>
      <c r="V135" s="123">
        <f t="shared" si="38"/>
        <v>2.133</v>
      </c>
      <c r="W135" s="123">
        <f t="shared" si="38"/>
        <v>2.133</v>
      </c>
      <c r="X135" s="123">
        <f t="shared" si="38"/>
        <v>2.133</v>
      </c>
      <c r="Y135" s="123">
        <f t="shared" si="38"/>
        <v>2.133</v>
      </c>
      <c r="Z135" s="123">
        <f t="shared" si="38"/>
        <v>2.133</v>
      </c>
      <c r="AA135" s="123">
        <f t="shared" si="38"/>
        <v>2.133</v>
      </c>
      <c r="AB135" s="123">
        <f t="shared" si="38"/>
        <v>2.133</v>
      </c>
      <c r="AC135" s="123">
        <f t="shared" si="38"/>
        <v>2.133</v>
      </c>
      <c r="AD135" s="123">
        <f t="shared" si="38"/>
        <v>2.133</v>
      </c>
      <c r="AE135" s="123">
        <f t="shared" si="38"/>
        <v>2.133</v>
      </c>
      <c r="AF135" s="123">
        <f t="shared" si="38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6"/>
        <v>2.09</v>
      </c>
      <c r="C136" s="124">
        <v>2.09</v>
      </c>
      <c r="D136" s="123">
        <f t="shared" si="37"/>
        <v>2.09</v>
      </c>
      <c r="E136" s="123">
        <f t="shared" si="37"/>
        <v>2.09</v>
      </c>
      <c r="F136" s="123">
        <f t="shared" si="37"/>
        <v>2.09</v>
      </c>
      <c r="G136" s="123">
        <f t="shared" si="37"/>
        <v>2.09</v>
      </c>
      <c r="H136" s="123">
        <f t="shared" si="37"/>
        <v>2.09</v>
      </c>
      <c r="I136" s="123">
        <f t="shared" si="37"/>
        <v>2.09</v>
      </c>
      <c r="J136" s="123">
        <f t="shared" si="37"/>
        <v>2.09</v>
      </c>
      <c r="K136" s="123">
        <f t="shared" si="37"/>
        <v>2.09</v>
      </c>
      <c r="L136" s="123">
        <f t="shared" si="37"/>
        <v>2.09</v>
      </c>
      <c r="M136" s="123">
        <f t="shared" si="37"/>
        <v>2.09</v>
      </c>
      <c r="N136" s="123">
        <f t="shared" si="37"/>
        <v>2.09</v>
      </c>
      <c r="O136" s="123">
        <f t="shared" si="37"/>
        <v>2.09</v>
      </c>
      <c r="P136" s="123">
        <f t="shared" si="37"/>
        <v>2.09</v>
      </c>
      <c r="Q136" s="123">
        <f t="shared" si="37"/>
        <v>2.09</v>
      </c>
      <c r="R136" s="123">
        <f t="shared" si="37"/>
        <v>2.09</v>
      </c>
      <c r="S136" s="123">
        <f t="shared" si="37"/>
        <v>2.09</v>
      </c>
      <c r="T136" s="123">
        <f t="shared" si="38"/>
        <v>2.09</v>
      </c>
      <c r="U136" s="123">
        <f t="shared" si="38"/>
        <v>2.09</v>
      </c>
      <c r="V136" s="123">
        <f t="shared" si="38"/>
        <v>2.09</v>
      </c>
      <c r="W136" s="123">
        <f t="shared" si="38"/>
        <v>2.09</v>
      </c>
      <c r="X136" s="123">
        <f t="shared" si="38"/>
        <v>2.09</v>
      </c>
      <c r="Y136" s="123">
        <f t="shared" si="38"/>
        <v>2.09</v>
      </c>
      <c r="Z136" s="123">
        <f t="shared" si="38"/>
        <v>2.09</v>
      </c>
      <c r="AA136" s="123">
        <f t="shared" si="38"/>
        <v>2.09</v>
      </c>
      <c r="AB136" s="123">
        <f t="shared" si="38"/>
        <v>2.09</v>
      </c>
      <c r="AC136" s="123">
        <f t="shared" si="38"/>
        <v>2.09</v>
      </c>
      <c r="AD136" s="123">
        <f t="shared" si="38"/>
        <v>2.09</v>
      </c>
      <c r="AE136" s="123">
        <f t="shared" si="38"/>
        <v>2.09</v>
      </c>
      <c r="AF136" s="123">
        <f t="shared" si="38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6"/>
        <v>1.1399999999999999</v>
      </c>
      <c r="C137" s="124">
        <v>1.1399999999999999</v>
      </c>
      <c r="D137" s="123">
        <f t="shared" si="37"/>
        <v>1.1399999999999999</v>
      </c>
      <c r="E137" s="123">
        <f t="shared" si="37"/>
        <v>1.1399999999999999</v>
      </c>
      <c r="F137" s="123">
        <f t="shared" si="37"/>
        <v>1.1399999999999999</v>
      </c>
      <c r="G137" s="123">
        <f t="shared" si="37"/>
        <v>1.1399999999999999</v>
      </c>
      <c r="H137" s="123">
        <f t="shared" si="37"/>
        <v>1.1399999999999999</v>
      </c>
      <c r="I137" s="123">
        <f t="shared" si="37"/>
        <v>1.1399999999999999</v>
      </c>
      <c r="J137" s="123">
        <f t="shared" si="37"/>
        <v>1.1399999999999999</v>
      </c>
      <c r="K137" s="123">
        <f t="shared" si="37"/>
        <v>1.1399999999999999</v>
      </c>
      <c r="L137" s="123">
        <f t="shared" si="37"/>
        <v>1.1399999999999999</v>
      </c>
      <c r="M137" s="123">
        <f t="shared" si="37"/>
        <v>1.1399999999999999</v>
      </c>
      <c r="N137" s="123">
        <f t="shared" si="37"/>
        <v>1.1399999999999999</v>
      </c>
      <c r="O137" s="123">
        <f t="shared" si="37"/>
        <v>1.1399999999999999</v>
      </c>
      <c r="P137" s="123">
        <f t="shared" si="37"/>
        <v>1.1399999999999999</v>
      </c>
      <c r="Q137" s="123">
        <f t="shared" si="37"/>
        <v>1.1399999999999999</v>
      </c>
      <c r="R137" s="123">
        <f t="shared" si="37"/>
        <v>1.1399999999999999</v>
      </c>
      <c r="S137" s="123">
        <f t="shared" si="37"/>
        <v>1.1399999999999999</v>
      </c>
      <c r="T137" s="123">
        <f t="shared" si="38"/>
        <v>1.1399999999999999</v>
      </c>
      <c r="U137" s="123">
        <f t="shared" si="38"/>
        <v>1.1399999999999999</v>
      </c>
      <c r="V137" s="123">
        <f t="shared" si="38"/>
        <v>1.1399999999999999</v>
      </c>
      <c r="W137" s="123">
        <f t="shared" si="38"/>
        <v>1.1399999999999999</v>
      </c>
      <c r="X137" s="123">
        <f t="shared" si="38"/>
        <v>1.1399999999999999</v>
      </c>
      <c r="Y137" s="123">
        <f t="shared" si="38"/>
        <v>1.1399999999999999</v>
      </c>
      <c r="Z137" s="123">
        <f t="shared" si="38"/>
        <v>1.1399999999999999</v>
      </c>
      <c r="AA137" s="123">
        <f t="shared" si="38"/>
        <v>1.1399999999999999</v>
      </c>
      <c r="AB137" s="123">
        <f t="shared" si="38"/>
        <v>1.1399999999999999</v>
      </c>
      <c r="AC137" s="123">
        <f t="shared" si="38"/>
        <v>1.1399999999999999</v>
      </c>
      <c r="AD137" s="123">
        <f t="shared" si="38"/>
        <v>1.1399999999999999</v>
      </c>
      <c r="AE137" s="123">
        <f t="shared" si="38"/>
        <v>1.1399999999999999</v>
      </c>
      <c r="AF137" s="123">
        <f t="shared" si="38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6"/>
        <v>0.82</v>
      </c>
      <c r="C138" s="124">
        <v>0.82</v>
      </c>
      <c r="D138" s="123">
        <f t="shared" si="37"/>
        <v>0.82</v>
      </c>
      <c r="E138" s="123">
        <f t="shared" si="37"/>
        <v>0.82</v>
      </c>
      <c r="F138" s="123">
        <f t="shared" si="37"/>
        <v>0.82</v>
      </c>
      <c r="G138" s="123">
        <f t="shared" si="37"/>
        <v>0.82</v>
      </c>
      <c r="H138" s="123">
        <f t="shared" si="37"/>
        <v>0.82</v>
      </c>
      <c r="I138" s="123">
        <f t="shared" si="37"/>
        <v>0.82</v>
      </c>
      <c r="J138" s="123">
        <f t="shared" si="37"/>
        <v>0.82</v>
      </c>
      <c r="K138" s="123">
        <f t="shared" si="37"/>
        <v>0.82</v>
      </c>
      <c r="L138" s="123">
        <f t="shared" si="37"/>
        <v>0.82</v>
      </c>
      <c r="M138" s="123">
        <f t="shared" si="37"/>
        <v>0.82</v>
      </c>
      <c r="N138" s="123">
        <f t="shared" si="37"/>
        <v>0.82</v>
      </c>
      <c r="O138" s="123">
        <f t="shared" si="37"/>
        <v>0.82</v>
      </c>
      <c r="P138" s="123">
        <f t="shared" si="37"/>
        <v>0.82</v>
      </c>
      <c r="Q138" s="123">
        <f t="shared" si="37"/>
        <v>0.82</v>
      </c>
      <c r="R138" s="123">
        <f t="shared" si="37"/>
        <v>0.82</v>
      </c>
      <c r="S138" s="123">
        <f t="shared" si="37"/>
        <v>0.82</v>
      </c>
      <c r="T138" s="123">
        <f t="shared" si="38"/>
        <v>0.82</v>
      </c>
      <c r="U138" s="123">
        <f t="shared" si="38"/>
        <v>0.82</v>
      </c>
      <c r="V138" s="123">
        <f t="shared" si="38"/>
        <v>0.82</v>
      </c>
      <c r="W138" s="123">
        <f t="shared" si="38"/>
        <v>0.82</v>
      </c>
      <c r="X138" s="123">
        <f t="shared" si="38"/>
        <v>0.82</v>
      </c>
      <c r="Y138" s="123">
        <f t="shared" si="38"/>
        <v>0.82</v>
      </c>
      <c r="Z138" s="123">
        <f t="shared" si="38"/>
        <v>0.82</v>
      </c>
      <c r="AA138" s="123">
        <f t="shared" si="38"/>
        <v>0.82</v>
      </c>
      <c r="AB138" s="123">
        <f t="shared" si="38"/>
        <v>0.82</v>
      </c>
      <c r="AC138" s="123">
        <f t="shared" si="38"/>
        <v>0.82</v>
      </c>
      <c r="AD138" s="123">
        <f t="shared" si="38"/>
        <v>0.82</v>
      </c>
      <c r="AE138" s="123">
        <f t="shared" si="38"/>
        <v>0.82</v>
      </c>
      <c r="AF138" s="123">
        <f t="shared" si="38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9">AF140</f>
        <v>2</v>
      </c>
      <c r="C140" s="124">
        <v>2</v>
      </c>
      <c r="D140" s="123">
        <f t="shared" ref="D140:S146" si="40">C140</f>
        <v>2</v>
      </c>
      <c r="E140" s="123">
        <f t="shared" si="40"/>
        <v>2</v>
      </c>
      <c r="F140" s="123">
        <f t="shared" si="40"/>
        <v>2</v>
      </c>
      <c r="G140" s="123">
        <f t="shared" si="40"/>
        <v>2</v>
      </c>
      <c r="H140" s="123">
        <f t="shared" si="40"/>
        <v>2</v>
      </c>
      <c r="I140" s="123">
        <f t="shared" si="40"/>
        <v>2</v>
      </c>
      <c r="J140" s="123">
        <f t="shared" si="40"/>
        <v>2</v>
      </c>
      <c r="K140" s="123">
        <f t="shared" si="40"/>
        <v>2</v>
      </c>
      <c r="L140" s="123">
        <f t="shared" si="40"/>
        <v>2</v>
      </c>
      <c r="M140" s="123">
        <f t="shared" si="40"/>
        <v>2</v>
      </c>
      <c r="N140" s="123">
        <f t="shared" si="40"/>
        <v>2</v>
      </c>
      <c r="O140" s="123">
        <f t="shared" si="40"/>
        <v>2</v>
      </c>
      <c r="P140" s="123">
        <f t="shared" si="40"/>
        <v>2</v>
      </c>
      <c r="Q140" s="123">
        <f t="shared" si="40"/>
        <v>2</v>
      </c>
      <c r="R140" s="123">
        <f t="shared" si="40"/>
        <v>2</v>
      </c>
      <c r="S140" s="123">
        <f t="shared" si="40"/>
        <v>2</v>
      </c>
      <c r="T140" s="123">
        <f t="shared" ref="T140:AF146" si="41">S140</f>
        <v>2</v>
      </c>
      <c r="U140" s="123">
        <f t="shared" si="41"/>
        <v>2</v>
      </c>
      <c r="V140" s="123">
        <f t="shared" si="41"/>
        <v>2</v>
      </c>
      <c r="W140" s="123">
        <f t="shared" si="41"/>
        <v>2</v>
      </c>
      <c r="X140" s="123">
        <f t="shared" si="41"/>
        <v>2</v>
      </c>
      <c r="Y140" s="123">
        <f t="shared" si="41"/>
        <v>2</v>
      </c>
      <c r="Z140" s="123">
        <f t="shared" si="41"/>
        <v>2</v>
      </c>
      <c r="AA140" s="123">
        <f t="shared" si="41"/>
        <v>2</v>
      </c>
      <c r="AB140" s="123">
        <f t="shared" si="41"/>
        <v>2</v>
      </c>
      <c r="AC140" s="123">
        <f t="shared" si="41"/>
        <v>2</v>
      </c>
      <c r="AD140" s="123">
        <f t="shared" si="41"/>
        <v>2</v>
      </c>
      <c r="AE140" s="123">
        <f t="shared" si="41"/>
        <v>2</v>
      </c>
      <c r="AF140" s="123">
        <f t="shared" si="41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9"/>
        <v>5.61</v>
      </c>
      <c r="C141" s="124">
        <v>5.61</v>
      </c>
      <c r="D141" s="123">
        <f t="shared" si="40"/>
        <v>5.61</v>
      </c>
      <c r="E141" s="123">
        <f t="shared" si="40"/>
        <v>5.61</v>
      </c>
      <c r="F141" s="123">
        <f t="shared" si="40"/>
        <v>5.61</v>
      </c>
      <c r="G141" s="123">
        <f t="shared" si="40"/>
        <v>5.61</v>
      </c>
      <c r="H141" s="123">
        <f t="shared" si="40"/>
        <v>5.61</v>
      </c>
      <c r="I141" s="123">
        <f t="shared" si="40"/>
        <v>5.61</v>
      </c>
      <c r="J141" s="123">
        <f t="shared" si="40"/>
        <v>5.61</v>
      </c>
      <c r="K141" s="123">
        <f t="shared" si="40"/>
        <v>5.61</v>
      </c>
      <c r="L141" s="123">
        <f t="shared" si="40"/>
        <v>5.61</v>
      </c>
      <c r="M141" s="123">
        <f t="shared" si="40"/>
        <v>5.61</v>
      </c>
      <c r="N141" s="123">
        <f t="shared" si="40"/>
        <v>5.61</v>
      </c>
      <c r="O141" s="123">
        <f t="shared" si="40"/>
        <v>5.61</v>
      </c>
      <c r="P141" s="123">
        <f t="shared" si="40"/>
        <v>5.61</v>
      </c>
      <c r="Q141" s="123">
        <f t="shared" si="40"/>
        <v>5.61</v>
      </c>
      <c r="R141" s="123">
        <f t="shared" si="40"/>
        <v>5.61</v>
      </c>
      <c r="S141" s="123">
        <f t="shared" si="40"/>
        <v>5.61</v>
      </c>
      <c r="T141" s="123">
        <f t="shared" si="41"/>
        <v>5.61</v>
      </c>
      <c r="U141" s="123">
        <f t="shared" si="41"/>
        <v>5.61</v>
      </c>
      <c r="V141" s="123">
        <f t="shared" si="41"/>
        <v>5.61</v>
      </c>
      <c r="W141" s="123">
        <f t="shared" si="41"/>
        <v>5.61</v>
      </c>
      <c r="X141" s="123">
        <f t="shared" si="41"/>
        <v>5.61</v>
      </c>
      <c r="Y141" s="123">
        <f t="shared" si="41"/>
        <v>5.61</v>
      </c>
      <c r="Z141" s="123">
        <f t="shared" si="41"/>
        <v>5.61</v>
      </c>
      <c r="AA141" s="123">
        <f t="shared" si="41"/>
        <v>5.61</v>
      </c>
      <c r="AB141" s="123">
        <f t="shared" si="41"/>
        <v>5.61</v>
      </c>
      <c r="AC141" s="123">
        <f t="shared" si="41"/>
        <v>5.61</v>
      </c>
      <c r="AD141" s="123">
        <f t="shared" si="41"/>
        <v>5.61</v>
      </c>
      <c r="AE141" s="123">
        <f t="shared" si="41"/>
        <v>5.61</v>
      </c>
      <c r="AF141" s="123">
        <f t="shared" si="41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9"/>
        <v>1.25</v>
      </c>
      <c r="C142" s="124">
        <v>1.25</v>
      </c>
      <c r="D142" s="123">
        <f t="shared" si="40"/>
        <v>1.25</v>
      </c>
      <c r="E142" s="123">
        <f t="shared" si="40"/>
        <v>1.25</v>
      </c>
      <c r="F142" s="123">
        <f t="shared" si="40"/>
        <v>1.25</v>
      </c>
      <c r="G142" s="123">
        <f t="shared" si="40"/>
        <v>1.25</v>
      </c>
      <c r="H142" s="123">
        <f t="shared" si="40"/>
        <v>1.25</v>
      </c>
      <c r="I142" s="123">
        <f t="shared" si="40"/>
        <v>1.25</v>
      </c>
      <c r="J142" s="123">
        <f t="shared" si="40"/>
        <v>1.25</v>
      </c>
      <c r="K142" s="123">
        <f t="shared" si="40"/>
        <v>1.25</v>
      </c>
      <c r="L142" s="123">
        <f t="shared" si="40"/>
        <v>1.25</v>
      </c>
      <c r="M142" s="123">
        <f t="shared" si="40"/>
        <v>1.25</v>
      </c>
      <c r="N142" s="123">
        <f t="shared" si="40"/>
        <v>1.25</v>
      </c>
      <c r="O142" s="123">
        <f t="shared" si="40"/>
        <v>1.25</v>
      </c>
      <c r="P142" s="123">
        <f t="shared" si="40"/>
        <v>1.25</v>
      </c>
      <c r="Q142" s="123">
        <f t="shared" si="40"/>
        <v>1.25</v>
      </c>
      <c r="R142" s="123">
        <f t="shared" si="40"/>
        <v>1.25</v>
      </c>
      <c r="S142" s="123">
        <f t="shared" si="40"/>
        <v>1.25</v>
      </c>
      <c r="T142" s="123">
        <f t="shared" si="41"/>
        <v>1.25</v>
      </c>
      <c r="U142" s="123">
        <f t="shared" si="41"/>
        <v>1.25</v>
      </c>
      <c r="V142" s="123">
        <f t="shared" si="41"/>
        <v>1.25</v>
      </c>
      <c r="W142" s="123">
        <f t="shared" si="41"/>
        <v>1.25</v>
      </c>
      <c r="X142" s="123">
        <f t="shared" si="41"/>
        <v>1.25</v>
      </c>
      <c r="Y142" s="123">
        <f t="shared" si="41"/>
        <v>1.25</v>
      </c>
      <c r="Z142" s="123">
        <f t="shared" si="41"/>
        <v>1.25</v>
      </c>
      <c r="AA142" s="123">
        <f t="shared" si="41"/>
        <v>1.25</v>
      </c>
      <c r="AB142" s="123">
        <f t="shared" si="41"/>
        <v>1.25</v>
      </c>
      <c r="AC142" s="123">
        <f t="shared" si="41"/>
        <v>1.25</v>
      </c>
      <c r="AD142" s="123">
        <f t="shared" si="41"/>
        <v>1.25</v>
      </c>
      <c r="AE142" s="123">
        <f t="shared" si="41"/>
        <v>1.25</v>
      </c>
      <c r="AF142" s="123">
        <f t="shared" si="41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9"/>
        <v>1.46</v>
      </c>
      <c r="C144" s="124">
        <v>1.46</v>
      </c>
      <c r="D144" s="123">
        <f t="shared" si="40"/>
        <v>1.46</v>
      </c>
      <c r="E144" s="123">
        <f t="shared" si="40"/>
        <v>1.46</v>
      </c>
      <c r="F144" s="123">
        <f t="shared" si="40"/>
        <v>1.46</v>
      </c>
      <c r="G144" s="123">
        <f t="shared" si="40"/>
        <v>1.46</v>
      </c>
      <c r="H144" s="123">
        <f t="shared" si="40"/>
        <v>1.46</v>
      </c>
      <c r="I144" s="123">
        <f t="shared" si="40"/>
        <v>1.46</v>
      </c>
      <c r="J144" s="123">
        <f t="shared" si="40"/>
        <v>1.46</v>
      </c>
      <c r="K144" s="123">
        <f t="shared" si="40"/>
        <v>1.46</v>
      </c>
      <c r="L144" s="123">
        <f t="shared" si="40"/>
        <v>1.46</v>
      </c>
      <c r="M144" s="123">
        <f t="shared" si="40"/>
        <v>1.46</v>
      </c>
      <c r="N144" s="123">
        <f t="shared" si="40"/>
        <v>1.46</v>
      </c>
      <c r="O144" s="123">
        <f t="shared" si="40"/>
        <v>1.46</v>
      </c>
      <c r="P144" s="123">
        <f t="shared" si="40"/>
        <v>1.46</v>
      </c>
      <c r="Q144" s="123">
        <f t="shared" si="40"/>
        <v>1.46</v>
      </c>
      <c r="R144" s="123">
        <f t="shared" si="40"/>
        <v>1.46</v>
      </c>
      <c r="S144" s="123">
        <f t="shared" si="40"/>
        <v>1.46</v>
      </c>
      <c r="T144" s="123">
        <f t="shared" si="41"/>
        <v>1.46</v>
      </c>
      <c r="U144" s="123">
        <f t="shared" si="41"/>
        <v>1.46</v>
      </c>
      <c r="V144" s="123">
        <f t="shared" si="41"/>
        <v>1.46</v>
      </c>
      <c r="W144" s="123">
        <f t="shared" si="41"/>
        <v>1.46</v>
      </c>
      <c r="X144" s="123">
        <f t="shared" si="41"/>
        <v>1.46</v>
      </c>
      <c r="Y144" s="123">
        <f t="shared" si="41"/>
        <v>1.46</v>
      </c>
      <c r="Z144" s="123">
        <f t="shared" si="41"/>
        <v>1.46</v>
      </c>
      <c r="AA144" s="123">
        <f t="shared" si="41"/>
        <v>1.46</v>
      </c>
      <c r="AB144" s="123">
        <f t="shared" si="41"/>
        <v>1.46</v>
      </c>
      <c r="AC144" s="123">
        <f t="shared" si="41"/>
        <v>1.46</v>
      </c>
      <c r="AD144" s="123">
        <f t="shared" si="41"/>
        <v>1.46</v>
      </c>
      <c r="AE144" s="123">
        <f t="shared" si="41"/>
        <v>1.46</v>
      </c>
      <c r="AF144" s="123">
        <f t="shared" si="41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9"/>
        <v>3</v>
      </c>
      <c r="C145" s="124">
        <v>3</v>
      </c>
      <c r="D145" s="123">
        <f t="shared" si="40"/>
        <v>3</v>
      </c>
      <c r="E145" s="123">
        <f t="shared" si="40"/>
        <v>3</v>
      </c>
      <c r="F145" s="123">
        <f t="shared" si="40"/>
        <v>3</v>
      </c>
      <c r="G145" s="123">
        <f t="shared" si="40"/>
        <v>3</v>
      </c>
      <c r="H145" s="123">
        <f t="shared" si="40"/>
        <v>3</v>
      </c>
      <c r="I145" s="123">
        <f t="shared" si="40"/>
        <v>3</v>
      </c>
      <c r="J145" s="123">
        <f t="shared" si="40"/>
        <v>3</v>
      </c>
      <c r="K145" s="123">
        <f t="shared" si="40"/>
        <v>3</v>
      </c>
      <c r="L145" s="123">
        <f t="shared" si="40"/>
        <v>3</v>
      </c>
      <c r="M145" s="123">
        <f t="shared" si="40"/>
        <v>3</v>
      </c>
      <c r="N145" s="123">
        <f t="shared" si="40"/>
        <v>3</v>
      </c>
      <c r="O145" s="123">
        <f t="shared" si="40"/>
        <v>3</v>
      </c>
      <c r="P145" s="123">
        <f t="shared" si="40"/>
        <v>3</v>
      </c>
      <c r="Q145" s="123">
        <f t="shared" si="40"/>
        <v>3</v>
      </c>
      <c r="R145" s="123">
        <f t="shared" si="40"/>
        <v>3</v>
      </c>
      <c r="S145" s="123">
        <f t="shared" si="40"/>
        <v>3</v>
      </c>
      <c r="T145" s="123">
        <f t="shared" si="41"/>
        <v>3</v>
      </c>
      <c r="U145" s="123">
        <f t="shared" si="41"/>
        <v>3</v>
      </c>
      <c r="V145" s="123">
        <f t="shared" si="41"/>
        <v>3</v>
      </c>
      <c r="W145" s="123">
        <f t="shared" si="41"/>
        <v>3</v>
      </c>
      <c r="X145" s="123">
        <f t="shared" si="41"/>
        <v>3</v>
      </c>
      <c r="Y145" s="123">
        <f t="shared" si="41"/>
        <v>3</v>
      </c>
      <c r="Z145" s="123">
        <f t="shared" si="41"/>
        <v>3</v>
      </c>
      <c r="AA145" s="123">
        <f t="shared" si="41"/>
        <v>3</v>
      </c>
      <c r="AB145" s="123">
        <f t="shared" si="41"/>
        <v>3</v>
      </c>
      <c r="AC145" s="123">
        <f t="shared" si="41"/>
        <v>3</v>
      </c>
      <c r="AD145" s="123">
        <f t="shared" si="41"/>
        <v>3</v>
      </c>
      <c r="AE145" s="123">
        <f t="shared" si="41"/>
        <v>3</v>
      </c>
      <c r="AF145" s="123">
        <f t="shared" si="41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9"/>
        <v>3.3</v>
      </c>
      <c r="C146" s="124">
        <v>3.3</v>
      </c>
      <c r="D146" s="123">
        <f t="shared" si="40"/>
        <v>3.3</v>
      </c>
      <c r="E146" s="123">
        <f t="shared" si="40"/>
        <v>3.3</v>
      </c>
      <c r="F146" s="123">
        <f t="shared" si="40"/>
        <v>3.3</v>
      </c>
      <c r="G146" s="123">
        <f t="shared" si="40"/>
        <v>3.3</v>
      </c>
      <c r="H146" s="123">
        <f t="shared" si="40"/>
        <v>3.3</v>
      </c>
      <c r="I146" s="123">
        <f t="shared" si="40"/>
        <v>3.3</v>
      </c>
      <c r="J146" s="123">
        <f t="shared" si="40"/>
        <v>3.3</v>
      </c>
      <c r="K146" s="123">
        <f t="shared" si="40"/>
        <v>3.3</v>
      </c>
      <c r="L146" s="123">
        <f t="shared" si="40"/>
        <v>3.3</v>
      </c>
      <c r="M146" s="123">
        <f t="shared" si="40"/>
        <v>3.3</v>
      </c>
      <c r="N146" s="123">
        <f t="shared" si="40"/>
        <v>3.3</v>
      </c>
      <c r="O146" s="123">
        <f t="shared" si="40"/>
        <v>3.3</v>
      </c>
      <c r="P146" s="123">
        <f t="shared" si="40"/>
        <v>3.3</v>
      </c>
      <c r="Q146" s="123">
        <f t="shared" si="40"/>
        <v>3.3</v>
      </c>
      <c r="R146" s="123">
        <f t="shared" si="40"/>
        <v>3.3</v>
      </c>
      <c r="S146" s="123">
        <f t="shared" si="40"/>
        <v>3.3</v>
      </c>
      <c r="T146" s="123">
        <f t="shared" si="41"/>
        <v>3.3</v>
      </c>
      <c r="U146" s="123">
        <f t="shared" si="41"/>
        <v>3.3</v>
      </c>
      <c r="V146" s="123">
        <f t="shared" si="41"/>
        <v>3.3</v>
      </c>
      <c r="W146" s="123">
        <f t="shared" si="41"/>
        <v>3.3</v>
      </c>
      <c r="X146" s="123">
        <f t="shared" si="41"/>
        <v>3.3</v>
      </c>
      <c r="Y146" s="123">
        <f t="shared" si="41"/>
        <v>3.3</v>
      </c>
      <c r="Z146" s="123">
        <f t="shared" si="41"/>
        <v>3.3</v>
      </c>
      <c r="AA146" s="123">
        <f t="shared" si="41"/>
        <v>3.3</v>
      </c>
      <c r="AB146" s="123">
        <f t="shared" si="41"/>
        <v>3.3</v>
      </c>
      <c r="AC146" s="123">
        <f t="shared" si="41"/>
        <v>3.3</v>
      </c>
      <c r="AD146" s="123">
        <f t="shared" si="41"/>
        <v>3.3</v>
      </c>
      <c r="AE146" s="123">
        <f t="shared" si="41"/>
        <v>3.3</v>
      </c>
      <c r="AF146" s="123">
        <f t="shared" si="41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2">C148</f>
        <v>1.76</v>
      </c>
      <c r="E148" s="123">
        <f t="shared" si="42"/>
        <v>1.76</v>
      </c>
      <c r="F148" s="123">
        <f t="shared" si="42"/>
        <v>1.76</v>
      </c>
      <c r="G148" s="123">
        <f t="shared" si="42"/>
        <v>1.76</v>
      </c>
      <c r="H148" s="123">
        <f t="shared" si="42"/>
        <v>1.76</v>
      </c>
      <c r="I148" s="123">
        <f t="shared" si="42"/>
        <v>1.76</v>
      </c>
      <c r="J148" s="123">
        <f t="shared" si="42"/>
        <v>1.76</v>
      </c>
      <c r="K148" s="123">
        <f t="shared" si="42"/>
        <v>1.76</v>
      </c>
      <c r="L148" s="123">
        <f t="shared" si="42"/>
        <v>1.76</v>
      </c>
      <c r="M148" s="123">
        <f t="shared" si="42"/>
        <v>1.76</v>
      </c>
      <c r="N148" s="123">
        <f t="shared" si="42"/>
        <v>1.76</v>
      </c>
      <c r="O148" s="123">
        <f t="shared" si="42"/>
        <v>1.76</v>
      </c>
      <c r="P148" s="123">
        <f t="shared" si="42"/>
        <v>1.76</v>
      </c>
      <c r="Q148" s="123">
        <f t="shared" si="42"/>
        <v>1.76</v>
      </c>
      <c r="R148" s="123">
        <f t="shared" si="42"/>
        <v>1.76</v>
      </c>
      <c r="S148" s="123">
        <f t="shared" si="42"/>
        <v>1.76</v>
      </c>
      <c r="T148" s="123">
        <f t="shared" ref="T148:AF149" si="43">S148</f>
        <v>1.76</v>
      </c>
      <c r="U148" s="123">
        <f t="shared" si="43"/>
        <v>1.76</v>
      </c>
      <c r="V148" s="123">
        <f t="shared" si="43"/>
        <v>1.76</v>
      </c>
      <c r="W148" s="123">
        <f t="shared" si="43"/>
        <v>1.76</v>
      </c>
      <c r="X148" s="123">
        <f t="shared" si="43"/>
        <v>1.76</v>
      </c>
      <c r="Y148" s="123">
        <f t="shared" si="43"/>
        <v>1.76</v>
      </c>
      <c r="Z148" s="123">
        <f t="shared" si="43"/>
        <v>1.76</v>
      </c>
      <c r="AA148" s="123">
        <f t="shared" si="43"/>
        <v>1.76</v>
      </c>
      <c r="AB148" s="123">
        <f t="shared" si="43"/>
        <v>1.76</v>
      </c>
      <c r="AC148" s="123">
        <f t="shared" si="43"/>
        <v>1.76</v>
      </c>
      <c r="AD148" s="123">
        <f t="shared" si="43"/>
        <v>1.76</v>
      </c>
      <c r="AE148" s="123">
        <f t="shared" si="43"/>
        <v>1.76</v>
      </c>
      <c r="AF148" s="123">
        <f t="shared" si="43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2"/>
        <v>0</v>
      </c>
      <c r="E149" s="123">
        <f t="shared" si="42"/>
        <v>0</v>
      </c>
      <c r="F149" s="123">
        <f t="shared" si="42"/>
        <v>0</v>
      </c>
      <c r="G149" s="123">
        <f t="shared" si="42"/>
        <v>0</v>
      </c>
      <c r="H149" s="123">
        <f t="shared" si="42"/>
        <v>0</v>
      </c>
      <c r="I149" s="123">
        <f t="shared" si="42"/>
        <v>0</v>
      </c>
      <c r="J149" s="123">
        <f t="shared" si="42"/>
        <v>0</v>
      </c>
      <c r="K149" s="123">
        <f t="shared" si="42"/>
        <v>0</v>
      </c>
      <c r="L149" s="123">
        <f t="shared" si="42"/>
        <v>0</v>
      </c>
      <c r="M149" s="123">
        <f t="shared" si="42"/>
        <v>0</v>
      </c>
      <c r="N149" s="123">
        <f t="shared" si="42"/>
        <v>0</v>
      </c>
      <c r="O149" s="123">
        <f t="shared" si="42"/>
        <v>0</v>
      </c>
      <c r="P149" s="123">
        <f t="shared" si="42"/>
        <v>0</v>
      </c>
      <c r="Q149" s="123">
        <f t="shared" si="42"/>
        <v>0</v>
      </c>
      <c r="R149" s="123">
        <f t="shared" si="42"/>
        <v>0</v>
      </c>
      <c r="S149" s="123">
        <f t="shared" si="42"/>
        <v>0</v>
      </c>
      <c r="T149" s="123">
        <f t="shared" si="43"/>
        <v>0</v>
      </c>
      <c r="U149" s="123">
        <f t="shared" si="43"/>
        <v>0</v>
      </c>
      <c r="V149" s="123">
        <f t="shared" si="43"/>
        <v>0</v>
      </c>
      <c r="W149" s="123">
        <f t="shared" si="43"/>
        <v>0</v>
      </c>
      <c r="X149" s="123">
        <f t="shared" si="43"/>
        <v>0</v>
      </c>
      <c r="Y149" s="123">
        <f t="shared" si="43"/>
        <v>0</v>
      </c>
      <c r="Z149" s="123">
        <f t="shared" si="43"/>
        <v>0</v>
      </c>
      <c r="AA149" s="123">
        <f t="shared" si="43"/>
        <v>0</v>
      </c>
      <c r="AB149" s="123">
        <f t="shared" si="43"/>
        <v>0</v>
      </c>
      <c r="AC149" s="123">
        <f t="shared" si="43"/>
        <v>0</v>
      </c>
      <c r="AD149" s="123">
        <f t="shared" si="43"/>
        <v>0</v>
      </c>
      <c r="AE149" s="123">
        <f t="shared" si="43"/>
        <v>0</v>
      </c>
      <c r="AF149" s="123">
        <f t="shared" si="43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4">C151</f>
        <v>0.1</v>
      </c>
      <c r="E151" s="123">
        <f t="shared" si="44"/>
        <v>0.1</v>
      </c>
      <c r="F151" s="123">
        <f t="shared" si="44"/>
        <v>0.1</v>
      </c>
      <c r="G151" s="123">
        <f t="shared" si="44"/>
        <v>0.1</v>
      </c>
      <c r="H151" s="123">
        <f t="shared" si="44"/>
        <v>0.1</v>
      </c>
      <c r="I151" s="123">
        <f t="shared" si="44"/>
        <v>0.1</v>
      </c>
      <c r="J151" s="123">
        <f t="shared" si="44"/>
        <v>0.1</v>
      </c>
      <c r="K151" s="123">
        <f t="shared" si="44"/>
        <v>0.1</v>
      </c>
      <c r="L151" s="123">
        <f t="shared" si="44"/>
        <v>0.1</v>
      </c>
      <c r="M151" s="123">
        <f t="shared" si="44"/>
        <v>0.1</v>
      </c>
      <c r="N151" s="123">
        <f t="shared" si="44"/>
        <v>0.1</v>
      </c>
      <c r="O151" s="123">
        <f t="shared" si="44"/>
        <v>0.1</v>
      </c>
      <c r="P151" s="123">
        <f t="shared" si="44"/>
        <v>0.1</v>
      </c>
      <c r="Q151" s="123">
        <f t="shared" si="44"/>
        <v>0.1</v>
      </c>
      <c r="R151" s="123">
        <f t="shared" si="44"/>
        <v>0.1</v>
      </c>
      <c r="S151" s="123">
        <f t="shared" si="44"/>
        <v>0.1</v>
      </c>
      <c r="T151" s="123">
        <f t="shared" ref="T151:AF154" si="45">S151</f>
        <v>0.1</v>
      </c>
      <c r="U151" s="123">
        <f t="shared" si="45"/>
        <v>0.1</v>
      </c>
      <c r="V151" s="123">
        <f t="shared" si="45"/>
        <v>0.1</v>
      </c>
      <c r="W151" s="123">
        <f t="shared" si="45"/>
        <v>0.1</v>
      </c>
      <c r="X151" s="123">
        <f t="shared" si="45"/>
        <v>0.1</v>
      </c>
      <c r="Y151" s="123">
        <f t="shared" si="45"/>
        <v>0.1</v>
      </c>
      <c r="Z151" s="123">
        <f t="shared" si="45"/>
        <v>0.1</v>
      </c>
      <c r="AA151" s="123">
        <f t="shared" si="45"/>
        <v>0.1</v>
      </c>
      <c r="AB151" s="123">
        <f t="shared" si="45"/>
        <v>0.1</v>
      </c>
      <c r="AC151" s="123">
        <f t="shared" si="45"/>
        <v>0.1</v>
      </c>
      <c r="AD151" s="123">
        <f t="shared" si="45"/>
        <v>0.1</v>
      </c>
      <c r="AE151" s="123">
        <f t="shared" si="45"/>
        <v>0.1</v>
      </c>
      <c r="AF151" s="123">
        <f t="shared" si="45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4"/>
        <v>2.0499999999999998</v>
      </c>
      <c r="E152" s="123">
        <f t="shared" si="44"/>
        <v>2.0499999999999998</v>
      </c>
      <c r="F152" s="123">
        <f t="shared" si="44"/>
        <v>2.0499999999999998</v>
      </c>
      <c r="G152" s="123">
        <f t="shared" si="44"/>
        <v>2.0499999999999998</v>
      </c>
      <c r="H152" s="123">
        <f t="shared" si="44"/>
        <v>2.0499999999999998</v>
      </c>
      <c r="I152" s="123">
        <f t="shared" si="44"/>
        <v>2.0499999999999998</v>
      </c>
      <c r="J152" s="123">
        <f t="shared" si="44"/>
        <v>2.0499999999999998</v>
      </c>
      <c r="K152" s="123">
        <f t="shared" si="44"/>
        <v>2.0499999999999998</v>
      </c>
      <c r="L152" s="123">
        <f t="shared" si="44"/>
        <v>2.0499999999999998</v>
      </c>
      <c r="M152" s="123">
        <f t="shared" si="44"/>
        <v>2.0499999999999998</v>
      </c>
      <c r="N152" s="123">
        <f t="shared" si="44"/>
        <v>2.0499999999999998</v>
      </c>
      <c r="O152" s="123">
        <f t="shared" si="44"/>
        <v>2.0499999999999998</v>
      </c>
      <c r="P152" s="123">
        <f t="shared" si="44"/>
        <v>2.0499999999999998</v>
      </c>
      <c r="Q152" s="123">
        <f t="shared" si="44"/>
        <v>2.0499999999999998</v>
      </c>
      <c r="R152" s="123">
        <f t="shared" si="44"/>
        <v>2.0499999999999998</v>
      </c>
      <c r="S152" s="123">
        <f t="shared" si="44"/>
        <v>2.0499999999999998</v>
      </c>
      <c r="T152" s="123">
        <f t="shared" si="45"/>
        <v>2.0499999999999998</v>
      </c>
      <c r="U152" s="123">
        <f t="shared" si="45"/>
        <v>2.0499999999999998</v>
      </c>
      <c r="V152" s="123">
        <f t="shared" si="45"/>
        <v>2.0499999999999998</v>
      </c>
      <c r="W152" s="123">
        <f t="shared" si="45"/>
        <v>2.0499999999999998</v>
      </c>
      <c r="X152" s="123">
        <f t="shared" si="45"/>
        <v>2.0499999999999998</v>
      </c>
      <c r="Y152" s="123">
        <f t="shared" si="45"/>
        <v>2.0499999999999998</v>
      </c>
      <c r="Z152" s="123">
        <f t="shared" si="45"/>
        <v>2.0499999999999998</v>
      </c>
      <c r="AA152" s="123">
        <f t="shared" si="45"/>
        <v>2.0499999999999998</v>
      </c>
      <c r="AB152" s="123">
        <f t="shared" si="45"/>
        <v>2.0499999999999998</v>
      </c>
      <c r="AC152" s="123">
        <f t="shared" si="45"/>
        <v>2.0499999999999998</v>
      </c>
      <c r="AD152" s="123">
        <f t="shared" si="45"/>
        <v>2.0499999999999998</v>
      </c>
      <c r="AE152" s="123">
        <f t="shared" si="45"/>
        <v>2.0499999999999998</v>
      </c>
      <c r="AF152" s="123">
        <f t="shared" si="45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4"/>
        <v>2.7</v>
      </c>
      <c r="E153" s="123">
        <f t="shared" si="44"/>
        <v>2.7</v>
      </c>
      <c r="F153" s="123">
        <f t="shared" si="44"/>
        <v>2.7</v>
      </c>
      <c r="G153" s="123">
        <f t="shared" si="44"/>
        <v>2.7</v>
      </c>
      <c r="H153" s="123">
        <f t="shared" si="44"/>
        <v>2.7</v>
      </c>
      <c r="I153" s="123">
        <f t="shared" si="44"/>
        <v>2.7</v>
      </c>
      <c r="J153" s="123">
        <f t="shared" si="44"/>
        <v>2.7</v>
      </c>
      <c r="K153" s="123">
        <f t="shared" si="44"/>
        <v>2.7</v>
      </c>
      <c r="L153" s="123">
        <f t="shared" si="44"/>
        <v>2.7</v>
      </c>
      <c r="M153" s="123">
        <f t="shared" si="44"/>
        <v>2.7</v>
      </c>
      <c r="N153" s="123">
        <f t="shared" si="44"/>
        <v>2.7</v>
      </c>
      <c r="O153" s="123">
        <f t="shared" si="44"/>
        <v>2.7</v>
      </c>
      <c r="P153" s="123">
        <f t="shared" si="44"/>
        <v>2.7</v>
      </c>
      <c r="Q153" s="123">
        <f t="shared" si="44"/>
        <v>2.7</v>
      </c>
      <c r="R153" s="123">
        <f t="shared" si="44"/>
        <v>2.7</v>
      </c>
      <c r="S153" s="123">
        <f t="shared" si="44"/>
        <v>2.7</v>
      </c>
      <c r="T153" s="123">
        <f t="shared" si="45"/>
        <v>2.7</v>
      </c>
      <c r="U153" s="123">
        <f t="shared" si="45"/>
        <v>2.7</v>
      </c>
      <c r="V153" s="123">
        <f t="shared" si="45"/>
        <v>2.7</v>
      </c>
      <c r="W153" s="123">
        <f t="shared" si="45"/>
        <v>2.7</v>
      </c>
      <c r="X153" s="123">
        <f t="shared" si="45"/>
        <v>2.7</v>
      </c>
      <c r="Y153" s="123">
        <f t="shared" si="45"/>
        <v>2.7</v>
      </c>
      <c r="Z153" s="123">
        <f t="shared" si="45"/>
        <v>2.7</v>
      </c>
      <c r="AA153" s="123">
        <f t="shared" si="45"/>
        <v>2.7</v>
      </c>
      <c r="AB153" s="123">
        <f t="shared" si="45"/>
        <v>2.7</v>
      </c>
      <c r="AC153" s="123">
        <f t="shared" si="45"/>
        <v>2.7</v>
      </c>
      <c r="AD153" s="123">
        <f t="shared" si="45"/>
        <v>2.7</v>
      </c>
      <c r="AE153" s="123">
        <f t="shared" si="45"/>
        <v>2.7</v>
      </c>
      <c r="AF153" s="123">
        <f t="shared" si="45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4"/>
        <v>2.15</v>
      </c>
      <c r="E154" s="123">
        <f t="shared" si="44"/>
        <v>2.15</v>
      </c>
      <c r="F154" s="123">
        <f t="shared" si="44"/>
        <v>2.15</v>
      </c>
      <c r="G154" s="123">
        <f t="shared" si="44"/>
        <v>2.15</v>
      </c>
      <c r="H154" s="123">
        <f t="shared" si="44"/>
        <v>2.15</v>
      </c>
      <c r="I154" s="123">
        <f t="shared" si="44"/>
        <v>2.15</v>
      </c>
      <c r="J154" s="123">
        <f t="shared" si="44"/>
        <v>2.15</v>
      </c>
      <c r="K154" s="123">
        <f t="shared" si="44"/>
        <v>2.15</v>
      </c>
      <c r="L154" s="123">
        <f t="shared" si="44"/>
        <v>2.15</v>
      </c>
      <c r="M154" s="123">
        <f t="shared" si="44"/>
        <v>2.15</v>
      </c>
      <c r="N154" s="123">
        <f t="shared" si="44"/>
        <v>2.15</v>
      </c>
      <c r="O154" s="123">
        <f t="shared" si="44"/>
        <v>2.15</v>
      </c>
      <c r="P154" s="123">
        <f t="shared" si="44"/>
        <v>2.15</v>
      </c>
      <c r="Q154" s="123">
        <f t="shared" si="44"/>
        <v>2.15</v>
      </c>
      <c r="R154" s="123">
        <f t="shared" si="44"/>
        <v>2.15</v>
      </c>
      <c r="S154" s="123">
        <f t="shared" si="44"/>
        <v>2.15</v>
      </c>
      <c r="T154" s="123">
        <f t="shared" si="45"/>
        <v>2.15</v>
      </c>
      <c r="U154" s="123">
        <f t="shared" si="45"/>
        <v>2.15</v>
      </c>
      <c r="V154" s="123">
        <f t="shared" si="45"/>
        <v>2.15</v>
      </c>
      <c r="W154" s="123">
        <f t="shared" si="45"/>
        <v>2.15</v>
      </c>
      <c r="X154" s="123">
        <f t="shared" si="45"/>
        <v>2.15</v>
      </c>
      <c r="Y154" s="123">
        <f t="shared" si="45"/>
        <v>2.15</v>
      </c>
      <c r="Z154" s="123">
        <f t="shared" si="45"/>
        <v>2.15</v>
      </c>
      <c r="AA154" s="123">
        <f t="shared" si="45"/>
        <v>2.15</v>
      </c>
      <c r="AB154" s="123">
        <f t="shared" si="45"/>
        <v>2.15</v>
      </c>
      <c r="AC154" s="123">
        <f t="shared" si="45"/>
        <v>2.15</v>
      </c>
      <c r="AD154" s="123">
        <f t="shared" si="45"/>
        <v>2.15</v>
      </c>
      <c r="AE154" s="123">
        <f t="shared" si="45"/>
        <v>2.15</v>
      </c>
      <c r="AF154" s="123">
        <f t="shared" si="45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6">AF156</f>
        <v>0.9</v>
      </c>
      <c r="C156" s="124">
        <v>0.9</v>
      </c>
      <c r="D156" s="123">
        <f t="shared" ref="D156:S168" si="47">C156</f>
        <v>0.9</v>
      </c>
      <c r="E156" s="123">
        <f t="shared" si="47"/>
        <v>0.9</v>
      </c>
      <c r="F156" s="123">
        <f t="shared" si="47"/>
        <v>0.9</v>
      </c>
      <c r="G156" s="123">
        <f t="shared" si="47"/>
        <v>0.9</v>
      </c>
      <c r="H156" s="123">
        <f t="shared" si="47"/>
        <v>0.9</v>
      </c>
      <c r="I156" s="123">
        <f t="shared" si="47"/>
        <v>0.9</v>
      </c>
      <c r="J156" s="123">
        <f t="shared" si="47"/>
        <v>0.9</v>
      </c>
      <c r="K156" s="123">
        <f t="shared" si="47"/>
        <v>0.9</v>
      </c>
      <c r="L156" s="123">
        <f t="shared" si="47"/>
        <v>0.9</v>
      </c>
      <c r="M156" s="123">
        <f t="shared" si="47"/>
        <v>0.9</v>
      </c>
      <c r="N156" s="123">
        <f t="shared" si="47"/>
        <v>0.9</v>
      </c>
      <c r="O156" s="123">
        <f t="shared" si="47"/>
        <v>0.9</v>
      </c>
      <c r="P156" s="123">
        <f t="shared" si="47"/>
        <v>0.9</v>
      </c>
      <c r="Q156" s="123">
        <f t="shared" si="47"/>
        <v>0.9</v>
      </c>
      <c r="R156" s="123">
        <f t="shared" si="47"/>
        <v>0.9</v>
      </c>
      <c r="S156" s="123">
        <f t="shared" si="47"/>
        <v>0.9</v>
      </c>
      <c r="T156" s="123">
        <f t="shared" ref="S156:AF168" si="48">S156</f>
        <v>0.9</v>
      </c>
      <c r="U156" s="123">
        <f t="shared" si="48"/>
        <v>0.9</v>
      </c>
      <c r="V156" s="123">
        <f t="shared" si="48"/>
        <v>0.9</v>
      </c>
      <c r="W156" s="123">
        <f t="shared" si="48"/>
        <v>0.9</v>
      </c>
      <c r="X156" s="123">
        <f t="shared" si="48"/>
        <v>0.9</v>
      </c>
      <c r="Y156" s="123">
        <f t="shared" si="48"/>
        <v>0.9</v>
      </c>
      <c r="Z156" s="123">
        <f t="shared" si="48"/>
        <v>0.9</v>
      </c>
      <c r="AA156" s="123">
        <f t="shared" si="48"/>
        <v>0.9</v>
      </c>
      <c r="AB156" s="123">
        <f t="shared" si="48"/>
        <v>0.9</v>
      </c>
      <c r="AC156" s="123">
        <f t="shared" si="48"/>
        <v>0.9</v>
      </c>
      <c r="AD156" s="123">
        <f t="shared" si="48"/>
        <v>0.9</v>
      </c>
      <c r="AE156" s="123">
        <f t="shared" si="48"/>
        <v>0.9</v>
      </c>
      <c r="AF156" s="123">
        <f t="shared" si="48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6"/>
        <v>1.08</v>
      </c>
      <c r="C157" s="124">
        <v>1.08</v>
      </c>
      <c r="D157" s="123">
        <f t="shared" si="47"/>
        <v>1.08</v>
      </c>
      <c r="E157" s="123">
        <f t="shared" si="47"/>
        <v>1.08</v>
      </c>
      <c r="F157" s="123">
        <f t="shared" si="47"/>
        <v>1.08</v>
      </c>
      <c r="G157" s="123">
        <f t="shared" si="47"/>
        <v>1.08</v>
      </c>
      <c r="H157" s="123">
        <f t="shared" si="47"/>
        <v>1.08</v>
      </c>
      <c r="I157" s="123">
        <f t="shared" si="47"/>
        <v>1.08</v>
      </c>
      <c r="J157" s="123">
        <f t="shared" si="47"/>
        <v>1.08</v>
      </c>
      <c r="K157" s="123">
        <f t="shared" si="47"/>
        <v>1.08</v>
      </c>
      <c r="L157" s="123">
        <f t="shared" si="47"/>
        <v>1.08</v>
      </c>
      <c r="M157" s="123">
        <f t="shared" si="47"/>
        <v>1.08</v>
      </c>
      <c r="N157" s="123">
        <f t="shared" si="47"/>
        <v>1.08</v>
      </c>
      <c r="O157" s="123">
        <f t="shared" si="47"/>
        <v>1.08</v>
      </c>
      <c r="P157" s="123">
        <f t="shared" si="47"/>
        <v>1.08</v>
      </c>
      <c r="Q157" s="123">
        <f t="shared" si="47"/>
        <v>1.08</v>
      </c>
      <c r="R157" s="123">
        <f t="shared" si="47"/>
        <v>1.08</v>
      </c>
      <c r="S157" s="123">
        <f t="shared" si="47"/>
        <v>1.08</v>
      </c>
      <c r="T157" s="123">
        <f t="shared" si="48"/>
        <v>1.08</v>
      </c>
      <c r="U157" s="123">
        <f t="shared" si="48"/>
        <v>1.08</v>
      </c>
      <c r="V157" s="123">
        <f t="shared" si="48"/>
        <v>1.08</v>
      </c>
      <c r="W157" s="123">
        <f t="shared" si="48"/>
        <v>1.08</v>
      </c>
      <c r="X157" s="123">
        <f t="shared" si="48"/>
        <v>1.08</v>
      </c>
      <c r="Y157" s="123">
        <f t="shared" si="48"/>
        <v>1.08</v>
      </c>
      <c r="Z157" s="123">
        <f t="shared" si="48"/>
        <v>1.08</v>
      </c>
      <c r="AA157" s="123">
        <f t="shared" si="48"/>
        <v>1.08</v>
      </c>
      <c r="AB157" s="123">
        <f t="shared" si="48"/>
        <v>1.08</v>
      </c>
      <c r="AC157" s="123">
        <f t="shared" si="48"/>
        <v>1.08</v>
      </c>
      <c r="AD157" s="123">
        <f t="shared" si="48"/>
        <v>1.08</v>
      </c>
      <c r="AE157" s="123">
        <f t="shared" si="48"/>
        <v>1.08</v>
      </c>
      <c r="AF157" s="123">
        <f t="shared" si="48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6"/>
        <v>2.37</v>
      </c>
      <c r="C158" s="124">
        <v>2.37</v>
      </c>
      <c r="D158" s="123">
        <f t="shared" si="47"/>
        <v>2.37</v>
      </c>
      <c r="E158" s="123">
        <f t="shared" si="47"/>
        <v>2.37</v>
      </c>
      <c r="F158" s="123">
        <f t="shared" si="47"/>
        <v>2.37</v>
      </c>
      <c r="G158" s="123">
        <f t="shared" si="47"/>
        <v>2.37</v>
      </c>
      <c r="H158" s="123">
        <f t="shared" si="47"/>
        <v>2.37</v>
      </c>
      <c r="I158" s="123">
        <f t="shared" si="47"/>
        <v>2.37</v>
      </c>
      <c r="J158" s="123">
        <f t="shared" si="47"/>
        <v>2.37</v>
      </c>
      <c r="K158" s="123">
        <f t="shared" si="47"/>
        <v>2.37</v>
      </c>
      <c r="L158" s="123">
        <f t="shared" si="47"/>
        <v>2.37</v>
      </c>
      <c r="M158" s="123">
        <f t="shared" si="47"/>
        <v>2.37</v>
      </c>
      <c r="N158" s="123">
        <f t="shared" si="47"/>
        <v>2.37</v>
      </c>
      <c r="O158" s="123">
        <f t="shared" si="47"/>
        <v>2.37</v>
      </c>
      <c r="P158" s="123">
        <f t="shared" si="47"/>
        <v>2.37</v>
      </c>
      <c r="Q158" s="123">
        <f t="shared" si="47"/>
        <v>2.37</v>
      </c>
      <c r="R158" s="123">
        <f t="shared" si="47"/>
        <v>2.37</v>
      </c>
      <c r="S158" s="123">
        <f t="shared" si="47"/>
        <v>2.37</v>
      </c>
      <c r="T158" s="123">
        <f t="shared" si="48"/>
        <v>2.37</v>
      </c>
      <c r="U158" s="123">
        <f t="shared" si="48"/>
        <v>2.37</v>
      </c>
      <c r="V158" s="123">
        <f t="shared" si="48"/>
        <v>2.37</v>
      </c>
      <c r="W158" s="123">
        <f t="shared" si="48"/>
        <v>2.37</v>
      </c>
      <c r="X158" s="123">
        <f t="shared" si="48"/>
        <v>2.37</v>
      </c>
      <c r="Y158" s="123">
        <f t="shared" si="48"/>
        <v>2.37</v>
      </c>
      <c r="Z158" s="123">
        <f t="shared" si="48"/>
        <v>2.37</v>
      </c>
      <c r="AA158" s="123">
        <f t="shared" si="48"/>
        <v>2.37</v>
      </c>
      <c r="AB158" s="123">
        <f t="shared" si="48"/>
        <v>2.37</v>
      </c>
      <c r="AC158" s="123">
        <f t="shared" si="48"/>
        <v>2.37</v>
      </c>
      <c r="AD158" s="123">
        <f t="shared" si="48"/>
        <v>2.37</v>
      </c>
      <c r="AE158" s="123">
        <f t="shared" si="48"/>
        <v>2.37</v>
      </c>
      <c r="AF158" s="123">
        <f t="shared" si="48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6"/>
        <v>1.81</v>
      </c>
      <c r="C159" s="124">
        <v>1.81</v>
      </c>
      <c r="D159" s="123">
        <f t="shared" si="47"/>
        <v>1.81</v>
      </c>
      <c r="E159" s="123">
        <f t="shared" si="47"/>
        <v>1.81</v>
      </c>
      <c r="F159" s="123">
        <f t="shared" si="47"/>
        <v>1.81</v>
      </c>
      <c r="G159" s="123">
        <f t="shared" si="47"/>
        <v>1.81</v>
      </c>
      <c r="H159" s="123">
        <f t="shared" si="47"/>
        <v>1.81</v>
      </c>
      <c r="I159" s="123">
        <f t="shared" si="47"/>
        <v>1.81</v>
      </c>
      <c r="J159" s="123">
        <f t="shared" si="47"/>
        <v>1.81</v>
      </c>
      <c r="K159" s="123">
        <f t="shared" si="47"/>
        <v>1.81</v>
      </c>
      <c r="L159" s="123">
        <f t="shared" si="47"/>
        <v>1.81</v>
      </c>
      <c r="M159" s="123">
        <f t="shared" si="47"/>
        <v>1.81</v>
      </c>
      <c r="N159" s="123">
        <f t="shared" si="47"/>
        <v>1.81</v>
      </c>
      <c r="O159" s="123">
        <f t="shared" si="47"/>
        <v>1.81</v>
      </c>
      <c r="P159" s="123">
        <f t="shared" si="47"/>
        <v>1.81</v>
      </c>
      <c r="Q159" s="123">
        <f t="shared" si="47"/>
        <v>1.81</v>
      </c>
      <c r="R159" s="123">
        <f t="shared" si="47"/>
        <v>1.81</v>
      </c>
      <c r="S159" s="123">
        <f t="shared" si="47"/>
        <v>1.81</v>
      </c>
      <c r="T159" s="123">
        <f t="shared" si="48"/>
        <v>1.81</v>
      </c>
      <c r="U159" s="123">
        <f t="shared" si="48"/>
        <v>1.81</v>
      </c>
      <c r="V159" s="123">
        <f t="shared" si="48"/>
        <v>1.81</v>
      </c>
      <c r="W159" s="123">
        <f t="shared" si="48"/>
        <v>1.81</v>
      </c>
      <c r="X159" s="123">
        <f t="shared" si="48"/>
        <v>1.81</v>
      </c>
      <c r="Y159" s="123">
        <f t="shared" si="48"/>
        <v>1.81</v>
      </c>
      <c r="Z159" s="123">
        <f t="shared" si="48"/>
        <v>1.81</v>
      </c>
      <c r="AA159" s="123">
        <f t="shared" si="48"/>
        <v>1.81</v>
      </c>
      <c r="AB159" s="123">
        <f t="shared" si="48"/>
        <v>1.81</v>
      </c>
      <c r="AC159" s="123">
        <f t="shared" si="48"/>
        <v>1.81</v>
      </c>
      <c r="AD159" s="123">
        <f t="shared" si="48"/>
        <v>1.81</v>
      </c>
      <c r="AE159" s="123">
        <f t="shared" si="48"/>
        <v>1.81</v>
      </c>
      <c r="AF159" s="123">
        <f t="shared" si="48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6"/>
        <v>1.0900000000000001</v>
      </c>
      <c r="C160" s="124">
        <v>1.0900000000000001</v>
      </c>
      <c r="D160" s="123">
        <f t="shared" si="47"/>
        <v>1.0900000000000001</v>
      </c>
      <c r="E160" s="123">
        <f t="shared" si="47"/>
        <v>1.0900000000000001</v>
      </c>
      <c r="F160" s="123">
        <f t="shared" si="47"/>
        <v>1.0900000000000001</v>
      </c>
      <c r="G160" s="123">
        <f t="shared" si="47"/>
        <v>1.0900000000000001</v>
      </c>
      <c r="H160" s="123">
        <f t="shared" si="47"/>
        <v>1.0900000000000001</v>
      </c>
      <c r="I160" s="123">
        <f t="shared" si="47"/>
        <v>1.0900000000000001</v>
      </c>
      <c r="J160" s="123">
        <f t="shared" si="47"/>
        <v>1.0900000000000001</v>
      </c>
      <c r="K160" s="123">
        <f t="shared" si="47"/>
        <v>1.0900000000000001</v>
      </c>
      <c r="L160" s="123">
        <f t="shared" si="47"/>
        <v>1.0900000000000001</v>
      </c>
      <c r="M160" s="123">
        <f t="shared" si="47"/>
        <v>1.0900000000000001</v>
      </c>
      <c r="N160" s="123">
        <f t="shared" si="47"/>
        <v>1.0900000000000001</v>
      </c>
      <c r="O160" s="123">
        <f t="shared" si="47"/>
        <v>1.0900000000000001</v>
      </c>
      <c r="P160" s="123">
        <f t="shared" si="47"/>
        <v>1.0900000000000001</v>
      </c>
      <c r="Q160" s="123">
        <f t="shared" si="47"/>
        <v>1.0900000000000001</v>
      </c>
      <c r="R160" s="123">
        <f t="shared" si="47"/>
        <v>1.0900000000000001</v>
      </c>
      <c r="S160" s="123">
        <f t="shared" si="47"/>
        <v>1.0900000000000001</v>
      </c>
      <c r="T160" s="123">
        <f t="shared" si="48"/>
        <v>1.0900000000000001</v>
      </c>
      <c r="U160" s="123">
        <f t="shared" si="48"/>
        <v>1.0900000000000001</v>
      </c>
      <c r="V160" s="123">
        <f t="shared" si="48"/>
        <v>1.0900000000000001</v>
      </c>
      <c r="W160" s="123">
        <f t="shared" si="48"/>
        <v>1.0900000000000001</v>
      </c>
      <c r="X160" s="123">
        <f t="shared" si="48"/>
        <v>1.0900000000000001</v>
      </c>
      <c r="Y160" s="123">
        <f t="shared" si="48"/>
        <v>1.0900000000000001</v>
      </c>
      <c r="Z160" s="123">
        <f t="shared" si="48"/>
        <v>1.0900000000000001</v>
      </c>
      <c r="AA160" s="123">
        <f t="shared" si="48"/>
        <v>1.0900000000000001</v>
      </c>
      <c r="AB160" s="123">
        <f t="shared" si="48"/>
        <v>1.0900000000000001</v>
      </c>
      <c r="AC160" s="123">
        <f t="shared" si="48"/>
        <v>1.0900000000000001</v>
      </c>
      <c r="AD160" s="123">
        <f t="shared" si="48"/>
        <v>1.0900000000000001</v>
      </c>
      <c r="AE160" s="123">
        <f t="shared" si="48"/>
        <v>1.0900000000000001</v>
      </c>
      <c r="AF160" s="123">
        <f t="shared" si="48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6"/>
        <v>1.58</v>
      </c>
      <c r="C161" s="124">
        <v>1.58</v>
      </c>
      <c r="D161" s="123">
        <f t="shared" si="47"/>
        <v>1.58</v>
      </c>
      <c r="E161" s="123">
        <f t="shared" si="47"/>
        <v>1.58</v>
      </c>
      <c r="F161" s="123">
        <f t="shared" si="47"/>
        <v>1.58</v>
      </c>
      <c r="G161" s="123">
        <f t="shared" si="47"/>
        <v>1.58</v>
      </c>
      <c r="H161" s="123">
        <f t="shared" si="47"/>
        <v>1.58</v>
      </c>
      <c r="I161" s="123">
        <f t="shared" si="47"/>
        <v>1.58</v>
      </c>
      <c r="J161" s="123">
        <f t="shared" si="47"/>
        <v>1.58</v>
      </c>
      <c r="K161" s="123">
        <f t="shared" si="47"/>
        <v>1.58</v>
      </c>
      <c r="L161" s="123">
        <f t="shared" si="47"/>
        <v>1.58</v>
      </c>
      <c r="M161" s="123">
        <f t="shared" si="47"/>
        <v>1.58</v>
      </c>
      <c r="N161" s="123">
        <f t="shared" si="47"/>
        <v>1.58</v>
      </c>
      <c r="O161" s="123">
        <f t="shared" si="47"/>
        <v>1.58</v>
      </c>
      <c r="P161" s="123">
        <f t="shared" si="47"/>
        <v>1.58</v>
      </c>
      <c r="Q161" s="123">
        <f t="shared" si="47"/>
        <v>1.58</v>
      </c>
      <c r="R161" s="123">
        <f t="shared" si="47"/>
        <v>1.58</v>
      </c>
      <c r="S161" s="123">
        <f t="shared" si="47"/>
        <v>1.58</v>
      </c>
      <c r="T161" s="123">
        <f t="shared" si="48"/>
        <v>1.58</v>
      </c>
      <c r="U161" s="123">
        <f t="shared" si="48"/>
        <v>1.58</v>
      </c>
      <c r="V161" s="123">
        <f t="shared" si="48"/>
        <v>1.58</v>
      </c>
      <c r="W161" s="123">
        <f t="shared" si="48"/>
        <v>1.58</v>
      </c>
      <c r="X161" s="123">
        <f t="shared" si="48"/>
        <v>1.58</v>
      </c>
      <c r="Y161" s="123">
        <f t="shared" si="48"/>
        <v>1.58</v>
      </c>
      <c r="Z161" s="123">
        <f t="shared" si="48"/>
        <v>1.58</v>
      </c>
      <c r="AA161" s="123">
        <f t="shared" si="48"/>
        <v>1.58</v>
      </c>
      <c r="AB161" s="123">
        <f t="shared" si="48"/>
        <v>1.58</v>
      </c>
      <c r="AC161" s="123">
        <f t="shared" si="48"/>
        <v>1.58</v>
      </c>
      <c r="AD161" s="123">
        <f t="shared" si="48"/>
        <v>1.58</v>
      </c>
      <c r="AE161" s="123">
        <f t="shared" si="48"/>
        <v>1.58</v>
      </c>
      <c r="AF161" s="123">
        <f t="shared" si="48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6"/>
        <v>2</v>
      </c>
      <c r="C162" s="124">
        <v>2</v>
      </c>
      <c r="D162" s="123">
        <f t="shared" si="47"/>
        <v>2</v>
      </c>
      <c r="E162" s="123">
        <f t="shared" si="47"/>
        <v>2</v>
      </c>
      <c r="F162" s="123">
        <f t="shared" si="47"/>
        <v>2</v>
      </c>
      <c r="G162" s="123">
        <f t="shared" si="47"/>
        <v>2</v>
      </c>
      <c r="H162" s="123">
        <f t="shared" si="47"/>
        <v>2</v>
      </c>
      <c r="I162" s="123">
        <f t="shared" si="47"/>
        <v>2</v>
      </c>
      <c r="J162" s="123">
        <f t="shared" si="47"/>
        <v>2</v>
      </c>
      <c r="K162" s="123">
        <f t="shared" si="47"/>
        <v>2</v>
      </c>
      <c r="L162" s="123">
        <f t="shared" si="47"/>
        <v>2</v>
      </c>
      <c r="M162" s="123">
        <f t="shared" si="47"/>
        <v>2</v>
      </c>
      <c r="N162" s="123">
        <f t="shared" si="47"/>
        <v>2</v>
      </c>
      <c r="O162" s="123">
        <f t="shared" si="47"/>
        <v>2</v>
      </c>
      <c r="P162" s="123">
        <f t="shared" si="47"/>
        <v>2</v>
      </c>
      <c r="Q162" s="123">
        <f t="shared" si="47"/>
        <v>2</v>
      </c>
      <c r="R162" s="123">
        <f t="shared" si="47"/>
        <v>2</v>
      </c>
      <c r="S162" s="123">
        <f t="shared" si="47"/>
        <v>2</v>
      </c>
      <c r="T162" s="123">
        <f t="shared" si="48"/>
        <v>2</v>
      </c>
      <c r="U162" s="123">
        <f t="shared" si="48"/>
        <v>2</v>
      </c>
      <c r="V162" s="123">
        <f t="shared" si="48"/>
        <v>2</v>
      </c>
      <c r="W162" s="123">
        <f t="shared" si="48"/>
        <v>2</v>
      </c>
      <c r="X162" s="123">
        <f t="shared" si="48"/>
        <v>2</v>
      </c>
      <c r="Y162" s="123">
        <f t="shared" si="48"/>
        <v>2</v>
      </c>
      <c r="Z162" s="123">
        <f t="shared" si="48"/>
        <v>2</v>
      </c>
      <c r="AA162" s="123">
        <f t="shared" si="48"/>
        <v>2</v>
      </c>
      <c r="AB162" s="123">
        <f t="shared" si="48"/>
        <v>2</v>
      </c>
      <c r="AC162" s="123">
        <f t="shared" si="48"/>
        <v>2</v>
      </c>
      <c r="AD162" s="123">
        <f t="shared" si="48"/>
        <v>2</v>
      </c>
      <c r="AE162" s="123">
        <f t="shared" si="48"/>
        <v>2</v>
      </c>
      <c r="AF162" s="123">
        <f t="shared" si="48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6"/>
        <v>0.47</v>
      </c>
      <c r="C163" s="124">
        <v>0.47</v>
      </c>
      <c r="D163" s="123">
        <f t="shared" si="47"/>
        <v>0.47</v>
      </c>
      <c r="E163" s="123">
        <f t="shared" si="47"/>
        <v>0.47</v>
      </c>
      <c r="F163" s="123">
        <f t="shared" si="47"/>
        <v>0.47</v>
      </c>
      <c r="G163" s="123">
        <f t="shared" si="47"/>
        <v>0.47</v>
      </c>
      <c r="H163" s="123">
        <f t="shared" si="47"/>
        <v>0.47</v>
      </c>
      <c r="I163" s="123">
        <f t="shared" si="47"/>
        <v>0.47</v>
      </c>
      <c r="J163" s="123">
        <f t="shared" si="47"/>
        <v>0.47</v>
      </c>
      <c r="K163" s="123">
        <f t="shared" si="47"/>
        <v>0.47</v>
      </c>
      <c r="L163" s="123">
        <f t="shared" si="47"/>
        <v>0.47</v>
      </c>
      <c r="M163" s="123">
        <f t="shared" si="47"/>
        <v>0.47</v>
      </c>
      <c r="N163" s="123">
        <f t="shared" si="47"/>
        <v>0.47</v>
      </c>
      <c r="O163" s="123">
        <f t="shared" si="47"/>
        <v>0.47</v>
      </c>
      <c r="P163" s="123">
        <f t="shared" si="47"/>
        <v>0.47</v>
      </c>
      <c r="Q163" s="123">
        <f t="shared" si="47"/>
        <v>0.47</v>
      </c>
      <c r="R163" s="123">
        <f t="shared" si="47"/>
        <v>0.47</v>
      </c>
      <c r="S163" s="123">
        <f t="shared" si="47"/>
        <v>0.47</v>
      </c>
      <c r="T163" s="123">
        <f t="shared" si="48"/>
        <v>0.47</v>
      </c>
      <c r="U163" s="123">
        <f t="shared" si="48"/>
        <v>0.47</v>
      </c>
      <c r="V163" s="123">
        <f t="shared" si="48"/>
        <v>0.47</v>
      </c>
      <c r="W163" s="123">
        <f t="shared" si="48"/>
        <v>0.47</v>
      </c>
      <c r="X163" s="123">
        <f t="shared" si="48"/>
        <v>0.47</v>
      </c>
      <c r="Y163" s="123">
        <f t="shared" si="48"/>
        <v>0.47</v>
      </c>
      <c r="Z163" s="123">
        <f t="shared" si="48"/>
        <v>0.47</v>
      </c>
      <c r="AA163" s="123">
        <f t="shared" si="48"/>
        <v>0.47</v>
      </c>
      <c r="AB163" s="123">
        <f t="shared" si="48"/>
        <v>0.47</v>
      </c>
      <c r="AC163" s="123">
        <f t="shared" si="48"/>
        <v>0.47</v>
      </c>
      <c r="AD163" s="123">
        <f t="shared" si="48"/>
        <v>0.47</v>
      </c>
      <c r="AE163" s="123">
        <f t="shared" si="48"/>
        <v>0.47</v>
      </c>
      <c r="AF163" s="123">
        <f t="shared" si="48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6"/>
        <v>0</v>
      </c>
      <c r="C164" s="124">
        <v>0</v>
      </c>
      <c r="D164" s="123">
        <f t="shared" si="47"/>
        <v>0</v>
      </c>
      <c r="E164" s="123">
        <f t="shared" si="47"/>
        <v>0</v>
      </c>
      <c r="F164" s="123">
        <f t="shared" si="47"/>
        <v>0</v>
      </c>
      <c r="G164" s="123">
        <f t="shared" si="47"/>
        <v>0</v>
      </c>
      <c r="H164" s="123">
        <f t="shared" si="47"/>
        <v>0</v>
      </c>
      <c r="I164" s="123">
        <f t="shared" si="47"/>
        <v>0</v>
      </c>
      <c r="J164" s="123">
        <f t="shared" si="47"/>
        <v>0</v>
      </c>
      <c r="K164" s="123">
        <f t="shared" si="47"/>
        <v>0</v>
      </c>
      <c r="L164" s="123">
        <f t="shared" si="47"/>
        <v>0</v>
      </c>
      <c r="M164" s="123">
        <f t="shared" si="47"/>
        <v>0</v>
      </c>
      <c r="N164" s="123">
        <f t="shared" si="47"/>
        <v>0</v>
      </c>
      <c r="O164" s="123">
        <f t="shared" si="47"/>
        <v>0</v>
      </c>
      <c r="P164" s="123">
        <f t="shared" si="47"/>
        <v>0</v>
      </c>
      <c r="Q164" s="123">
        <f t="shared" si="47"/>
        <v>0</v>
      </c>
      <c r="R164" s="123">
        <f t="shared" si="47"/>
        <v>0</v>
      </c>
      <c r="S164" s="123">
        <f t="shared" si="47"/>
        <v>0</v>
      </c>
      <c r="T164" s="123">
        <f t="shared" si="48"/>
        <v>0</v>
      </c>
      <c r="U164" s="123">
        <f t="shared" si="48"/>
        <v>0</v>
      </c>
      <c r="V164" s="123">
        <f t="shared" si="48"/>
        <v>0</v>
      </c>
      <c r="W164" s="123">
        <f t="shared" si="48"/>
        <v>0</v>
      </c>
      <c r="X164" s="123">
        <f t="shared" si="48"/>
        <v>0</v>
      </c>
      <c r="Y164" s="123">
        <f t="shared" si="48"/>
        <v>0</v>
      </c>
      <c r="Z164" s="123">
        <f t="shared" si="48"/>
        <v>0</v>
      </c>
      <c r="AA164" s="123">
        <f t="shared" si="48"/>
        <v>0</v>
      </c>
      <c r="AB164" s="123">
        <f t="shared" si="48"/>
        <v>0</v>
      </c>
      <c r="AC164" s="123">
        <f t="shared" si="48"/>
        <v>0</v>
      </c>
      <c r="AD164" s="123">
        <f t="shared" si="48"/>
        <v>0</v>
      </c>
      <c r="AE164" s="123">
        <f t="shared" si="48"/>
        <v>0</v>
      </c>
      <c r="AF164" s="123">
        <f t="shared" si="48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8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6"/>
        <v>0.8</v>
      </c>
      <c r="C166" s="124">
        <v>0.8</v>
      </c>
      <c r="D166" s="123">
        <f t="shared" si="47"/>
        <v>0.8</v>
      </c>
      <c r="E166" s="123">
        <f t="shared" si="47"/>
        <v>0.8</v>
      </c>
      <c r="F166" s="123">
        <f t="shared" si="47"/>
        <v>0.8</v>
      </c>
      <c r="G166" s="123">
        <f t="shared" si="47"/>
        <v>0.8</v>
      </c>
      <c r="H166" s="123">
        <f t="shared" si="47"/>
        <v>0.8</v>
      </c>
      <c r="I166" s="123">
        <f t="shared" si="47"/>
        <v>0.8</v>
      </c>
      <c r="J166" s="123">
        <f t="shared" si="47"/>
        <v>0.8</v>
      </c>
      <c r="K166" s="123">
        <f t="shared" si="47"/>
        <v>0.8</v>
      </c>
      <c r="L166" s="123">
        <f t="shared" si="47"/>
        <v>0.8</v>
      </c>
      <c r="M166" s="123">
        <f t="shared" si="47"/>
        <v>0.8</v>
      </c>
      <c r="N166" s="123">
        <f t="shared" si="47"/>
        <v>0.8</v>
      </c>
      <c r="O166" s="123">
        <f t="shared" si="47"/>
        <v>0.8</v>
      </c>
      <c r="P166" s="123">
        <f t="shared" si="47"/>
        <v>0.8</v>
      </c>
      <c r="Q166" s="123">
        <f t="shared" si="47"/>
        <v>0.8</v>
      </c>
      <c r="R166" s="123">
        <f t="shared" si="47"/>
        <v>0.8</v>
      </c>
      <c r="S166" s="123">
        <f t="shared" si="48"/>
        <v>0.8</v>
      </c>
      <c r="T166" s="123">
        <f t="shared" si="48"/>
        <v>0.8</v>
      </c>
      <c r="U166" s="123">
        <f t="shared" si="48"/>
        <v>0.8</v>
      </c>
      <c r="V166" s="123">
        <f t="shared" si="48"/>
        <v>0.8</v>
      </c>
      <c r="W166" s="123">
        <f t="shared" si="48"/>
        <v>0.8</v>
      </c>
      <c r="X166" s="123">
        <f t="shared" si="48"/>
        <v>0.8</v>
      </c>
      <c r="Y166" s="123">
        <f t="shared" si="48"/>
        <v>0.8</v>
      </c>
      <c r="Z166" s="123">
        <f t="shared" si="48"/>
        <v>0.8</v>
      </c>
      <c r="AA166" s="123">
        <f t="shared" si="48"/>
        <v>0.8</v>
      </c>
      <c r="AB166" s="123">
        <f t="shared" si="48"/>
        <v>0.8</v>
      </c>
      <c r="AC166" s="123">
        <f t="shared" si="48"/>
        <v>0.8</v>
      </c>
      <c r="AD166" s="123">
        <f t="shared" si="48"/>
        <v>0.8</v>
      </c>
      <c r="AE166" s="123">
        <f t="shared" si="48"/>
        <v>0.8</v>
      </c>
      <c r="AF166" s="123">
        <f t="shared" si="48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6"/>
        <v>1.5</v>
      </c>
      <c r="C167" s="124">
        <v>1.5</v>
      </c>
      <c r="D167" s="123">
        <f t="shared" si="47"/>
        <v>1.5</v>
      </c>
      <c r="E167" s="123">
        <f t="shared" si="47"/>
        <v>1.5</v>
      </c>
      <c r="F167" s="123">
        <f t="shared" si="47"/>
        <v>1.5</v>
      </c>
      <c r="G167" s="123">
        <f t="shared" si="47"/>
        <v>1.5</v>
      </c>
      <c r="H167" s="123">
        <f t="shared" si="47"/>
        <v>1.5</v>
      </c>
      <c r="I167" s="123">
        <f t="shared" si="47"/>
        <v>1.5</v>
      </c>
      <c r="J167" s="123">
        <f t="shared" si="47"/>
        <v>1.5</v>
      </c>
      <c r="K167" s="123">
        <f t="shared" si="47"/>
        <v>1.5</v>
      </c>
      <c r="L167" s="123">
        <f t="shared" si="47"/>
        <v>1.5</v>
      </c>
      <c r="M167" s="123">
        <f t="shared" si="47"/>
        <v>1.5</v>
      </c>
      <c r="N167" s="123">
        <f t="shared" si="47"/>
        <v>1.5</v>
      </c>
      <c r="O167" s="123">
        <f t="shared" si="47"/>
        <v>1.5</v>
      </c>
      <c r="P167" s="123">
        <f t="shared" si="47"/>
        <v>1.5</v>
      </c>
      <c r="Q167" s="123">
        <f t="shared" si="47"/>
        <v>1.5</v>
      </c>
      <c r="R167" s="123">
        <f t="shared" si="47"/>
        <v>1.5</v>
      </c>
      <c r="S167" s="123">
        <f t="shared" si="48"/>
        <v>1.5</v>
      </c>
      <c r="T167" s="123">
        <f t="shared" si="48"/>
        <v>1.5</v>
      </c>
      <c r="U167" s="123">
        <f t="shared" si="48"/>
        <v>1.5</v>
      </c>
      <c r="V167" s="123">
        <f t="shared" si="48"/>
        <v>1.5</v>
      </c>
      <c r="W167" s="123">
        <f t="shared" si="48"/>
        <v>1.5</v>
      </c>
      <c r="X167" s="123">
        <f t="shared" si="48"/>
        <v>1.5</v>
      </c>
      <c r="Y167" s="123">
        <f t="shared" si="48"/>
        <v>1.5</v>
      </c>
      <c r="Z167" s="123">
        <f t="shared" si="48"/>
        <v>1.5</v>
      </c>
      <c r="AA167" s="123">
        <f t="shared" si="48"/>
        <v>1.5</v>
      </c>
      <c r="AB167" s="123">
        <f t="shared" si="48"/>
        <v>1.5</v>
      </c>
      <c r="AC167" s="123">
        <f t="shared" si="48"/>
        <v>1.5</v>
      </c>
      <c r="AD167" s="123">
        <f t="shared" si="48"/>
        <v>1.5</v>
      </c>
      <c r="AE167" s="123">
        <f t="shared" si="48"/>
        <v>1.5</v>
      </c>
      <c r="AF167" s="123">
        <f t="shared" si="48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6"/>
        <v>1</v>
      </c>
      <c r="C168" s="124">
        <v>1</v>
      </c>
      <c r="D168" s="123">
        <f t="shared" si="47"/>
        <v>1</v>
      </c>
      <c r="E168" s="123">
        <f t="shared" si="47"/>
        <v>1</v>
      </c>
      <c r="F168" s="123">
        <f t="shared" si="47"/>
        <v>1</v>
      </c>
      <c r="G168" s="123">
        <f t="shared" si="47"/>
        <v>1</v>
      </c>
      <c r="H168" s="123">
        <f t="shared" si="47"/>
        <v>1</v>
      </c>
      <c r="I168" s="123">
        <f t="shared" si="47"/>
        <v>1</v>
      </c>
      <c r="J168" s="123">
        <f t="shared" si="47"/>
        <v>1</v>
      </c>
      <c r="K168" s="123">
        <f t="shared" si="47"/>
        <v>1</v>
      </c>
      <c r="L168" s="123">
        <f t="shared" si="47"/>
        <v>1</v>
      </c>
      <c r="M168" s="123">
        <f t="shared" si="47"/>
        <v>1</v>
      </c>
      <c r="N168" s="123">
        <f t="shared" si="47"/>
        <v>1</v>
      </c>
      <c r="O168" s="123">
        <f t="shared" si="47"/>
        <v>1</v>
      </c>
      <c r="P168" s="123">
        <f t="shared" si="47"/>
        <v>1</v>
      </c>
      <c r="Q168" s="123">
        <f t="shared" si="47"/>
        <v>1</v>
      </c>
      <c r="R168" s="123">
        <f t="shared" si="47"/>
        <v>1</v>
      </c>
      <c r="S168" s="123">
        <f t="shared" si="48"/>
        <v>1</v>
      </c>
      <c r="T168" s="123">
        <f t="shared" si="48"/>
        <v>1</v>
      </c>
      <c r="U168" s="123">
        <f t="shared" si="48"/>
        <v>1</v>
      </c>
      <c r="V168" s="123">
        <f t="shared" si="48"/>
        <v>1</v>
      </c>
      <c r="W168" s="123">
        <f t="shared" si="48"/>
        <v>1</v>
      </c>
      <c r="X168" s="123">
        <f t="shared" si="48"/>
        <v>1</v>
      </c>
      <c r="Y168" s="123">
        <f t="shared" si="48"/>
        <v>1</v>
      </c>
      <c r="Z168" s="123">
        <f t="shared" si="48"/>
        <v>1</v>
      </c>
      <c r="AA168" s="123">
        <f t="shared" si="48"/>
        <v>1</v>
      </c>
      <c r="AB168" s="123">
        <f t="shared" si="48"/>
        <v>1</v>
      </c>
      <c r="AC168" s="123">
        <f t="shared" si="48"/>
        <v>1</v>
      </c>
      <c r="AD168" s="123">
        <f t="shared" si="48"/>
        <v>1</v>
      </c>
      <c r="AE168" s="123">
        <f t="shared" si="48"/>
        <v>1</v>
      </c>
      <c r="AF168" s="123">
        <f t="shared" si="48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9">AF170</f>
        <v>1</v>
      </c>
      <c r="C170" s="124">
        <v>1</v>
      </c>
      <c r="D170" s="123">
        <f t="shared" ref="D170:S177" si="50">C170</f>
        <v>1</v>
      </c>
      <c r="E170" s="123">
        <f t="shared" si="50"/>
        <v>1</v>
      </c>
      <c r="F170" s="123">
        <f t="shared" si="50"/>
        <v>1</v>
      </c>
      <c r="G170" s="123">
        <f t="shared" si="50"/>
        <v>1</v>
      </c>
      <c r="H170" s="123">
        <f t="shared" si="50"/>
        <v>1</v>
      </c>
      <c r="I170" s="123">
        <f t="shared" si="50"/>
        <v>1</v>
      </c>
      <c r="J170" s="123">
        <f t="shared" si="50"/>
        <v>1</v>
      </c>
      <c r="K170" s="123">
        <f t="shared" si="50"/>
        <v>1</v>
      </c>
      <c r="L170" s="123">
        <f t="shared" si="50"/>
        <v>1</v>
      </c>
      <c r="M170" s="123">
        <f t="shared" si="50"/>
        <v>1</v>
      </c>
      <c r="N170" s="123">
        <f t="shared" si="50"/>
        <v>1</v>
      </c>
      <c r="O170" s="123">
        <f t="shared" si="50"/>
        <v>1</v>
      </c>
      <c r="P170" s="123">
        <f t="shared" si="50"/>
        <v>1</v>
      </c>
      <c r="Q170" s="123">
        <f t="shared" si="50"/>
        <v>1</v>
      </c>
      <c r="R170" s="123">
        <f t="shared" si="50"/>
        <v>1</v>
      </c>
      <c r="S170" s="123">
        <f t="shared" si="50"/>
        <v>1</v>
      </c>
      <c r="T170" s="123">
        <f t="shared" ref="S170:AF177" si="51">S170</f>
        <v>1</v>
      </c>
      <c r="U170" s="123">
        <f t="shared" si="51"/>
        <v>1</v>
      </c>
      <c r="V170" s="123">
        <f t="shared" si="51"/>
        <v>1</v>
      </c>
      <c r="W170" s="123">
        <f t="shared" si="51"/>
        <v>1</v>
      </c>
      <c r="X170" s="123">
        <f t="shared" si="51"/>
        <v>1</v>
      </c>
      <c r="Y170" s="123">
        <f t="shared" si="51"/>
        <v>1</v>
      </c>
      <c r="Z170" s="123">
        <f t="shared" si="51"/>
        <v>1</v>
      </c>
      <c r="AA170" s="123">
        <f t="shared" si="51"/>
        <v>1</v>
      </c>
      <c r="AB170" s="123">
        <f t="shared" si="51"/>
        <v>1</v>
      </c>
      <c r="AC170" s="123">
        <f t="shared" si="51"/>
        <v>1</v>
      </c>
      <c r="AD170" s="123">
        <f t="shared" si="51"/>
        <v>1</v>
      </c>
      <c r="AE170" s="123">
        <f t="shared" si="51"/>
        <v>1</v>
      </c>
      <c r="AF170" s="123">
        <f t="shared" si="51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9"/>
        <v>0.42</v>
      </c>
      <c r="C171" s="124">
        <v>0.42</v>
      </c>
      <c r="D171" s="123">
        <f t="shared" si="50"/>
        <v>0.42</v>
      </c>
      <c r="E171" s="123">
        <f t="shared" si="50"/>
        <v>0.42</v>
      </c>
      <c r="F171" s="123">
        <f t="shared" si="50"/>
        <v>0.42</v>
      </c>
      <c r="G171" s="123">
        <f t="shared" si="50"/>
        <v>0.42</v>
      </c>
      <c r="H171" s="123">
        <f t="shared" si="50"/>
        <v>0.42</v>
      </c>
      <c r="I171" s="123">
        <f t="shared" si="50"/>
        <v>0.42</v>
      </c>
      <c r="J171" s="123">
        <f t="shared" si="50"/>
        <v>0.42</v>
      </c>
      <c r="K171" s="123">
        <f t="shared" si="50"/>
        <v>0.42</v>
      </c>
      <c r="L171" s="123">
        <f t="shared" si="50"/>
        <v>0.42</v>
      </c>
      <c r="M171" s="123">
        <f t="shared" si="50"/>
        <v>0.42</v>
      </c>
      <c r="N171" s="123">
        <f t="shared" si="50"/>
        <v>0.42</v>
      </c>
      <c r="O171" s="123">
        <f t="shared" si="50"/>
        <v>0.42</v>
      </c>
      <c r="P171" s="123">
        <f t="shared" si="50"/>
        <v>0.42</v>
      </c>
      <c r="Q171" s="123">
        <f t="shared" si="50"/>
        <v>0.42</v>
      </c>
      <c r="R171" s="123">
        <f t="shared" si="50"/>
        <v>0.42</v>
      </c>
      <c r="S171" s="123">
        <f t="shared" si="51"/>
        <v>0.42</v>
      </c>
      <c r="T171" s="123">
        <f t="shared" si="51"/>
        <v>0.42</v>
      </c>
      <c r="U171" s="123">
        <f t="shared" si="51"/>
        <v>0.42</v>
      </c>
      <c r="V171" s="123">
        <f t="shared" si="51"/>
        <v>0.42</v>
      </c>
      <c r="W171" s="123">
        <f t="shared" si="51"/>
        <v>0.42</v>
      </c>
      <c r="X171" s="123">
        <f t="shared" si="51"/>
        <v>0.42</v>
      </c>
      <c r="Y171" s="123">
        <f t="shared" si="51"/>
        <v>0.42</v>
      </c>
      <c r="Z171" s="123">
        <f t="shared" si="51"/>
        <v>0.42</v>
      </c>
      <c r="AA171" s="123">
        <f t="shared" si="51"/>
        <v>0.42</v>
      </c>
      <c r="AB171" s="123">
        <f t="shared" si="51"/>
        <v>0.42</v>
      </c>
      <c r="AC171" s="123">
        <f t="shared" si="51"/>
        <v>0.42</v>
      </c>
      <c r="AD171" s="123">
        <f t="shared" si="51"/>
        <v>0.42</v>
      </c>
      <c r="AE171" s="123">
        <f t="shared" si="51"/>
        <v>0.42</v>
      </c>
      <c r="AF171" s="123">
        <f t="shared" si="51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9"/>
        <v>0.46</v>
      </c>
      <c r="C172" s="124">
        <v>0.46</v>
      </c>
      <c r="D172" s="123">
        <f t="shared" si="50"/>
        <v>0.46</v>
      </c>
      <c r="E172" s="123">
        <f t="shared" si="50"/>
        <v>0.46</v>
      </c>
      <c r="F172" s="123">
        <f t="shared" si="50"/>
        <v>0.46</v>
      </c>
      <c r="G172" s="123">
        <f t="shared" si="50"/>
        <v>0.46</v>
      </c>
      <c r="H172" s="123">
        <f t="shared" si="50"/>
        <v>0.46</v>
      </c>
      <c r="I172" s="123">
        <f t="shared" si="50"/>
        <v>0.46</v>
      </c>
      <c r="J172" s="123">
        <f t="shared" si="50"/>
        <v>0.46</v>
      </c>
      <c r="K172" s="123">
        <f t="shared" si="50"/>
        <v>0.46</v>
      </c>
      <c r="L172" s="123">
        <f t="shared" si="50"/>
        <v>0.46</v>
      </c>
      <c r="M172" s="123">
        <f t="shared" si="50"/>
        <v>0.46</v>
      </c>
      <c r="N172" s="123">
        <f t="shared" si="50"/>
        <v>0.46</v>
      </c>
      <c r="O172" s="123">
        <f t="shared" si="50"/>
        <v>0.46</v>
      </c>
      <c r="P172" s="123">
        <f t="shared" si="50"/>
        <v>0.46</v>
      </c>
      <c r="Q172" s="123">
        <f t="shared" si="50"/>
        <v>0.46</v>
      </c>
      <c r="R172" s="123">
        <f t="shared" si="50"/>
        <v>0.46</v>
      </c>
      <c r="S172" s="123">
        <f t="shared" si="51"/>
        <v>0.46</v>
      </c>
      <c r="T172" s="123">
        <f t="shared" si="51"/>
        <v>0.46</v>
      </c>
      <c r="U172" s="123">
        <f t="shared" si="51"/>
        <v>0.46</v>
      </c>
      <c r="V172" s="123">
        <f t="shared" si="51"/>
        <v>0.46</v>
      </c>
      <c r="W172" s="123">
        <f t="shared" si="51"/>
        <v>0.46</v>
      </c>
      <c r="X172" s="123">
        <f t="shared" si="51"/>
        <v>0.46</v>
      </c>
      <c r="Y172" s="123">
        <f t="shared" si="51"/>
        <v>0.46</v>
      </c>
      <c r="Z172" s="123">
        <f t="shared" si="51"/>
        <v>0.46</v>
      </c>
      <c r="AA172" s="123">
        <f t="shared" si="51"/>
        <v>0.46</v>
      </c>
      <c r="AB172" s="123">
        <f t="shared" si="51"/>
        <v>0.46</v>
      </c>
      <c r="AC172" s="123">
        <f t="shared" si="51"/>
        <v>0.46</v>
      </c>
      <c r="AD172" s="123">
        <f t="shared" si="51"/>
        <v>0.46</v>
      </c>
      <c r="AE172" s="123">
        <f t="shared" si="51"/>
        <v>0.46</v>
      </c>
      <c r="AF172" s="123">
        <f t="shared" si="51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9"/>
        <v>0.85</v>
      </c>
      <c r="C173" s="124">
        <v>0.85</v>
      </c>
      <c r="D173" s="123">
        <f t="shared" si="50"/>
        <v>0.85</v>
      </c>
      <c r="E173" s="123">
        <f t="shared" si="50"/>
        <v>0.85</v>
      </c>
      <c r="F173" s="123">
        <f t="shared" si="50"/>
        <v>0.85</v>
      </c>
      <c r="G173" s="123">
        <f t="shared" si="50"/>
        <v>0.85</v>
      </c>
      <c r="H173" s="123">
        <f t="shared" si="50"/>
        <v>0.85</v>
      </c>
      <c r="I173" s="123">
        <f t="shared" si="50"/>
        <v>0.85</v>
      </c>
      <c r="J173" s="123">
        <f t="shared" si="50"/>
        <v>0.85</v>
      </c>
      <c r="K173" s="123">
        <f t="shared" si="50"/>
        <v>0.85</v>
      </c>
      <c r="L173" s="123">
        <f t="shared" si="50"/>
        <v>0.85</v>
      </c>
      <c r="M173" s="123">
        <f t="shared" si="50"/>
        <v>0.85</v>
      </c>
      <c r="N173" s="123">
        <f t="shared" si="50"/>
        <v>0.85</v>
      </c>
      <c r="O173" s="123">
        <f t="shared" si="50"/>
        <v>0.85</v>
      </c>
      <c r="P173" s="123">
        <f t="shared" si="50"/>
        <v>0.85</v>
      </c>
      <c r="Q173" s="123">
        <f t="shared" si="50"/>
        <v>0.85</v>
      </c>
      <c r="R173" s="123">
        <f t="shared" si="50"/>
        <v>0.85</v>
      </c>
      <c r="S173" s="123">
        <f t="shared" si="51"/>
        <v>0.85</v>
      </c>
      <c r="T173" s="123">
        <f t="shared" si="51"/>
        <v>0.85</v>
      </c>
      <c r="U173" s="123">
        <f t="shared" si="51"/>
        <v>0.85</v>
      </c>
      <c r="V173" s="123">
        <f t="shared" si="51"/>
        <v>0.85</v>
      </c>
      <c r="W173" s="123">
        <f t="shared" si="51"/>
        <v>0.85</v>
      </c>
      <c r="X173" s="123">
        <f t="shared" si="51"/>
        <v>0.85</v>
      </c>
      <c r="Y173" s="123">
        <f t="shared" si="51"/>
        <v>0.85</v>
      </c>
      <c r="Z173" s="123">
        <f t="shared" si="51"/>
        <v>0.85</v>
      </c>
      <c r="AA173" s="123">
        <f t="shared" si="51"/>
        <v>0.85</v>
      </c>
      <c r="AB173" s="123">
        <f t="shared" si="51"/>
        <v>0.85</v>
      </c>
      <c r="AC173" s="123">
        <f t="shared" si="51"/>
        <v>0.85</v>
      </c>
      <c r="AD173" s="123">
        <f t="shared" si="51"/>
        <v>0.85</v>
      </c>
      <c r="AE173" s="123">
        <f t="shared" si="51"/>
        <v>0.85</v>
      </c>
      <c r="AF173" s="123">
        <f t="shared" si="51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9"/>
        <v>0.9</v>
      </c>
      <c r="C174" s="124">
        <v>0.9</v>
      </c>
      <c r="D174" s="123">
        <f t="shared" si="50"/>
        <v>0.9</v>
      </c>
      <c r="E174" s="123">
        <f t="shared" si="50"/>
        <v>0.9</v>
      </c>
      <c r="F174" s="123">
        <f t="shared" si="50"/>
        <v>0.9</v>
      </c>
      <c r="G174" s="123">
        <f t="shared" si="50"/>
        <v>0.9</v>
      </c>
      <c r="H174" s="123">
        <f t="shared" si="50"/>
        <v>0.9</v>
      </c>
      <c r="I174" s="123">
        <f t="shared" si="50"/>
        <v>0.9</v>
      </c>
      <c r="J174" s="123">
        <f t="shared" si="50"/>
        <v>0.9</v>
      </c>
      <c r="K174" s="123">
        <f t="shared" si="50"/>
        <v>0.9</v>
      </c>
      <c r="L174" s="123">
        <f t="shared" si="50"/>
        <v>0.9</v>
      </c>
      <c r="M174" s="123">
        <f t="shared" si="50"/>
        <v>0.9</v>
      </c>
      <c r="N174" s="123">
        <f t="shared" si="50"/>
        <v>0.9</v>
      </c>
      <c r="O174" s="123">
        <f t="shared" si="50"/>
        <v>0.9</v>
      </c>
      <c r="P174" s="123">
        <f t="shared" si="50"/>
        <v>0.9</v>
      </c>
      <c r="Q174" s="123">
        <f t="shared" si="50"/>
        <v>0.9</v>
      </c>
      <c r="R174" s="123">
        <f t="shared" si="50"/>
        <v>0.9</v>
      </c>
      <c r="S174" s="123">
        <f t="shared" si="51"/>
        <v>0.9</v>
      </c>
      <c r="T174" s="123">
        <f t="shared" si="51"/>
        <v>0.9</v>
      </c>
      <c r="U174" s="123">
        <f t="shared" si="51"/>
        <v>0.9</v>
      </c>
      <c r="V174" s="123">
        <f t="shared" si="51"/>
        <v>0.9</v>
      </c>
      <c r="W174" s="123">
        <f t="shared" si="51"/>
        <v>0.9</v>
      </c>
      <c r="X174" s="123">
        <f t="shared" si="51"/>
        <v>0.9</v>
      </c>
      <c r="Y174" s="123">
        <f t="shared" si="51"/>
        <v>0.9</v>
      </c>
      <c r="Z174" s="123">
        <f t="shared" si="51"/>
        <v>0.9</v>
      </c>
      <c r="AA174" s="123">
        <f t="shared" si="51"/>
        <v>0.9</v>
      </c>
      <c r="AB174" s="123">
        <f t="shared" si="51"/>
        <v>0.9</v>
      </c>
      <c r="AC174" s="123">
        <f t="shared" si="51"/>
        <v>0.9</v>
      </c>
      <c r="AD174" s="123">
        <f t="shared" si="51"/>
        <v>0.9</v>
      </c>
      <c r="AE174" s="123">
        <f t="shared" si="51"/>
        <v>0.9</v>
      </c>
      <c r="AF174" s="123">
        <f t="shared" si="51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9"/>
        <v>0.44</v>
      </c>
      <c r="C175" s="124">
        <v>0.44</v>
      </c>
      <c r="D175" s="123">
        <f t="shared" si="50"/>
        <v>0.44</v>
      </c>
      <c r="E175" s="123">
        <f t="shared" si="50"/>
        <v>0.44</v>
      </c>
      <c r="F175" s="123">
        <f t="shared" si="50"/>
        <v>0.44</v>
      </c>
      <c r="G175" s="123">
        <f t="shared" si="50"/>
        <v>0.44</v>
      </c>
      <c r="H175" s="123">
        <f t="shared" si="50"/>
        <v>0.44</v>
      </c>
      <c r="I175" s="123">
        <f t="shared" si="50"/>
        <v>0.44</v>
      </c>
      <c r="J175" s="123">
        <f t="shared" si="50"/>
        <v>0.44</v>
      </c>
      <c r="K175" s="123">
        <f t="shared" si="50"/>
        <v>0.44</v>
      </c>
      <c r="L175" s="123">
        <f t="shared" si="50"/>
        <v>0.44</v>
      </c>
      <c r="M175" s="123">
        <f t="shared" si="50"/>
        <v>0.44</v>
      </c>
      <c r="N175" s="123">
        <f t="shared" si="50"/>
        <v>0.44</v>
      </c>
      <c r="O175" s="123">
        <f t="shared" si="50"/>
        <v>0.44</v>
      </c>
      <c r="P175" s="123">
        <f t="shared" si="50"/>
        <v>0.44</v>
      </c>
      <c r="Q175" s="123">
        <f t="shared" si="50"/>
        <v>0.44</v>
      </c>
      <c r="R175" s="123">
        <f t="shared" si="50"/>
        <v>0.44</v>
      </c>
      <c r="S175" s="123">
        <f t="shared" si="51"/>
        <v>0.44</v>
      </c>
      <c r="T175" s="123">
        <f t="shared" si="51"/>
        <v>0.44</v>
      </c>
      <c r="U175" s="123">
        <f t="shared" si="51"/>
        <v>0.44</v>
      </c>
      <c r="V175" s="123">
        <f t="shared" si="51"/>
        <v>0.44</v>
      </c>
      <c r="W175" s="123">
        <f t="shared" si="51"/>
        <v>0.44</v>
      </c>
      <c r="X175" s="123">
        <f t="shared" si="51"/>
        <v>0.44</v>
      </c>
      <c r="Y175" s="123">
        <f t="shared" si="51"/>
        <v>0.44</v>
      </c>
      <c r="Z175" s="123">
        <f t="shared" si="51"/>
        <v>0.44</v>
      </c>
      <c r="AA175" s="123">
        <f t="shared" si="51"/>
        <v>0.44</v>
      </c>
      <c r="AB175" s="123">
        <f t="shared" si="51"/>
        <v>0.44</v>
      </c>
      <c r="AC175" s="123">
        <f t="shared" si="51"/>
        <v>0.44</v>
      </c>
      <c r="AD175" s="123">
        <f t="shared" si="51"/>
        <v>0.44</v>
      </c>
      <c r="AE175" s="123">
        <f t="shared" si="51"/>
        <v>0.44</v>
      </c>
      <c r="AF175" s="123">
        <f t="shared" si="51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9"/>
        <v>2.1</v>
      </c>
      <c r="C176" s="124">
        <v>2.1</v>
      </c>
      <c r="D176" s="123">
        <f t="shared" si="50"/>
        <v>2.1</v>
      </c>
      <c r="E176" s="123">
        <f t="shared" si="50"/>
        <v>2.1</v>
      </c>
      <c r="F176" s="123">
        <f t="shared" si="50"/>
        <v>2.1</v>
      </c>
      <c r="G176" s="123">
        <f t="shared" si="50"/>
        <v>2.1</v>
      </c>
      <c r="H176" s="123">
        <f t="shared" si="50"/>
        <v>2.1</v>
      </c>
      <c r="I176" s="123">
        <f t="shared" si="50"/>
        <v>2.1</v>
      </c>
      <c r="J176" s="123">
        <f t="shared" si="50"/>
        <v>2.1</v>
      </c>
      <c r="K176" s="123">
        <f t="shared" si="50"/>
        <v>2.1</v>
      </c>
      <c r="L176" s="123">
        <f t="shared" si="50"/>
        <v>2.1</v>
      </c>
      <c r="M176" s="123">
        <f t="shared" si="50"/>
        <v>2.1</v>
      </c>
      <c r="N176" s="123">
        <f t="shared" si="50"/>
        <v>2.1</v>
      </c>
      <c r="O176" s="123">
        <f t="shared" si="50"/>
        <v>2.1</v>
      </c>
      <c r="P176" s="123">
        <f t="shared" si="50"/>
        <v>2.1</v>
      </c>
      <c r="Q176" s="123">
        <f t="shared" si="50"/>
        <v>2.1</v>
      </c>
      <c r="R176" s="123">
        <f t="shared" si="50"/>
        <v>2.1</v>
      </c>
      <c r="S176" s="123">
        <f t="shared" si="51"/>
        <v>2.1</v>
      </c>
      <c r="T176" s="123">
        <f t="shared" si="51"/>
        <v>2.1</v>
      </c>
      <c r="U176" s="123">
        <f t="shared" si="51"/>
        <v>2.1</v>
      </c>
      <c r="V176" s="123">
        <f t="shared" si="51"/>
        <v>2.1</v>
      </c>
      <c r="W176" s="123">
        <f t="shared" si="51"/>
        <v>2.1</v>
      </c>
      <c r="X176" s="123">
        <f t="shared" si="51"/>
        <v>2.1</v>
      </c>
      <c r="Y176" s="123">
        <f t="shared" si="51"/>
        <v>2.1</v>
      </c>
      <c r="Z176" s="123">
        <f t="shared" si="51"/>
        <v>2.1</v>
      </c>
      <c r="AA176" s="123">
        <f t="shared" si="51"/>
        <v>2.1</v>
      </c>
      <c r="AB176" s="123">
        <f t="shared" si="51"/>
        <v>2.1</v>
      </c>
      <c r="AC176" s="123">
        <f t="shared" si="51"/>
        <v>2.1</v>
      </c>
      <c r="AD176" s="123">
        <f t="shared" si="51"/>
        <v>2.1</v>
      </c>
      <c r="AE176" s="123">
        <f t="shared" si="51"/>
        <v>2.1</v>
      </c>
      <c r="AF176" s="123">
        <f t="shared" si="51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9"/>
        <v>0.9</v>
      </c>
      <c r="C177" s="124">
        <v>0.9</v>
      </c>
      <c r="D177" s="123">
        <f t="shared" si="50"/>
        <v>0.9</v>
      </c>
      <c r="E177" s="123">
        <f t="shared" si="50"/>
        <v>0.9</v>
      </c>
      <c r="F177" s="123">
        <f t="shared" si="50"/>
        <v>0.9</v>
      </c>
      <c r="G177" s="123">
        <f t="shared" si="50"/>
        <v>0.9</v>
      </c>
      <c r="H177" s="123">
        <f t="shared" si="50"/>
        <v>0.9</v>
      </c>
      <c r="I177" s="123">
        <f t="shared" si="50"/>
        <v>0.9</v>
      </c>
      <c r="J177" s="123">
        <f t="shared" si="50"/>
        <v>0.9</v>
      </c>
      <c r="K177" s="123">
        <f t="shared" si="50"/>
        <v>0.9</v>
      </c>
      <c r="L177" s="123">
        <f t="shared" si="50"/>
        <v>0.9</v>
      </c>
      <c r="M177" s="123">
        <f t="shared" si="50"/>
        <v>0.9</v>
      </c>
      <c r="N177" s="123">
        <f t="shared" si="50"/>
        <v>0.9</v>
      </c>
      <c r="O177" s="123">
        <f t="shared" si="50"/>
        <v>0.9</v>
      </c>
      <c r="P177" s="123">
        <f t="shared" si="50"/>
        <v>0.9</v>
      </c>
      <c r="Q177" s="123">
        <f t="shared" si="50"/>
        <v>0.9</v>
      </c>
      <c r="R177" s="123">
        <f t="shared" si="50"/>
        <v>0.9</v>
      </c>
      <c r="S177" s="123">
        <f t="shared" si="51"/>
        <v>0.9</v>
      </c>
      <c r="T177" s="123">
        <f t="shared" si="51"/>
        <v>0.9</v>
      </c>
      <c r="U177" s="123">
        <f t="shared" si="51"/>
        <v>0.9</v>
      </c>
      <c r="V177" s="123">
        <f t="shared" si="51"/>
        <v>0.9</v>
      </c>
      <c r="W177" s="123">
        <f t="shared" si="51"/>
        <v>0.9</v>
      </c>
      <c r="X177" s="123">
        <f t="shared" si="51"/>
        <v>0.9</v>
      </c>
      <c r="Y177" s="123">
        <f t="shared" si="51"/>
        <v>0.9</v>
      </c>
      <c r="Z177" s="123">
        <f t="shared" si="51"/>
        <v>0.9</v>
      </c>
      <c r="AA177" s="123">
        <f t="shared" si="51"/>
        <v>0.9</v>
      </c>
      <c r="AB177" s="123">
        <f t="shared" si="51"/>
        <v>0.9</v>
      </c>
      <c r="AC177" s="123">
        <f t="shared" si="51"/>
        <v>0.9</v>
      </c>
      <c r="AD177" s="123">
        <f t="shared" si="51"/>
        <v>0.9</v>
      </c>
      <c r="AE177" s="123">
        <f t="shared" si="51"/>
        <v>0.9</v>
      </c>
      <c r="AF177" s="123">
        <f t="shared" si="51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2">AF179</f>
        <v>0.57999999999999996</v>
      </c>
      <c r="C179" s="124">
        <v>0.57999999999999996</v>
      </c>
      <c r="D179" s="123">
        <f t="shared" ref="D179:S191" si="53">C179</f>
        <v>0.57999999999999996</v>
      </c>
      <c r="E179" s="123">
        <f t="shared" si="53"/>
        <v>0.57999999999999996</v>
      </c>
      <c r="F179" s="123">
        <f t="shared" si="53"/>
        <v>0.57999999999999996</v>
      </c>
      <c r="G179" s="123">
        <f t="shared" si="53"/>
        <v>0.57999999999999996</v>
      </c>
      <c r="H179" s="123">
        <f t="shared" si="53"/>
        <v>0.57999999999999996</v>
      </c>
      <c r="I179" s="123">
        <f t="shared" si="53"/>
        <v>0.57999999999999996</v>
      </c>
      <c r="J179" s="123">
        <f t="shared" si="53"/>
        <v>0.57999999999999996</v>
      </c>
      <c r="K179" s="123">
        <f t="shared" si="53"/>
        <v>0.57999999999999996</v>
      </c>
      <c r="L179" s="123">
        <f t="shared" si="53"/>
        <v>0.57999999999999996</v>
      </c>
      <c r="M179" s="123">
        <f t="shared" si="53"/>
        <v>0.57999999999999996</v>
      </c>
      <c r="N179" s="123">
        <f t="shared" si="53"/>
        <v>0.57999999999999996</v>
      </c>
      <c r="O179" s="123">
        <f t="shared" si="53"/>
        <v>0.57999999999999996</v>
      </c>
      <c r="P179" s="123">
        <f t="shared" si="53"/>
        <v>0.57999999999999996</v>
      </c>
      <c r="Q179" s="123">
        <f t="shared" si="53"/>
        <v>0.57999999999999996</v>
      </c>
      <c r="R179" s="123">
        <f t="shared" si="53"/>
        <v>0.57999999999999996</v>
      </c>
      <c r="S179" s="123">
        <f t="shared" si="53"/>
        <v>0.57999999999999996</v>
      </c>
      <c r="T179" s="123">
        <f t="shared" ref="S179:AF191" si="54">S179</f>
        <v>0.57999999999999996</v>
      </c>
      <c r="U179" s="123">
        <f t="shared" si="54"/>
        <v>0.57999999999999996</v>
      </c>
      <c r="V179" s="123">
        <f t="shared" si="54"/>
        <v>0.57999999999999996</v>
      </c>
      <c r="W179" s="123">
        <f t="shared" si="54"/>
        <v>0.57999999999999996</v>
      </c>
      <c r="X179" s="123">
        <f t="shared" si="54"/>
        <v>0.57999999999999996</v>
      </c>
      <c r="Y179" s="123">
        <f t="shared" si="54"/>
        <v>0.57999999999999996</v>
      </c>
      <c r="Z179" s="123">
        <f t="shared" si="54"/>
        <v>0.57999999999999996</v>
      </c>
      <c r="AA179" s="123">
        <f t="shared" si="54"/>
        <v>0.57999999999999996</v>
      </c>
      <c r="AB179" s="123">
        <f t="shared" si="54"/>
        <v>0.57999999999999996</v>
      </c>
      <c r="AC179" s="123">
        <f t="shared" si="54"/>
        <v>0.57999999999999996</v>
      </c>
      <c r="AD179" s="123">
        <f t="shared" si="54"/>
        <v>0.57999999999999996</v>
      </c>
      <c r="AE179" s="123">
        <f t="shared" si="54"/>
        <v>0.57999999999999996</v>
      </c>
      <c r="AF179" s="123">
        <f t="shared" si="54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2"/>
        <v>0.8</v>
      </c>
      <c r="C180" s="124">
        <v>0.8</v>
      </c>
      <c r="D180" s="123">
        <f t="shared" si="53"/>
        <v>0.8</v>
      </c>
      <c r="E180" s="123">
        <f t="shared" si="53"/>
        <v>0.8</v>
      </c>
      <c r="F180" s="123">
        <f t="shared" si="53"/>
        <v>0.8</v>
      </c>
      <c r="G180" s="123">
        <f t="shared" si="53"/>
        <v>0.8</v>
      </c>
      <c r="H180" s="123">
        <f t="shared" si="53"/>
        <v>0.8</v>
      </c>
      <c r="I180" s="123">
        <f t="shared" si="53"/>
        <v>0.8</v>
      </c>
      <c r="J180" s="123">
        <f t="shared" si="53"/>
        <v>0.8</v>
      </c>
      <c r="K180" s="123">
        <f t="shared" si="53"/>
        <v>0.8</v>
      </c>
      <c r="L180" s="123">
        <f t="shared" si="53"/>
        <v>0.8</v>
      </c>
      <c r="M180" s="123">
        <f t="shared" si="53"/>
        <v>0.8</v>
      </c>
      <c r="N180" s="123">
        <f t="shared" si="53"/>
        <v>0.8</v>
      </c>
      <c r="O180" s="123">
        <f t="shared" si="53"/>
        <v>0.8</v>
      </c>
      <c r="P180" s="123">
        <f t="shared" si="53"/>
        <v>0.8</v>
      </c>
      <c r="Q180" s="123">
        <f t="shared" si="53"/>
        <v>0.8</v>
      </c>
      <c r="R180" s="123">
        <f t="shared" si="53"/>
        <v>0.8</v>
      </c>
      <c r="S180" s="123">
        <f t="shared" si="53"/>
        <v>0.8</v>
      </c>
      <c r="T180" s="123">
        <f t="shared" si="54"/>
        <v>0.8</v>
      </c>
      <c r="U180" s="123">
        <f t="shared" si="54"/>
        <v>0.8</v>
      </c>
      <c r="V180" s="123">
        <f t="shared" si="54"/>
        <v>0.8</v>
      </c>
      <c r="W180" s="123">
        <f t="shared" si="54"/>
        <v>0.8</v>
      </c>
      <c r="X180" s="123">
        <f t="shared" si="54"/>
        <v>0.8</v>
      </c>
      <c r="Y180" s="123">
        <f t="shared" si="54"/>
        <v>0.8</v>
      </c>
      <c r="Z180" s="123">
        <f t="shared" si="54"/>
        <v>0.8</v>
      </c>
      <c r="AA180" s="123">
        <f t="shared" si="54"/>
        <v>0.8</v>
      </c>
      <c r="AB180" s="123">
        <f t="shared" si="54"/>
        <v>0.8</v>
      </c>
      <c r="AC180" s="123">
        <f t="shared" si="54"/>
        <v>0.8</v>
      </c>
      <c r="AD180" s="123">
        <f t="shared" si="54"/>
        <v>0.8</v>
      </c>
      <c r="AE180" s="123">
        <f t="shared" si="54"/>
        <v>0.8</v>
      </c>
      <c r="AF180" s="123">
        <f t="shared" si="54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2"/>
        <v>0</v>
      </c>
      <c r="C181" s="124">
        <v>0</v>
      </c>
      <c r="D181" s="123">
        <f t="shared" si="53"/>
        <v>0</v>
      </c>
      <c r="E181" s="123">
        <f t="shared" si="53"/>
        <v>0</v>
      </c>
      <c r="F181" s="123">
        <f t="shared" si="53"/>
        <v>0</v>
      </c>
      <c r="G181" s="123">
        <f t="shared" si="53"/>
        <v>0</v>
      </c>
      <c r="H181" s="123">
        <f t="shared" si="53"/>
        <v>0</v>
      </c>
      <c r="I181" s="123">
        <f t="shared" si="53"/>
        <v>0</v>
      </c>
      <c r="J181" s="123">
        <f t="shared" si="53"/>
        <v>0</v>
      </c>
      <c r="K181" s="123">
        <f t="shared" si="53"/>
        <v>0</v>
      </c>
      <c r="L181" s="123">
        <f t="shared" si="53"/>
        <v>0</v>
      </c>
      <c r="M181" s="123">
        <f t="shared" si="53"/>
        <v>0</v>
      </c>
      <c r="N181" s="123">
        <f t="shared" si="53"/>
        <v>0</v>
      </c>
      <c r="O181" s="123">
        <f t="shared" si="53"/>
        <v>0</v>
      </c>
      <c r="P181" s="123">
        <f t="shared" si="53"/>
        <v>0</v>
      </c>
      <c r="Q181" s="123">
        <f t="shared" si="53"/>
        <v>0</v>
      </c>
      <c r="R181" s="123">
        <f t="shared" si="53"/>
        <v>0</v>
      </c>
      <c r="S181" s="123">
        <f t="shared" si="53"/>
        <v>0</v>
      </c>
      <c r="T181" s="123">
        <f t="shared" si="54"/>
        <v>0</v>
      </c>
      <c r="U181" s="123">
        <f t="shared" si="54"/>
        <v>0</v>
      </c>
      <c r="V181" s="123">
        <f t="shared" si="54"/>
        <v>0</v>
      </c>
      <c r="W181" s="123">
        <f t="shared" si="54"/>
        <v>0</v>
      </c>
      <c r="X181" s="123">
        <f t="shared" si="54"/>
        <v>0</v>
      </c>
      <c r="Y181" s="123">
        <f t="shared" si="54"/>
        <v>0</v>
      </c>
      <c r="Z181" s="123">
        <f t="shared" si="54"/>
        <v>0</v>
      </c>
      <c r="AA181" s="123">
        <f t="shared" si="54"/>
        <v>0</v>
      </c>
      <c r="AB181" s="123">
        <f t="shared" si="54"/>
        <v>0</v>
      </c>
      <c r="AC181" s="123">
        <f t="shared" si="54"/>
        <v>0</v>
      </c>
      <c r="AD181" s="123">
        <f t="shared" si="54"/>
        <v>0</v>
      </c>
      <c r="AE181" s="123">
        <f t="shared" si="54"/>
        <v>0</v>
      </c>
      <c r="AF181" s="123">
        <f t="shared" si="54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2"/>
        <v>0.6</v>
      </c>
      <c r="C182" s="124">
        <v>0.6</v>
      </c>
      <c r="D182" s="123">
        <f t="shared" si="53"/>
        <v>0.6</v>
      </c>
      <c r="E182" s="123">
        <f t="shared" si="53"/>
        <v>0.6</v>
      </c>
      <c r="F182" s="123">
        <f t="shared" si="53"/>
        <v>0.6</v>
      </c>
      <c r="G182" s="123">
        <f t="shared" si="53"/>
        <v>0.6</v>
      </c>
      <c r="H182" s="123">
        <f t="shared" si="53"/>
        <v>0.6</v>
      </c>
      <c r="I182" s="123">
        <f t="shared" si="53"/>
        <v>0.6</v>
      </c>
      <c r="J182" s="123">
        <f t="shared" si="53"/>
        <v>0.6</v>
      </c>
      <c r="K182" s="123">
        <f t="shared" si="53"/>
        <v>0.6</v>
      </c>
      <c r="L182" s="123">
        <f t="shared" si="53"/>
        <v>0.6</v>
      </c>
      <c r="M182" s="123">
        <f t="shared" si="53"/>
        <v>0.6</v>
      </c>
      <c r="N182" s="123">
        <f t="shared" si="53"/>
        <v>0.6</v>
      </c>
      <c r="O182" s="123">
        <f t="shared" si="53"/>
        <v>0.6</v>
      </c>
      <c r="P182" s="123">
        <f t="shared" si="53"/>
        <v>0.6</v>
      </c>
      <c r="Q182" s="123">
        <f t="shared" si="53"/>
        <v>0.6</v>
      </c>
      <c r="R182" s="123">
        <f t="shared" si="53"/>
        <v>0.6</v>
      </c>
      <c r="S182" s="123">
        <f t="shared" si="53"/>
        <v>0.6</v>
      </c>
      <c r="T182" s="123">
        <f t="shared" si="54"/>
        <v>0.6</v>
      </c>
      <c r="U182" s="123">
        <f t="shared" si="54"/>
        <v>0.6</v>
      </c>
      <c r="V182" s="123">
        <f t="shared" si="54"/>
        <v>0.6</v>
      </c>
      <c r="W182" s="123">
        <f t="shared" si="54"/>
        <v>0.6</v>
      </c>
      <c r="X182" s="123">
        <f t="shared" si="54"/>
        <v>0.6</v>
      </c>
      <c r="Y182" s="123">
        <f t="shared" si="54"/>
        <v>0.6</v>
      </c>
      <c r="Z182" s="123">
        <f t="shared" si="54"/>
        <v>0.6</v>
      </c>
      <c r="AA182" s="123">
        <f t="shared" si="54"/>
        <v>0.6</v>
      </c>
      <c r="AB182" s="123">
        <f t="shared" si="54"/>
        <v>0.6</v>
      </c>
      <c r="AC182" s="123">
        <f t="shared" si="54"/>
        <v>0.6</v>
      </c>
      <c r="AD182" s="123">
        <f t="shared" si="54"/>
        <v>0.6</v>
      </c>
      <c r="AE182" s="123">
        <f t="shared" si="54"/>
        <v>0.6</v>
      </c>
      <c r="AF182" s="123">
        <f t="shared" si="54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2"/>
        <v>0.35</v>
      </c>
      <c r="C184" s="124">
        <v>0.35</v>
      </c>
      <c r="D184" s="123">
        <f t="shared" si="53"/>
        <v>0.35</v>
      </c>
      <c r="E184" s="123">
        <f t="shared" si="53"/>
        <v>0.35</v>
      </c>
      <c r="F184" s="123">
        <f t="shared" si="53"/>
        <v>0.35</v>
      </c>
      <c r="G184" s="123">
        <f t="shared" si="53"/>
        <v>0.35</v>
      </c>
      <c r="H184" s="123">
        <f t="shared" si="53"/>
        <v>0.35</v>
      </c>
      <c r="I184" s="123">
        <f t="shared" si="53"/>
        <v>0.35</v>
      </c>
      <c r="J184" s="123">
        <f t="shared" si="53"/>
        <v>0.35</v>
      </c>
      <c r="K184" s="123">
        <f t="shared" si="53"/>
        <v>0.35</v>
      </c>
      <c r="L184" s="123">
        <f t="shared" si="53"/>
        <v>0.35</v>
      </c>
      <c r="M184" s="123">
        <f t="shared" si="53"/>
        <v>0.35</v>
      </c>
      <c r="N184" s="123">
        <f t="shared" si="53"/>
        <v>0.35</v>
      </c>
      <c r="O184" s="123">
        <f t="shared" si="53"/>
        <v>0.35</v>
      </c>
      <c r="P184" s="123">
        <f t="shared" si="53"/>
        <v>0.35</v>
      </c>
      <c r="Q184" s="123">
        <f t="shared" si="53"/>
        <v>0.35</v>
      </c>
      <c r="R184" s="123">
        <f t="shared" si="53"/>
        <v>0.35</v>
      </c>
      <c r="S184" s="123">
        <f t="shared" si="53"/>
        <v>0.35</v>
      </c>
      <c r="T184" s="123">
        <f t="shared" si="54"/>
        <v>0.35</v>
      </c>
      <c r="U184" s="123">
        <f t="shared" si="54"/>
        <v>0.35</v>
      </c>
      <c r="V184" s="123">
        <f t="shared" si="54"/>
        <v>0.35</v>
      </c>
      <c r="W184" s="123">
        <f t="shared" si="54"/>
        <v>0.35</v>
      </c>
      <c r="X184" s="123">
        <f t="shared" si="54"/>
        <v>0.35</v>
      </c>
      <c r="Y184" s="123">
        <f t="shared" si="54"/>
        <v>0.35</v>
      </c>
      <c r="Z184" s="123">
        <f t="shared" si="54"/>
        <v>0.35</v>
      </c>
      <c r="AA184" s="123">
        <f t="shared" si="54"/>
        <v>0.35</v>
      </c>
      <c r="AB184" s="123">
        <f t="shared" si="54"/>
        <v>0.35</v>
      </c>
      <c r="AC184" s="123">
        <f t="shared" si="54"/>
        <v>0.35</v>
      </c>
      <c r="AD184" s="123">
        <f t="shared" si="54"/>
        <v>0.35</v>
      </c>
      <c r="AE184" s="123">
        <f t="shared" si="54"/>
        <v>0.35</v>
      </c>
      <c r="AF184" s="123">
        <f t="shared" si="54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2"/>
        <v>0.28999999999999998</v>
      </c>
      <c r="C185" s="124">
        <v>0.28999999999999998</v>
      </c>
      <c r="D185" s="123">
        <f t="shared" si="53"/>
        <v>0.28999999999999998</v>
      </c>
      <c r="E185" s="123">
        <f t="shared" si="53"/>
        <v>0.28999999999999998</v>
      </c>
      <c r="F185" s="123">
        <f t="shared" si="53"/>
        <v>0.28999999999999998</v>
      </c>
      <c r="G185" s="123">
        <f t="shared" si="53"/>
        <v>0.28999999999999998</v>
      </c>
      <c r="H185" s="123">
        <f t="shared" si="53"/>
        <v>0.28999999999999998</v>
      </c>
      <c r="I185" s="123">
        <f t="shared" si="53"/>
        <v>0.28999999999999998</v>
      </c>
      <c r="J185" s="123">
        <f t="shared" si="53"/>
        <v>0.28999999999999998</v>
      </c>
      <c r="K185" s="123">
        <f t="shared" si="53"/>
        <v>0.28999999999999998</v>
      </c>
      <c r="L185" s="123">
        <f t="shared" si="53"/>
        <v>0.28999999999999998</v>
      </c>
      <c r="M185" s="123">
        <f t="shared" si="53"/>
        <v>0.28999999999999998</v>
      </c>
      <c r="N185" s="123">
        <f t="shared" si="53"/>
        <v>0.28999999999999998</v>
      </c>
      <c r="O185" s="123">
        <f t="shared" si="53"/>
        <v>0.28999999999999998</v>
      </c>
      <c r="P185" s="123">
        <f t="shared" si="53"/>
        <v>0.28999999999999998</v>
      </c>
      <c r="Q185" s="123">
        <f t="shared" si="53"/>
        <v>0.28999999999999998</v>
      </c>
      <c r="R185" s="123">
        <f t="shared" si="53"/>
        <v>0.28999999999999998</v>
      </c>
      <c r="S185" s="123">
        <f t="shared" si="53"/>
        <v>0.28999999999999998</v>
      </c>
      <c r="T185" s="123">
        <f t="shared" si="54"/>
        <v>0.28999999999999998</v>
      </c>
      <c r="U185" s="123">
        <f t="shared" si="54"/>
        <v>0.28999999999999998</v>
      </c>
      <c r="V185" s="123">
        <f t="shared" si="54"/>
        <v>0.28999999999999998</v>
      </c>
      <c r="W185" s="123">
        <f t="shared" si="54"/>
        <v>0.28999999999999998</v>
      </c>
      <c r="X185" s="123">
        <f t="shared" si="54"/>
        <v>0.28999999999999998</v>
      </c>
      <c r="Y185" s="123">
        <f t="shared" si="54"/>
        <v>0.28999999999999998</v>
      </c>
      <c r="Z185" s="123">
        <f t="shared" si="54"/>
        <v>0.28999999999999998</v>
      </c>
      <c r="AA185" s="123">
        <f t="shared" si="54"/>
        <v>0.28999999999999998</v>
      </c>
      <c r="AB185" s="123">
        <f t="shared" si="54"/>
        <v>0.28999999999999998</v>
      </c>
      <c r="AC185" s="123">
        <f t="shared" si="54"/>
        <v>0.28999999999999998</v>
      </c>
      <c r="AD185" s="123">
        <f t="shared" si="54"/>
        <v>0.28999999999999998</v>
      </c>
      <c r="AE185" s="123">
        <f t="shared" si="54"/>
        <v>0.28999999999999998</v>
      </c>
      <c r="AF185" s="123">
        <f t="shared" si="54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2"/>
        <v>0.06</v>
      </c>
      <c r="C186" s="124">
        <v>0.06</v>
      </c>
      <c r="D186" s="123">
        <f t="shared" si="53"/>
        <v>0.06</v>
      </c>
      <c r="E186" s="123">
        <f t="shared" si="53"/>
        <v>0.06</v>
      </c>
      <c r="F186" s="123">
        <f t="shared" si="53"/>
        <v>0.06</v>
      </c>
      <c r="G186" s="123">
        <f t="shared" si="53"/>
        <v>0.06</v>
      </c>
      <c r="H186" s="123">
        <f t="shared" si="53"/>
        <v>0.06</v>
      </c>
      <c r="I186" s="123">
        <f t="shared" si="53"/>
        <v>0.06</v>
      </c>
      <c r="J186" s="123">
        <f t="shared" si="53"/>
        <v>0.06</v>
      </c>
      <c r="K186" s="123">
        <f t="shared" si="53"/>
        <v>0.06</v>
      </c>
      <c r="L186" s="123">
        <f t="shared" si="53"/>
        <v>0.06</v>
      </c>
      <c r="M186" s="123">
        <f t="shared" si="53"/>
        <v>0.06</v>
      </c>
      <c r="N186" s="123">
        <f t="shared" si="53"/>
        <v>0.06</v>
      </c>
      <c r="O186" s="123">
        <f t="shared" si="53"/>
        <v>0.06</v>
      </c>
      <c r="P186" s="123">
        <f t="shared" si="53"/>
        <v>0.06</v>
      </c>
      <c r="Q186" s="123">
        <f t="shared" si="53"/>
        <v>0.06</v>
      </c>
      <c r="R186" s="123">
        <f t="shared" si="53"/>
        <v>0.06</v>
      </c>
      <c r="S186" s="123">
        <f t="shared" si="53"/>
        <v>0.06</v>
      </c>
      <c r="T186" s="123">
        <f t="shared" si="54"/>
        <v>0.06</v>
      </c>
      <c r="U186" s="123">
        <f t="shared" si="54"/>
        <v>0.06</v>
      </c>
      <c r="V186" s="123">
        <f t="shared" si="54"/>
        <v>0.06</v>
      </c>
      <c r="W186" s="123">
        <f t="shared" si="54"/>
        <v>0.06</v>
      </c>
      <c r="X186" s="123">
        <f t="shared" si="54"/>
        <v>0.06</v>
      </c>
      <c r="Y186" s="123">
        <f t="shared" si="54"/>
        <v>0.06</v>
      </c>
      <c r="Z186" s="123">
        <f t="shared" si="54"/>
        <v>0.06</v>
      </c>
      <c r="AA186" s="123">
        <f t="shared" si="54"/>
        <v>0.06</v>
      </c>
      <c r="AB186" s="123">
        <f t="shared" si="54"/>
        <v>0.06</v>
      </c>
      <c r="AC186" s="123">
        <f t="shared" si="54"/>
        <v>0.06</v>
      </c>
      <c r="AD186" s="123">
        <f t="shared" si="54"/>
        <v>0.06</v>
      </c>
      <c r="AE186" s="123">
        <f t="shared" si="54"/>
        <v>0.06</v>
      </c>
      <c r="AF186" s="123">
        <f t="shared" si="54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2"/>
        <v>0.11</v>
      </c>
      <c r="C187" s="124">
        <v>0.11</v>
      </c>
      <c r="D187" s="123">
        <f t="shared" si="53"/>
        <v>0.11</v>
      </c>
      <c r="E187" s="123">
        <f t="shared" si="53"/>
        <v>0.11</v>
      </c>
      <c r="F187" s="123">
        <f t="shared" si="53"/>
        <v>0.11</v>
      </c>
      <c r="G187" s="123">
        <f t="shared" si="53"/>
        <v>0.11</v>
      </c>
      <c r="H187" s="123">
        <f t="shared" si="53"/>
        <v>0.11</v>
      </c>
      <c r="I187" s="123">
        <f t="shared" si="53"/>
        <v>0.11</v>
      </c>
      <c r="J187" s="123">
        <f t="shared" si="53"/>
        <v>0.11</v>
      </c>
      <c r="K187" s="123">
        <f t="shared" si="53"/>
        <v>0.11</v>
      </c>
      <c r="L187" s="123">
        <f t="shared" si="53"/>
        <v>0.11</v>
      </c>
      <c r="M187" s="123">
        <f t="shared" si="53"/>
        <v>0.11</v>
      </c>
      <c r="N187" s="123">
        <f t="shared" si="53"/>
        <v>0.11</v>
      </c>
      <c r="O187" s="123">
        <f t="shared" si="53"/>
        <v>0.11</v>
      </c>
      <c r="P187" s="123">
        <f t="shared" si="53"/>
        <v>0.11</v>
      </c>
      <c r="Q187" s="123">
        <f t="shared" si="53"/>
        <v>0.11</v>
      </c>
      <c r="R187" s="123">
        <f t="shared" si="53"/>
        <v>0.11</v>
      </c>
      <c r="S187" s="123">
        <f t="shared" si="53"/>
        <v>0.11</v>
      </c>
      <c r="T187" s="123">
        <f t="shared" si="54"/>
        <v>0.11</v>
      </c>
      <c r="U187" s="123">
        <f t="shared" si="54"/>
        <v>0.11</v>
      </c>
      <c r="V187" s="123">
        <f t="shared" si="54"/>
        <v>0.11</v>
      </c>
      <c r="W187" s="123">
        <f t="shared" si="54"/>
        <v>0.11</v>
      </c>
      <c r="X187" s="123">
        <f t="shared" si="54"/>
        <v>0.11</v>
      </c>
      <c r="Y187" s="123">
        <f t="shared" si="54"/>
        <v>0.11</v>
      </c>
      <c r="Z187" s="123">
        <f t="shared" si="54"/>
        <v>0.11</v>
      </c>
      <c r="AA187" s="123">
        <f t="shared" si="54"/>
        <v>0.11</v>
      </c>
      <c r="AB187" s="123">
        <f t="shared" si="54"/>
        <v>0.11</v>
      </c>
      <c r="AC187" s="123">
        <f t="shared" si="54"/>
        <v>0.11</v>
      </c>
      <c r="AD187" s="123">
        <f t="shared" si="54"/>
        <v>0.11</v>
      </c>
      <c r="AE187" s="123">
        <f t="shared" si="54"/>
        <v>0.11</v>
      </c>
      <c r="AF187" s="123">
        <f t="shared" si="54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2"/>
        <v>0.1</v>
      </c>
      <c r="C188" s="124">
        <v>0.1</v>
      </c>
      <c r="D188" s="123">
        <f t="shared" si="53"/>
        <v>0.1</v>
      </c>
      <c r="E188" s="123">
        <f t="shared" si="53"/>
        <v>0.1</v>
      </c>
      <c r="F188" s="123">
        <f t="shared" si="53"/>
        <v>0.1</v>
      </c>
      <c r="G188" s="123">
        <f t="shared" si="53"/>
        <v>0.1</v>
      </c>
      <c r="H188" s="123">
        <f t="shared" si="53"/>
        <v>0.1</v>
      </c>
      <c r="I188" s="123">
        <f t="shared" si="53"/>
        <v>0.1</v>
      </c>
      <c r="J188" s="123">
        <f t="shared" si="53"/>
        <v>0.1</v>
      </c>
      <c r="K188" s="123">
        <f t="shared" si="53"/>
        <v>0.1</v>
      </c>
      <c r="L188" s="123">
        <f t="shared" si="53"/>
        <v>0.1</v>
      </c>
      <c r="M188" s="123">
        <f t="shared" si="53"/>
        <v>0.1</v>
      </c>
      <c r="N188" s="123">
        <f t="shared" si="53"/>
        <v>0.1</v>
      </c>
      <c r="O188" s="123">
        <f t="shared" si="53"/>
        <v>0.1</v>
      </c>
      <c r="P188" s="123">
        <f t="shared" si="53"/>
        <v>0.1</v>
      </c>
      <c r="Q188" s="123">
        <f t="shared" si="53"/>
        <v>0.1</v>
      </c>
      <c r="R188" s="123">
        <f t="shared" si="53"/>
        <v>0.1</v>
      </c>
      <c r="S188" s="123">
        <f t="shared" si="54"/>
        <v>0.1</v>
      </c>
      <c r="T188" s="123">
        <f t="shared" si="54"/>
        <v>0.1</v>
      </c>
      <c r="U188" s="123">
        <f t="shared" si="54"/>
        <v>0.1</v>
      </c>
      <c r="V188" s="123">
        <f t="shared" si="54"/>
        <v>0.1</v>
      </c>
      <c r="W188" s="123">
        <f t="shared" si="54"/>
        <v>0.1</v>
      </c>
      <c r="X188" s="123">
        <f t="shared" si="54"/>
        <v>0.1</v>
      </c>
      <c r="Y188" s="123">
        <f t="shared" si="54"/>
        <v>0.1</v>
      </c>
      <c r="Z188" s="123">
        <f t="shared" si="54"/>
        <v>0.1</v>
      </c>
      <c r="AA188" s="123">
        <f t="shared" si="54"/>
        <v>0.1</v>
      </c>
      <c r="AB188" s="123">
        <f t="shared" si="54"/>
        <v>0.1</v>
      </c>
      <c r="AC188" s="123">
        <f t="shared" si="54"/>
        <v>0.1</v>
      </c>
      <c r="AD188" s="123">
        <f t="shared" si="54"/>
        <v>0.1</v>
      </c>
      <c r="AE188" s="123">
        <f t="shared" si="54"/>
        <v>0.1</v>
      </c>
      <c r="AF188" s="123">
        <f t="shared" si="54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2"/>
        <v>0.09</v>
      </c>
      <c r="C189" s="124">
        <v>0.09</v>
      </c>
      <c r="D189" s="123">
        <f t="shared" si="53"/>
        <v>0.09</v>
      </c>
      <c r="E189" s="123">
        <f t="shared" si="53"/>
        <v>0.09</v>
      </c>
      <c r="F189" s="123">
        <f t="shared" si="53"/>
        <v>0.09</v>
      </c>
      <c r="G189" s="123">
        <f t="shared" si="53"/>
        <v>0.09</v>
      </c>
      <c r="H189" s="123">
        <f t="shared" si="53"/>
        <v>0.09</v>
      </c>
      <c r="I189" s="123">
        <f t="shared" si="53"/>
        <v>0.09</v>
      </c>
      <c r="J189" s="123">
        <f t="shared" si="53"/>
        <v>0.09</v>
      </c>
      <c r="K189" s="123">
        <f t="shared" si="53"/>
        <v>0.09</v>
      </c>
      <c r="L189" s="123">
        <f t="shared" si="53"/>
        <v>0.09</v>
      </c>
      <c r="M189" s="123">
        <f t="shared" si="53"/>
        <v>0.09</v>
      </c>
      <c r="N189" s="123">
        <f t="shared" si="53"/>
        <v>0.09</v>
      </c>
      <c r="O189" s="123">
        <f t="shared" si="53"/>
        <v>0.09</v>
      </c>
      <c r="P189" s="123">
        <f t="shared" si="53"/>
        <v>0.09</v>
      </c>
      <c r="Q189" s="123">
        <f t="shared" si="53"/>
        <v>0.09</v>
      </c>
      <c r="R189" s="123">
        <f t="shared" si="53"/>
        <v>0.09</v>
      </c>
      <c r="S189" s="123">
        <f t="shared" si="54"/>
        <v>0.09</v>
      </c>
      <c r="T189" s="123">
        <f t="shared" si="54"/>
        <v>0.09</v>
      </c>
      <c r="U189" s="123">
        <f t="shared" si="54"/>
        <v>0.09</v>
      </c>
      <c r="V189" s="123">
        <f t="shared" si="54"/>
        <v>0.09</v>
      </c>
      <c r="W189" s="123">
        <f t="shared" si="54"/>
        <v>0.09</v>
      </c>
      <c r="X189" s="123">
        <f t="shared" si="54"/>
        <v>0.09</v>
      </c>
      <c r="Y189" s="123">
        <f t="shared" si="54"/>
        <v>0.09</v>
      </c>
      <c r="Z189" s="123">
        <f t="shared" si="54"/>
        <v>0.09</v>
      </c>
      <c r="AA189" s="123">
        <f t="shared" si="54"/>
        <v>0.09</v>
      </c>
      <c r="AB189" s="123">
        <f t="shared" si="54"/>
        <v>0.09</v>
      </c>
      <c r="AC189" s="123">
        <f t="shared" si="54"/>
        <v>0.09</v>
      </c>
      <c r="AD189" s="123">
        <f t="shared" si="54"/>
        <v>0.09</v>
      </c>
      <c r="AE189" s="123">
        <f t="shared" si="54"/>
        <v>0.09</v>
      </c>
      <c r="AF189" s="123">
        <f t="shared" si="54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2"/>
        <v>0.04</v>
      </c>
      <c r="C190" s="53">
        <v>0.04</v>
      </c>
      <c r="D190" s="123">
        <f t="shared" si="53"/>
        <v>0.04</v>
      </c>
      <c r="E190" s="123">
        <f t="shared" si="53"/>
        <v>0.04</v>
      </c>
      <c r="F190" s="123">
        <f t="shared" si="53"/>
        <v>0.04</v>
      </c>
      <c r="G190" s="123">
        <f t="shared" si="53"/>
        <v>0.04</v>
      </c>
      <c r="H190" s="123">
        <f t="shared" si="53"/>
        <v>0.04</v>
      </c>
      <c r="I190" s="123">
        <f t="shared" si="53"/>
        <v>0.04</v>
      </c>
      <c r="J190" s="123">
        <f t="shared" si="53"/>
        <v>0.04</v>
      </c>
      <c r="K190" s="123">
        <f t="shared" si="53"/>
        <v>0.04</v>
      </c>
      <c r="L190" s="123">
        <f t="shared" si="53"/>
        <v>0.04</v>
      </c>
      <c r="M190" s="123">
        <f t="shared" si="53"/>
        <v>0.04</v>
      </c>
      <c r="N190" s="123">
        <f t="shared" si="53"/>
        <v>0.04</v>
      </c>
      <c r="O190" s="123">
        <f t="shared" si="53"/>
        <v>0.04</v>
      </c>
      <c r="P190" s="123">
        <f t="shared" si="53"/>
        <v>0.04</v>
      </c>
      <c r="Q190" s="123">
        <f t="shared" si="53"/>
        <v>0.04</v>
      </c>
      <c r="R190" s="123">
        <f t="shared" si="53"/>
        <v>0.04</v>
      </c>
      <c r="S190" s="123">
        <f t="shared" si="54"/>
        <v>0.04</v>
      </c>
      <c r="T190" s="123">
        <f t="shared" si="54"/>
        <v>0.04</v>
      </c>
      <c r="U190" s="123">
        <f t="shared" si="54"/>
        <v>0.04</v>
      </c>
      <c r="V190" s="123">
        <f t="shared" si="54"/>
        <v>0.04</v>
      </c>
      <c r="W190" s="123">
        <f t="shared" si="54"/>
        <v>0.04</v>
      </c>
      <c r="X190" s="123">
        <f t="shared" si="54"/>
        <v>0.04</v>
      </c>
      <c r="Y190" s="123">
        <f t="shared" si="54"/>
        <v>0.04</v>
      </c>
      <c r="Z190" s="123">
        <f t="shared" si="54"/>
        <v>0.04</v>
      </c>
      <c r="AA190" s="123">
        <f t="shared" si="54"/>
        <v>0.04</v>
      </c>
      <c r="AB190" s="123">
        <f t="shared" si="54"/>
        <v>0.04</v>
      </c>
      <c r="AC190" s="123">
        <f t="shared" si="54"/>
        <v>0.04</v>
      </c>
      <c r="AD190" s="123">
        <f t="shared" si="54"/>
        <v>0.04</v>
      </c>
      <c r="AE190" s="123">
        <f t="shared" si="54"/>
        <v>0.04</v>
      </c>
      <c r="AF190" s="123">
        <f t="shared" si="54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2"/>
        <v>2.3E-2</v>
      </c>
      <c r="C191" s="53">
        <v>2.3E-2</v>
      </c>
      <c r="D191" s="123">
        <f>C191</f>
        <v>2.3E-2</v>
      </c>
      <c r="E191" s="123">
        <f t="shared" si="53"/>
        <v>2.3E-2</v>
      </c>
      <c r="F191" s="123">
        <f t="shared" si="53"/>
        <v>2.3E-2</v>
      </c>
      <c r="G191" s="123">
        <f t="shared" si="53"/>
        <v>2.3E-2</v>
      </c>
      <c r="H191" s="123">
        <f t="shared" si="53"/>
        <v>2.3E-2</v>
      </c>
      <c r="I191" s="123">
        <f t="shared" si="53"/>
        <v>2.3E-2</v>
      </c>
      <c r="J191" s="123">
        <f t="shared" si="53"/>
        <v>2.3E-2</v>
      </c>
      <c r="K191" s="123">
        <f t="shared" si="53"/>
        <v>2.3E-2</v>
      </c>
      <c r="L191" s="123">
        <f t="shared" si="53"/>
        <v>2.3E-2</v>
      </c>
      <c r="M191" s="123">
        <f t="shared" si="53"/>
        <v>2.3E-2</v>
      </c>
      <c r="N191" s="123">
        <f t="shared" si="53"/>
        <v>2.3E-2</v>
      </c>
      <c r="O191" s="123">
        <f t="shared" si="53"/>
        <v>2.3E-2</v>
      </c>
      <c r="P191" s="123">
        <f t="shared" si="53"/>
        <v>2.3E-2</v>
      </c>
      <c r="Q191" s="123">
        <f t="shared" si="53"/>
        <v>2.3E-2</v>
      </c>
      <c r="R191" s="123">
        <f t="shared" si="53"/>
        <v>2.3E-2</v>
      </c>
      <c r="S191" s="123">
        <f t="shared" si="54"/>
        <v>2.3E-2</v>
      </c>
      <c r="T191" s="123">
        <f t="shared" si="54"/>
        <v>2.3E-2</v>
      </c>
      <c r="U191" s="123">
        <f t="shared" si="54"/>
        <v>2.3E-2</v>
      </c>
      <c r="V191" s="123">
        <f t="shared" si="54"/>
        <v>2.3E-2</v>
      </c>
      <c r="W191" s="123">
        <f t="shared" si="54"/>
        <v>2.3E-2</v>
      </c>
      <c r="X191" s="123">
        <f t="shared" si="54"/>
        <v>2.3E-2</v>
      </c>
      <c r="Y191" s="123">
        <f t="shared" si="54"/>
        <v>2.3E-2</v>
      </c>
      <c r="Z191" s="123">
        <f t="shared" si="54"/>
        <v>2.3E-2</v>
      </c>
      <c r="AA191" s="123">
        <f t="shared" si="54"/>
        <v>2.3E-2</v>
      </c>
      <c r="AB191" s="123">
        <f t="shared" si="54"/>
        <v>2.3E-2</v>
      </c>
      <c r="AC191" s="123">
        <f t="shared" si="54"/>
        <v>2.3E-2</v>
      </c>
      <c r="AD191" s="123">
        <f t="shared" si="54"/>
        <v>2.3E-2</v>
      </c>
      <c r="AE191" s="123">
        <f t="shared" si="54"/>
        <v>2.3E-2</v>
      </c>
      <c r="AF191" s="123">
        <f t="shared" si="54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5">SUM(C102:C191)</f>
        <v>194.70600000000002</v>
      </c>
      <c r="D192" s="128">
        <f t="shared" si="55"/>
        <v>194.70600000000002</v>
      </c>
      <c r="E192" s="128">
        <f t="shared" si="55"/>
        <v>194.70600000000002</v>
      </c>
      <c r="F192" s="128">
        <f t="shared" si="55"/>
        <v>194.70600000000002</v>
      </c>
      <c r="G192" s="128">
        <f t="shared" si="55"/>
        <v>194.70600000000002</v>
      </c>
      <c r="H192" s="128">
        <f t="shared" si="55"/>
        <v>194.70600000000002</v>
      </c>
      <c r="I192" s="128">
        <f t="shared" si="55"/>
        <v>189.70600000000005</v>
      </c>
      <c r="J192" s="128">
        <f t="shared" si="55"/>
        <v>187.10600000000005</v>
      </c>
      <c r="K192" s="128">
        <f t="shared" si="55"/>
        <v>187.10600000000005</v>
      </c>
      <c r="L192" s="128">
        <f t="shared" si="55"/>
        <v>187.10600000000005</v>
      </c>
      <c r="M192" s="128">
        <f t="shared" si="55"/>
        <v>187.10600000000005</v>
      </c>
      <c r="N192" s="128">
        <f t="shared" si="55"/>
        <v>187.10600000000005</v>
      </c>
      <c r="O192" s="128">
        <f t="shared" si="55"/>
        <v>187.10600000000005</v>
      </c>
      <c r="P192" s="128">
        <f t="shared" si="55"/>
        <v>187.10600000000005</v>
      </c>
      <c r="Q192" s="128">
        <f t="shared" si="55"/>
        <v>187.10600000000005</v>
      </c>
      <c r="R192" s="128">
        <f t="shared" si="55"/>
        <v>187.10600000000005</v>
      </c>
      <c r="S192" s="128">
        <f t="shared" si="55"/>
        <v>187.10600000000005</v>
      </c>
      <c r="T192" s="128">
        <f t="shared" si="55"/>
        <v>187.10600000000005</v>
      </c>
      <c r="U192" s="128">
        <f t="shared" si="55"/>
        <v>187.10600000000005</v>
      </c>
      <c r="V192" s="128">
        <f t="shared" si="55"/>
        <v>187.10600000000005</v>
      </c>
      <c r="W192" s="128">
        <f t="shared" si="55"/>
        <v>187.10600000000005</v>
      </c>
      <c r="X192" s="128">
        <f t="shared" si="55"/>
        <v>187.10600000000005</v>
      </c>
      <c r="Y192" s="128">
        <f t="shared" si="55"/>
        <v>187.10600000000005</v>
      </c>
      <c r="Z192" s="128">
        <f t="shared" si="55"/>
        <v>187.10600000000005</v>
      </c>
      <c r="AA192" s="128">
        <f t="shared" si="55"/>
        <v>187.10600000000005</v>
      </c>
      <c r="AB192" s="128">
        <f t="shared" si="55"/>
        <v>187.10600000000005</v>
      </c>
      <c r="AC192" s="128">
        <f t="shared" si="55"/>
        <v>187.10600000000005</v>
      </c>
      <c r="AD192" s="128">
        <f t="shared" si="55"/>
        <v>187.10600000000005</v>
      </c>
      <c r="AE192" s="128">
        <f t="shared" si="55"/>
        <v>187.10600000000005</v>
      </c>
      <c r="AF192" s="128">
        <f t="shared" si="55"/>
        <v>187.10600000000005</v>
      </c>
      <c r="AG192" s="129">
        <f t="shared" si="55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6">AF194</f>
        <v>0.3</v>
      </c>
      <c r="C194" s="130">
        <v>0.3</v>
      </c>
      <c r="D194" s="130">
        <f t="shared" ref="D194:S199" si="57">C194</f>
        <v>0.3</v>
      </c>
      <c r="E194" s="130">
        <f t="shared" si="57"/>
        <v>0.3</v>
      </c>
      <c r="F194" s="130">
        <f t="shared" si="57"/>
        <v>0.3</v>
      </c>
      <c r="G194" s="130">
        <f t="shared" si="57"/>
        <v>0.3</v>
      </c>
      <c r="H194" s="130">
        <f t="shared" si="57"/>
        <v>0.3</v>
      </c>
      <c r="I194" s="130">
        <f t="shared" si="57"/>
        <v>0.3</v>
      </c>
      <c r="J194" s="130">
        <f t="shared" si="57"/>
        <v>0.3</v>
      </c>
      <c r="K194" s="130">
        <f t="shared" si="57"/>
        <v>0.3</v>
      </c>
      <c r="L194" s="130">
        <f t="shared" si="57"/>
        <v>0.3</v>
      </c>
      <c r="M194" s="130">
        <f t="shared" si="57"/>
        <v>0.3</v>
      </c>
      <c r="N194" s="130">
        <f t="shared" si="57"/>
        <v>0.3</v>
      </c>
      <c r="O194" s="130">
        <f t="shared" si="57"/>
        <v>0.3</v>
      </c>
      <c r="P194" s="130">
        <f t="shared" si="57"/>
        <v>0.3</v>
      </c>
      <c r="Q194" s="130">
        <f t="shared" si="57"/>
        <v>0.3</v>
      </c>
      <c r="R194" s="130">
        <f t="shared" si="57"/>
        <v>0.3</v>
      </c>
      <c r="S194" s="130">
        <f t="shared" si="57"/>
        <v>0.3</v>
      </c>
      <c r="T194" s="130">
        <f t="shared" ref="T194:AF199" si="58">S194</f>
        <v>0.3</v>
      </c>
      <c r="U194" s="130">
        <f t="shared" si="58"/>
        <v>0.3</v>
      </c>
      <c r="V194" s="130">
        <f t="shared" si="58"/>
        <v>0.3</v>
      </c>
      <c r="W194" s="130">
        <f t="shared" si="58"/>
        <v>0.3</v>
      </c>
      <c r="X194" s="130">
        <f t="shared" si="58"/>
        <v>0.3</v>
      </c>
      <c r="Y194" s="130">
        <f t="shared" si="58"/>
        <v>0.3</v>
      </c>
      <c r="Z194" s="130">
        <f t="shared" si="58"/>
        <v>0.3</v>
      </c>
      <c r="AA194" s="130">
        <f t="shared" si="58"/>
        <v>0.3</v>
      </c>
      <c r="AB194" s="130">
        <f t="shared" si="58"/>
        <v>0.3</v>
      </c>
      <c r="AC194" s="130">
        <f t="shared" si="58"/>
        <v>0.3</v>
      </c>
      <c r="AD194" s="130">
        <f t="shared" si="58"/>
        <v>0.3</v>
      </c>
      <c r="AE194" s="130">
        <f t="shared" si="58"/>
        <v>0.3</v>
      </c>
      <c r="AF194" s="130">
        <f t="shared" si="58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6"/>
        <v>0.4</v>
      </c>
      <c r="C195" s="123">
        <v>0.4</v>
      </c>
      <c r="D195" s="123">
        <f t="shared" si="57"/>
        <v>0.4</v>
      </c>
      <c r="E195" s="123">
        <f t="shared" si="57"/>
        <v>0.4</v>
      </c>
      <c r="F195" s="123">
        <f t="shared" si="57"/>
        <v>0.4</v>
      </c>
      <c r="G195" s="123">
        <f t="shared" si="57"/>
        <v>0.4</v>
      </c>
      <c r="H195" s="123">
        <f t="shared" si="57"/>
        <v>0.4</v>
      </c>
      <c r="I195" s="123">
        <f t="shared" si="57"/>
        <v>0.4</v>
      </c>
      <c r="J195" s="123">
        <f t="shared" si="57"/>
        <v>0.4</v>
      </c>
      <c r="K195" s="123">
        <f t="shared" si="57"/>
        <v>0.4</v>
      </c>
      <c r="L195" s="123">
        <f t="shared" si="57"/>
        <v>0.4</v>
      </c>
      <c r="M195" s="123">
        <f t="shared" si="57"/>
        <v>0.4</v>
      </c>
      <c r="N195" s="123">
        <f t="shared" si="57"/>
        <v>0.4</v>
      </c>
      <c r="O195" s="123">
        <f t="shared" si="57"/>
        <v>0.4</v>
      </c>
      <c r="P195" s="123">
        <f t="shared" si="57"/>
        <v>0.4</v>
      </c>
      <c r="Q195" s="123">
        <f t="shared" si="57"/>
        <v>0.4</v>
      </c>
      <c r="R195" s="123">
        <f t="shared" si="57"/>
        <v>0.4</v>
      </c>
      <c r="S195" s="123">
        <f t="shared" si="57"/>
        <v>0.4</v>
      </c>
      <c r="T195" s="123">
        <f t="shared" si="58"/>
        <v>0.4</v>
      </c>
      <c r="U195" s="123">
        <f t="shared" si="58"/>
        <v>0.4</v>
      </c>
      <c r="V195" s="123">
        <f t="shared" si="58"/>
        <v>0.4</v>
      </c>
      <c r="W195" s="123">
        <f>V195</f>
        <v>0.4</v>
      </c>
      <c r="X195" s="123">
        <f>W195</f>
        <v>0.4</v>
      </c>
      <c r="Y195" s="123">
        <f t="shared" si="58"/>
        <v>0.4</v>
      </c>
      <c r="Z195" s="123">
        <f t="shared" si="58"/>
        <v>0.4</v>
      </c>
      <c r="AA195" s="123">
        <f t="shared" si="58"/>
        <v>0.4</v>
      </c>
      <c r="AB195" s="123">
        <f t="shared" si="58"/>
        <v>0.4</v>
      </c>
      <c r="AC195" s="123">
        <f t="shared" si="58"/>
        <v>0.4</v>
      </c>
      <c r="AD195" s="123">
        <f t="shared" si="58"/>
        <v>0.4</v>
      </c>
      <c r="AE195" s="123">
        <f t="shared" si="58"/>
        <v>0.4</v>
      </c>
      <c r="AF195" s="123">
        <f t="shared" si="58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6"/>
        <v>1.5</v>
      </c>
      <c r="C196" s="123">
        <v>1.5</v>
      </c>
      <c r="D196" s="123">
        <f t="shared" si="57"/>
        <v>1.5</v>
      </c>
      <c r="E196" s="123">
        <f t="shared" si="57"/>
        <v>1.5</v>
      </c>
      <c r="F196" s="123">
        <f t="shared" si="57"/>
        <v>1.5</v>
      </c>
      <c r="G196" s="123">
        <f t="shared" si="57"/>
        <v>1.5</v>
      </c>
      <c r="H196" s="123">
        <f t="shared" si="57"/>
        <v>1.5</v>
      </c>
      <c r="I196" s="123">
        <f t="shared" si="57"/>
        <v>1.5</v>
      </c>
      <c r="J196" s="123">
        <f t="shared" si="57"/>
        <v>1.5</v>
      </c>
      <c r="K196" s="123">
        <f t="shared" si="57"/>
        <v>1.5</v>
      </c>
      <c r="L196" s="123">
        <f t="shared" si="57"/>
        <v>1.5</v>
      </c>
      <c r="M196" s="123">
        <f t="shared" si="57"/>
        <v>1.5</v>
      </c>
      <c r="N196" s="123">
        <f t="shared" si="57"/>
        <v>1.5</v>
      </c>
      <c r="O196" s="123">
        <f t="shared" si="57"/>
        <v>1.5</v>
      </c>
      <c r="P196" s="123">
        <f t="shared" si="57"/>
        <v>1.5</v>
      </c>
      <c r="Q196" s="123">
        <f t="shared" si="57"/>
        <v>1.5</v>
      </c>
      <c r="R196" s="123">
        <f t="shared" si="57"/>
        <v>1.5</v>
      </c>
      <c r="S196" s="123">
        <f t="shared" si="57"/>
        <v>1.5</v>
      </c>
      <c r="T196" s="123">
        <f t="shared" si="58"/>
        <v>1.5</v>
      </c>
      <c r="U196" s="123">
        <f t="shared" si="58"/>
        <v>1.5</v>
      </c>
      <c r="V196" s="123">
        <f t="shared" si="58"/>
        <v>1.5</v>
      </c>
      <c r="W196" s="123">
        <f t="shared" si="58"/>
        <v>1.5</v>
      </c>
      <c r="X196" s="123">
        <f t="shared" si="58"/>
        <v>1.5</v>
      </c>
      <c r="Y196" s="123">
        <f t="shared" si="58"/>
        <v>1.5</v>
      </c>
      <c r="Z196" s="123">
        <f t="shared" si="58"/>
        <v>1.5</v>
      </c>
      <c r="AA196" s="123">
        <f t="shared" si="58"/>
        <v>1.5</v>
      </c>
      <c r="AB196" s="123">
        <f t="shared" si="58"/>
        <v>1.5</v>
      </c>
      <c r="AC196" s="123">
        <f t="shared" si="58"/>
        <v>1.5</v>
      </c>
      <c r="AD196" s="123">
        <f t="shared" si="58"/>
        <v>1.5</v>
      </c>
      <c r="AE196" s="123">
        <f t="shared" si="58"/>
        <v>1.5</v>
      </c>
      <c r="AF196" s="123">
        <f t="shared" si="58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6"/>
        <v>0.3</v>
      </c>
      <c r="C197" s="123">
        <v>0.3</v>
      </c>
      <c r="D197" s="123">
        <f t="shared" si="57"/>
        <v>0.3</v>
      </c>
      <c r="E197" s="123">
        <f t="shared" si="57"/>
        <v>0.3</v>
      </c>
      <c r="F197" s="123">
        <f t="shared" si="57"/>
        <v>0.3</v>
      </c>
      <c r="G197" s="123">
        <f t="shared" si="57"/>
        <v>0.3</v>
      </c>
      <c r="H197" s="123">
        <f t="shared" si="57"/>
        <v>0.3</v>
      </c>
      <c r="I197" s="123">
        <f t="shared" si="57"/>
        <v>0.3</v>
      </c>
      <c r="J197" s="123">
        <f t="shared" si="57"/>
        <v>0.3</v>
      </c>
      <c r="K197" s="123">
        <f t="shared" si="57"/>
        <v>0.3</v>
      </c>
      <c r="L197" s="123">
        <f t="shared" si="57"/>
        <v>0.3</v>
      </c>
      <c r="M197" s="123">
        <f t="shared" si="57"/>
        <v>0.3</v>
      </c>
      <c r="N197" s="123">
        <f t="shared" si="57"/>
        <v>0.3</v>
      </c>
      <c r="O197" s="123">
        <f t="shared" si="57"/>
        <v>0.3</v>
      </c>
      <c r="P197" s="123">
        <f t="shared" si="57"/>
        <v>0.3</v>
      </c>
      <c r="Q197" s="123">
        <f t="shared" si="57"/>
        <v>0.3</v>
      </c>
      <c r="R197" s="123">
        <f t="shared" si="57"/>
        <v>0.3</v>
      </c>
      <c r="S197" s="123">
        <f t="shared" si="57"/>
        <v>0.3</v>
      </c>
      <c r="T197" s="123">
        <f t="shared" si="58"/>
        <v>0.3</v>
      </c>
      <c r="U197" s="123">
        <f t="shared" si="58"/>
        <v>0.3</v>
      </c>
      <c r="V197" s="123">
        <f t="shared" si="58"/>
        <v>0.3</v>
      </c>
      <c r="W197" s="123">
        <f t="shared" si="58"/>
        <v>0.3</v>
      </c>
      <c r="X197" s="123">
        <f t="shared" si="58"/>
        <v>0.3</v>
      </c>
      <c r="Y197" s="123">
        <f t="shared" si="58"/>
        <v>0.3</v>
      </c>
      <c r="Z197" s="123">
        <f t="shared" si="58"/>
        <v>0.3</v>
      </c>
      <c r="AA197" s="123">
        <f t="shared" si="58"/>
        <v>0.3</v>
      </c>
      <c r="AB197" s="123">
        <f t="shared" si="58"/>
        <v>0.3</v>
      </c>
      <c r="AC197" s="123">
        <f t="shared" si="58"/>
        <v>0.3</v>
      </c>
      <c r="AD197" s="123">
        <f t="shared" si="58"/>
        <v>0.3</v>
      </c>
      <c r="AE197" s="123">
        <f t="shared" si="58"/>
        <v>0.3</v>
      </c>
      <c r="AF197" s="123">
        <f t="shared" si="58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6"/>
        <v>0.4</v>
      </c>
      <c r="C198" s="123">
        <v>0.4</v>
      </c>
      <c r="D198" s="123">
        <f t="shared" si="57"/>
        <v>0.4</v>
      </c>
      <c r="E198" s="123">
        <f t="shared" si="57"/>
        <v>0.4</v>
      </c>
      <c r="F198" s="123">
        <f t="shared" si="57"/>
        <v>0.4</v>
      </c>
      <c r="G198" s="123">
        <f t="shared" si="57"/>
        <v>0.4</v>
      </c>
      <c r="H198" s="123">
        <f t="shared" si="57"/>
        <v>0.4</v>
      </c>
      <c r="I198" s="123">
        <f t="shared" si="57"/>
        <v>0.4</v>
      </c>
      <c r="J198" s="123">
        <f t="shared" si="57"/>
        <v>0.4</v>
      </c>
      <c r="K198" s="123">
        <f t="shared" si="57"/>
        <v>0.4</v>
      </c>
      <c r="L198" s="123">
        <f t="shared" si="57"/>
        <v>0.4</v>
      </c>
      <c r="M198" s="123">
        <f t="shared" si="57"/>
        <v>0.4</v>
      </c>
      <c r="N198" s="123">
        <f t="shared" si="57"/>
        <v>0.4</v>
      </c>
      <c r="O198" s="123">
        <f t="shared" si="57"/>
        <v>0.4</v>
      </c>
      <c r="P198" s="123">
        <f t="shared" si="57"/>
        <v>0.4</v>
      </c>
      <c r="Q198" s="123">
        <f t="shared" si="57"/>
        <v>0.4</v>
      </c>
      <c r="R198" s="123">
        <f t="shared" si="57"/>
        <v>0.4</v>
      </c>
      <c r="S198" s="123">
        <f t="shared" si="57"/>
        <v>0.4</v>
      </c>
      <c r="T198" s="123">
        <f t="shared" si="58"/>
        <v>0.4</v>
      </c>
      <c r="U198" s="123">
        <f t="shared" si="58"/>
        <v>0.4</v>
      </c>
      <c r="V198" s="123">
        <f t="shared" si="58"/>
        <v>0.4</v>
      </c>
      <c r="W198" s="123">
        <f t="shared" si="58"/>
        <v>0.4</v>
      </c>
      <c r="X198" s="123">
        <f t="shared" si="58"/>
        <v>0.4</v>
      </c>
      <c r="Y198" s="123">
        <f t="shared" si="58"/>
        <v>0.4</v>
      </c>
      <c r="Z198" s="123">
        <f t="shared" si="58"/>
        <v>0.4</v>
      </c>
      <c r="AA198" s="123">
        <f t="shared" si="58"/>
        <v>0.4</v>
      </c>
      <c r="AB198" s="123">
        <f t="shared" si="58"/>
        <v>0.4</v>
      </c>
      <c r="AC198" s="123">
        <f t="shared" si="58"/>
        <v>0.4</v>
      </c>
      <c r="AD198" s="123">
        <f t="shared" si="58"/>
        <v>0.4</v>
      </c>
      <c r="AE198" s="123">
        <f t="shared" si="58"/>
        <v>0.4</v>
      </c>
      <c r="AF198" s="123">
        <f t="shared" si="58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6"/>
        <v>0.64</v>
      </c>
      <c r="C199" s="133">
        <v>0.64</v>
      </c>
      <c r="D199" s="133">
        <f t="shared" si="57"/>
        <v>0.64</v>
      </c>
      <c r="E199" s="133">
        <f t="shared" si="57"/>
        <v>0.64</v>
      </c>
      <c r="F199" s="133">
        <f t="shared" si="57"/>
        <v>0.64</v>
      </c>
      <c r="G199" s="133">
        <f t="shared" si="57"/>
        <v>0.64</v>
      </c>
      <c r="H199" s="133">
        <f t="shared" si="57"/>
        <v>0.64</v>
      </c>
      <c r="I199" s="133">
        <f t="shared" si="57"/>
        <v>0.64</v>
      </c>
      <c r="J199" s="133">
        <f t="shared" si="57"/>
        <v>0.64</v>
      </c>
      <c r="K199" s="133">
        <f t="shared" si="57"/>
        <v>0.64</v>
      </c>
      <c r="L199" s="133">
        <f t="shared" si="57"/>
        <v>0.64</v>
      </c>
      <c r="M199" s="133">
        <f t="shared" si="57"/>
        <v>0.64</v>
      </c>
      <c r="N199" s="133">
        <f t="shared" si="57"/>
        <v>0.64</v>
      </c>
      <c r="O199" s="133">
        <f t="shared" si="57"/>
        <v>0.64</v>
      </c>
      <c r="P199" s="133">
        <f t="shared" si="57"/>
        <v>0.64</v>
      </c>
      <c r="Q199" s="133">
        <f t="shared" si="57"/>
        <v>0.64</v>
      </c>
      <c r="R199" s="133">
        <f t="shared" si="57"/>
        <v>0.64</v>
      </c>
      <c r="S199" s="133">
        <f t="shared" si="57"/>
        <v>0.64</v>
      </c>
      <c r="T199" s="133">
        <f t="shared" si="58"/>
        <v>0.64</v>
      </c>
      <c r="U199" s="133">
        <f t="shared" si="58"/>
        <v>0.64</v>
      </c>
      <c r="V199" s="133">
        <f t="shared" si="58"/>
        <v>0.64</v>
      </c>
      <c r="W199" s="133">
        <f t="shared" si="58"/>
        <v>0.64</v>
      </c>
      <c r="X199" s="133">
        <f t="shared" si="58"/>
        <v>0.64</v>
      </c>
      <c r="Y199" s="133">
        <f t="shared" si="58"/>
        <v>0.64</v>
      </c>
      <c r="Z199" s="133">
        <f t="shared" si="58"/>
        <v>0.64</v>
      </c>
      <c r="AA199" s="133">
        <f t="shared" si="58"/>
        <v>0.64</v>
      </c>
      <c r="AB199" s="133">
        <f t="shared" si="58"/>
        <v>0.64</v>
      </c>
      <c r="AC199" s="133">
        <f t="shared" si="58"/>
        <v>0.64</v>
      </c>
      <c r="AD199" s="133">
        <f t="shared" si="58"/>
        <v>0.64</v>
      </c>
      <c r="AE199" s="133">
        <f t="shared" si="58"/>
        <v>0.64</v>
      </c>
      <c r="AF199" s="133">
        <f t="shared" si="58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9">SUM(D194:D199)</f>
        <v>3.54</v>
      </c>
      <c r="E200" s="136">
        <f t="shared" si="59"/>
        <v>3.54</v>
      </c>
      <c r="F200" s="136">
        <f t="shared" si="59"/>
        <v>3.54</v>
      </c>
      <c r="G200" s="136">
        <f t="shared" si="59"/>
        <v>3.54</v>
      </c>
      <c r="H200" s="136">
        <f t="shared" si="59"/>
        <v>3.54</v>
      </c>
      <c r="I200" s="136">
        <f t="shared" si="59"/>
        <v>3.54</v>
      </c>
      <c r="J200" s="136">
        <f t="shared" si="59"/>
        <v>3.54</v>
      </c>
      <c r="K200" s="136">
        <f t="shared" si="59"/>
        <v>3.54</v>
      </c>
      <c r="L200" s="136">
        <f t="shared" si="59"/>
        <v>3.54</v>
      </c>
      <c r="M200" s="136">
        <f>SUM(M194:M199)</f>
        <v>3.54</v>
      </c>
      <c r="N200" s="136">
        <f t="shared" ref="N200:S200" si="60">SUM(N194:N199)</f>
        <v>3.54</v>
      </c>
      <c r="O200" s="136">
        <f t="shared" si="60"/>
        <v>3.54</v>
      </c>
      <c r="P200" s="136">
        <f t="shared" si="60"/>
        <v>3.54</v>
      </c>
      <c r="Q200" s="136">
        <f t="shared" si="60"/>
        <v>3.54</v>
      </c>
      <c r="R200" s="136">
        <f t="shared" si="60"/>
        <v>3.54</v>
      </c>
      <c r="S200" s="136">
        <f t="shared" si="60"/>
        <v>3.54</v>
      </c>
      <c r="T200" s="136">
        <f>SUM(T194:T199)</f>
        <v>3.54</v>
      </c>
      <c r="U200" s="136">
        <f t="shared" ref="U200:AG200" si="61">SUM(U194:U199)</f>
        <v>3.54</v>
      </c>
      <c r="V200" s="136">
        <f t="shared" si="61"/>
        <v>3.54</v>
      </c>
      <c r="W200" s="136">
        <f t="shared" si="61"/>
        <v>3.54</v>
      </c>
      <c r="X200" s="136">
        <f t="shared" si="61"/>
        <v>3.54</v>
      </c>
      <c r="Y200" s="136">
        <f t="shared" si="61"/>
        <v>3.54</v>
      </c>
      <c r="Z200" s="136">
        <f t="shared" si="61"/>
        <v>3.54</v>
      </c>
      <c r="AA200" s="136">
        <f t="shared" si="61"/>
        <v>3.54</v>
      </c>
      <c r="AB200" s="136">
        <f t="shared" si="61"/>
        <v>3.54</v>
      </c>
      <c r="AC200" s="136">
        <f t="shared" si="61"/>
        <v>3.54</v>
      </c>
      <c r="AD200" s="136">
        <f t="shared" si="61"/>
        <v>3.54</v>
      </c>
      <c r="AE200" s="136">
        <f t="shared" si="61"/>
        <v>3.54</v>
      </c>
      <c r="AF200" s="136">
        <f t="shared" si="61"/>
        <v>3.54</v>
      </c>
      <c r="AG200" s="137">
        <f t="shared" si="61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1389.3400000000001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10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2079/02/10)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2079/02/10)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2">B75</f>
        <v>1185.44</v>
      </c>
      <c r="U214" s="161">
        <f t="shared" si="62"/>
        <v>1186.94</v>
      </c>
      <c r="V214" s="161">
        <f t="shared" si="62"/>
        <v>1183.6400000000001</v>
      </c>
      <c r="W214" s="161">
        <f t="shared" si="62"/>
        <v>1121.6400000000001</v>
      </c>
      <c r="X214" s="161">
        <f t="shared" si="62"/>
        <v>1167.6400000000001</v>
      </c>
      <c r="Y214" s="161">
        <f t="shared" si="62"/>
        <v>1188.2400000000002</v>
      </c>
      <c r="Z214" s="161">
        <f t="shared" si="62"/>
        <v>1198.0400000000002</v>
      </c>
      <c r="AA214" s="161">
        <f t="shared" si="62"/>
        <v>1237.2400000000002</v>
      </c>
      <c r="AB214" s="161">
        <f t="shared" si="62"/>
        <v>1310.04</v>
      </c>
      <c r="AC214" s="161">
        <f t="shared" si="62"/>
        <v>1357.54</v>
      </c>
      <c r="AD214" s="161">
        <f t="shared" si="62"/>
        <v>1389.3400000000001</v>
      </c>
      <c r="AE214" s="161">
        <f t="shared" si="62"/>
        <v>1362.54</v>
      </c>
      <c r="AF214" s="161">
        <f t="shared" si="62"/>
        <v>1348.8400000000001</v>
      </c>
      <c r="AG214" s="161">
        <f t="shared" si="62"/>
        <v>1387.6400000000003</v>
      </c>
      <c r="AH214" s="161">
        <f t="shared" si="62"/>
        <v>1363.7400000000002</v>
      </c>
      <c r="AI214" s="161">
        <f t="shared" si="62"/>
        <v>1404.74</v>
      </c>
      <c r="AJ214" s="161">
        <f t="shared" si="62"/>
        <v>1433.44</v>
      </c>
      <c r="AK214" s="161">
        <f t="shared" si="62"/>
        <v>1467.2400000000002</v>
      </c>
      <c r="AL214" s="161">
        <f t="shared" si="62"/>
        <v>1479.8400000000001</v>
      </c>
      <c r="AM214" s="161">
        <f t="shared" si="62"/>
        <v>1453.24</v>
      </c>
      <c r="AN214" s="161">
        <f t="shared" si="62"/>
        <v>1407.78</v>
      </c>
      <c r="AO214" s="161">
        <f t="shared" si="62"/>
        <v>1375.3400000000001</v>
      </c>
      <c r="AP214" s="161">
        <f t="shared" si="62"/>
        <v>1324.2800000000002</v>
      </c>
      <c r="AQ214" s="161">
        <f t="shared" si="62"/>
        <v>1335.64</v>
      </c>
      <c r="AR214" s="161">
        <f t="shared" si="62"/>
        <v>1493.38</v>
      </c>
      <c r="AS214" s="161">
        <f t="shared" si="62"/>
        <v>1423.38</v>
      </c>
      <c r="AT214" s="161">
        <f t="shared" si="62"/>
        <v>1488.3400000000001</v>
      </c>
      <c r="AU214" s="161">
        <f t="shared" si="62"/>
        <v>1489.04</v>
      </c>
      <c r="AV214" s="161">
        <f t="shared" si="62"/>
        <v>1473.64</v>
      </c>
      <c r="AW214" s="161">
        <f t="shared" si="62"/>
        <v>1474.24</v>
      </c>
      <c r="AX214" s="161">
        <f t="shared" si="62"/>
        <v>1438.94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3">C199</f>
        <v>0.64</v>
      </c>
      <c r="C235" s="164">
        <f t="shared" si="63"/>
        <v>0.64</v>
      </c>
      <c r="D235" s="164">
        <f t="shared" si="63"/>
        <v>0.64</v>
      </c>
      <c r="E235" s="164">
        <f t="shared" si="63"/>
        <v>0.64</v>
      </c>
      <c r="F235" s="164">
        <f t="shared" si="63"/>
        <v>0.64</v>
      </c>
      <c r="G235" s="164">
        <f t="shared" si="63"/>
        <v>0.64</v>
      </c>
      <c r="H235" s="164">
        <f t="shared" si="63"/>
        <v>0.64</v>
      </c>
      <c r="I235" s="164">
        <f t="shared" si="63"/>
        <v>0.64</v>
      </c>
      <c r="J235" s="164">
        <f t="shared" si="63"/>
        <v>0.64</v>
      </c>
      <c r="K235" s="164">
        <f t="shared" si="63"/>
        <v>0.64</v>
      </c>
      <c r="L235" s="164">
        <f t="shared" si="63"/>
        <v>0.64</v>
      </c>
      <c r="M235" s="164">
        <f t="shared" si="63"/>
        <v>0.64</v>
      </c>
      <c r="N235" s="164">
        <f t="shared" si="63"/>
        <v>0.64</v>
      </c>
      <c r="O235" s="164">
        <f t="shared" si="63"/>
        <v>0.64</v>
      </c>
      <c r="P235" s="164">
        <f t="shared" si="63"/>
        <v>0.64</v>
      </c>
      <c r="Q235" s="164">
        <f t="shared" si="63"/>
        <v>0.64</v>
      </c>
      <c r="R235" s="164">
        <f t="shared" si="63"/>
        <v>0.64</v>
      </c>
      <c r="S235" s="164">
        <f t="shared" si="63"/>
        <v>0.64</v>
      </c>
      <c r="T235" s="164">
        <f t="shared" si="63"/>
        <v>0.64</v>
      </c>
      <c r="U235" s="164">
        <f t="shared" si="63"/>
        <v>0.64</v>
      </c>
      <c r="V235" s="164">
        <f t="shared" si="63"/>
        <v>0.64</v>
      </c>
      <c r="W235" s="164">
        <f t="shared" si="63"/>
        <v>0.64</v>
      </c>
      <c r="X235" s="164">
        <f t="shared" si="63"/>
        <v>0.64</v>
      </c>
      <c r="Y235" s="164">
        <f t="shared" si="63"/>
        <v>0.64</v>
      </c>
      <c r="Z235" s="164">
        <f t="shared" si="63"/>
        <v>0.64</v>
      </c>
      <c r="AA235" s="164">
        <f t="shared" si="63"/>
        <v>0.64</v>
      </c>
      <c r="AB235" s="164">
        <f t="shared" si="63"/>
        <v>0.64</v>
      </c>
      <c r="AC235" s="164">
        <f t="shared" si="63"/>
        <v>0.64</v>
      </c>
      <c r="AD235" s="164">
        <f t="shared" si="63"/>
        <v>0.64</v>
      </c>
      <c r="AE235" s="164">
        <f t="shared" si="63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4">IF(C203&lt;100,"",C203-520)</f>
        <v/>
      </c>
      <c r="D236" s="107" t="str">
        <f t="shared" si="64"/>
        <v/>
      </c>
      <c r="E236" s="107" t="str">
        <f t="shared" si="64"/>
        <v/>
      </c>
      <c r="F236" s="107" t="str">
        <f t="shared" si="64"/>
        <v/>
      </c>
      <c r="G236" s="107" t="str">
        <f t="shared" si="64"/>
        <v/>
      </c>
      <c r="H236" s="107" t="str">
        <f t="shared" si="64"/>
        <v/>
      </c>
      <c r="I236" s="107" t="str">
        <f t="shared" si="64"/>
        <v/>
      </c>
      <c r="J236" s="107" t="str">
        <f t="shared" si="64"/>
        <v/>
      </c>
      <c r="K236" s="107" t="str">
        <f t="shared" si="64"/>
        <v/>
      </c>
      <c r="L236" s="107" t="str">
        <f t="shared" si="64"/>
        <v/>
      </c>
      <c r="M236" s="107" t="str">
        <f t="shared" si="64"/>
        <v/>
      </c>
      <c r="N236" s="107" t="str">
        <f t="shared" si="64"/>
        <v/>
      </c>
      <c r="O236" s="107" t="str">
        <f t="shared" si="64"/>
        <v/>
      </c>
      <c r="P236" s="107" t="str">
        <f t="shared" si="64"/>
        <v/>
      </c>
      <c r="Q236" s="107" t="str">
        <f t="shared" si="64"/>
        <v/>
      </c>
      <c r="R236" s="107" t="str">
        <f t="shared" si="64"/>
        <v/>
      </c>
      <c r="S236" s="107" t="str">
        <f t="shared" si="64"/>
        <v/>
      </c>
      <c r="T236" s="107" t="str">
        <f t="shared" si="64"/>
        <v/>
      </c>
      <c r="U236" s="107" t="str">
        <f t="shared" si="64"/>
        <v/>
      </c>
      <c r="V236" s="107" t="str">
        <f t="shared" si="64"/>
        <v/>
      </c>
      <c r="W236" s="107" t="str">
        <f t="shared" si="64"/>
        <v/>
      </c>
      <c r="X236" s="107" t="str">
        <f t="shared" si="64"/>
        <v/>
      </c>
      <c r="Y236" s="107" t="str">
        <f t="shared" si="64"/>
        <v/>
      </c>
      <c r="Z236" s="107" t="str">
        <f t="shared" si="64"/>
        <v/>
      </c>
      <c r="AA236" s="107" t="str">
        <f t="shared" si="64"/>
        <v/>
      </c>
      <c r="AB236" s="107" t="str">
        <f t="shared" si="64"/>
        <v/>
      </c>
      <c r="AC236" s="107" t="str">
        <f t="shared" si="64"/>
        <v/>
      </c>
      <c r="AD236" s="107" t="str">
        <f t="shared" si="64"/>
        <v/>
      </c>
      <c r="AE236" s="107" t="str">
        <f t="shared" si="64"/>
        <v/>
      </c>
      <c r="AF236" s="107" t="str">
        <f t="shared" si="64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5">IF(B204&lt;100,"",B204-620)</f>
        <v/>
      </c>
      <c r="C237" s="107" t="str">
        <f t="shared" si="65"/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6">IF(B205&lt;100,"",B205-330)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7">IF(C206&lt;100,"",C206-1500)</f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4200" priority="202">
      <formula>B$9&gt;=20/24</formula>
    </cfRule>
    <cfRule type="expression" dxfId="4199" priority="203">
      <formula>AND(B$9&gt;=14/24,B$9&lt;20/24)</formula>
    </cfRule>
    <cfRule type="expression" dxfId="4198" priority="204">
      <formula>AND(B$9&gt;=8/24,B$9&lt;14/24)</formula>
    </cfRule>
    <cfRule type="expression" dxfId="4197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4196" priority="197">
      <formula>T$9&gt;=20/24</formula>
    </cfRule>
    <cfRule type="expression" dxfId="4195" priority="198">
      <formula>AND(T$9&gt;=14/24,T$9&lt;20/24)</formula>
    </cfRule>
    <cfRule type="expression" dxfId="4194" priority="199">
      <formula>AND(T$9&gt;=8/24,T$9&lt;14/24)</formula>
    </cfRule>
    <cfRule type="expression" dxfId="4193" priority="200">
      <formula>T$9&lt;8/24</formula>
    </cfRule>
  </conditionalFormatting>
  <conditionalFormatting sqref="AG51 T37:AF37 K11:AF11">
    <cfRule type="expression" dxfId="4192" priority="196">
      <formula>K11&gt;$AG11</formula>
    </cfRule>
  </conditionalFormatting>
  <conditionalFormatting sqref="A101:A157 A84:A97 A11:A14 A16:A32 A45:A72 A80:A82 A74:A78 A35:A43 A170:A200">
    <cfRule type="expression" dxfId="4191" priority="195">
      <formula>$AH11=0</formula>
    </cfRule>
  </conditionalFormatting>
  <conditionalFormatting sqref="A98">
    <cfRule type="expression" dxfId="4190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189" priority="192">
      <formula>$AH34=0</formula>
    </cfRule>
  </conditionalFormatting>
  <conditionalFormatting sqref="A83">
    <cfRule type="expression" dxfId="4188" priority="191">
      <formula>$AH83=0</formula>
    </cfRule>
  </conditionalFormatting>
  <conditionalFormatting sqref="A15">
    <cfRule type="expression" dxfId="4187" priority="190">
      <formula>$AH15=0</formula>
    </cfRule>
  </conditionalFormatting>
  <conditionalFormatting sqref="A164:A169">
    <cfRule type="expression" dxfId="4186" priority="189">
      <formula>$AH164=0</formula>
    </cfRule>
  </conditionalFormatting>
  <conditionalFormatting sqref="A158:A163">
    <cfRule type="expression" dxfId="4185" priority="188">
      <formula>$AH158=0</formula>
    </cfRule>
  </conditionalFormatting>
  <conditionalFormatting sqref="A44">
    <cfRule type="expression" dxfId="4184" priority="187">
      <formula>$AH44=0</formula>
    </cfRule>
  </conditionalFormatting>
  <conditionalFormatting sqref="A79">
    <cfRule type="expression" dxfId="4183" priority="186">
      <formula>$AH79=0</formula>
    </cfRule>
  </conditionalFormatting>
  <conditionalFormatting sqref="A73">
    <cfRule type="expression" dxfId="4182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181" priority="181">
      <formula>C$9&gt;=20/24</formula>
    </cfRule>
    <cfRule type="expression" dxfId="4180" priority="182">
      <formula>AND(C$9&gt;=14/24,C$9&lt;20/24)</formula>
    </cfRule>
    <cfRule type="expression" dxfId="4179" priority="183">
      <formula>AND(C$9&gt;=8/24,C$9&lt;14/24)</formula>
    </cfRule>
    <cfRule type="expression" dxfId="4178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77" priority="209">
      <formula>C$9&gt;=20/24</formula>
    </cfRule>
    <cfRule type="expression" dxfId="4176" priority="210">
      <formula>AND(C$9&gt;=14/24,C$9&lt;20/24)</formula>
    </cfRule>
    <cfRule type="expression" dxfId="4175" priority="211">
      <formula>AND(C$9&gt;=8/24,C$9&lt;14/24)</formula>
    </cfRule>
    <cfRule type="expression" dxfId="4174" priority="212">
      <formula>C$9&lt;8/24</formula>
    </cfRule>
  </conditionalFormatting>
  <conditionalFormatting sqref="A201">
    <cfRule type="expression" dxfId="4173" priority="213">
      <formula>$AH201=0</formula>
    </cfRule>
  </conditionalFormatting>
  <conditionalFormatting sqref="AG213">
    <cfRule type="expression" dxfId="4172" priority="214">
      <formula>B$9&gt;=20/24</formula>
    </cfRule>
    <cfRule type="expression" dxfId="4171" priority="215">
      <formula>AND(B$9&gt;=14/24,B$9&lt;20/24)</formula>
    </cfRule>
    <cfRule type="expression" dxfId="4170" priority="216">
      <formula>AND(B$9&gt;=8/24,B$9&lt;14/24)</formula>
    </cfRule>
    <cfRule type="expression" dxfId="4169" priority="217">
      <formula>B$9&lt;8/24</formula>
    </cfRule>
  </conditionalFormatting>
  <conditionalFormatting sqref="S8">
    <cfRule type="expression" dxfId="4168" priority="175">
      <formula>U$9&gt;=20/24</formula>
    </cfRule>
    <cfRule type="expression" dxfId="4167" priority="176">
      <formula>AND(U$9&gt;=14/24,U$9&lt;20/24)</formula>
    </cfRule>
    <cfRule type="expression" dxfId="4166" priority="177">
      <formula>AND(U$9&gt;=8/24,U$9&lt;14/24)</formula>
    </cfRule>
    <cfRule type="expression" dxfId="4165" priority="178">
      <formula>U$9&lt;8/24</formula>
    </cfRule>
  </conditionalFormatting>
  <conditionalFormatting sqref="AB8">
    <cfRule type="expression" dxfId="4164" priority="171">
      <formula>AD$9&gt;=20/24</formula>
    </cfRule>
    <cfRule type="expression" dxfId="4163" priority="172">
      <formula>AND(AD$9&gt;=14/24,AD$9&lt;20/24)</formula>
    </cfRule>
    <cfRule type="expression" dxfId="4162" priority="173">
      <formula>AND(AD$9&gt;=8/24,AD$9&lt;14/24)</formula>
    </cfRule>
    <cfRule type="expression" dxfId="4161" priority="174">
      <formula>AD$9&lt;8/24</formula>
    </cfRule>
  </conditionalFormatting>
  <conditionalFormatting sqref="AH213:AX213">
    <cfRule type="expression" dxfId="4160" priority="218">
      <formula>AG$9&gt;=20/24</formula>
    </cfRule>
    <cfRule type="expression" dxfId="4159" priority="219">
      <formula>AND(AG$9&gt;=14/24,AG$9&lt;20/24)</formula>
    </cfRule>
    <cfRule type="expression" dxfId="4158" priority="220">
      <formula>AND(AG$9&gt;=8/24,AG$9&lt;14/24)</formula>
    </cfRule>
    <cfRule type="expression" dxfId="4157" priority="221">
      <formula>AG$9&lt;8/24</formula>
    </cfRule>
  </conditionalFormatting>
  <conditionalFormatting sqref="T213">
    <cfRule type="expression" dxfId="4156" priority="222">
      <formula>AX$9&gt;=20/24</formula>
    </cfRule>
    <cfRule type="expression" dxfId="4155" priority="223">
      <formula>AND(AX$9&gt;=14/24,AX$9&lt;20/24)</formula>
    </cfRule>
    <cfRule type="expression" dxfId="4154" priority="224">
      <formula>AND(AX$9&gt;=8/24,AX$9&lt;14/24)</formula>
    </cfRule>
    <cfRule type="expression" dxfId="4153" priority="225">
      <formula>AX$9&lt;8/24</formula>
    </cfRule>
  </conditionalFormatting>
  <conditionalFormatting sqref="A99:A100">
    <cfRule type="expression" dxfId="4152" priority="170">
      <formula>$AH99=0</formula>
    </cfRule>
  </conditionalFormatting>
  <conditionalFormatting sqref="E40:L41 E11:J11 T40:AF41 C57:AF57 AC36:AF36">
    <cfRule type="expression" dxfId="4151" priority="166">
      <formula>C$9&gt;=20/24</formula>
    </cfRule>
    <cfRule type="expression" dxfId="4150" priority="167">
      <formula>AND(C$9&gt;=14/24,C$9&lt;20/24)</formula>
    </cfRule>
    <cfRule type="expression" dxfId="4149" priority="168">
      <formula>AND(C$9&gt;=8/24,C$9&lt;14/24)</formula>
    </cfRule>
    <cfRule type="expression" dxfId="4148" priority="169">
      <formula>C$9&lt;8/24</formula>
    </cfRule>
  </conditionalFormatting>
  <conditionalFormatting sqref="E39:L39 S39:AF39">
    <cfRule type="expression" dxfId="4147" priority="162">
      <formula>E$9&gt;=20/24</formula>
    </cfRule>
    <cfRule type="expression" dxfId="4146" priority="163">
      <formula>AND(E$9&gt;=14/24,E$9&lt;20/24)</formula>
    </cfRule>
    <cfRule type="expression" dxfId="4145" priority="164">
      <formula>AND(E$9&gt;=8/24,E$9&lt;14/24)</formula>
    </cfRule>
    <cfRule type="expression" dxfId="4144" priority="165">
      <formula>E$9&lt;8/24</formula>
    </cfRule>
  </conditionalFormatting>
  <conditionalFormatting sqref="E39:L41 S39:T39 E11:J11 T40:T41 U39:AF41 AC36:AF36">
    <cfRule type="expression" dxfId="4143" priority="161">
      <formula>E11&gt;$AG11</formula>
    </cfRule>
  </conditionalFormatting>
  <conditionalFormatting sqref="M11:O11 C83:AF83 C75:AF81 C58:O59 C69:AF73 F60:O60 C56:AF56 O12 F67:L67 F61:L63 E13:O14 P11:R14 J36:AB36 D53:AF55 C85:AF91 P58:AF60 M61:AD67 C68:AD68 S12:AF14 AE61:AF68">
    <cfRule type="expression" dxfId="4142" priority="157">
      <formula>C$9&gt;=20/24</formula>
    </cfRule>
    <cfRule type="expression" dxfId="4141" priority="158">
      <formula>AND(C$9&gt;=14/24,C$9&lt;20/24)</formula>
    </cfRule>
    <cfRule type="expression" dxfId="4140" priority="159">
      <formula>AND(C$9&gt;=8/24,C$9&lt;14/24)</formula>
    </cfRule>
    <cfRule type="expression" dxfId="4139" priority="160">
      <formula>C$9&lt;8/24</formula>
    </cfRule>
  </conditionalFormatting>
  <conditionalFormatting sqref="M11:O11 C38:AF38 AE42:AF43 C51:AF52 C56:AF56 C37:O37 O12 E42:K42 F43:K44 L42:L44 J36:O36 E13:O15 P11:R15 P36:S37 T36:AB36 D53:AF55 S12:AF15">
    <cfRule type="expression" dxfId="4138" priority="148">
      <formula>C11&gt;$AG11</formula>
    </cfRule>
  </conditionalFormatting>
  <conditionalFormatting sqref="E15:AF15">
    <cfRule type="expression" dxfId="4137" priority="140">
      <formula>E$9&gt;=20/24</formula>
    </cfRule>
    <cfRule type="expression" dxfId="4136" priority="141">
      <formula>AND(E$9&gt;=14/24,E$9&lt;20/24)</formula>
    </cfRule>
    <cfRule type="expression" dxfId="4135" priority="142">
      <formula>AND(E$9&gt;=8/24,E$9&lt;14/24)</formula>
    </cfRule>
    <cfRule type="expression" dxfId="4134" priority="143">
      <formula>E$9&lt;8/24</formula>
    </cfRule>
  </conditionalFormatting>
  <conditionalFormatting sqref="S11">
    <cfRule type="expression" dxfId="4133" priority="131">
      <formula>S$9&gt;=20/24</formula>
    </cfRule>
    <cfRule type="expression" dxfId="4132" priority="132">
      <formula>AND(S$9&gt;=14/24,S$9&lt;20/24)</formula>
    </cfRule>
    <cfRule type="expression" dxfId="4131" priority="133">
      <formula>AND(S$9&gt;=8/24,S$9&lt;14/24)</formula>
    </cfRule>
    <cfRule type="expression" dxfId="4130" priority="134">
      <formula>S$9&lt;8/24</formula>
    </cfRule>
  </conditionalFormatting>
  <conditionalFormatting sqref="M39:R49 S40:S49 T42:AD49 AE44:AF49">
    <cfRule type="expression" dxfId="4129" priority="122">
      <formula>M$9&gt;=20/24</formula>
    </cfRule>
    <cfRule type="expression" dxfId="4128" priority="123">
      <formula>AND(M$9&gt;=14/24,M$9&lt;20/24)</formula>
    </cfRule>
    <cfRule type="expression" dxfId="4127" priority="124">
      <formula>AND(M$9&gt;=8/24,M$9&lt;14/24)</formula>
    </cfRule>
    <cfRule type="expression" dxfId="4126" priority="125">
      <formula>M$9&lt;8/24</formula>
    </cfRule>
  </conditionalFormatting>
  <conditionalFormatting sqref="M39:R49 S40:S49 T42:AD49 AE44:AF49">
    <cfRule type="expression" dxfId="4125" priority="121">
      <formula>M39&gt;$AG39</formula>
    </cfRule>
  </conditionalFormatting>
  <conditionalFormatting sqref="C74:I74 C11:D11 C13:D14 C16:AF16">
    <cfRule type="expression" dxfId="4124" priority="113">
      <formula>C$9&gt;=20/24</formula>
    </cfRule>
    <cfRule type="expression" dxfId="4123" priority="114">
      <formula>AND(C$9&gt;=14/24,C$9&lt;20/24)</formula>
    </cfRule>
    <cfRule type="expression" dxfId="4122" priority="115">
      <formula>AND(C$9&gt;=8/24,C$9&lt;14/24)</formula>
    </cfRule>
    <cfRule type="expression" dxfId="4121" priority="116">
      <formula>C$9&lt;8/24</formula>
    </cfRule>
  </conditionalFormatting>
  <conditionalFormatting sqref="C11:D11 C13:D16 E16:AF16">
    <cfRule type="expression" dxfId="4120" priority="104">
      <formula>C11&gt;$AG11</formula>
    </cfRule>
  </conditionalFormatting>
  <conditionalFormatting sqref="C15:D15">
    <cfRule type="expression" dxfId="4119" priority="96">
      <formula>C$9&gt;=20/24</formula>
    </cfRule>
    <cfRule type="expression" dxfId="4118" priority="97">
      <formula>AND(C$9&gt;=14/24,C$9&lt;20/24)</formula>
    </cfRule>
    <cfRule type="expression" dxfId="4117" priority="98">
      <formula>AND(C$9&gt;=8/24,C$9&lt;14/24)</formula>
    </cfRule>
    <cfRule type="expression" dxfId="4116" priority="99">
      <formula>C$9&lt;8/24</formula>
    </cfRule>
  </conditionalFormatting>
  <conditionalFormatting sqref="C40:D41">
    <cfRule type="expression" dxfId="4115" priority="87">
      <formula>C$9&gt;=20/24</formula>
    </cfRule>
    <cfRule type="expression" dxfId="4114" priority="88">
      <formula>AND(C$9&gt;=14/24,C$9&lt;20/24)</formula>
    </cfRule>
    <cfRule type="expression" dxfId="4113" priority="89">
      <formula>AND(C$9&gt;=8/24,C$9&lt;14/24)</formula>
    </cfRule>
    <cfRule type="expression" dxfId="4112" priority="90">
      <formula>C$9&lt;8/24</formula>
    </cfRule>
  </conditionalFormatting>
  <conditionalFormatting sqref="C39:D39">
    <cfRule type="expression" dxfId="4111" priority="83">
      <formula>C$9&gt;=20/24</formula>
    </cfRule>
    <cfRule type="expression" dxfId="4110" priority="84">
      <formula>AND(C$9&gt;=14/24,C$9&lt;20/24)</formula>
    </cfRule>
    <cfRule type="expression" dxfId="4109" priority="85">
      <formula>AND(C$9&gt;=8/24,C$9&lt;14/24)</formula>
    </cfRule>
    <cfRule type="expression" dxfId="4108" priority="86">
      <formula>C$9&lt;8/24</formula>
    </cfRule>
  </conditionalFormatting>
  <conditionalFormatting sqref="C39:D41">
    <cfRule type="expression" dxfId="4107" priority="82">
      <formula>C39&gt;$AG39</formula>
    </cfRule>
  </conditionalFormatting>
  <conditionalFormatting sqref="F64:L66">
    <cfRule type="expression" dxfId="4106" priority="78">
      <formula>F$9&gt;=20/24</formula>
    </cfRule>
    <cfRule type="expression" dxfId="4105" priority="79">
      <formula>AND(F$9&gt;=14/24,F$9&lt;20/24)</formula>
    </cfRule>
    <cfRule type="expression" dxfId="4104" priority="80">
      <formula>AND(F$9&gt;=8/24,F$9&lt;14/24)</formula>
    </cfRule>
    <cfRule type="expression" dxfId="4103" priority="81">
      <formula>F$9&lt;8/24</formula>
    </cfRule>
  </conditionalFormatting>
  <conditionalFormatting sqref="C42:D43 E43">
    <cfRule type="expression" dxfId="4102" priority="77">
      <formula>C42&gt;$AG42</formula>
    </cfRule>
  </conditionalFormatting>
  <conditionalFormatting sqref="B47:E47 F45:L49">
    <cfRule type="expression" dxfId="4101" priority="73">
      <formula>B$9&gt;=20/24</formula>
    </cfRule>
    <cfRule type="expression" dxfId="4100" priority="74">
      <formula>AND(B$9&gt;=14/24,B$9&lt;20/24)</formula>
    </cfRule>
    <cfRule type="expression" dxfId="4099" priority="75">
      <formula>AND(B$9&gt;=8/24,B$9&lt;14/24)</formula>
    </cfRule>
    <cfRule type="expression" dxfId="4098" priority="76">
      <formula>B$9&lt;8/24</formula>
    </cfRule>
  </conditionalFormatting>
  <conditionalFormatting sqref="B47:E47 F45:L49">
    <cfRule type="expression" dxfId="4097" priority="72">
      <formula>B45&gt;$AG45</formula>
    </cfRule>
  </conditionalFormatting>
  <conditionalFormatting sqref="B82 B74 B94:B100 B11">
    <cfRule type="expression" dxfId="4096" priority="59">
      <formula>B$9&gt;=20/24</formula>
    </cfRule>
    <cfRule type="expression" dxfId="4095" priority="60">
      <formula>AND(B$9&gt;=14/24,B$9&lt;20/24)</formula>
    </cfRule>
    <cfRule type="expression" dxfId="4094" priority="61">
      <formula>AND(B$9&gt;=8/24,B$9&lt;14/24)</formula>
    </cfRule>
    <cfRule type="expression" dxfId="4093" priority="62">
      <formula>B$9&lt;8/24</formula>
    </cfRule>
  </conditionalFormatting>
  <conditionalFormatting sqref="B37">
    <cfRule type="expression" dxfId="4092" priority="55">
      <formula>B$9&gt;=20/24</formula>
    </cfRule>
    <cfRule type="expression" dxfId="4091" priority="56">
      <formula>AND(B$9&gt;=14/24,B$9&lt;20/24)</formula>
    </cfRule>
    <cfRule type="expression" dxfId="4090" priority="57">
      <formula>AND(B$9&gt;=8/24,B$9&lt;14/24)</formula>
    </cfRule>
    <cfRule type="expression" dxfId="4089" priority="58">
      <formula>B$9&lt;8/24</formula>
    </cfRule>
  </conditionalFormatting>
  <conditionalFormatting sqref="B37 B11">
    <cfRule type="expression" dxfId="4088" priority="54">
      <formula>B11&gt;$AG11</formula>
    </cfRule>
  </conditionalFormatting>
  <conditionalFormatting sqref="B84">
    <cfRule type="expression" dxfId="4087" priority="50">
      <formula>B$9&gt;=20/24</formula>
    </cfRule>
    <cfRule type="expression" dxfId="4086" priority="51">
      <formula>AND(B$9&gt;=14/24,B$9&lt;20/24)</formula>
    </cfRule>
    <cfRule type="expression" dxfId="4085" priority="52">
      <formula>AND(B$9&gt;=8/24,B$9&lt;14/24)</formula>
    </cfRule>
    <cfRule type="expression" dxfId="4084" priority="53">
      <formula>B$9&lt;8/24</formula>
    </cfRule>
  </conditionalFormatting>
  <conditionalFormatting sqref="B40:B41 B57 B36:I36">
    <cfRule type="expression" dxfId="4083" priority="46">
      <formula>B$9&gt;=20/24</formula>
    </cfRule>
    <cfRule type="expression" dxfId="4082" priority="47">
      <formula>AND(B$9&gt;=14/24,B$9&lt;20/24)</formula>
    </cfRule>
    <cfRule type="expression" dxfId="4081" priority="48">
      <formula>AND(B$9&gt;=8/24,B$9&lt;14/24)</formula>
    </cfRule>
    <cfRule type="expression" dxfId="4080" priority="49">
      <formula>B$9&lt;8/24</formula>
    </cfRule>
  </conditionalFormatting>
  <conditionalFormatting sqref="B39">
    <cfRule type="expression" dxfId="4079" priority="42">
      <formula>B$9&gt;=20/24</formula>
    </cfRule>
    <cfRule type="expression" dxfId="4078" priority="43">
      <formula>AND(B$9&gt;=14/24,B$9&lt;20/24)</formula>
    </cfRule>
    <cfRule type="expression" dxfId="4077" priority="44">
      <formula>AND(B$9&gt;=8/24,B$9&lt;14/24)</formula>
    </cfRule>
    <cfRule type="expression" dxfId="4076" priority="45">
      <formula>B$9&lt;8/24</formula>
    </cfRule>
  </conditionalFormatting>
  <conditionalFormatting sqref="B39:B41 B36:I36">
    <cfRule type="expression" dxfId="4075" priority="41">
      <formula>B36&gt;$AG36</formula>
    </cfRule>
  </conditionalFormatting>
  <conditionalFormatting sqref="B83 B75:B81 B85:B91 B12:B14 B16 B53:B56 B58:B73 C53:C55 C60:E67 C12:N12 B28:AF31 B18:AF22 B24:AF26">
    <cfRule type="expression" dxfId="4074" priority="37">
      <formula>B$9&gt;=20/24</formula>
    </cfRule>
    <cfRule type="expression" dxfId="4073" priority="38">
      <formula>AND(B$9&gt;=14/24,B$9&lt;20/24)</formula>
    </cfRule>
    <cfRule type="expression" dxfId="4072" priority="39">
      <formula>AND(B$9&gt;=8/24,B$9&lt;14/24)</formula>
    </cfRule>
    <cfRule type="expression" dxfId="4071" priority="40">
      <formula>B$9&lt;8/24</formula>
    </cfRule>
  </conditionalFormatting>
  <conditionalFormatting sqref="B32:AF32">
    <cfRule type="expression" dxfId="4070" priority="33">
      <formula>B$9&gt;=20/24</formula>
    </cfRule>
    <cfRule type="expression" dxfId="4069" priority="34">
      <formula>AND(B$9&gt;=14/24,B$9&lt;20/24)</formula>
    </cfRule>
    <cfRule type="expression" dxfId="4068" priority="35">
      <formula>AND(B$9&gt;=8/24,B$9&lt;14/24)</formula>
    </cfRule>
    <cfRule type="expression" dxfId="4067" priority="36">
      <formula>B$9&lt;8/24</formula>
    </cfRule>
  </conditionalFormatting>
  <conditionalFormatting sqref="B35:AF35">
    <cfRule type="expression" dxfId="4066" priority="29">
      <formula>B$9&gt;=20/24</formula>
    </cfRule>
    <cfRule type="expression" dxfId="4065" priority="30">
      <formula>AND(B$9&gt;=14/24,B$9&lt;20/24)</formula>
    </cfRule>
    <cfRule type="expression" dxfId="4064" priority="31">
      <formula>AND(B$9&gt;=8/24,B$9&lt;14/24)</formula>
    </cfRule>
    <cfRule type="expression" dxfId="4063" priority="32">
      <formula>B$9&lt;8/24</formula>
    </cfRule>
  </conditionalFormatting>
  <conditionalFormatting sqref="B38 B42:B43 B12:B16 B51:B56 C53:C55 C12:N12 B18:AF22 B24:AF32 B34:AF35">
    <cfRule type="expression" dxfId="4062" priority="28">
      <formula>B12&gt;$AG12</formula>
    </cfRule>
  </conditionalFormatting>
  <conditionalFormatting sqref="B34:AF34">
    <cfRule type="expression" dxfId="4061" priority="24">
      <formula>B$9&gt;=20/24</formula>
    </cfRule>
    <cfRule type="expression" dxfId="4060" priority="25">
      <formula>AND(B$9&gt;=14/24,B$9&lt;20/24)</formula>
    </cfRule>
    <cfRule type="expression" dxfId="4059" priority="26">
      <formula>AND(B$9&gt;=8/24,B$9&lt;14/24)</formula>
    </cfRule>
    <cfRule type="expression" dxfId="4058" priority="27">
      <formula>B$9&lt;8/24</formula>
    </cfRule>
  </conditionalFormatting>
  <conditionalFormatting sqref="B15">
    <cfRule type="expression" dxfId="4057" priority="20">
      <formula>B$9&gt;=20/24</formula>
    </cfRule>
    <cfRule type="expression" dxfId="4056" priority="21">
      <formula>AND(B$9&gt;=14/24,B$9&lt;20/24)</formula>
    </cfRule>
    <cfRule type="expression" dxfId="4055" priority="22">
      <formula>AND(B$9&gt;=8/24,B$9&lt;14/24)</formula>
    </cfRule>
    <cfRule type="expression" dxfId="4054" priority="23">
      <formula>B$9&lt;8/24</formula>
    </cfRule>
  </conditionalFormatting>
  <conditionalFormatting sqref="B33:AF33">
    <cfRule type="expression" dxfId="4053" priority="16">
      <formula>B$9&gt;=20/24</formula>
    </cfRule>
    <cfRule type="expression" dxfId="4052" priority="17">
      <formula>AND(B$9&gt;=14/24,B$9&lt;20/24)</formula>
    </cfRule>
    <cfRule type="expression" dxfId="4051" priority="18">
      <formula>AND(B$9&gt;=8/24,B$9&lt;14/24)</formula>
    </cfRule>
    <cfRule type="expression" dxfId="4050" priority="19">
      <formula>B$9&lt;8/24</formula>
    </cfRule>
  </conditionalFormatting>
  <conditionalFormatting sqref="B33:AF33">
    <cfRule type="expression" dxfId="4049" priority="15">
      <formula>B33&gt;$AG33</formula>
    </cfRule>
  </conditionalFormatting>
  <conditionalFormatting sqref="B44:E46 B48:E49 B50:AF50">
    <cfRule type="expression" dxfId="4048" priority="11">
      <formula>B$9&gt;=20/24</formula>
    </cfRule>
    <cfRule type="expression" dxfId="4047" priority="12">
      <formula>AND(B$9&gt;=14/24,B$9&lt;20/24)</formula>
    </cfRule>
    <cfRule type="expression" dxfId="4046" priority="13">
      <formula>AND(B$9&gt;=8/24,B$9&lt;14/24)</formula>
    </cfRule>
    <cfRule type="expression" dxfId="4045" priority="14">
      <formula>B$9&lt;8/24</formula>
    </cfRule>
  </conditionalFormatting>
  <conditionalFormatting sqref="B44:E46 B48:E49 B50:AF50">
    <cfRule type="expression" dxfId="4044" priority="10">
      <formula>B44&gt;$AG44</formula>
    </cfRule>
  </conditionalFormatting>
  <conditionalFormatting sqref="B27:AF27">
    <cfRule type="expression" dxfId="4043" priority="6">
      <formula>B$9&gt;=20/24</formula>
    </cfRule>
    <cfRule type="expression" dxfId="4042" priority="7">
      <formula>AND(B$9&gt;=14/24,B$9&lt;20/24)</formula>
    </cfRule>
    <cfRule type="expression" dxfId="4041" priority="8">
      <formula>AND(B$9&gt;=8/24,B$9&lt;14/24)</formula>
    </cfRule>
    <cfRule type="expression" dxfId="4040" priority="9">
      <formula>B$9&lt;8/24</formula>
    </cfRule>
  </conditionalFormatting>
  <conditionalFormatting sqref="B17:AF17 B23:AF23">
    <cfRule type="expression" dxfId="4039" priority="2">
      <formula>B$9&gt;=20/24</formula>
    </cfRule>
    <cfRule type="expression" dxfId="4038" priority="3">
      <formula>AND(B$9&gt;=14/24,B$9&lt;20/24)</formula>
    </cfRule>
    <cfRule type="expression" dxfId="4037" priority="4">
      <formula>AND(B$9&gt;=8/24,B$9&lt;14/24)</formula>
    </cfRule>
    <cfRule type="expression" dxfId="4036" priority="5">
      <formula>B$9&lt;8/24</formula>
    </cfRule>
  </conditionalFormatting>
  <conditionalFormatting sqref="B17:AF17 B23:AF23">
    <cfRule type="expression" dxfId="4035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36A5E412-791C-49DD-B374-8A06FA7FABD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G11" sqref="G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143.79999999999998</v>
      </c>
      <c r="C5" s="32">
        <f t="shared" si="0"/>
        <v>127</v>
      </c>
      <c r="D5" s="32">
        <f t="shared" si="0"/>
        <v>137</v>
      </c>
      <c r="E5" s="32">
        <f t="shared" si="0"/>
        <v>133</v>
      </c>
      <c r="F5" s="32">
        <f t="shared" si="0"/>
        <v>117</v>
      </c>
      <c r="G5" s="32">
        <f t="shared" si="0"/>
        <v>112</v>
      </c>
      <c r="H5" s="32">
        <f t="shared" si="0"/>
        <v>141</v>
      </c>
      <c r="I5" s="32">
        <f t="shared" si="0"/>
        <v>165.3</v>
      </c>
      <c r="J5" s="32">
        <f t="shared" si="0"/>
        <v>214</v>
      </c>
      <c r="K5" s="32">
        <f t="shared" si="0"/>
        <v>230</v>
      </c>
      <c r="L5" s="32">
        <f t="shared" si="0"/>
        <v>203.6</v>
      </c>
      <c r="M5" s="32">
        <f t="shared" si="0"/>
        <v>270.60000000000002</v>
      </c>
      <c r="N5" s="32">
        <f t="shared" si="0"/>
        <v>275.10000000000002</v>
      </c>
      <c r="O5" s="32">
        <f t="shared" si="0"/>
        <v>279.10000000000002</v>
      </c>
      <c r="P5" s="32">
        <f t="shared" si="0"/>
        <v>298</v>
      </c>
      <c r="Q5" s="32">
        <f t="shared" si="0"/>
        <v>292.60000000000002</v>
      </c>
      <c r="R5" s="32">
        <f t="shared" si="0"/>
        <v>228.5</v>
      </c>
      <c r="S5" s="32">
        <f t="shared" si="0"/>
        <v>289.59999999999997</v>
      </c>
      <c r="T5" s="32">
        <f t="shared" si="0"/>
        <v>280.3</v>
      </c>
      <c r="U5" s="32">
        <f t="shared" si="0"/>
        <v>259.5</v>
      </c>
      <c r="V5" s="32">
        <f t="shared" si="0"/>
        <v>232.10000000000002</v>
      </c>
      <c r="W5" s="32">
        <f t="shared" si="0"/>
        <v>253.8</v>
      </c>
      <c r="X5" s="32">
        <f t="shared" si="0"/>
        <v>246.90000000000003</v>
      </c>
      <c r="Y5" s="32">
        <f t="shared" si="0"/>
        <v>227.29999999999998</v>
      </c>
      <c r="Z5" s="32">
        <f t="shared" si="0"/>
        <v>182.4</v>
      </c>
      <c r="AA5" s="32">
        <f t="shared" si="0"/>
        <v>67.2</v>
      </c>
      <c r="AB5" s="32">
        <f t="shared" si="0"/>
        <v>68.5</v>
      </c>
      <c r="AC5" s="32">
        <f t="shared" si="0"/>
        <v>66</v>
      </c>
      <c r="AD5" s="32">
        <f t="shared" si="0"/>
        <v>59</v>
      </c>
      <c r="AE5" s="32">
        <f t="shared" si="0"/>
        <v>60</v>
      </c>
      <c r="AF5" s="32">
        <f>B68</f>
        <v>118.6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1390MW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Load=1177</v>
      </c>
      <c r="B7" s="37">
        <f>B75</f>
        <v>1355.94</v>
      </c>
      <c r="C7" s="37">
        <f t="shared" ref="C7:AF7" si="1">C75</f>
        <v>1368.2400000000002</v>
      </c>
      <c r="D7" s="37">
        <f t="shared" si="1"/>
        <v>1326.44</v>
      </c>
      <c r="E7" s="37">
        <f t="shared" si="1"/>
        <v>1213.0400000000002</v>
      </c>
      <c r="F7" s="37">
        <f t="shared" si="1"/>
        <v>1191.0400000000002</v>
      </c>
      <c r="G7" s="37">
        <f t="shared" si="1"/>
        <v>1177.1400000000001</v>
      </c>
      <c r="H7" s="37">
        <f t="shared" si="1"/>
        <v>1183.1400000000001</v>
      </c>
      <c r="I7" s="37">
        <f t="shared" si="1"/>
        <v>1217.1400000000001</v>
      </c>
      <c r="J7" s="37">
        <f t="shared" si="1"/>
        <v>1279.54</v>
      </c>
      <c r="K7" s="37">
        <f t="shared" si="1"/>
        <v>1346.24</v>
      </c>
      <c r="L7" s="37">
        <f t="shared" si="1"/>
        <v>1390.24</v>
      </c>
      <c r="M7" s="37">
        <f t="shared" si="1"/>
        <v>1351.8400000000001</v>
      </c>
      <c r="N7" s="37">
        <f t="shared" si="1"/>
        <v>1379.74</v>
      </c>
      <c r="O7" s="37">
        <f t="shared" si="1"/>
        <v>1406.94</v>
      </c>
      <c r="P7" s="37">
        <f t="shared" si="1"/>
        <v>1381.6399999999999</v>
      </c>
      <c r="Q7" s="37">
        <f t="shared" si="1"/>
        <v>1353.04</v>
      </c>
      <c r="R7" s="37">
        <f t="shared" si="1"/>
        <v>1349.8400000000001</v>
      </c>
      <c r="S7" s="37">
        <f t="shared" si="1"/>
        <v>1344.94</v>
      </c>
      <c r="T7" s="37">
        <f t="shared" si="1"/>
        <v>1385.2399999999998</v>
      </c>
      <c r="U7" s="37">
        <f t="shared" si="1"/>
        <v>1346.44</v>
      </c>
      <c r="V7" s="37">
        <f t="shared" si="1"/>
        <v>1276.2400000000002</v>
      </c>
      <c r="W7" s="37">
        <f t="shared" si="1"/>
        <v>1271.2400000000002</v>
      </c>
      <c r="X7" s="37">
        <f t="shared" si="1"/>
        <v>1249.44</v>
      </c>
      <c r="Y7" s="37">
        <f t="shared" si="1"/>
        <v>1276.04</v>
      </c>
      <c r="Z7" s="37">
        <f t="shared" si="1"/>
        <v>1358.3400000000001</v>
      </c>
      <c r="AA7" s="37">
        <f t="shared" si="1"/>
        <v>1441.2400000000002</v>
      </c>
      <c r="AB7" s="37">
        <f t="shared" si="1"/>
        <v>1401.84</v>
      </c>
      <c r="AC7" s="37">
        <f t="shared" si="1"/>
        <v>1413.8400000000001</v>
      </c>
      <c r="AD7" s="37">
        <f t="shared" si="1"/>
        <v>1408.44</v>
      </c>
      <c r="AE7" s="37">
        <f t="shared" si="1"/>
        <v>1325.44</v>
      </c>
      <c r="AF7" s="37">
        <f t="shared" si="1"/>
        <v>1247.24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145</v>
      </c>
      <c r="C11" s="49">
        <v>135</v>
      </c>
      <c r="D11" s="49">
        <v>135</v>
      </c>
      <c r="E11" s="51">
        <v>125</v>
      </c>
      <c r="F11" s="51">
        <v>105</v>
      </c>
      <c r="G11" s="51">
        <v>105</v>
      </c>
      <c r="H11" s="51">
        <v>105</v>
      </c>
      <c r="I11" s="51">
        <v>115</v>
      </c>
      <c r="J11" s="52">
        <v>125</v>
      </c>
      <c r="K11" s="52">
        <v>125</v>
      </c>
      <c r="L11" s="52">
        <v>125</v>
      </c>
      <c r="M11" s="51">
        <v>125</v>
      </c>
      <c r="N11" s="51">
        <v>130</v>
      </c>
      <c r="O11" s="51">
        <v>125</v>
      </c>
      <c r="P11" s="51">
        <v>125</v>
      </c>
      <c r="Q11" s="51">
        <v>90</v>
      </c>
      <c r="R11" s="51">
        <v>86</v>
      </c>
      <c r="S11" s="49">
        <v>100</v>
      </c>
      <c r="T11" s="49">
        <v>110</v>
      </c>
      <c r="U11" s="49">
        <v>90</v>
      </c>
      <c r="V11" s="49">
        <v>80</v>
      </c>
      <c r="W11" s="49">
        <v>90</v>
      </c>
      <c r="X11" s="49">
        <v>70</v>
      </c>
      <c r="Y11" s="49">
        <v>100</v>
      </c>
      <c r="Z11" s="49">
        <v>170</v>
      </c>
      <c r="AA11" s="49">
        <v>240</v>
      </c>
      <c r="AB11" s="49">
        <v>320</v>
      </c>
      <c r="AC11" s="49">
        <v>350</v>
      </c>
      <c r="AD11" s="49">
        <v>340</v>
      </c>
      <c r="AE11" s="49">
        <v>280</v>
      </c>
      <c r="AF11" s="49">
        <v>220</v>
      </c>
      <c r="AG11" s="53">
        <v>456</v>
      </c>
      <c r="AH11" s="54">
        <f>MAX(B11:AF11)</f>
        <v>350</v>
      </c>
      <c r="AI11" s="55">
        <f>MIN(B11:AF11)</f>
        <v>70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37</v>
      </c>
      <c r="C12" s="51">
        <v>37</v>
      </c>
      <c r="D12" s="51">
        <v>37</v>
      </c>
      <c r="E12" s="51">
        <v>37</v>
      </c>
      <c r="F12" s="51">
        <v>37</v>
      </c>
      <c r="G12" s="51">
        <v>37</v>
      </c>
      <c r="H12" s="51">
        <v>33</v>
      </c>
      <c r="I12" s="51">
        <v>33</v>
      </c>
      <c r="J12" s="51">
        <v>33</v>
      </c>
      <c r="K12" s="51">
        <v>33</v>
      </c>
      <c r="L12" s="51">
        <v>33</v>
      </c>
      <c r="M12" s="51">
        <v>33</v>
      </c>
      <c r="N12" s="51">
        <v>33</v>
      </c>
      <c r="O12" s="51">
        <v>37</v>
      </c>
      <c r="P12" s="51">
        <v>37</v>
      </c>
      <c r="Q12" s="51">
        <v>37</v>
      </c>
      <c r="R12" s="51">
        <v>37</v>
      </c>
      <c r="S12" s="51">
        <v>37</v>
      </c>
      <c r="T12" s="51">
        <v>37</v>
      </c>
      <c r="U12" s="51">
        <v>37</v>
      </c>
      <c r="V12" s="51">
        <v>37</v>
      </c>
      <c r="W12" s="51">
        <v>51</v>
      </c>
      <c r="X12" s="51">
        <v>51</v>
      </c>
      <c r="Y12" s="51">
        <v>51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46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33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18</v>
      </c>
      <c r="C13" s="51">
        <v>16.3</v>
      </c>
      <c r="D13" s="51">
        <v>18.399999999999999</v>
      </c>
      <c r="E13" s="51">
        <v>18.399999999999999</v>
      </c>
      <c r="F13" s="51">
        <v>18.399999999999999</v>
      </c>
      <c r="G13" s="51">
        <v>18.399999999999999</v>
      </c>
      <c r="H13" s="51">
        <v>18.399999999999999</v>
      </c>
      <c r="I13" s="51">
        <v>18.399999999999999</v>
      </c>
      <c r="J13" s="51">
        <v>16.5</v>
      </c>
      <c r="K13" s="51">
        <v>16.5</v>
      </c>
      <c r="L13" s="51">
        <v>16.5</v>
      </c>
      <c r="M13" s="51">
        <v>18.5</v>
      </c>
      <c r="N13" s="51">
        <v>18.5</v>
      </c>
      <c r="O13" s="51">
        <v>17.2</v>
      </c>
      <c r="P13" s="51">
        <v>17.2</v>
      </c>
      <c r="Q13" s="51">
        <v>17.2</v>
      </c>
      <c r="R13" s="51">
        <v>17.2</v>
      </c>
      <c r="S13" s="51">
        <v>18.600000000000001</v>
      </c>
      <c r="T13" s="51">
        <v>18.600000000000001</v>
      </c>
      <c r="U13" s="51">
        <v>18.600000000000001</v>
      </c>
      <c r="V13" s="51">
        <v>18.600000000000001</v>
      </c>
      <c r="W13" s="51">
        <v>18.600000000000001</v>
      </c>
      <c r="X13" s="51">
        <v>18.600000000000001</v>
      </c>
      <c r="Y13" s="51">
        <v>18.600000000000001</v>
      </c>
      <c r="Z13" s="51">
        <v>18.600000000000001</v>
      </c>
      <c r="AA13" s="51">
        <v>18.600000000000001</v>
      </c>
      <c r="AB13" s="51">
        <v>18.600000000000001</v>
      </c>
      <c r="AC13" s="51">
        <v>18.600000000000001</v>
      </c>
      <c r="AD13" s="51">
        <v>25.6</v>
      </c>
      <c r="AE13" s="51">
        <v>25.6</v>
      </c>
      <c r="AF13" s="51">
        <v>24.4</v>
      </c>
      <c r="AG13" s="58">
        <v>52.4</v>
      </c>
      <c r="AH13" s="54">
        <f t="shared" si="2"/>
        <v>25.6</v>
      </c>
      <c r="AI13" s="55">
        <f t="shared" si="3"/>
        <v>16.3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50.2</v>
      </c>
      <c r="C14" s="51">
        <v>50.3</v>
      </c>
      <c r="D14" s="51">
        <v>50.4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50.4</v>
      </c>
      <c r="N14" s="51">
        <v>50.4</v>
      </c>
      <c r="O14" s="51">
        <v>50.1</v>
      </c>
      <c r="P14" s="51">
        <v>50.1</v>
      </c>
      <c r="Q14" s="51">
        <v>50.1</v>
      </c>
      <c r="R14" s="51">
        <v>50.1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50.2</v>
      </c>
      <c r="AE14" s="51">
        <v>50.2</v>
      </c>
      <c r="AF14" s="51">
        <v>50.2</v>
      </c>
      <c r="AG14" s="58">
        <v>50</v>
      </c>
      <c r="AH14" s="54">
        <f t="shared" si="2"/>
        <v>50.5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24.1</v>
      </c>
      <c r="C15" s="51">
        <v>24.1</v>
      </c>
      <c r="D15" s="51">
        <v>24.2</v>
      </c>
      <c r="E15" s="51">
        <v>24.2</v>
      </c>
      <c r="F15" s="51">
        <v>24.2</v>
      </c>
      <c r="G15" s="51">
        <v>24.2</v>
      </c>
      <c r="H15" s="51">
        <v>24.2</v>
      </c>
      <c r="I15" s="51">
        <v>24.2</v>
      </c>
      <c r="J15" s="51">
        <v>24.2</v>
      </c>
      <c r="K15" s="51">
        <v>24.2</v>
      </c>
      <c r="L15" s="51">
        <v>24.2</v>
      </c>
      <c r="M15" s="51">
        <v>24.2</v>
      </c>
      <c r="N15" s="51">
        <v>24.2</v>
      </c>
      <c r="O15" s="51">
        <v>24.2</v>
      </c>
      <c r="P15" s="51">
        <v>24.2</v>
      </c>
      <c r="Q15" s="51">
        <v>24.2</v>
      </c>
      <c r="R15" s="51">
        <v>24.2</v>
      </c>
      <c r="S15" s="51">
        <v>24.4</v>
      </c>
      <c r="T15" s="51">
        <v>24.4</v>
      </c>
      <c r="U15" s="51">
        <v>24.4</v>
      </c>
      <c r="V15" s="51">
        <v>24.4</v>
      </c>
      <c r="W15" s="51">
        <v>24.4</v>
      </c>
      <c r="X15" s="51">
        <v>24.4</v>
      </c>
      <c r="Y15" s="51">
        <v>24.4</v>
      </c>
      <c r="Z15" s="51">
        <v>24.4</v>
      </c>
      <c r="AA15" s="51">
        <v>24.4</v>
      </c>
      <c r="AB15" s="51">
        <v>24.4</v>
      </c>
      <c r="AC15" s="51">
        <v>24.4</v>
      </c>
      <c r="AD15" s="51">
        <v>24.2</v>
      </c>
      <c r="AE15" s="51">
        <v>24.2</v>
      </c>
      <c r="AF15" s="51">
        <v>24.2</v>
      </c>
      <c r="AG15" s="59">
        <v>45</v>
      </c>
      <c r="AH15" s="54">
        <f t="shared" si="2"/>
        <v>24.4</v>
      </c>
      <c r="AI15" s="55">
        <f t="shared" si="3"/>
        <v>24.1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26</v>
      </c>
      <c r="C16" s="51">
        <v>28</v>
      </c>
      <c r="D16" s="51">
        <v>28</v>
      </c>
      <c r="E16" s="51">
        <v>28</v>
      </c>
      <c r="F16" s="51">
        <v>30</v>
      </c>
      <c r="G16" s="51">
        <v>32</v>
      </c>
      <c r="H16" s="51">
        <v>32</v>
      </c>
      <c r="I16" s="51">
        <v>34</v>
      </c>
      <c r="J16" s="51">
        <v>34</v>
      </c>
      <c r="K16" s="51">
        <v>37</v>
      </c>
      <c r="L16" s="51">
        <v>37</v>
      </c>
      <c r="M16" s="51">
        <v>37</v>
      </c>
      <c r="N16" s="51">
        <v>37</v>
      </c>
      <c r="O16" s="51">
        <v>37</v>
      </c>
      <c r="P16" s="51">
        <v>37</v>
      </c>
      <c r="Q16" s="51">
        <v>37</v>
      </c>
      <c r="R16" s="51">
        <v>37</v>
      </c>
      <c r="S16" s="51">
        <v>37</v>
      </c>
      <c r="T16" s="51">
        <v>37</v>
      </c>
      <c r="U16" s="51">
        <v>37</v>
      </c>
      <c r="V16" s="51">
        <v>37</v>
      </c>
      <c r="W16" s="51">
        <v>37</v>
      </c>
      <c r="X16" s="51">
        <v>37</v>
      </c>
      <c r="Y16" s="51">
        <v>37</v>
      </c>
      <c r="Z16" s="51">
        <v>40</v>
      </c>
      <c r="AA16" s="51">
        <v>40</v>
      </c>
      <c r="AB16" s="51">
        <v>40</v>
      </c>
      <c r="AC16" s="51">
        <v>40</v>
      </c>
      <c r="AD16" s="51">
        <v>35</v>
      </c>
      <c r="AE16" s="51">
        <v>35</v>
      </c>
      <c r="AF16" s="51">
        <v>35</v>
      </c>
      <c r="AG16" s="58">
        <v>45</v>
      </c>
      <c r="AH16" s="54">
        <f t="shared" si="2"/>
        <v>40</v>
      </c>
      <c r="AI16" s="55">
        <f t="shared" si="3"/>
        <v>26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>
        <v>13</v>
      </c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20.100000000000001</v>
      </c>
      <c r="C19" s="51">
        <v>19.100000000000001</v>
      </c>
      <c r="D19" s="51">
        <v>19.3</v>
      </c>
      <c r="E19" s="51">
        <v>19.3</v>
      </c>
      <c r="F19" s="51">
        <v>19.3</v>
      </c>
      <c r="G19" s="51">
        <v>19.3</v>
      </c>
      <c r="H19" s="51">
        <v>19.3</v>
      </c>
      <c r="I19" s="51">
        <v>19.3</v>
      </c>
      <c r="J19" s="51">
        <v>19.3</v>
      </c>
      <c r="K19" s="51">
        <v>19.3</v>
      </c>
      <c r="L19" s="51">
        <v>19.3</v>
      </c>
      <c r="M19" s="51">
        <v>17</v>
      </c>
      <c r="N19" s="51">
        <v>17</v>
      </c>
      <c r="O19" s="51">
        <v>17</v>
      </c>
      <c r="P19" s="51">
        <v>17</v>
      </c>
      <c r="Q19" s="51">
        <v>17</v>
      </c>
      <c r="R19" s="51">
        <v>17</v>
      </c>
      <c r="S19" s="51">
        <v>17</v>
      </c>
      <c r="T19" s="51">
        <v>17</v>
      </c>
      <c r="U19" s="51">
        <v>17</v>
      </c>
      <c r="V19" s="51">
        <v>17</v>
      </c>
      <c r="W19" s="51">
        <v>17</v>
      </c>
      <c r="X19" s="51">
        <v>17</v>
      </c>
      <c r="Y19" s="51">
        <v>17</v>
      </c>
      <c r="Z19" s="51">
        <v>17</v>
      </c>
      <c r="AA19" s="51">
        <v>17</v>
      </c>
      <c r="AB19" s="51">
        <v>17</v>
      </c>
      <c r="AC19" s="51">
        <v>17</v>
      </c>
      <c r="AD19" s="51">
        <v>21.2</v>
      </c>
      <c r="AE19" s="51">
        <v>21.2</v>
      </c>
      <c r="AF19" s="51">
        <v>21.2</v>
      </c>
      <c r="AG19" s="58">
        <v>30</v>
      </c>
      <c r="AH19" s="54">
        <f t="shared" si="2"/>
        <v>21.2</v>
      </c>
      <c r="AI19" s="55">
        <f t="shared" si="3"/>
        <v>17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7.1</v>
      </c>
      <c r="C20" s="51">
        <v>7.1</v>
      </c>
      <c r="D20" s="51">
        <v>7.1</v>
      </c>
      <c r="E20" s="51">
        <v>7.1</v>
      </c>
      <c r="F20" s="51">
        <v>7.1</v>
      </c>
      <c r="G20" s="51">
        <v>7.1</v>
      </c>
      <c r="H20" s="51">
        <v>7.1</v>
      </c>
      <c r="I20" s="51">
        <v>7.1</v>
      </c>
      <c r="J20" s="51">
        <v>7.1</v>
      </c>
      <c r="K20" s="51">
        <v>7.1</v>
      </c>
      <c r="L20" s="51">
        <v>7.1</v>
      </c>
      <c r="M20" s="51">
        <v>7.1</v>
      </c>
      <c r="N20" s="51">
        <v>7.1</v>
      </c>
      <c r="O20" s="51">
        <v>7.1</v>
      </c>
      <c r="P20" s="51">
        <v>7.1</v>
      </c>
      <c r="Q20" s="51">
        <v>7.1</v>
      </c>
      <c r="R20" s="51">
        <v>7.1</v>
      </c>
      <c r="S20" s="51">
        <v>7.1</v>
      </c>
      <c r="T20" s="51">
        <v>7.1</v>
      </c>
      <c r="U20" s="51">
        <v>7.1</v>
      </c>
      <c r="V20" s="51">
        <v>7.1</v>
      </c>
      <c r="W20" s="51">
        <v>7.1</v>
      </c>
      <c r="X20" s="51">
        <v>7.1</v>
      </c>
      <c r="Y20" s="51">
        <v>7.1</v>
      </c>
      <c r="Z20" s="51">
        <v>7.1</v>
      </c>
      <c r="AA20" s="51">
        <v>7.1</v>
      </c>
      <c r="AB20" s="51">
        <v>7.1</v>
      </c>
      <c r="AC20" s="51">
        <v>7.1</v>
      </c>
      <c r="AD20" s="51">
        <v>7.1</v>
      </c>
      <c r="AE20" s="51">
        <v>7.1</v>
      </c>
      <c r="AF20" s="51">
        <v>7.1</v>
      </c>
      <c r="AG20" s="58">
        <v>27</v>
      </c>
      <c r="AH20" s="54">
        <f t="shared" si="2"/>
        <v>7.1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20.3</v>
      </c>
      <c r="C22" s="51">
        <v>20.2</v>
      </c>
      <c r="D22" s="51">
        <v>19.5</v>
      </c>
      <c r="E22" s="51">
        <v>19.5</v>
      </c>
      <c r="F22" s="51">
        <v>19.5</v>
      </c>
      <c r="G22" s="51">
        <v>19.5</v>
      </c>
      <c r="H22" s="51">
        <v>19.5</v>
      </c>
      <c r="I22" s="51">
        <v>19.5</v>
      </c>
      <c r="J22" s="51">
        <v>19.5</v>
      </c>
      <c r="K22" s="51">
        <v>19.5</v>
      </c>
      <c r="L22" s="51">
        <v>19.5</v>
      </c>
      <c r="M22" s="51">
        <v>19.5</v>
      </c>
      <c r="N22" s="51">
        <v>19.5</v>
      </c>
      <c r="O22" s="51">
        <v>19.5</v>
      </c>
      <c r="P22" s="51">
        <v>19.5</v>
      </c>
      <c r="Q22" s="51">
        <v>19.5</v>
      </c>
      <c r="R22" s="51">
        <v>19.5</v>
      </c>
      <c r="S22" s="51">
        <v>19.5</v>
      </c>
      <c r="T22" s="51">
        <v>19.5</v>
      </c>
      <c r="U22" s="51">
        <v>19.5</v>
      </c>
      <c r="V22" s="51">
        <v>19.5</v>
      </c>
      <c r="W22" s="51">
        <v>19.5</v>
      </c>
      <c r="X22" s="51">
        <v>19.5</v>
      </c>
      <c r="Y22" s="51">
        <v>19.5</v>
      </c>
      <c r="Z22" s="51">
        <v>19.5</v>
      </c>
      <c r="AA22" s="51">
        <v>19.5</v>
      </c>
      <c r="AB22" s="51">
        <v>19.5</v>
      </c>
      <c r="AC22" s="51">
        <v>19.5</v>
      </c>
      <c r="AD22" s="51">
        <v>21.9</v>
      </c>
      <c r="AE22" s="51">
        <v>21.9</v>
      </c>
      <c r="AF22" s="51">
        <v>21.9</v>
      </c>
      <c r="AG22" s="58">
        <v>25</v>
      </c>
      <c r="AH22" s="54">
        <f t="shared" si="2"/>
        <v>21.9</v>
      </c>
      <c r="AI22" s="55">
        <f t="shared" si="3"/>
        <v>19.5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15.3</v>
      </c>
      <c r="C24" s="51">
        <v>15</v>
      </c>
      <c r="D24" s="51">
        <v>14.9</v>
      </c>
      <c r="E24" s="51">
        <v>14.9</v>
      </c>
      <c r="F24" s="51">
        <v>14.9</v>
      </c>
      <c r="G24" s="51">
        <v>14.9</v>
      </c>
      <c r="H24" s="51">
        <v>14.9</v>
      </c>
      <c r="I24" s="51">
        <v>14.9</v>
      </c>
      <c r="J24" s="51">
        <v>14.9</v>
      </c>
      <c r="K24" s="51">
        <v>14.9</v>
      </c>
      <c r="L24" s="51">
        <v>14.9</v>
      </c>
      <c r="M24" s="51">
        <v>14.9</v>
      </c>
      <c r="N24" s="51">
        <v>14.9</v>
      </c>
      <c r="O24" s="51">
        <v>14.9</v>
      </c>
      <c r="P24" s="51">
        <v>14.9</v>
      </c>
      <c r="Q24" s="51">
        <v>14.9</v>
      </c>
      <c r="R24" s="51">
        <v>14.9</v>
      </c>
      <c r="S24" s="51">
        <v>14.9</v>
      </c>
      <c r="T24" s="51">
        <v>14.9</v>
      </c>
      <c r="U24" s="51">
        <v>14.9</v>
      </c>
      <c r="V24" s="51">
        <v>14.9</v>
      </c>
      <c r="W24" s="51">
        <v>14.9</v>
      </c>
      <c r="X24" s="51">
        <v>14.9</v>
      </c>
      <c r="Y24" s="51">
        <v>14.9</v>
      </c>
      <c r="Z24" s="51">
        <v>14.9</v>
      </c>
      <c r="AA24" s="51">
        <v>14.9</v>
      </c>
      <c r="AB24" s="51">
        <v>14.9</v>
      </c>
      <c r="AC24" s="51">
        <v>14.9</v>
      </c>
      <c r="AD24" s="51">
        <v>14.9</v>
      </c>
      <c r="AE24" s="51">
        <v>14.9</v>
      </c>
      <c r="AF24" s="51">
        <v>14.9</v>
      </c>
      <c r="AG24" s="58">
        <v>25</v>
      </c>
      <c r="AH24" s="54">
        <f t="shared" si="2"/>
        <v>15.3</v>
      </c>
      <c r="AI24" s="55">
        <f t="shared" si="3"/>
        <v>14.9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11</v>
      </c>
      <c r="C30" s="51">
        <v>11</v>
      </c>
      <c r="D30" s="51">
        <v>11</v>
      </c>
      <c r="E30" s="51">
        <v>11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>
        <v>11</v>
      </c>
      <c r="AB30" s="51">
        <v>11</v>
      </c>
      <c r="AC30" s="51">
        <v>11</v>
      </c>
      <c r="AD30" s="51">
        <v>11</v>
      </c>
      <c r="AE30" s="51">
        <v>11</v>
      </c>
      <c r="AF30" s="51">
        <v>11</v>
      </c>
      <c r="AG30" s="58">
        <v>22.1</v>
      </c>
      <c r="AH30" s="54">
        <f t="shared" si="2"/>
        <v>11</v>
      </c>
      <c r="AI30" s="55">
        <f t="shared" si="3"/>
        <v>11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>
        <v>6.6</v>
      </c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6.6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6</v>
      </c>
      <c r="C34" s="51">
        <v>6</v>
      </c>
      <c r="D34" s="51">
        <v>6</v>
      </c>
      <c r="E34" s="51">
        <v>6</v>
      </c>
      <c r="F34" s="51">
        <v>6</v>
      </c>
      <c r="G34" s="51">
        <v>6</v>
      </c>
      <c r="H34" s="51">
        <v>6</v>
      </c>
      <c r="I34" s="51">
        <v>6</v>
      </c>
      <c r="J34" s="51">
        <v>6</v>
      </c>
      <c r="K34" s="51">
        <v>6</v>
      </c>
      <c r="L34" s="51">
        <v>6</v>
      </c>
      <c r="M34" s="51">
        <v>6</v>
      </c>
      <c r="N34" s="51">
        <v>6</v>
      </c>
      <c r="O34" s="51">
        <v>6</v>
      </c>
      <c r="P34" s="51">
        <v>6</v>
      </c>
      <c r="Q34" s="51">
        <v>6</v>
      </c>
      <c r="R34" s="51">
        <v>6</v>
      </c>
      <c r="S34" s="51">
        <v>6</v>
      </c>
      <c r="T34" s="51">
        <v>6</v>
      </c>
      <c r="U34" s="51">
        <v>6</v>
      </c>
      <c r="V34" s="51">
        <v>6</v>
      </c>
      <c r="W34" s="51">
        <v>6</v>
      </c>
      <c r="X34" s="51">
        <v>6</v>
      </c>
      <c r="Y34" s="51">
        <v>6</v>
      </c>
      <c r="Z34" s="51">
        <v>6</v>
      </c>
      <c r="AA34" s="51">
        <v>6</v>
      </c>
      <c r="AB34" s="51">
        <v>6</v>
      </c>
      <c r="AC34" s="51">
        <v>6</v>
      </c>
      <c r="AD34" s="51">
        <v>6</v>
      </c>
      <c r="AE34" s="51">
        <v>6</v>
      </c>
      <c r="AF34" s="51">
        <v>6</v>
      </c>
      <c r="AG34" s="63">
        <v>20</v>
      </c>
      <c r="AH34" s="54">
        <f t="shared" si="2"/>
        <v>6</v>
      </c>
      <c r="AI34" s="55">
        <f t="shared" si="3"/>
        <v>6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f>50.6+41.3</f>
        <v>91.9</v>
      </c>
      <c r="C37" s="67">
        <f>50.8+41.6</f>
        <v>92.4</v>
      </c>
      <c r="D37" s="67">
        <f>50.5+40.3</f>
        <v>90.8</v>
      </c>
      <c r="E37" s="67">
        <v>89</v>
      </c>
      <c r="F37" s="67">
        <v>92</v>
      </c>
      <c r="G37" s="67">
        <v>92</v>
      </c>
      <c r="H37" s="67">
        <f>49+39</f>
        <v>88</v>
      </c>
      <c r="I37" s="67">
        <f>49+39</f>
        <v>88</v>
      </c>
      <c r="J37" s="67">
        <f>48+34</f>
        <v>82</v>
      </c>
      <c r="K37" s="65">
        <f>46+36</f>
        <v>82</v>
      </c>
      <c r="L37" s="65">
        <f>46+36</f>
        <v>82</v>
      </c>
      <c r="M37" s="65">
        <v>84</v>
      </c>
      <c r="N37" s="65">
        <v>76</v>
      </c>
      <c r="O37" s="65">
        <f>35.7+26.2</f>
        <v>61.900000000000006</v>
      </c>
      <c r="P37" s="65">
        <f>35.7+26.2</f>
        <v>61.900000000000006</v>
      </c>
      <c r="Q37" s="65">
        <v>67</v>
      </c>
      <c r="R37" s="65">
        <f>46.9+39.5</f>
        <v>86.4</v>
      </c>
      <c r="S37" s="67">
        <f>46.5+37.6</f>
        <v>84.1</v>
      </c>
      <c r="T37" s="67">
        <v>76</v>
      </c>
      <c r="U37" s="67">
        <v>84</v>
      </c>
      <c r="V37" s="67">
        <v>90.8</v>
      </c>
      <c r="W37" s="67">
        <v>91</v>
      </c>
      <c r="X37" s="67">
        <v>86</v>
      </c>
      <c r="Y37" s="67">
        <v>84.6</v>
      </c>
      <c r="Z37" s="67">
        <v>82</v>
      </c>
      <c r="AA37" s="67">
        <v>82</v>
      </c>
      <c r="AB37" s="67">
        <f>47.4+34.7</f>
        <v>82.1</v>
      </c>
      <c r="AC37" s="67">
        <f>49.2+34.7</f>
        <v>83.9</v>
      </c>
      <c r="AD37" s="67">
        <v>83</v>
      </c>
      <c r="AE37" s="67">
        <v>83</v>
      </c>
      <c r="AF37" s="67">
        <v>83</v>
      </c>
      <c r="AG37" s="63">
        <v>240</v>
      </c>
      <c r="AH37" s="54">
        <f t="shared" si="2"/>
        <v>92.4</v>
      </c>
      <c r="AI37" s="55">
        <f t="shared" si="3"/>
        <v>61.900000000000006</v>
      </c>
      <c r="AK37" s="56"/>
    </row>
    <row r="38" spans="1:88" ht="15.75" thickBot="1" x14ac:dyDescent="0.3">
      <c r="A38" s="68" t="s">
        <v>46</v>
      </c>
      <c r="B38" s="69">
        <f t="shared" ref="B38" si="4">SUM(B11:B36)</f>
        <v>684.2</v>
      </c>
      <c r="C38" s="69">
        <f t="shared" ref="C38:AF38" si="5">SUM(C11:C36)</f>
        <v>673.2</v>
      </c>
      <c r="D38" s="69">
        <f t="shared" si="5"/>
        <v>674.90000000000009</v>
      </c>
      <c r="E38" s="69">
        <f t="shared" si="5"/>
        <v>664.90000000000009</v>
      </c>
      <c r="F38" s="69">
        <f t="shared" si="5"/>
        <v>646.90000000000009</v>
      </c>
      <c r="G38" s="69">
        <f t="shared" si="5"/>
        <v>648.90000000000009</v>
      </c>
      <c r="H38" s="69">
        <f t="shared" si="5"/>
        <v>644.90000000000009</v>
      </c>
      <c r="I38" s="69">
        <f t="shared" si="5"/>
        <v>656.90000000000009</v>
      </c>
      <c r="J38" s="69">
        <f t="shared" si="5"/>
        <v>665</v>
      </c>
      <c r="K38" s="69">
        <f t="shared" si="5"/>
        <v>668</v>
      </c>
      <c r="L38" s="69">
        <f t="shared" si="5"/>
        <v>668</v>
      </c>
      <c r="M38" s="69">
        <f t="shared" si="5"/>
        <v>667.7</v>
      </c>
      <c r="N38" s="69">
        <f t="shared" si="5"/>
        <v>672.7</v>
      </c>
      <c r="O38" s="69">
        <f t="shared" si="5"/>
        <v>670.1</v>
      </c>
      <c r="P38" s="69">
        <f t="shared" si="5"/>
        <v>670.1</v>
      </c>
      <c r="Q38" s="69">
        <f t="shared" si="5"/>
        <v>635.1</v>
      </c>
      <c r="R38" s="69">
        <f t="shared" si="5"/>
        <v>631.1</v>
      </c>
      <c r="S38" s="69">
        <f t="shared" si="5"/>
        <v>647.1</v>
      </c>
      <c r="T38" s="69">
        <f t="shared" si="5"/>
        <v>657.1</v>
      </c>
      <c r="U38" s="69">
        <f t="shared" si="5"/>
        <v>637.1</v>
      </c>
      <c r="V38" s="69">
        <f t="shared" si="5"/>
        <v>627.1</v>
      </c>
      <c r="W38" s="69">
        <f t="shared" si="5"/>
        <v>651.1</v>
      </c>
      <c r="X38" s="69">
        <f t="shared" si="5"/>
        <v>631.1</v>
      </c>
      <c r="Y38" s="69">
        <f t="shared" si="5"/>
        <v>661.1</v>
      </c>
      <c r="Z38" s="69">
        <f t="shared" si="5"/>
        <v>743.1</v>
      </c>
      <c r="AA38" s="69">
        <f t="shared" si="5"/>
        <v>813.1</v>
      </c>
      <c r="AB38" s="69">
        <f t="shared" si="5"/>
        <v>893.1</v>
      </c>
      <c r="AC38" s="69">
        <f t="shared" si="5"/>
        <v>923.1</v>
      </c>
      <c r="AD38" s="69">
        <f t="shared" si="5"/>
        <v>921.2</v>
      </c>
      <c r="AE38" s="69">
        <f t="shared" si="5"/>
        <v>861.2</v>
      </c>
      <c r="AF38" s="69">
        <f t="shared" si="5"/>
        <v>786</v>
      </c>
      <c r="AG38" s="63">
        <f>SUM(AG11:AG37)</f>
        <v>1492.8299999999997</v>
      </c>
      <c r="AH38" s="54">
        <f t="shared" si="2"/>
        <v>923.1</v>
      </c>
      <c r="AI38" s="55">
        <f t="shared" si="3"/>
        <v>627.1</v>
      </c>
      <c r="AK38" s="56"/>
    </row>
    <row r="39" spans="1:88" x14ac:dyDescent="0.25">
      <c r="A39" s="57" t="s">
        <v>47</v>
      </c>
      <c r="B39" s="51">
        <v>114.7</v>
      </c>
      <c r="C39" s="51">
        <v>114.4</v>
      </c>
      <c r="D39" s="51">
        <v>85.8</v>
      </c>
      <c r="E39" s="51">
        <v>76</v>
      </c>
      <c r="F39" s="51">
        <v>76</v>
      </c>
      <c r="G39" s="51">
        <v>81</v>
      </c>
      <c r="H39" s="51">
        <v>85</v>
      </c>
      <c r="I39" s="51">
        <v>86</v>
      </c>
      <c r="J39" s="51">
        <v>105</v>
      </c>
      <c r="K39" s="51">
        <v>120</v>
      </c>
      <c r="L39" s="51">
        <v>142</v>
      </c>
      <c r="M39" s="51">
        <v>126.5</v>
      </c>
      <c r="N39" s="51">
        <v>122</v>
      </c>
      <c r="O39" s="51">
        <v>131.4</v>
      </c>
      <c r="P39" s="51">
        <v>142.69999999999999</v>
      </c>
      <c r="Q39" s="51">
        <v>111</v>
      </c>
      <c r="R39" s="51">
        <v>111.5</v>
      </c>
      <c r="S39" s="51">
        <v>126.3</v>
      </c>
      <c r="T39" s="51">
        <v>111.3</v>
      </c>
      <c r="U39" s="51">
        <v>111.3</v>
      </c>
      <c r="V39" s="51">
        <v>101.5</v>
      </c>
      <c r="W39" s="51">
        <v>101.5</v>
      </c>
      <c r="X39" s="51">
        <v>101.5</v>
      </c>
      <c r="Y39" s="51">
        <v>103.7</v>
      </c>
      <c r="Z39" s="51">
        <v>115</v>
      </c>
      <c r="AA39" s="51">
        <v>130</v>
      </c>
      <c r="AB39" s="51">
        <v>145.6</v>
      </c>
      <c r="AC39" s="51">
        <v>145.6</v>
      </c>
      <c r="AD39" s="51">
        <v>145</v>
      </c>
      <c r="AE39" s="51">
        <v>145</v>
      </c>
      <c r="AF39" s="51">
        <v>145</v>
      </c>
      <c r="AG39" s="59">
        <v>144</v>
      </c>
      <c r="AH39" s="54">
        <f t="shared" si="2"/>
        <v>145.6</v>
      </c>
      <c r="AI39" s="55">
        <f t="shared" si="3"/>
        <v>76</v>
      </c>
      <c r="AK39" s="56"/>
    </row>
    <row r="40" spans="1:88" x14ac:dyDescent="0.25">
      <c r="A40" s="62" t="s">
        <v>48</v>
      </c>
      <c r="B40" s="70">
        <v>51.1</v>
      </c>
      <c r="C40" s="70">
        <v>50.7</v>
      </c>
      <c r="D40" s="70">
        <v>51.4</v>
      </c>
      <c r="E40" s="70">
        <v>56</v>
      </c>
      <c r="F40" s="70">
        <v>56</v>
      </c>
      <c r="G40" s="70">
        <v>51</v>
      </c>
      <c r="H40" s="70">
        <v>62</v>
      </c>
      <c r="I40" s="70">
        <v>54</v>
      </c>
      <c r="J40" s="70">
        <v>62</v>
      </c>
      <c r="K40" s="70">
        <v>62</v>
      </c>
      <c r="L40" s="70">
        <v>62</v>
      </c>
      <c r="M40" s="51">
        <v>59</v>
      </c>
      <c r="N40" s="51">
        <v>46</v>
      </c>
      <c r="O40" s="51">
        <v>45.6</v>
      </c>
      <c r="P40" s="51">
        <v>54</v>
      </c>
      <c r="Q40" s="51">
        <v>50</v>
      </c>
      <c r="R40" s="51">
        <v>46.3</v>
      </c>
      <c r="S40" s="70">
        <v>46.6</v>
      </c>
      <c r="T40" s="70">
        <v>55.8</v>
      </c>
      <c r="U40" s="70">
        <v>46.3</v>
      </c>
      <c r="V40" s="70">
        <v>44.1</v>
      </c>
      <c r="W40" s="70">
        <v>46.6</v>
      </c>
      <c r="X40" s="70">
        <v>44.3</v>
      </c>
      <c r="Y40" s="70">
        <v>46.6</v>
      </c>
      <c r="Z40" s="70">
        <v>57.6</v>
      </c>
      <c r="AA40" s="70">
        <v>60</v>
      </c>
      <c r="AB40" s="70">
        <v>60.1</v>
      </c>
      <c r="AC40" s="70">
        <v>61</v>
      </c>
      <c r="AD40" s="70">
        <v>61</v>
      </c>
      <c r="AE40" s="70">
        <v>61</v>
      </c>
      <c r="AF40" s="70">
        <v>61</v>
      </c>
      <c r="AG40" s="63">
        <v>70</v>
      </c>
      <c r="AH40" s="54">
        <f t="shared" si="2"/>
        <v>62</v>
      </c>
      <c r="AI40" s="55">
        <f t="shared" si="3"/>
        <v>44.1</v>
      </c>
      <c r="AK40" s="56"/>
    </row>
    <row r="41" spans="1:88" x14ac:dyDescent="0.25">
      <c r="A41" s="62" t="s">
        <v>49</v>
      </c>
      <c r="B41" s="70">
        <v>67.2</v>
      </c>
      <c r="C41" s="70">
        <v>67.099999999999994</v>
      </c>
      <c r="D41" s="70">
        <v>67.400000000000006</v>
      </c>
      <c r="E41" s="70">
        <v>60</v>
      </c>
      <c r="F41" s="70">
        <v>60</v>
      </c>
      <c r="G41" s="70">
        <v>61</v>
      </c>
      <c r="H41" s="70">
        <v>61</v>
      </c>
      <c r="I41" s="70">
        <v>61</v>
      </c>
      <c r="J41" s="70">
        <v>61</v>
      </c>
      <c r="K41" s="70">
        <v>61</v>
      </c>
      <c r="L41" s="70">
        <v>67</v>
      </c>
      <c r="M41" s="51">
        <v>66.7</v>
      </c>
      <c r="N41" s="51">
        <v>50</v>
      </c>
      <c r="O41" s="51">
        <v>55.3</v>
      </c>
      <c r="P41" s="51">
        <v>57.3</v>
      </c>
      <c r="Q41" s="51">
        <v>51.1</v>
      </c>
      <c r="R41" s="51">
        <v>45.3</v>
      </c>
      <c r="S41" s="70">
        <v>45.4</v>
      </c>
      <c r="T41" s="70">
        <v>45.4</v>
      </c>
      <c r="U41" s="70">
        <v>45.4</v>
      </c>
      <c r="V41" s="70">
        <v>45.4</v>
      </c>
      <c r="W41" s="70">
        <v>45.4</v>
      </c>
      <c r="X41" s="70">
        <v>35.9</v>
      </c>
      <c r="Y41" s="70">
        <v>35.9</v>
      </c>
      <c r="Z41" s="70">
        <v>35.9</v>
      </c>
      <c r="AA41" s="70">
        <v>54.6</v>
      </c>
      <c r="AB41" s="70">
        <v>62.4</v>
      </c>
      <c r="AC41" s="70">
        <v>62.2</v>
      </c>
      <c r="AD41" s="70">
        <v>62</v>
      </c>
      <c r="AE41" s="70">
        <v>62</v>
      </c>
      <c r="AF41" s="70">
        <v>68</v>
      </c>
      <c r="AG41" s="63">
        <v>69</v>
      </c>
      <c r="AH41" s="54">
        <f t="shared" si="2"/>
        <v>68</v>
      </c>
      <c r="AI41" s="55">
        <f t="shared" si="3"/>
        <v>35.9</v>
      </c>
      <c r="AK41" s="56"/>
    </row>
    <row r="42" spans="1:88" x14ac:dyDescent="0.25">
      <c r="A42" s="62" t="s">
        <v>50</v>
      </c>
      <c r="B42" s="65">
        <v>60.9</v>
      </c>
      <c r="C42" s="65">
        <v>60.5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51">
        <v>60.9</v>
      </c>
      <c r="N42" s="51">
        <v>60.9</v>
      </c>
      <c r="O42" s="51">
        <v>60.9</v>
      </c>
      <c r="P42" s="51">
        <v>60.9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51">
        <v>60.9</v>
      </c>
      <c r="W42" s="51">
        <v>60.9</v>
      </c>
      <c r="X42" s="51">
        <v>60.9</v>
      </c>
      <c r="Y42" s="51">
        <v>60.9</v>
      </c>
      <c r="Z42" s="51">
        <v>60.9</v>
      </c>
      <c r="AA42" s="70">
        <v>60.9</v>
      </c>
      <c r="AB42" s="65">
        <v>60.9</v>
      </c>
      <c r="AC42" s="65">
        <v>60.9</v>
      </c>
      <c r="AD42" s="65">
        <v>60.7</v>
      </c>
      <c r="AE42" s="65">
        <v>60.7</v>
      </c>
      <c r="AF42" s="65">
        <v>60.7</v>
      </c>
      <c r="AG42" s="63">
        <v>60</v>
      </c>
      <c r="AH42" s="54">
        <f t="shared" si="2"/>
        <v>60.9</v>
      </c>
      <c r="AI42" s="55">
        <f t="shared" si="3"/>
        <v>60.5</v>
      </c>
      <c r="AK42" s="56"/>
    </row>
    <row r="43" spans="1:88" x14ac:dyDescent="0.25">
      <c r="A43" s="62" t="s">
        <v>51</v>
      </c>
      <c r="B43" s="65">
        <v>9.6999999999999993</v>
      </c>
      <c r="C43" s="65">
        <v>10</v>
      </c>
      <c r="D43" s="65">
        <v>10</v>
      </c>
      <c r="E43" s="65">
        <v>10</v>
      </c>
      <c r="F43" s="65">
        <v>10</v>
      </c>
      <c r="G43" s="65">
        <v>10</v>
      </c>
      <c r="H43" s="65">
        <v>10</v>
      </c>
      <c r="I43" s="65">
        <v>10</v>
      </c>
      <c r="J43" s="65">
        <v>13</v>
      </c>
      <c r="K43" s="65">
        <v>13</v>
      </c>
      <c r="L43" s="65">
        <v>13</v>
      </c>
      <c r="M43" s="51">
        <v>20</v>
      </c>
      <c r="N43" s="51">
        <v>20</v>
      </c>
      <c r="O43" s="51">
        <v>20</v>
      </c>
      <c r="P43" s="51">
        <v>20</v>
      </c>
      <c r="Q43" s="51">
        <v>15</v>
      </c>
      <c r="R43" s="51">
        <v>15</v>
      </c>
      <c r="S43" s="51">
        <v>15</v>
      </c>
      <c r="T43" s="51">
        <v>10</v>
      </c>
      <c r="U43" s="51">
        <v>10</v>
      </c>
      <c r="V43" s="51">
        <v>13.2</v>
      </c>
      <c r="W43" s="51">
        <v>13.2</v>
      </c>
      <c r="X43" s="51">
        <v>13.2</v>
      </c>
      <c r="Y43" s="51">
        <v>15.1</v>
      </c>
      <c r="Z43" s="51">
        <v>15.1</v>
      </c>
      <c r="AA43" s="70">
        <v>30</v>
      </c>
      <c r="AB43" s="70">
        <v>30</v>
      </c>
      <c r="AC43" s="70">
        <v>30</v>
      </c>
      <c r="AD43" s="70">
        <v>30</v>
      </c>
      <c r="AE43" s="70">
        <v>30</v>
      </c>
      <c r="AF43" s="70">
        <v>20</v>
      </c>
      <c r="AG43" s="63">
        <v>30</v>
      </c>
      <c r="AH43" s="54">
        <f t="shared" si="2"/>
        <v>30</v>
      </c>
      <c r="AI43" s="55">
        <f t="shared" si="3"/>
        <v>9.6999999999999993</v>
      </c>
      <c r="AK43" s="56"/>
    </row>
    <row r="44" spans="1:88" x14ac:dyDescent="0.25">
      <c r="A44" s="62" t="s">
        <v>52</v>
      </c>
      <c r="B44" s="51">
        <v>0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51">
        <v>17.5</v>
      </c>
      <c r="C45" s="51">
        <v>16</v>
      </c>
      <c r="D45" s="51">
        <v>16</v>
      </c>
      <c r="E45" s="51">
        <v>16</v>
      </c>
      <c r="F45" s="51">
        <v>16</v>
      </c>
      <c r="G45" s="51">
        <v>16</v>
      </c>
      <c r="H45" s="51">
        <v>16</v>
      </c>
      <c r="I45" s="51">
        <v>16</v>
      </c>
      <c r="J45" s="51">
        <v>16</v>
      </c>
      <c r="K45" s="51">
        <v>16</v>
      </c>
      <c r="L45" s="51">
        <v>16</v>
      </c>
      <c r="M45" s="51">
        <v>16</v>
      </c>
      <c r="N45" s="51">
        <v>16</v>
      </c>
      <c r="O45" s="51">
        <v>16</v>
      </c>
      <c r="P45" s="51">
        <v>16</v>
      </c>
      <c r="Q45" s="51">
        <v>16</v>
      </c>
      <c r="R45" s="51">
        <v>16</v>
      </c>
      <c r="S45" s="51">
        <v>16</v>
      </c>
      <c r="T45" s="51">
        <v>16</v>
      </c>
      <c r="U45" s="51">
        <v>16</v>
      </c>
      <c r="V45" s="51">
        <v>16</v>
      </c>
      <c r="W45" s="51">
        <v>16</v>
      </c>
      <c r="X45" s="51">
        <v>16</v>
      </c>
      <c r="Y45" s="51">
        <v>16</v>
      </c>
      <c r="Z45" s="51">
        <v>16</v>
      </c>
      <c r="AA45" s="51">
        <v>16</v>
      </c>
      <c r="AB45" s="51">
        <v>16</v>
      </c>
      <c r="AC45" s="51">
        <v>16</v>
      </c>
      <c r="AD45" s="51">
        <v>16</v>
      </c>
      <c r="AE45" s="51">
        <v>16</v>
      </c>
      <c r="AF45" s="51">
        <v>16</v>
      </c>
      <c r="AG45" s="63">
        <v>24</v>
      </c>
      <c r="AH45" s="54">
        <f t="shared" si="2"/>
        <v>17.5</v>
      </c>
      <c r="AI45" s="55">
        <f t="shared" si="3"/>
        <v>16</v>
      </c>
      <c r="AK45" s="56"/>
    </row>
    <row r="46" spans="1:88" x14ac:dyDescent="0.25">
      <c r="A46" s="62" t="s">
        <v>54</v>
      </c>
      <c r="B46" s="51">
        <v>0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51">
        <v>9.5</v>
      </c>
      <c r="C47" s="51">
        <v>9.6</v>
      </c>
      <c r="D47" s="51">
        <v>9.6</v>
      </c>
      <c r="E47" s="51">
        <v>9.6</v>
      </c>
      <c r="F47" s="51">
        <v>9.6</v>
      </c>
      <c r="G47" s="51">
        <v>9.6</v>
      </c>
      <c r="H47" s="51">
        <v>9.6</v>
      </c>
      <c r="I47" s="51">
        <v>9.6</v>
      </c>
      <c r="J47" s="51">
        <v>9.6</v>
      </c>
      <c r="K47" s="51">
        <v>9.6</v>
      </c>
      <c r="L47" s="51">
        <v>9.6</v>
      </c>
      <c r="M47" s="51">
        <v>9.6</v>
      </c>
      <c r="N47" s="51">
        <v>9.6</v>
      </c>
      <c r="O47" s="51">
        <v>9.6</v>
      </c>
      <c r="P47" s="51">
        <v>9.6</v>
      </c>
      <c r="Q47" s="51">
        <v>9.6</v>
      </c>
      <c r="R47" s="51">
        <v>9.6</v>
      </c>
      <c r="S47" s="51">
        <v>9.6</v>
      </c>
      <c r="T47" s="51">
        <v>9.6</v>
      </c>
      <c r="U47" s="51">
        <v>9.6</v>
      </c>
      <c r="V47" s="51">
        <v>9.6</v>
      </c>
      <c r="W47" s="51">
        <v>9.6</v>
      </c>
      <c r="X47" s="51">
        <v>9.6</v>
      </c>
      <c r="Y47" s="51">
        <v>9.6</v>
      </c>
      <c r="Z47" s="51">
        <v>9.6</v>
      </c>
      <c r="AA47" s="51">
        <v>9.6</v>
      </c>
      <c r="AB47" s="51">
        <v>9.6</v>
      </c>
      <c r="AC47" s="51">
        <v>9.6</v>
      </c>
      <c r="AD47" s="51">
        <v>9.6</v>
      </c>
      <c r="AE47" s="51">
        <v>9.6</v>
      </c>
      <c r="AF47" s="51">
        <v>9.6</v>
      </c>
      <c r="AG47" s="63">
        <v>14.1</v>
      </c>
      <c r="AH47" s="54">
        <f t="shared" si="2"/>
        <v>9.6</v>
      </c>
      <c r="AI47" s="55">
        <f t="shared" si="3"/>
        <v>9.5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51">
        <v>9.6</v>
      </c>
      <c r="C48" s="51">
        <v>10.1</v>
      </c>
      <c r="D48" s="51">
        <v>10.1</v>
      </c>
      <c r="E48" s="51">
        <v>10.1</v>
      </c>
      <c r="F48" s="51">
        <v>10.1</v>
      </c>
      <c r="G48" s="51">
        <v>8.9</v>
      </c>
      <c r="H48" s="51">
        <v>8.9</v>
      </c>
      <c r="I48" s="51">
        <v>8.9</v>
      </c>
      <c r="J48" s="51">
        <v>8.9</v>
      </c>
      <c r="K48" s="51">
        <v>8.9</v>
      </c>
      <c r="L48" s="51">
        <v>8.9</v>
      </c>
      <c r="M48" s="51">
        <v>8.9</v>
      </c>
      <c r="N48" s="51">
        <v>8.9</v>
      </c>
      <c r="O48" s="51">
        <v>8.9</v>
      </c>
      <c r="P48" s="51">
        <v>8.9</v>
      </c>
      <c r="Q48" s="51">
        <v>8.9</v>
      </c>
      <c r="R48" s="51">
        <v>8.9</v>
      </c>
      <c r="S48" s="51">
        <v>8.9</v>
      </c>
      <c r="T48" s="51">
        <v>8.9</v>
      </c>
      <c r="U48" s="51">
        <v>8.9</v>
      </c>
      <c r="V48" s="51">
        <v>8.9</v>
      </c>
      <c r="W48" s="51">
        <v>8.9</v>
      </c>
      <c r="X48" s="51">
        <v>8.9</v>
      </c>
      <c r="Y48" s="51">
        <v>8.9</v>
      </c>
      <c r="Z48" s="51">
        <v>8.9</v>
      </c>
      <c r="AA48" s="51">
        <v>8.9</v>
      </c>
      <c r="AB48" s="51">
        <v>8.9</v>
      </c>
      <c r="AC48" s="51">
        <v>8.9</v>
      </c>
      <c r="AD48" s="51">
        <v>8.9</v>
      </c>
      <c r="AE48" s="51">
        <v>8.9</v>
      </c>
      <c r="AF48" s="51">
        <v>8.9</v>
      </c>
      <c r="AG48" s="63">
        <v>14</v>
      </c>
      <c r="AH48" s="54">
        <f t="shared" si="2"/>
        <v>10.1</v>
      </c>
      <c r="AI48" s="55">
        <f t="shared" si="3"/>
        <v>8.9</v>
      </c>
      <c r="AK48" s="56"/>
    </row>
    <row r="49" spans="1:37" x14ac:dyDescent="0.25">
      <c r="A49" s="62" t="s">
        <v>57</v>
      </c>
      <c r="B49" s="51">
        <v>8.5</v>
      </c>
      <c r="C49" s="51">
        <v>8.5</v>
      </c>
      <c r="D49" s="51">
        <v>8.5</v>
      </c>
      <c r="E49" s="51">
        <v>8.5</v>
      </c>
      <c r="F49" s="51">
        <v>8.5</v>
      </c>
      <c r="G49" s="51">
        <v>8.5</v>
      </c>
      <c r="H49" s="51">
        <v>8.5</v>
      </c>
      <c r="I49" s="51">
        <v>8.5</v>
      </c>
      <c r="J49" s="51">
        <v>8.5</v>
      </c>
      <c r="K49" s="51">
        <v>8.5</v>
      </c>
      <c r="L49" s="51">
        <v>8.5</v>
      </c>
      <c r="M49" s="51">
        <v>8.5</v>
      </c>
      <c r="N49" s="51">
        <v>8.5</v>
      </c>
      <c r="O49" s="51">
        <v>8.5</v>
      </c>
      <c r="P49" s="51">
        <v>8.5</v>
      </c>
      <c r="Q49" s="51">
        <v>8.5</v>
      </c>
      <c r="R49" s="51">
        <v>8.5</v>
      </c>
      <c r="S49" s="51">
        <v>8.5</v>
      </c>
      <c r="T49" s="51">
        <v>8.5</v>
      </c>
      <c r="U49" s="51">
        <v>8.5</v>
      </c>
      <c r="V49" s="51">
        <v>8.5</v>
      </c>
      <c r="W49" s="51">
        <v>8.5</v>
      </c>
      <c r="X49" s="51">
        <v>8.5</v>
      </c>
      <c r="Y49" s="51">
        <v>8.5</v>
      </c>
      <c r="Z49" s="51">
        <v>8.5</v>
      </c>
      <c r="AA49" s="51">
        <v>8.5</v>
      </c>
      <c r="AB49" s="51">
        <v>8.5</v>
      </c>
      <c r="AC49" s="51">
        <v>8.5</v>
      </c>
      <c r="AD49" s="51">
        <v>8.5</v>
      </c>
      <c r="AE49" s="51">
        <v>8.5</v>
      </c>
      <c r="AF49" s="51">
        <v>8.5</v>
      </c>
      <c r="AG49" s="63">
        <v>10.050000000000001</v>
      </c>
      <c r="AH49" s="54">
        <f t="shared" si="2"/>
        <v>8.5</v>
      </c>
      <c r="AI49" s="55">
        <f t="shared" si="3"/>
        <v>8.5</v>
      </c>
      <c r="AK49" s="56"/>
    </row>
    <row r="50" spans="1:37" x14ac:dyDescent="0.25">
      <c r="A50" s="62" t="s">
        <v>58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0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63">
        <v>6.2</v>
      </c>
      <c r="AH50" s="54">
        <f t="shared" si="2"/>
        <v>0</v>
      </c>
      <c r="AI50" s="55">
        <f t="shared" si="3"/>
        <v>0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7">SUM(B39:B51)</f>
        <v>352.24</v>
      </c>
      <c r="C52" s="69">
        <f t="shared" ref="C52:AF52" si="8">SUM(C39:C51)</f>
        <v>350.44000000000011</v>
      </c>
      <c r="D52" s="69">
        <f t="shared" si="8"/>
        <v>323.24000000000007</v>
      </c>
      <c r="E52" s="69">
        <f t="shared" si="8"/>
        <v>310.64000000000004</v>
      </c>
      <c r="F52" s="69">
        <f t="shared" si="8"/>
        <v>310.64000000000004</v>
      </c>
      <c r="G52" s="69">
        <f t="shared" si="8"/>
        <v>310.44</v>
      </c>
      <c r="H52" s="69">
        <f t="shared" si="8"/>
        <v>325.44</v>
      </c>
      <c r="I52" s="69">
        <f t="shared" si="8"/>
        <v>318.44</v>
      </c>
      <c r="J52" s="69">
        <f t="shared" si="8"/>
        <v>348.44</v>
      </c>
      <c r="K52" s="69">
        <f t="shared" si="8"/>
        <v>363.44</v>
      </c>
      <c r="L52" s="69">
        <f t="shared" si="8"/>
        <v>391.44</v>
      </c>
      <c r="M52" s="69">
        <f t="shared" si="8"/>
        <v>379.64</v>
      </c>
      <c r="N52" s="69">
        <f t="shared" si="8"/>
        <v>345.44</v>
      </c>
      <c r="O52" s="69">
        <f t="shared" si="8"/>
        <v>359.74</v>
      </c>
      <c r="P52" s="69">
        <f t="shared" si="8"/>
        <v>381.44</v>
      </c>
      <c r="Q52" s="69">
        <f t="shared" si="8"/>
        <v>334.54</v>
      </c>
      <c r="R52" s="69">
        <f t="shared" si="8"/>
        <v>325.54000000000002</v>
      </c>
      <c r="S52" s="69">
        <f t="shared" si="8"/>
        <v>348.74</v>
      </c>
      <c r="T52" s="69">
        <f t="shared" si="8"/>
        <v>337.94</v>
      </c>
      <c r="U52" s="69">
        <f t="shared" si="8"/>
        <v>328.44</v>
      </c>
      <c r="V52" s="69">
        <f t="shared" si="8"/>
        <v>319.64000000000004</v>
      </c>
      <c r="W52" s="69">
        <f t="shared" si="8"/>
        <v>322.14000000000004</v>
      </c>
      <c r="X52" s="69">
        <f>SUM(X39:X51)</f>
        <v>310.34000000000003</v>
      </c>
      <c r="Y52" s="69">
        <f t="shared" si="8"/>
        <v>316.74000000000007</v>
      </c>
      <c r="Z52" s="69">
        <f t="shared" si="8"/>
        <v>331.04</v>
      </c>
      <c r="AA52" s="69">
        <f t="shared" si="8"/>
        <v>382.04</v>
      </c>
      <c r="AB52" s="69">
        <f t="shared" si="8"/>
        <v>405.53999999999996</v>
      </c>
      <c r="AC52" s="69">
        <f t="shared" si="8"/>
        <v>406.24</v>
      </c>
      <c r="AD52" s="69">
        <f t="shared" si="8"/>
        <v>405.24</v>
      </c>
      <c r="AE52" s="69">
        <f t="shared" si="8"/>
        <v>405.24</v>
      </c>
      <c r="AF52" s="69">
        <f t="shared" si="8"/>
        <v>401.24</v>
      </c>
      <c r="AG52" s="74">
        <f>SUM(AG39:AG51)</f>
        <v>489.91</v>
      </c>
      <c r="AH52" s="54">
        <f t="shared" si="2"/>
        <v>406.24</v>
      </c>
      <c r="AI52" s="55">
        <f t="shared" si="3"/>
        <v>310.34000000000003</v>
      </c>
      <c r="AK52" s="56"/>
    </row>
    <row r="53" spans="1:37" x14ac:dyDescent="0.25">
      <c r="A53" s="57" t="s">
        <v>61</v>
      </c>
      <c r="B53" s="51">
        <v>59.1</v>
      </c>
      <c r="C53" s="51">
        <v>59.2</v>
      </c>
      <c r="D53" s="51">
        <v>59.6</v>
      </c>
      <c r="E53" s="51">
        <v>58.9</v>
      </c>
      <c r="F53" s="51">
        <v>58.9</v>
      </c>
      <c r="G53" s="51">
        <v>59</v>
      </c>
      <c r="H53" s="51">
        <v>59</v>
      </c>
      <c r="I53" s="51">
        <v>59</v>
      </c>
      <c r="J53" s="51">
        <v>59</v>
      </c>
      <c r="K53" s="51">
        <v>59</v>
      </c>
      <c r="L53" s="51">
        <v>59</v>
      </c>
      <c r="M53" s="51">
        <v>59.4</v>
      </c>
      <c r="N53" s="51">
        <v>55</v>
      </c>
      <c r="O53" s="51">
        <v>59.3</v>
      </c>
      <c r="P53" s="51">
        <v>30</v>
      </c>
      <c r="Q53" s="51">
        <v>50.5</v>
      </c>
      <c r="R53" s="51">
        <v>59.4</v>
      </c>
      <c r="S53" s="51">
        <v>59.4</v>
      </c>
      <c r="T53" s="51">
        <v>59.4</v>
      </c>
      <c r="U53" s="51">
        <v>59.4</v>
      </c>
      <c r="V53" s="51">
        <v>34</v>
      </c>
      <c r="W53" s="51">
        <v>39.4</v>
      </c>
      <c r="X53" s="51">
        <v>33.6</v>
      </c>
      <c r="Y53" s="51">
        <v>29.5</v>
      </c>
      <c r="Z53" s="51">
        <v>35</v>
      </c>
      <c r="AA53" s="51">
        <v>39</v>
      </c>
      <c r="AB53" s="51">
        <v>19.8</v>
      </c>
      <c r="AC53" s="51">
        <v>10</v>
      </c>
      <c r="AD53" s="51">
        <v>10</v>
      </c>
      <c r="AE53" s="51">
        <v>0</v>
      </c>
      <c r="AF53" s="51">
        <v>0</v>
      </c>
      <c r="AG53" s="59">
        <v>60</v>
      </c>
      <c r="AH53" s="54">
        <f t="shared" si="2"/>
        <v>59.6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30.6</v>
      </c>
      <c r="C54" s="70">
        <v>30.5</v>
      </c>
      <c r="D54" s="70">
        <v>30.5</v>
      </c>
      <c r="E54" s="70">
        <v>30.5</v>
      </c>
      <c r="F54" s="70">
        <v>30.5</v>
      </c>
      <c r="G54" s="70">
        <v>30.6</v>
      </c>
      <c r="H54" s="70">
        <v>30.6</v>
      </c>
      <c r="I54" s="70">
        <v>30.6</v>
      </c>
      <c r="J54" s="70">
        <v>30.6</v>
      </c>
      <c r="K54" s="70">
        <v>30.6</v>
      </c>
      <c r="L54" s="70">
        <v>30.6</v>
      </c>
      <c r="M54" s="70">
        <v>30.5</v>
      </c>
      <c r="N54" s="70">
        <v>26</v>
      </c>
      <c r="O54" s="70">
        <v>31.3</v>
      </c>
      <c r="P54" s="70">
        <v>15.4</v>
      </c>
      <c r="Q54" s="70">
        <v>25.6</v>
      </c>
      <c r="R54" s="70">
        <v>30.2</v>
      </c>
      <c r="S54" s="70">
        <v>30.2</v>
      </c>
      <c r="T54" s="70">
        <v>30.2</v>
      </c>
      <c r="U54" s="70">
        <v>30.2</v>
      </c>
      <c r="V54" s="70">
        <v>26.4</v>
      </c>
      <c r="W54" s="70">
        <v>19.399999999999999</v>
      </c>
      <c r="X54" s="70">
        <v>15.1</v>
      </c>
      <c r="Y54" s="70">
        <v>16</v>
      </c>
      <c r="Z54" s="70">
        <v>16</v>
      </c>
      <c r="AA54" s="70">
        <v>18.100000000000001</v>
      </c>
      <c r="AB54" s="70">
        <v>11.9</v>
      </c>
      <c r="AC54" s="70">
        <v>4.4000000000000004</v>
      </c>
      <c r="AD54" s="70">
        <v>4.4000000000000004</v>
      </c>
      <c r="AE54" s="70">
        <v>0</v>
      </c>
      <c r="AF54" s="70">
        <v>0</v>
      </c>
      <c r="AG54" s="63">
        <v>32</v>
      </c>
      <c r="AH54" s="54">
        <f t="shared" si="2"/>
        <v>31.3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11.2</v>
      </c>
      <c r="C55" s="75">
        <v>11.1</v>
      </c>
      <c r="D55" s="75">
        <v>11.2</v>
      </c>
      <c r="E55" s="75">
        <v>11.1</v>
      </c>
      <c r="F55" s="75">
        <v>11.1</v>
      </c>
      <c r="G55" s="75">
        <v>11.2</v>
      </c>
      <c r="H55" s="75">
        <v>11.2</v>
      </c>
      <c r="I55" s="75">
        <v>11.2</v>
      </c>
      <c r="J55" s="75">
        <v>11.2</v>
      </c>
      <c r="K55" s="75">
        <v>11.2</v>
      </c>
      <c r="L55" s="75">
        <v>11.2</v>
      </c>
      <c r="M55" s="75">
        <v>11</v>
      </c>
      <c r="N55" s="75">
        <v>10</v>
      </c>
      <c r="O55" s="75">
        <v>11.4</v>
      </c>
      <c r="P55" s="75">
        <v>5.6</v>
      </c>
      <c r="Q55" s="75">
        <v>9.3000000000000007</v>
      </c>
      <c r="R55" s="75">
        <v>11</v>
      </c>
      <c r="S55" s="75">
        <v>11</v>
      </c>
      <c r="T55" s="75">
        <v>11</v>
      </c>
      <c r="U55" s="75">
        <v>11</v>
      </c>
      <c r="V55" s="75">
        <v>9.6</v>
      </c>
      <c r="W55" s="75">
        <v>7.1</v>
      </c>
      <c r="X55" s="75">
        <v>5.5</v>
      </c>
      <c r="Y55" s="75">
        <v>5.8</v>
      </c>
      <c r="Z55" s="75">
        <v>5.9</v>
      </c>
      <c r="AA55" s="75">
        <v>6.6</v>
      </c>
      <c r="AB55" s="75">
        <v>4.3</v>
      </c>
      <c r="AC55" s="75">
        <v>1.6</v>
      </c>
      <c r="AD55" s="75">
        <v>1.6</v>
      </c>
      <c r="AE55" s="75">
        <v>0</v>
      </c>
      <c r="AF55" s="75">
        <v>0</v>
      </c>
      <c r="AG55" s="76">
        <v>14</v>
      </c>
      <c r="AH55" s="54">
        <f t="shared" si="2"/>
        <v>11.4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9">SUM(B53:B55)</f>
        <v>100.9</v>
      </c>
      <c r="C56" s="69">
        <f t="shared" ref="C56:AF56" si="10">SUM(C53:C55)</f>
        <v>100.8</v>
      </c>
      <c r="D56" s="69">
        <f t="shared" si="10"/>
        <v>101.3</v>
      </c>
      <c r="E56" s="69">
        <f t="shared" si="10"/>
        <v>100.5</v>
      </c>
      <c r="F56" s="69">
        <f t="shared" si="10"/>
        <v>100.5</v>
      </c>
      <c r="G56" s="69">
        <f t="shared" si="10"/>
        <v>100.8</v>
      </c>
      <c r="H56" s="69">
        <f t="shared" si="10"/>
        <v>100.8</v>
      </c>
      <c r="I56" s="69">
        <f t="shared" si="10"/>
        <v>100.8</v>
      </c>
      <c r="J56" s="69">
        <f t="shared" si="10"/>
        <v>100.8</v>
      </c>
      <c r="K56" s="69">
        <f t="shared" si="10"/>
        <v>100.8</v>
      </c>
      <c r="L56" s="69">
        <f t="shared" si="10"/>
        <v>100.8</v>
      </c>
      <c r="M56" s="69">
        <f t="shared" si="10"/>
        <v>100.9</v>
      </c>
      <c r="N56" s="69">
        <f t="shared" si="10"/>
        <v>91</v>
      </c>
      <c r="O56" s="69">
        <f t="shared" si="10"/>
        <v>102</v>
      </c>
      <c r="P56" s="69">
        <f t="shared" si="10"/>
        <v>51</v>
      </c>
      <c r="Q56" s="69">
        <f t="shared" si="10"/>
        <v>85.399999999999991</v>
      </c>
      <c r="R56" s="69">
        <f t="shared" si="10"/>
        <v>100.6</v>
      </c>
      <c r="S56" s="69">
        <f t="shared" si="10"/>
        <v>100.6</v>
      </c>
      <c r="T56" s="69">
        <f t="shared" si="10"/>
        <v>100.6</v>
      </c>
      <c r="U56" s="69">
        <f t="shared" si="10"/>
        <v>100.6</v>
      </c>
      <c r="V56" s="69">
        <f t="shared" si="10"/>
        <v>70</v>
      </c>
      <c r="W56" s="69">
        <f t="shared" si="10"/>
        <v>65.899999999999991</v>
      </c>
      <c r="X56" s="69">
        <f t="shared" si="10"/>
        <v>54.2</v>
      </c>
      <c r="Y56" s="69">
        <f t="shared" si="10"/>
        <v>51.3</v>
      </c>
      <c r="Z56" s="69">
        <f t="shared" si="10"/>
        <v>56.9</v>
      </c>
      <c r="AA56" s="69">
        <f t="shared" si="10"/>
        <v>63.7</v>
      </c>
      <c r="AB56" s="69">
        <f t="shared" si="10"/>
        <v>36</v>
      </c>
      <c r="AC56" s="69">
        <f t="shared" si="10"/>
        <v>16</v>
      </c>
      <c r="AD56" s="69">
        <f t="shared" si="10"/>
        <v>16</v>
      </c>
      <c r="AE56" s="69">
        <f t="shared" si="10"/>
        <v>0</v>
      </c>
      <c r="AF56" s="69">
        <f t="shared" si="10"/>
        <v>0</v>
      </c>
      <c r="AG56" s="74">
        <f>SUM(AG53:AG55)</f>
        <v>106</v>
      </c>
      <c r="AH56" s="54">
        <f t="shared" si="2"/>
        <v>102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59.6</v>
      </c>
      <c r="C57" s="51">
        <v>58.6</v>
      </c>
      <c r="D57" s="51">
        <v>55.4</v>
      </c>
      <c r="E57" s="51">
        <v>53</v>
      </c>
      <c r="F57" s="51">
        <v>50</v>
      </c>
      <c r="G57" s="51">
        <v>36</v>
      </c>
      <c r="H57" s="51">
        <v>45</v>
      </c>
      <c r="I57" s="51">
        <v>45</v>
      </c>
      <c r="J57" s="51">
        <v>42.3</v>
      </c>
      <c r="K57" s="51">
        <v>44</v>
      </c>
      <c r="L57" s="51">
        <v>54</v>
      </c>
      <c r="M57" s="51">
        <v>53</v>
      </c>
      <c r="N57" s="51">
        <v>54</v>
      </c>
      <c r="O57" s="51">
        <v>72.099999999999994</v>
      </c>
      <c r="P57" s="51">
        <v>72.099999999999994</v>
      </c>
      <c r="Q57" s="51">
        <v>74</v>
      </c>
      <c r="R57" s="51">
        <v>80.599999999999994</v>
      </c>
      <c r="S57" s="51">
        <v>0</v>
      </c>
      <c r="T57" s="51">
        <v>74.099999999999994</v>
      </c>
      <c r="U57" s="51">
        <v>74.099999999999994</v>
      </c>
      <c r="V57" s="51">
        <v>69.400000000000006</v>
      </c>
      <c r="W57" s="51">
        <v>69.400000000000006</v>
      </c>
      <c r="X57" s="51">
        <v>64.8</v>
      </c>
      <c r="Y57" s="51">
        <v>57.8</v>
      </c>
      <c r="Z57" s="51">
        <v>61</v>
      </c>
      <c r="AA57" s="51">
        <v>51</v>
      </c>
      <c r="AB57" s="51">
        <v>59.2</v>
      </c>
      <c r="AC57" s="51">
        <v>63</v>
      </c>
      <c r="AD57" s="51">
        <v>60</v>
      </c>
      <c r="AE57" s="51">
        <v>55</v>
      </c>
      <c r="AF57" s="51">
        <v>60</v>
      </c>
      <c r="AG57" s="59"/>
      <c r="AH57" s="54">
        <f t="shared" si="2"/>
        <v>80.599999999999994</v>
      </c>
      <c r="AI57" s="55">
        <f t="shared" si="3"/>
        <v>0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25.6</v>
      </c>
      <c r="C59" s="70">
        <v>51.5</v>
      </c>
      <c r="D59" s="70">
        <v>38.200000000000003</v>
      </c>
      <c r="E59" s="70">
        <v>52</v>
      </c>
      <c r="F59" s="70">
        <v>52</v>
      </c>
      <c r="G59" s="70">
        <v>51</v>
      </c>
      <c r="H59" s="70">
        <v>38</v>
      </c>
      <c r="I59" s="70">
        <v>67</v>
      </c>
      <c r="J59" s="70">
        <v>94</v>
      </c>
      <c r="K59" s="70">
        <v>140</v>
      </c>
      <c r="L59" s="70">
        <v>146</v>
      </c>
      <c r="M59" s="70">
        <v>121</v>
      </c>
      <c r="N59" s="70">
        <v>195</v>
      </c>
      <c r="O59" s="70">
        <v>182</v>
      </c>
      <c r="P59" s="70">
        <v>186</v>
      </c>
      <c r="Q59" s="70">
        <v>195</v>
      </c>
      <c r="R59" s="70">
        <v>180</v>
      </c>
      <c r="S59" s="70">
        <v>197.3</v>
      </c>
      <c r="T59" s="70">
        <v>184.3</v>
      </c>
      <c r="U59" s="70">
        <v>170</v>
      </c>
      <c r="V59" s="70">
        <v>152</v>
      </c>
      <c r="W59" s="70">
        <v>124.2</v>
      </c>
      <c r="X59" s="70">
        <v>149.69999999999999</v>
      </c>
      <c r="Y59" s="70">
        <v>157.30000000000001</v>
      </c>
      <c r="Z59" s="70">
        <v>135.1</v>
      </c>
      <c r="AA59" s="70">
        <v>100</v>
      </c>
      <c r="AB59" s="70">
        <v>0</v>
      </c>
      <c r="AC59" s="70">
        <v>5.5</v>
      </c>
      <c r="AD59" s="70">
        <v>6</v>
      </c>
      <c r="AE59" s="70">
        <v>4</v>
      </c>
      <c r="AF59" s="70">
        <v>0</v>
      </c>
      <c r="AG59" s="77"/>
      <c r="AH59" s="54">
        <f t="shared" si="2"/>
        <v>197.3</v>
      </c>
      <c r="AI59" s="55">
        <f t="shared" si="3"/>
        <v>0</v>
      </c>
      <c r="AK59" s="56"/>
    </row>
    <row r="60" spans="1:37" x14ac:dyDescent="0.25">
      <c r="A60" s="62" t="s">
        <v>68</v>
      </c>
      <c r="B60" s="78">
        <v>25.4</v>
      </c>
      <c r="C60" s="78">
        <v>25.7</v>
      </c>
      <c r="D60" s="78">
        <v>25.4</v>
      </c>
      <c r="E60" s="78">
        <v>24</v>
      </c>
      <c r="F60" s="78">
        <v>23</v>
      </c>
      <c r="G60" s="78">
        <v>22</v>
      </c>
      <c r="H60" s="78">
        <v>21</v>
      </c>
      <c r="I60" s="78">
        <v>21</v>
      </c>
      <c r="J60" s="78">
        <v>21</v>
      </c>
      <c r="K60" s="78">
        <v>22</v>
      </c>
      <c r="L60" s="78">
        <v>22</v>
      </c>
      <c r="M60" s="78">
        <v>21.6</v>
      </c>
      <c r="N60" s="78">
        <v>21.6</v>
      </c>
      <c r="O60" s="78">
        <v>21</v>
      </c>
      <c r="P60" s="78">
        <v>21</v>
      </c>
      <c r="Q60" s="78">
        <v>21</v>
      </c>
      <c r="R60" s="78">
        <v>24</v>
      </c>
      <c r="S60" s="78">
        <v>23.2</v>
      </c>
      <c r="T60" s="78">
        <v>23.2</v>
      </c>
      <c r="U60" s="78">
        <v>28.2</v>
      </c>
      <c r="V60" s="78">
        <v>30.1</v>
      </c>
      <c r="W60" s="78">
        <v>30.5</v>
      </c>
      <c r="X60" s="78">
        <v>31.3</v>
      </c>
      <c r="Y60" s="78">
        <v>23.8</v>
      </c>
      <c r="Z60" s="78">
        <v>23.2</v>
      </c>
      <c r="AA60" s="78">
        <v>23.4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31.3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0</v>
      </c>
      <c r="O62" s="79">
        <v>0</v>
      </c>
      <c r="P62" s="79">
        <v>0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0</v>
      </c>
      <c r="AD62" s="79">
        <v>0</v>
      </c>
      <c r="AE62" s="79">
        <v>0</v>
      </c>
      <c r="AF62" s="79">
        <v>0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9">
        <v>0</v>
      </c>
      <c r="N64" s="79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9">
        <v>0</v>
      </c>
      <c r="N65" s="79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79">
        <v>0</v>
      </c>
      <c r="N66" s="79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79">
        <v>0</v>
      </c>
      <c r="N67" s="79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1">SUM(B57:B67)</f>
        <v>118.6</v>
      </c>
      <c r="C68" s="69">
        <f t="shared" ref="C68:AF68" si="12">SUM(C57:C67)</f>
        <v>143.79999999999998</v>
      </c>
      <c r="D68" s="69">
        <f t="shared" si="12"/>
        <v>127</v>
      </c>
      <c r="E68" s="69">
        <f t="shared" si="12"/>
        <v>137</v>
      </c>
      <c r="F68" s="69">
        <f t="shared" si="12"/>
        <v>133</v>
      </c>
      <c r="G68" s="69">
        <f t="shared" si="12"/>
        <v>117</v>
      </c>
      <c r="H68" s="69">
        <f t="shared" si="12"/>
        <v>112</v>
      </c>
      <c r="I68" s="69">
        <f t="shared" si="12"/>
        <v>141</v>
      </c>
      <c r="J68" s="69">
        <f t="shared" si="12"/>
        <v>165.3</v>
      </c>
      <c r="K68" s="69">
        <f t="shared" si="12"/>
        <v>214</v>
      </c>
      <c r="L68" s="69">
        <f t="shared" si="12"/>
        <v>230</v>
      </c>
      <c r="M68" s="69">
        <f t="shared" si="12"/>
        <v>203.6</v>
      </c>
      <c r="N68" s="69">
        <f t="shared" si="12"/>
        <v>270.60000000000002</v>
      </c>
      <c r="O68" s="69">
        <f t="shared" si="12"/>
        <v>275.10000000000002</v>
      </c>
      <c r="P68" s="69">
        <f t="shared" si="12"/>
        <v>279.10000000000002</v>
      </c>
      <c r="Q68" s="69">
        <f t="shared" si="12"/>
        <v>298</v>
      </c>
      <c r="R68" s="69">
        <f t="shared" si="12"/>
        <v>292.60000000000002</v>
      </c>
      <c r="S68" s="69">
        <f t="shared" si="12"/>
        <v>228.5</v>
      </c>
      <c r="T68" s="69">
        <f t="shared" si="12"/>
        <v>289.59999999999997</v>
      </c>
      <c r="U68" s="69">
        <f t="shared" si="12"/>
        <v>280.3</v>
      </c>
      <c r="V68" s="69">
        <f>SUM(V57:V67)</f>
        <v>259.5</v>
      </c>
      <c r="W68" s="69">
        <f t="shared" si="12"/>
        <v>232.10000000000002</v>
      </c>
      <c r="X68" s="69">
        <f t="shared" si="12"/>
        <v>253.8</v>
      </c>
      <c r="Y68" s="69">
        <f t="shared" si="12"/>
        <v>246.90000000000003</v>
      </c>
      <c r="Z68" s="69">
        <f t="shared" si="12"/>
        <v>227.29999999999998</v>
      </c>
      <c r="AA68" s="69">
        <f t="shared" si="12"/>
        <v>182.4</v>
      </c>
      <c r="AB68" s="69">
        <f t="shared" si="12"/>
        <v>67.2</v>
      </c>
      <c r="AC68" s="69">
        <f t="shared" si="12"/>
        <v>68.5</v>
      </c>
      <c r="AD68" s="69">
        <f t="shared" si="12"/>
        <v>66</v>
      </c>
      <c r="AE68" s="69">
        <f t="shared" si="12"/>
        <v>59</v>
      </c>
      <c r="AF68" s="69">
        <f t="shared" si="12"/>
        <v>60</v>
      </c>
      <c r="AG68" s="74">
        <f>SUM(AG57:AG67)</f>
        <v>0</v>
      </c>
      <c r="AH68" s="54">
        <f t="shared" si="2"/>
        <v>298</v>
      </c>
      <c r="AI68" s="55">
        <f t="shared" si="3"/>
        <v>59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3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100</v>
      </c>
      <c r="C74" s="86">
        <v>100</v>
      </c>
      <c r="D74" s="86">
        <v>100</v>
      </c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>
        <v>20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100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4">B72+B68+B56+B52+B38+B74</f>
        <v>1355.94</v>
      </c>
      <c r="C75" s="84">
        <f t="shared" ref="C75:AF75" si="15">C72+C68+C56+C52+C38+C74</f>
        <v>1368.2400000000002</v>
      </c>
      <c r="D75" s="84">
        <f t="shared" si="15"/>
        <v>1326.44</v>
      </c>
      <c r="E75" s="84">
        <f t="shared" si="15"/>
        <v>1213.0400000000002</v>
      </c>
      <c r="F75" s="84">
        <f t="shared" si="15"/>
        <v>1191.0400000000002</v>
      </c>
      <c r="G75" s="84">
        <f t="shared" si="15"/>
        <v>1177.1400000000001</v>
      </c>
      <c r="H75" s="84">
        <f t="shared" si="15"/>
        <v>1183.1400000000001</v>
      </c>
      <c r="I75" s="84">
        <f t="shared" si="15"/>
        <v>1217.1400000000001</v>
      </c>
      <c r="J75" s="84">
        <f t="shared" si="15"/>
        <v>1279.54</v>
      </c>
      <c r="K75" s="84">
        <f t="shared" si="15"/>
        <v>1346.24</v>
      </c>
      <c r="L75" s="84">
        <f t="shared" si="15"/>
        <v>1390.24</v>
      </c>
      <c r="M75" s="84">
        <f t="shared" si="15"/>
        <v>1351.8400000000001</v>
      </c>
      <c r="N75" s="84">
        <f t="shared" si="15"/>
        <v>1379.74</v>
      </c>
      <c r="O75" s="84">
        <f t="shared" si="15"/>
        <v>1406.94</v>
      </c>
      <c r="P75" s="84">
        <f t="shared" si="15"/>
        <v>1381.6399999999999</v>
      </c>
      <c r="Q75" s="84">
        <f t="shared" si="15"/>
        <v>1353.04</v>
      </c>
      <c r="R75" s="84">
        <f t="shared" si="15"/>
        <v>1349.8400000000001</v>
      </c>
      <c r="S75" s="84">
        <f t="shared" si="15"/>
        <v>1344.94</v>
      </c>
      <c r="T75" s="84">
        <f t="shared" si="15"/>
        <v>1385.2399999999998</v>
      </c>
      <c r="U75" s="84">
        <f t="shared" si="15"/>
        <v>1346.44</v>
      </c>
      <c r="V75" s="84">
        <f t="shared" si="15"/>
        <v>1276.2400000000002</v>
      </c>
      <c r="W75" s="84">
        <f t="shared" si="15"/>
        <v>1271.2400000000002</v>
      </c>
      <c r="X75" s="84">
        <f t="shared" si="15"/>
        <v>1249.44</v>
      </c>
      <c r="Y75" s="84">
        <f t="shared" si="15"/>
        <v>1276.04</v>
      </c>
      <c r="Z75" s="84">
        <f t="shared" si="15"/>
        <v>1358.3400000000001</v>
      </c>
      <c r="AA75" s="84">
        <f t="shared" si="15"/>
        <v>1441.2400000000002</v>
      </c>
      <c r="AB75" s="84">
        <f t="shared" si="15"/>
        <v>1401.84</v>
      </c>
      <c r="AC75" s="84">
        <f t="shared" si="15"/>
        <v>1413.8400000000001</v>
      </c>
      <c r="AD75" s="84">
        <f t="shared" si="15"/>
        <v>1408.44</v>
      </c>
      <c r="AE75" s="84">
        <f t="shared" si="15"/>
        <v>1325.44</v>
      </c>
      <c r="AF75" s="84">
        <f t="shared" si="15"/>
        <v>1247.24</v>
      </c>
      <c r="AG75" s="74">
        <f>AG72+AG68+AG56+AG52+AG38+AG74</f>
        <v>2144.14</v>
      </c>
      <c r="AH75" s="54">
        <f t="shared" si="2"/>
        <v>1441.2400000000002</v>
      </c>
      <c r="AI75" s="55">
        <f t="shared" si="3"/>
        <v>1177.1400000000001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6">MAX(B76:AF76)</f>
        <v>0</v>
      </c>
      <c r="AI76" s="55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6"/>
        <v>0</v>
      </c>
      <c r="AI77" s="55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6"/>
        <v>0</v>
      </c>
      <c r="AI78" s="55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6"/>
        <v>0</v>
      </c>
      <c r="AI79" s="55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6"/>
        <v>0</v>
      </c>
      <c r="AI80" s="55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6"/>
        <v>0</v>
      </c>
      <c r="AI81" s="55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8">SUM(AG76:AG81)</f>
        <v>0</v>
      </c>
      <c r="AH82" s="54">
        <f t="shared" si="16"/>
        <v>0</v>
      </c>
      <c r="AI82" s="55">
        <f t="shared" si="17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19">SUM(B70:B82)</f>
        <v>2657.83</v>
      </c>
      <c r="C83" s="69">
        <f t="shared" ref="C83:AG83" si="20">SUM(C70:C82)</f>
        <v>2670.13</v>
      </c>
      <c r="D83" s="69">
        <f t="shared" si="20"/>
        <v>2628.33</v>
      </c>
      <c r="E83" s="69">
        <f t="shared" si="20"/>
        <v>2414.9300000000003</v>
      </c>
      <c r="F83" s="69">
        <f t="shared" si="20"/>
        <v>2392.9300000000003</v>
      </c>
      <c r="G83" s="69">
        <f t="shared" si="20"/>
        <v>2379.0299999999997</v>
      </c>
      <c r="H83" s="69">
        <f t="shared" si="20"/>
        <v>2385.0299999999997</v>
      </c>
      <c r="I83" s="69">
        <f t="shared" si="20"/>
        <v>2419.0299999999997</v>
      </c>
      <c r="J83" s="69">
        <f t="shared" si="20"/>
        <v>2481.4299999999998</v>
      </c>
      <c r="K83" s="69">
        <f t="shared" si="20"/>
        <v>2548.13</v>
      </c>
      <c r="L83" s="69">
        <f t="shared" si="20"/>
        <v>2592.13</v>
      </c>
      <c r="M83" s="69">
        <f t="shared" si="20"/>
        <v>2553.73</v>
      </c>
      <c r="N83" s="69">
        <f t="shared" si="20"/>
        <v>2581.63</v>
      </c>
      <c r="O83" s="69">
        <f t="shared" si="20"/>
        <v>2608.83</v>
      </c>
      <c r="P83" s="69">
        <f t="shared" si="20"/>
        <v>2583.5299999999997</v>
      </c>
      <c r="Q83" s="69">
        <f t="shared" si="20"/>
        <v>2554.9299999999998</v>
      </c>
      <c r="R83" s="69">
        <f t="shared" si="20"/>
        <v>2551.73</v>
      </c>
      <c r="S83" s="69">
        <f t="shared" si="20"/>
        <v>2566.83</v>
      </c>
      <c r="T83" s="69">
        <f t="shared" si="20"/>
        <v>2587.1299999999997</v>
      </c>
      <c r="U83" s="69">
        <f t="shared" si="20"/>
        <v>2548.33</v>
      </c>
      <c r="V83" s="69">
        <f t="shared" si="20"/>
        <v>2478.13</v>
      </c>
      <c r="W83" s="69">
        <f t="shared" si="20"/>
        <v>2473.13</v>
      </c>
      <c r="X83" s="69">
        <f t="shared" si="20"/>
        <v>2451.33</v>
      </c>
      <c r="Y83" s="69">
        <f t="shared" si="20"/>
        <v>2477.9299999999998</v>
      </c>
      <c r="Z83" s="69">
        <f t="shared" si="20"/>
        <v>2560.23</v>
      </c>
      <c r="AA83" s="69">
        <f t="shared" si="20"/>
        <v>2643.13</v>
      </c>
      <c r="AB83" s="69">
        <f t="shared" si="20"/>
        <v>2603.7299999999996</v>
      </c>
      <c r="AC83" s="69">
        <f t="shared" si="20"/>
        <v>2615.73</v>
      </c>
      <c r="AD83" s="69">
        <f t="shared" si="20"/>
        <v>2610.33</v>
      </c>
      <c r="AE83" s="69">
        <f t="shared" si="20"/>
        <v>2527.33</v>
      </c>
      <c r="AF83" s="69">
        <f t="shared" si="20"/>
        <v>2449.13</v>
      </c>
      <c r="AG83" s="74">
        <f t="shared" si="20"/>
        <v>4360.08</v>
      </c>
      <c r="AH83" s="54">
        <f t="shared" si="16"/>
        <v>2670.13</v>
      </c>
      <c r="AI83" s="55">
        <f t="shared" si="17"/>
        <v>2379.0299999999997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49.86</v>
      </c>
      <c r="C84" s="90">
        <v>49.93</v>
      </c>
      <c r="D84" s="90">
        <v>49.89</v>
      </c>
      <c r="E84" s="90">
        <v>49.97</v>
      </c>
      <c r="F84" s="90">
        <v>50.029000000000003</v>
      </c>
      <c r="G84" s="90">
        <v>49.978000000000002</v>
      </c>
      <c r="H84" s="90">
        <v>49.825000000000003</v>
      </c>
      <c r="I84" s="90">
        <v>49.804000000000002</v>
      </c>
      <c r="J84" s="90">
        <v>49.85</v>
      </c>
      <c r="K84" s="90">
        <v>49.85</v>
      </c>
      <c r="L84" s="90">
        <v>49.85</v>
      </c>
      <c r="M84" s="90">
        <v>50.03</v>
      </c>
      <c r="N84" s="90">
        <v>50.045000000000002</v>
      </c>
      <c r="O84" s="90">
        <v>50</v>
      </c>
      <c r="P84" s="90">
        <v>50</v>
      </c>
      <c r="Q84" s="90">
        <v>50.02</v>
      </c>
      <c r="R84" s="90">
        <v>50</v>
      </c>
      <c r="S84" s="90">
        <v>50.033000000000001</v>
      </c>
      <c r="T84" s="90">
        <v>49.926000000000002</v>
      </c>
      <c r="U84" s="90">
        <v>49.892000000000003</v>
      </c>
      <c r="V84" s="90">
        <v>50</v>
      </c>
      <c r="W84" s="90">
        <v>49.865000000000002</v>
      </c>
      <c r="X84" s="90">
        <v>50.052999999999997</v>
      </c>
      <c r="Y84" s="90">
        <v>49.981000000000002</v>
      </c>
      <c r="Z84" s="90">
        <v>50.029000000000003</v>
      </c>
      <c r="AA84" s="90">
        <v>49.941000000000003</v>
      </c>
      <c r="AB84" s="90">
        <v>50.05</v>
      </c>
      <c r="AC84" s="90">
        <v>50.009</v>
      </c>
      <c r="AD84" s="90">
        <v>50</v>
      </c>
      <c r="AE84" s="90">
        <v>49.93</v>
      </c>
      <c r="AF84" s="90">
        <v>49.85</v>
      </c>
      <c r="AG84" s="91"/>
      <c r="AH84" s="54">
        <f t="shared" si="16"/>
        <v>50.052999999999997</v>
      </c>
      <c r="AI84" s="55">
        <f t="shared" si="17"/>
        <v>49.804000000000002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124.9</v>
      </c>
      <c r="C85" s="70">
        <v>125.5</v>
      </c>
      <c r="D85" s="70">
        <v>126</v>
      </c>
      <c r="E85" s="70">
        <v>126</v>
      </c>
      <c r="F85" s="70">
        <v>126</v>
      </c>
      <c r="G85" s="70">
        <v>126.6</v>
      </c>
      <c r="H85" s="70">
        <v>126.6</v>
      </c>
      <c r="I85" s="70">
        <v>126</v>
      </c>
      <c r="J85" s="70">
        <v>126</v>
      </c>
      <c r="K85" s="70">
        <v>126</v>
      </c>
      <c r="L85" s="70">
        <v>126</v>
      </c>
      <c r="M85" s="70">
        <v>124</v>
      </c>
      <c r="N85" s="70">
        <v>124</v>
      </c>
      <c r="O85" s="70">
        <v>122.4</v>
      </c>
      <c r="P85" s="70">
        <v>122.4</v>
      </c>
      <c r="Q85" s="70">
        <v>123.7</v>
      </c>
      <c r="R85" s="70">
        <v>122.8</v>
      </c>
      <c r="S85" s="70">
        <v>124.2</v>
      </c>
      <c r="T85" s="70">
        <v>123.9</v>
      </c>
      <c r="U85" s="70">
        <v>124.4</v>
      </c>
      <c r="V85" s="70">
        <v>127.4</v>
      </c>
      <c r="W85" s="70">
        <v>126.5</v>
      </c>
      <c r="X85" s="70">
        <v>126.8</v>
      </c>
      <c r="Y85" s="70">
        <v>125.6</v>
      </c>
      <c r="Z85" s="70">
        <v>125.7</v>
      </c>
      <c r="AA85" s="70">
        <v>125.8</v>
      </c>
      <c r="AB85" s="70">
        <v>125.3</v>
      </c>
      <c r="AC85" s="70">
        <v>123.7</v>
      </c>
      <c r="AD85" s="70">
        <v>122.5</v>
      </c>
      <c r="AE85" s="70">
        <v>124</v>
      </c>
      <c r="AF85" s="70">
        <v>124</v>
      </c>
      <c r="AG85" s="93"/>
      <c r="AH85" s="54">
        <f t="shared" si="16"/>
        <v>127.4</v>
      </c>
      <c r="AI85" s="55">
        <f t="shared" si="17"/>
        <v>122.4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129.19999999999999</v>
      </c>
      <c r="C86" s="70">
        <v>129.69999999999999</v>
      </c>
      <c r="D86" s="70">
        <v>129.9</v>
      </c>
      <c r="E86" s="70">
        <v>130</v>
      </c>
      <c r="F86" s="70">
        <v>130</v>
      </c>
      <c r="G86" s="70">
        <v>130</v>
      </c>
      <c r="H86" s="70">
        <v>130</v>
      </c>
      <c r="I86" s="70">
        <v>129</v>
      </c>
      <c r="J86" s="70">
        <v>129</v>
      </c>
      <c r="K86" s="70">
        <v>129</v>
      </c>
      <c r="L86" s="70">
        <v>129</v>
      </c>
      <c r="M86" s="70">
        <v>128</v>
      </c>
      <c r="N86" s="70">
        <v>128</v>
      </c>
      <c r="O86" s="70">
        <v>127.2</v>
      </c>
      <c r="P86" s="70">
        <v>127.2</v>
      </c>
      <c r="Q86" s="70">
        <v>128</v>
      </c>
      <c r="R86" s="70">
        <v>127.5</v>
      </c>
      <c r="S86" s="70">
        <v>128.6</v>
      </c>
      <c r="T86" s="70">
        <v>128.5</v>
      </c>
      <c r="U86" s="70">
        <v>129</v>
      </c>
      <c r="V86" s="70">
        <v>130.69999999999999</v>
      </c>
      <c r="W86" s="70">
        <v>130.19999999999999</v>
      </c>
      <c r="X86" s="70">
        <v>130.80000000000001</v>
      </c>
      <c r="Y86" s="70">
        <v>129.5</v>
      </c>
      <c r="Z86" s="70">
        <v>129.5</v>
      </c>
      <c r="AA86" s="70">
        <v>129.4</v>
      </c>
      <c r="AB86" s="70">
        <v>129.30000000000001</v>
      </c>
      <c r="AC86" s="70">
        <v>128.19999999999999</v>
      </c>
      <c r="AD86" s="70">
        <v>127.5</v>
      </c>
      <c r="AE86" s="70">
        <v>129</v>
      </c>
      <c r="AF86" s="70">
        <v>129</v>
      </c>
      <c r="AG86" s="93"/>
      <c r="AH86" s="54">
        <f t="shared" si="16"/>
        <v>130.80000000000001</v>
      </c>
      <c r="AI86" s="55">
        <f t="shared" si="17"/>
        <v>127.2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128.30000000000001</v>
      </c>
      <c r="C87" s="70">
        <v>129.19999999999999</v>
      </c>
      <c r="D87" s="70">
        <v>130.6</v>
      </c>
      <c r="E87" s="70">
        <v>130</v>
      </c>
      <c r="F87" s="70">
        <v>130</v>
      </c>
      <c r="G87" s="70">
        <v>130</v>
      </c>
      <c r="H87" s="70">
        <v>130</v>
      </c>
      <c r="I87" s="70">
        <v>128</v>
      </c>
      <c r="J87" s="70">
        <v>128</v>
      </c>
      <c r="K87" s="70">
        <v>128</v>
      </c>
      <c r="L87" s="70">
        <v>128</v>
      </c>
      <c r="M87" s="70">
        <v>125</v>
      </c>
      <c r="N87" s="70">
        <v>125</v>
      </c>
      <c r="O87" s="70">
        <v>125.1</v>
      </c>
      <c r="P87" s="70">
        <v>125.1</v>
      </c>
      <c r="Q87" s="70">
        <v>128.6</v>
      </c>
      <c r="R87" s="70">
        <v>125.5</v>
      </c>
      <c r="S87" s="70">
        <v>128.80000000000001</v>
      </c>
      <c r="T87" s="70">
        <v>127</v>
      </c>
      <c r="U87" s="70">
        <v>126.7</v>
      </c>
      <c r="V87" s="70">
        <v>129</v>
      </c>
      <c r="W87" s="70">
        <v>128.5</v>
      </c>
      <c r="X87" s="70">
        <v>128.1</v>
      </c>
      <c r="Y87" s="70">
        <v>124.1</v>
      </c>
      <c r="Z87" s="70">
        <v>126.6</v>
      </c>
      <c r="AA87" s="70">
        <v>125.9</v>
      </c>
      <c r="AB87" s="70">
        <v>127.8</v>
      </c>
      <c r="AC87" s="70">
        <v>126.2</v>
      </c>
      <c r="AD87" s="70">
        <v>127</v>
      </c>
      <c r="AE87" s="70">
        <v>128</v>
      </c>
      <c r="AF87" s="70">
        <v>128</v>
      </c>
      <c r="AG87" s="93"/>
      <c r="AH87" s="54">
        <f t="shared" si="16"/>
        <v>130.6</v>
      </c>
      <c r="AI87" s="55">
        <f t="shared" si="17"/>
        <v>124.1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132.1</v>
      </c>
      <c r="C88" s="70">
        <v>133.4</v>
      </c>
      <c r="D88" s="70">
        <v>134.1</v>
      </c>
      <c r="E88" s="70">
        <v>133</v>
      </c>
      <c r="F88" s="70">
        <v>133</v>
      </c>
      <c r="G88" s="70">
        <v>133</v>
      </c>
      <c r="H88" s="70">
        <v>133</v>
      </c>
      <c r="I88" s="70">
        <v>132</v>
      </c>
      <c r="J88" s="70">
        <v>132</v>
      </c>
      <c r="K88" s="70">
        <v>132</v>
      </c>
      <c r="L88" s="70">
        <v>132</v>
      </c>
      <c r="M88" s="70">
        <v>127</v>
      </c>
      <c r="N88" s="70">
        <v>127</v>
      </c>
      <c r="O88" s="70">
        <v>127.5</v>
      </c>
      <c r="P88" s="70">
        <v>127.5</v>
      </c>
      <c r="Q88" s="70">
        <v>131.19999999999999</v>
      </c>
      <c r="R88" s="70">
        <v>129.30000000000001</v>
      </c>
      <c r="S88" s="70">
        <v>131.5</v>
      </c>
      <c r="T88" s="70">
        <v>128.5</v>
      </c>
      <c r="U88" s="70">
        <v>128</v>
      </c>
      <c r="V88" s="70">
        <v>130.4</v>
      </c>
      <c r="W88" s="70">
        <v>130</v>
      </c>
      <c r="X88" s="70">
        <v>131.69999999999999</v>
      </c>
      <c r="Y88" s="70">
        <v>126.3</v>
      </c>
      <c r="Z88" s="70">
        <v>129.5</v>
      </c>
      <c r="AA88" s="70">
        <v>128.5</v>
      </c>
      <c r="AB88" s="70">
        <v>130.9</v>
      </c>
      <c r="AC88" s="70">
        <v>129.69999999999999</v>
      </c>
      <c r="AD88" s="70">
        <v>130</v>
      </c>
      <c r="AE88" s="70">
        <v>132</v>
      </c>
      <c r="AF88" s="70">
        <v>132</v>
      </c>
      <c r="AG88" s="93"/>
      <c r="AH88" s="54">
        <f t="shared" si="16"/>
        <v>134.1</v>
      </c>
      <c r="AI88" s="55">
        <f t="shared" si="17"/>
        <v>126.3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135.69999999999999</v>
      </c>
      <c r="C89" s="95">
        <v>135.30000000000001</v>
      </c>
      <c r="D89" s="95">
        <v>132.5</v>
      </c>
      <c r="E89" s="95">
        <v>133</v>
      </c>
      <c r="F89" s="95">
        <v>133</v>
      </c>
      <c r="G89" s="95">
        <v>133</v>
      </c>
      <c r="H89" s="95">
        <v>133</v>
      </c>
      <c r="I89" s="95">
        <v>132</v>
      </c>
      <c r="J89" s="95">
        <v>132</v>
      </c>
      <c r="K89" s="95">
        <v>132</v>
      </c>
      <c r="L89" s="95">
        <v>132</v>
      </c>
      <c r="M89" s="95">
        <v>135</v>
      </c>
      <c r="N89" s="95">
        <v>135</v>
      </c>
      <c r="O89" s="95">
        <v>131.9</v>
      </c>
      <c r="P89" s="95">
        <v>131.9</v>
      </c>
      <c r="Q89" s="95">
        <v>131.9</v>
      </c>
      <c r="R89" s="95">
        <v>131.4</v>
      </c>
      <c r="S89" s="95">
        <v>131.69999999999999</v>
      </c>
      <c r="T89" s="95">
        <v>132.69999999999999</v>
      </c>
      <c r="U89" s="95">
        <v>132.9</v>
      </c>
      <c r="V89" s="95">
        <v>133.4</v>
      </c>
      <c r="W89" s="95">
        <v>133</v>
      </c>
      <c r="X89" s="95">
        <v>133.30000000000001</v>
      </c>
      <c r="Y89" s="95">
        <v>132.4</v>
      </c>
      <c r="Z89" s="95">
        <v>135</v>
      </c>
      <c r="AA89" s="95">
        <v>135</v>
      </c>
      <c r="AB89" s="95">
        <v>134</v>
      </c>
      <c r="AC89" s="95">
        <v>131.6</v>
      </c>
      <c r="AD89" s="95">
        <v>134.6</v>
      </c>
      <c r="AE89" s="95">
        <v>129.19999999999999</v>
      </c>
      <c r="AF89" s="95">
        <v>129.19999999999999</v>
      </c>
      <c r="AG89" s="96"/>
      <c r="AH89" s="54">
        <f t="shared" si="16"/>
        <v>135.69999999999999</v>
      </c>
      <c r="AI89" s="55">
        <f t="shared" si="17"/>
        <v>129.19999999999999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131</v>
      </c>
      <c r="C90" s="70">
        <v>131.6</v>
      </c>
      <c r="D90" s="70">
        <v>132.6</v>
      </c>
      <c r="E90" s="70">
        <v>131</v>
      </c>
      <c r="F90" s="70">
        <v>131</v>
      </c>
      <c r="G90" s="70">
        <v>131</v>
      </c>
      <c r="H90" s="70">
        <v>131</v>
      </c>
      <c r="I90" s="70">
        <v>129</v>
      </c>
      <c r="J90" s="70">
        <v>129</v>
      </c>
      <c r="K90" s="70">
        <v>129</v>
      </c>
      <c r="L90" s="70">
        <v>129</v>
      </c>
      <c r="M90" s="70">
        <v>130</v>
      </c>
      <c r="N90" s="70">
        <v>130</v>
      </c>
      <c r="O90" s="70">
        <v>129.30000000000001</v>
      </c>
      <c r="P90" s="70">
        <v>129.30000000000001</v>
      </c>
      <c r="Q90" s="70">
        <v>133.4</v>
      </c>
      <c r="R90" s="70">
        <v>128.6</v>
      </c>
      <c r="S90" s="70">
        <v>132.69999999999999</v>
      </c>
      <c r="T90" s="70">
        <v>131.1</v>
      </c>
      <c r="U90" s="70">
        <v>132.1</v>
      </c>
      <c r="V90" s="70">
        <v>133.6</v>
      </c>
      <c r="W90" s="70">
        <v>132.69999999999999</v>
      </c>
      <c r="X90" s="70">
        <v>133.80000000000001</v>
      </c>
      <c r="Y90" s="70">
        <v>131.9</v>
      </c>
      <c r="Z90" s="70">
        <v>134.69999999999999</v>
      </c>
      <c r="AA90" s="70">
        <v>134.9</v>
      </c>
      <c r="AB90" s="70">
        <v>129.6</v>
      </c>
      <c r="AC90" s="70">
        <v>127.9</v>
      </c>
      <c r="AD90" s="70">
        <v>131</v>
      </c>
      <c r="AE90" s="70">
        <v>131.5</v>
      </c>
      <c r="AF90" s="70">
        <v>131.5</v>
      </c>
      <c r="AG90" s="93"/>
      <c r="AH90" s="54">
        <f t="shared" si="16"/>
        <v>134.9</v>
      </c>
      <c r="AI90" s="55">
        <f t="shared" si="17"/>
        <v>127.9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64.900000000000006</v>
      </c>
      <c r="C91" s="97">
        <v>65.099999999999994</v>
      </c>
      <c r="D91" s="97">
        <v>65.3</v>
      </c>
      <c r="E91" s="97">
        <v>65.3</v>
      </c>
      <c r="F91" s="97">
        <v>65.3</v>
      </c>
      <c r="G91" s="97">
        <v>65.3</v>
      </c>
      <c r="H91" s="97">
        <v>65</v>
      </c>
      <c r="I91" s="97">
        <v>64.5</v>
      </c>
      <c r="J91" s="97">
        <v>64.5</v>
      </c>
      <c r="K91" s="97">
        <v>64.5</v>
      </c>
      <c r="L91" s="97">
        <v>64.5</v>
      </c>
      <c r="M91" s="97">
        <v>64.7</v>
      </c>
      <c r="N91" s="97">
        <v>64.7</v>
      </c>
      <c r="O91" s="97">
        <v>64</v>
      </c>
      <c r="P91" s="97">
        <v>64</v>
      </c>
      <c r="Q91" s="97">
        <v>64.099999999999994</v>
      </c>
      <c r="R91" s="97">
        <v>64</v>
      </c>
      <c r="S91" s="97">
        <v>64.5</v>
      </c>
      <c r="T91" s="97">
        <v>64.400000000000006</v>
      </c>
      <c r="U91" s="97">
        <v>64.8</v>
      </c>
      <c r="V91" s="97">
        <v>65.900000000000006</v>
      </c>
      <c r="W91" s="97">
        <v>65.8</v>
      </c>
      <c r="X91" s="97">
        <v>66</v>
      </c>
      <c r="Y91" s="97">
        <v>65.2</v>
      </c>
      <c r="Z91" s="97">
        <v>65.400000000000006</v>
      </c>
      <c r="AA91" s="97">
        <v>65.3</v>
      </c>
      <c r="AB91" s="97">
        <v>65.5</v>
      </c>
      <c r="AC91" s="97">
        <v>65.099999999999994</v>
      </c>
      <c r="AD91" s="97">
        <v>64.3</v>
      </c>
      <c r="AE91" s="97">
        <v>65.3</v>
      </c>
      <c r="AF91" s="97">
        <v>65.3</v>
      </c>
      <c r="AG91" s="98"/>
      <c r="AH91" s="54">
        <f t="shared" si="16"/>
        <v>66</v>
      </c>
      <c r="AI91" s="55">
        <f t="shared" si="17"/>
        <v>64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21">SUM(B15,B18,B21:B22,B42,B44:B45,B47,B49,B94:B97,B103,B109,B115,B124,B126,B138,B145,B148:B149,B156,B158,B160,B164:B166,B168:B170,B175,B181:B182,B184:B186,B194,B199)</f>
        <v>192.23999999999998</v>
      </c>
      <c r="C93" s="103">
        <f t="shared" ref="C93:AF93" si="22">SUM(C15,C18,C21:C22,C42,C44:C45,C47,C49,C94:C97,C103,C109,C115,C124,C126,C138,C145,C148:C149,C156,C158,C160,C164:C166,C168:C170,C175,C181:C182,C184:C186,C194,C199)</f>
        <v>162.63999999999999</v>
      </c>
      <c r="D93" s="103">
        <f t="shared" si="22"/>
        <v>158.23999999999995</v>
      </c>
      <c r="E93" s="103">
        <f t="shared" si="22"/>
        <v>157.53999999999996</v>
      </c>
      <c r="F93" s="103">
        <f t="shared" si="22"/>
        <v>158.53999999999996</v>
      </c>
      <c r="G93" s="103">
        <f t="shared" si="22"/>
        <v>183.53999999999996</v>
      </c>
      <c r="H93" s="103">
        <f t="shared" si="22"/>
        <v>203.53999999999996</v>
      </c>
      <c r="I93" s="103">
        <f t="shared" si="22"/>
        <v>228.73999999999995</v>
      </c>
      <c r="J93" s="103">
        <f t="shared" si="22"/>
        <v>271.34000000000003</v>
      </c>
      <c r="K93" s="103">
        <f t="shared" ref="K93:L93" si="23">SUM(K15,K18,K21:K22,K42,K44:K45,K47,K49,K94:K97,K103,K109,K115,K124,K126,K138,K145,K148:K149,K156,K158,K160,K164:K166,K168:K170,K175,K181:K182,K184:K186,K194,K199)</f>
        <v>271.34000000000003</v>
      </c>
      <c r="L93" s="103">
        <f t="shared" si="23"/>
        <v>271.34000000000003</v>
      </c>
      <c r="M93" s="103">
        <f t="shared" si="22"/>
        <v>312.84000000000003</v>
      </c>
      <c r="N93" s="103">
        <f t="shared" si="22"/>
        <v>312.14000000000004</v>
      </c>
      <c r="O93" s="103">
        <f t="shared" si="22"/>
        <v>294.24</v>
      </c>
      <c r="P93" s="103">
        <f t="shared" si="22"/>
        <v>293.04000000000002</v>
      </c>
      <c r="Q93" s="103">
        <f t="shared" si="22"/>
        <v>284.24</v>
      </c>
      <c r="R93" s="103">
        <f t="shared" si="22"/>
        <v>279.74</v>
      </c>
      <c r="S93" s="103">
        <f t="shared" si="22"/>
        <v>303.64</v>
      </c>
      <c r="T93" s="103">
        <f t="shared" si="22"/>
        <v>297.44000000000005</v>
      </c>
      <c r="U93" s="103">
        <f t="shared" si="22"/>
        <v>266.94000000000005</v>
      </c>
      <c r="V93" s="103">
        <f t="shared" si="22"/>
        <v>277.04000000000002</v>
      </c>
      <c r="W93" s="103">
        <f>SUM(W15,W18,W21:W22,W42,W44:W45,W47,W49,W94:W97,W103,W109,W115,W124,W126,W138,W145,W148:W149,W156,W158,W160,W164:W166,W168:W170,W175,W181:W182,W184:W186,W194,W199)</f>
        <v>274.54000000000002</v>
      </c>
      <c r="X93" s="103">
        <f>SUM(X15,X18,X21:X22,X42,X44:X45,X47,X49,X94:X97,X103,X109,X115,X124,X126,X138,X145,X148:X149,X156,X158,X160,X164:X166,X168:X170,X175,X181:X182,X184:X186,X194,X199)</f>
        <v>269.74</v>
      </c>
      <c r="Y93" s="103">
        <f t="shared" si="22"/>
        <v>374.54</v>
      </c>
      <c r="Z93" s="103">
        <f t="shared" si="22"/>
        <v>298.94</v>
      </c>
      <c r="AA93" s="103">
        <f t="shared" si="22"/>
        <v>316.64</v>
      </c>
      <c r="AB93" s="103">
        <f t="shared" si="22"/>
        <v>293.74</v>
      </c>
      <c r="AC93" s="103">
        <f t="shared" si="22"/>
        <v>267.14000000000004</v>
      </c>
      <c r="AD93" s="103">
        <f t="shared" si="22"/>
        <v>228.73999999999998</v>
      </c>
      <c r="AE93" s="103">
        <f t="shared" si="22"/>
        <v>182.73999999999998</v>
      </c>
      <c r="AF93" s="103">
        <f t="shared" si="22"/>
        <v>150.73999999999998</v>
      </c>
      <c r="AG93" s="104"/>
      <c r="AH93" s="54">
        <f>MAX(C93:AF93)</f>
        <v>374.54</v>
      </c>
      <c r="AI93" s="55">
        <f>MIN(C93:AF93)</f>
        <v>150.73999999999998</v>
      </c>
    </row>
    <row r="94" spans="1:88" x14ac:dyDescent="0.25">
      <c r="A94" s="105" t="s">
        <v>99</v>
      </c>
      <c r="B94" s="106">
        <v>56.6</v>
      </c>
      <c r="C94" s="106">
        <v>50.5</v>
      </c>
      <c r="D94" s="106">
        <v>45.6</v>
      </c>
      <c r="E94" s="106">
        <v>41</v>
      </c>
      <c r="F94" s="106">
        <v>42</v>
      </c>
      <c r="G94" s="106">
        <v>42</v>
      </c>
      <c r="H94" s="106">
        <v>47</v>
      </c>
      <c r="I94" s="106">
        <v>50</v>
      </c>
      <c r="J94" s="106">
        <v>54</v>
      </c>
      <c r="K94" s="106">
        <v>54</v>
      </c>
      <c r="L94" s="106">
        <v>54</v>
      </c>
      <c r="M94" s="106">
        <v>70</v>
      </c>
      <c r="N94" s="106">
        <v>52.4</v>
      </c>
      <c r="O94" s="106">
        <v>53.7</v>
      </c>
      <c r="P94" s="106">
        <v>68.900000000000006</v>
      </c>
      <c r="Q94" s="106">
        <v>50.8</v>
      </c>
      <c r="R94" s="106">
        <v>53.8</v>
      </c>
      <c r="S94" s="106">
        <v>40.299999999999997</v>
      </c>
      <c r="T94" s="106">
        <v>44.7</v>
      </c>
      <c r="U94" s="106">
        <v>39</v>
      </c>
      <c r="V94" s="106">
        <v>38</v>
      </c>
      <c r="W94" s="106">
        <v>36.9</v>
      </c>
      <c r="X94" s="106">
        <v>30.9</v>
      </c>
      <c r="Y94" s="106">
        <v>30.5</v>
      </c>
      <c r="Z94" s="106">
        <v>49</v>
      </c>
      <c r="AA94" s="106">
        <v>50.3</v>
      </c>
      <c r="AB94" s="106">
        <v>60.6</v>
      </c>
      <c r="AC94" s="106">
        <v>47.1</v>
      </c>
      <c r="AD94" s="106">
        <v>40</v>
      </c>
      <c r="AE94" s="106">
        <v>45</v>
      </c>
      <c r="AF94" s="106">
        <v>54</v>
      </c>
      <c r="AG94" s="107">
        <v>75</v>
      </c>
      <c r="AH94" s="54">
        <f t="shared" ref="AH94:AH100" si="24">IF(ABS(MAX(C94:AF94))&gt;ABS(MIN(C94:AF94)),MAX(C94:AF94),MIN(C94:AF94))</f>
        <v>70</v>
      </c>
      <c r="AI94" s="108">
        <f t="shared" ref="AI94:AI100" si="25">INDEX($C$9:$AF$9,1,MATCH(AH94,C94:AF94,0))</f>
        <v>0.33333333333333331</v>
      </c>
    </row>
    <row r="95" spans="1:88" x14ac:dyDescent="0.25">
      <c r="A95" s="109" t="s">
        <v>100</v>
      </c>
      <c r="B95" s="110">
        <f>-30.7-42.7</f>
        <v>-73.400000000000006</v>
      </c>
      <c r="C95" s="110">
        <f>-34.8-46.9</f>
        <v>-81.699999999999989</v>
      </c>
      <c r="D95" s="110">
        <f>-31.7-44</f>
        <v>-75.7</v>
      </c>
      <c r="E95" s="110">
        <v>-75</v>
      </c>
      <c r="F95" s="110">
        <v>-75</v>
      </c>
      <c r="G95" s="110">
        <v>-66</v>
      </c>
      <c r="H95" s="110">
        <v>-60</v>
      </c>
      <c r="I95" s="110">
        <v>-50</v>
      </c>
      <c r="J95" s="110">
        <v>-30</v>
      </c>
      <c r="K95" s="110">
        <v>-30</v>
      </c>
      <c r="L95" s="110">
        <v>-30</v>
      </c>
      <c r="M95" s="110">
        <v>-22.4</v>
      </c>
      <c r="N95" s="110">
        <v>-29</v>
      </c>
      <c r="O95" s="110">
        <f>-16.4-27.4</f>
        <v>-43.8</v>
      </c>
      <c r="P95" s="110">
        <f>-18.8-25.6</f>
        <v>-44.400000000000006</v>
      </c>
      <c r="Q95" s="110">
        <f>-15-24.6</f>
        <v>-39.6</v>
      </c>
      <c r="R95" s="110">
        <f>-19-30</f>
        <v>-49</v>
      </c>
      <c r="S95" s="110">
        <v>-38</v>
      </c>
      <c r="T95" s="110">
        <f>-16.7-27.2</f>
        <v>-43.9</v>
      </c>
      <c r="U95" s="110">
        <f>-21.2-32.7</f>
        <v>-53.900000000000006</v>
      </c>
      <c r="V95" s="110">
        <f>-18.1-25.8</f>
        <v>-43.900000000000006</v>
      </c>
      <c r="W95" s="110">
        <f>-19.5-27.5</f>
        <v>-47</v>
      </c>
      <c r="X95" s="110">
        <f>-21.4-27.8</f>
        <v>-49.2</v>
      </c>
      <c r="Y95" s="110">
        <f>--48</f>
        <v>48</v>
      </c>
      <c r="Z95" s="110">
        <f>-18-24.2</f>
        <v>-42.2</v>
      </c>
      <c r="AA95" s="110">
        <v>-35</v>
      </c>
      <c r="AB95" s="110">
        <v>-57</v>
      </c>
      <c r="AC95" s="110">
        <v>-66</v>
      </c>
      <c r="AD95" s="110">
        <v>-82</v>
      </c>
      <c r="AE95" s="110">
        <v>-100</v>
      </c>
      <c r="AF95" s="110">
        <v>-64</v>
      </c>
      <c r="AG95" s="107">
        <v>240</v>
      </c>
      <c r="AH95" s="54">
        <f t="shared" si="24"/>
        <v>-100</v>
      </c>
      <c r="AI95" s="108">
        <f t="shared" si="25"/>
        <v>0.91666666666666696</v>
      </c>
    </row>
    <row r="96" spans="1:88" x14ac:dyDescent="0.25">
      <c r="A96" s="109" t="s">
        <v>101</v>
      </c>
      <c r="B96" s="110">
        <v>40.4</v>
      </c>
      <c r="C96" s="110">
        <v>37.6</v>
      </c>
      <c r="D96" s="110">
        <v>34</v>
      </c>
      <c r="E96" s="110">
        <v>36</v>
      </c>
      <c r="F96" s="110">
        <v>36</v>
      </c>
      <c r="G96" s="110">
        <v>40</v>
      </c>
      <c r="H96" s="110">
        <v>40</v>
      </c>
      <c r="I96" s="110">
        <v>42</v>
      </c>
      <c r="J96" s="110">
        <v>47</v>
      </c>
      <c r="K96" s="110">
        <v>47</v>
      </c>
      <c r="L96" s="110">
        <v>47</v>
      </c>
      <c r="M96" s="110">
        <v>50.7</v>
      </c>
      <c r="N96" s="110">
        <v>46</v>
      </c>
      <c r="O96" s="110">
        <v>47.4</v>
      </c>
      <c r="P96" s="110">
        <v>30.9</v>
      </c>
      <c r="Q96" s="110">
        <v>42.4</v>
      </c>
      <c r="R96" s="110">
        <v>47.2</v>
      </c>
      <c r="S96" s="110">
        <v>47.7</v>
      </c>
      <c r="T96" s="110">
        <v>49.2</v>
      </c>
      <c r="U96" s="110">
        <v>46.4</v>
      </c>
      <c r="V96" s="110">
        <v>33.200000000000003</v>
      </c>
      <c r="W96" s="110">
        <v>38.799999999999997</v>
      </c>
      <c r="X96" s="110">
        <v>36</v>
      </c>
      <c r="Y96" s="110">
        <v>35.5</v>
      </c>
      <c r="Z96" s="110">
        <v>41.2</v>
      </c>
      <c r="AA96" s="110">
        <v>44.2</v>
      </c>
      <c r="AB96" s="110">
        <v>27.5</v>
      </c>
      <c r="AC96" s="110">
        <v>21.8</v>
      </c>
      <c r="AD96" s="110">
        <v>11</v>
      </c>
      <c r="AE96" s="110">
        <v>6</v>
      </c>
      <c r="AF96" s="110">
        <v>11</v>
      </c>
      <c r="AG96" s="107">
        <v>60</v>
      </c>
      <c r="AH96" s="54">
        <f t="shared" si="24"/>
        <v>50.7</v>
      </c>
      <c r="AI96" s="108">
        <f t="shared" si="25"/>
        <v>0.33333333333333331</v>
      </c>
    </row>
    <row r="97" spans="1:37" x14ac:dyDescent="0.25">
      <c r="A97" s="111" t="s">
        <v>102</v>
      </c>
      <c r="B97" s="112">
        <v>-24</v>
      </c>
      <c r="C97" s="112">
        <v>-34.5</v>
      </c>
      <c r="D97" s="112">
        <v>-36.200000000000003</v>
      </c>
      <c r="E97" s="112">
        <v>-35</v>
      </c>
      <c r="F97" s="112">
        <v>-35</v>
      </c>
      <c r="G97" s="112">
        <v>-23</v>
      </c>
      <c r="H97" s="112">
        <v>-14</v>
      </c>
      <c r="I97" s="112">
        <v>-3.8</v>
      </c>
      <c r="J97" s="112">
        <v>9.8000000000000007</v>
      </c>
      <c r="K97" s="112">
        <v>9.8000000000000007</v>
      </c>
      <c r="L97" s="112">
        <v>9.8000000000000007</v>
      </c>
      <c r="M97" s="112">
        <v>24</v>
      </c>
      <c r="N97" s="112">
        <v>52.2</v>
      </c>
      <c r="O97" s="112">
        <v>46.4</v>
      </c>
      <c r="P97" s="112">
        <v>47.1</v>
      </c>
      <c r="Q97" s="112">
        <v>40.1</v>
      </c>
      <c r="R97" s="112">
        <v>37.200000000000003</v>
      </c>
      <c r="S97" s="112">
        <v>54.9</v>
      </c>
      <c r="T97" s="112">
        <v>48.7</v>
      </c>
      <c r="U97" s="112">
        <v>36.700000000000003</v>
      </c>
      <c r="V97" s="112">
        <v>51</v>
      </c>
      <c r="W97" s="112">
        <v>47.1</v>
      </c>
      <c r="X97" s="112">
        <v>53.3</v>
      </c>
      <c r="Y97" s="112">
        <v>61.8</v>
      </c>
      <c r="Z97" s="112">
        <v>60.2</v>
      </c>
      <c r="AA97" s="112">
        <v>66.400000000000006</v>
      </c>
      <c r="AB97" s="112">
        <v>71.900000000000006</v>
      </c>
      <c r="AC97" s="112">
        <v>73.5</v>
      </c>
      <c r="AD97" s="112">
        <v>67</v>
      </c>
      <c r="AE97" s="112">
        <v>39</v>
      </c>
      <c r="AF97" s="112">
        <v>-43</v>
      </c>
      <c r="AG97" s="113">
        <v>120</v>
      </c>
      <c r="AH97" s="54">
        <f t="shared" si="24"/>
        <v>73.5</v>
      </c>
      <c r="AI97" s="108">
        <f t="shared" si="25"/>
        <v>0.85416666666666663</v>
      </c>
    </row>
    <row r="98" spans="1:37" x14ac:dyDescent="0.25">
      <c r="A98" s="111" t="s">
        <v>103</v>
      </c>
      <c r="B98" s="112">
        <v>38.4</v>
      </c>
      <c r="C98" s="112">
        <v>34.4</v>
      </c>
      <c r="D98" s="112">
        <v>35.4</v>
      </c>
      <c r="E98" s="112">
        <v>30</v>
      </c>
      <c r="F98" s="112">
        <v>31</v>
      </c>
      <c r="G98" s="112">
        <v>36</v>
      </c>
      <c r="H98" s="112">
        <v>29</v>
      </c>
      <c r="I98" s="112">
        <v>33</v>
      </c>
      <c r="J98" s="112">
        <v>48</v>
      </c>
      <c r="K98" s="112">
        <v>48</v>
      </c>
      <c r="L98" s="112">
        <v>48</v>
      </c>
      <c r="M98" s="112">
        <v>51.7</v>
      </c>
      <c r="N98" s="112">
        <v>64.5</v>
      </c>
      <c r="O98" s="112">
        <v>64.599999999999994</v>
      </c>
      <c r="P98" s="112">
        <v>66.7</v>
      </c>
      <c r="Q98" s="112">
        <v>59</v>
      </c>
      <c r="R98" s="112">
        <v>61.5</v>
      </c>
      <c r="S98" s="112">
        <v>72.900000000000006</v>
      </c>
      <c r="T98" s="112">
        <v>63</v>
      </c>
      <c r="U98" s="112">
        <v>52.1</v>
      </c>
      <c r="V98" s="112">
        <v>62</v>
      </c>
      <c r="W98" s="112">
        <v>48.2</v>
      </c>
      <c r="X98" s="112">
        <v>56.8</v>
      </c>
      <c r="Y98" s="112">
        <v>64</v>
      </c>
      <c r="Z98" s="112">
        <v>55</v>
      </c>
      <c r="AA98" s="112">
        <v>54</v>
      </c>
      <c r="AB98" s="112">
        <v>62.7</v>
      </c>
      <c r="AC98" s="112">
        <v>62.4</v>
      </c>
      <c r="AD98" s="112">
        <v>62</v>
      </c>
      <c r="AE98" s="112">
        <v>43</v>
      </c>
      <c r="AF98" s="112">
        <v>57</v>
      </c>
      <c r="AG98" s="113"/>
      <c r="AH98" s="54">
        <f t="shared" si="24"/>
        <v>72.900000000000006</v>
      </c>
      <c r="AI98" s="108">
        <f t="shared" si="25"/>
        <v>0.58333333333333304</v>
      </c>
    </row>
    <row r="99" spans="1:37" x14ac:dyDescent="0.25">
      <c r="A99" s="111" t="s">
        <v>104</v>
      </c>
      <c r="B99" s="112">
        <v>47</v>
      </c>
      <c r="C99" s="112">
        <v>46.6</v>
      </c>
      <c r="D99" s="112">
        <v>58.3</v>
      </c>
      <c r="E99" s="112">
        <v>60</v>
      </c>
      <c r="F99" s="112">
        <v>-35</v>
      </c>
      <c r="G99" s="112">
        <v>63</v>
      </c>
      <c r="H99" s="112">
        <v>56</v>
      </c>
      <c r="I99" s="112">
        <v>55</v>
      </c>
      <c r="J99" s="112">
        <v>50</v>
      </c>
      <c r="K99" s="112">
        <v>50</v>
      </c>
      <c r="L99" s="112">
        <v>50</v>
      </c>
      <c r="M99" s="112">
        <v>27.8</v>
      </c>
      <c r="N99" s="112">
        <v>37.9</v>
      </c>
      <c r="O99" s="112">
        <v>34.6</v>
      </c>
      <c r="P99" s="112">
        <v>28.3</v>
      </c>
      <c r="Q99" s="112">
        <v>36.9</v>
      </c>
      <c r="R99" s="112">
        <v>38.5</v>
      </c>
      <c r="S99" s="112">
        <v>62.8</v>
      </c>
      <c r="T99" s="112">
        <v>59.3</v>
      </c>
      <c r="U99" s="112">
        <v>53</v>
      </c>
      <c r="V99" s="112">
        <v>55</v>
      </c>
      <c r="W99" s="112">
        <v>56.6</v>
      </c>
      <c r="X99" s="112">
        <v>57.9</v>
      </c>
      <c r="Y99" s="112">
        <v>59.1</v>
      </c>
      <c r="Z99" s="112">
        <v>56.3</v>
      </c>
      <c r="AA99" s="112">
        <v>55</v>
      </c>
      <c r="AB99" s="112">
        <v>38.6</v>
      </c>
      <c r="AC99" s="112">
        <v>49.9</v>
      </c>
      <c r="AD99" s="112">
        <v>65</v>
      </c>
      <c r="AE99" s="112">
        <v>63</v>
      </c>
      <c r="AF99" s="112">
        <v>60</v>
      </c>
      <c r="AG99" s="114"/>
      <c r="AH99" s="54">
        <f t="shared" si="24"/>
        <v>65</v>
      </c>
      <c r="AI99" s="108">
        <f t="shared" si="25"/>
        <v>0.875</v>
      </c>
    </row>
    <row r="100" spans="1:37" ht="15.75" thickBot="1" x14ac:dyDescent="0.3">
      <c r="A100" s="115" t="s">
        <v>105</v>
      </c>
      <c r="B100" s="95">
        <v>84.4</v>
      </c>
      <c r="C100" s="95">
        <v>73.2</v>
      </c>
      <c r="D100" s="95">
        <v>70.2</v>
      </c>
      <c r="E100" s="95">
        <v>67</v>
      </c>
      <c r="F100" s="95">
        <v>64</v>
      </c>
      <c r="G100" s="95">
        <v>58</v>
      </c>
      <c r="H100" s="95">
        <v>53</v>
      </c>
      <c r="I100" s="95">
        <v>62</v>
      </c>
      <c r="J100" s="95">
        <v>68</v>
      </c>
      <c r="K100" s="95">
        <v>68</v>
      </c>
      <c r="L100" s="95">
        <v>68</v>
      </c>
      <c r="M100" s="95">
        <v>78.599999999999994</v>
      </c>
      <c r="N100" s="95">
        <v>80.599999999999994</v>
      </c>
      <c r="O100" s="95">
        <v>80.8</v>
      </c>
      <c r="P100" s="95">
        <v>55.6</v>
      </c>
      <c r="Q100" s="95">
        <v>66.5</v>
      </c>
      <c r="R100" s="95">
        <v>65.099999999999994</v>
      </c>
      <c r="S100" s="95">
        <v>68.900000000000006</v>
      </c>
      <c r="T100" s="95">
        <v>80</v>
      </c>
      <c r="U100" s="95">
        <v>81.2</v>
      </c>
      <c r="V100" s="95">
        <v>68</v>
      </c>
      <c r="W100" s="95">
        <v>69.400000000000006</v>
      </c>
      <c r="X100" s="95">
        <v>64.400000000000006</v>
      </c>
      <c r="Y100" s="95">
        <v>81</v>
      </c>
      <c r="Z100" s="95">
        <v>93</v>
      </c>
      <c r="AA100" s="95">
        <v>100</v>
      </c>
      <c r="AB100" s="95">
        <v>97.1</v>
      </c>
      <c r="AC100" s="95">
        <v>96.4</v>
      </c>
      <c r="AD100" s="95">
        <v>94</v>
      </c>
      <c r="AE100" s="95">
        <v>92</v>
      </c>
      <c r="AF100" s="95">
        <v>92</v>
      </c>
      <c r="AG100" s="114"/>
      <c r="AH100" s="54">
        <f t="shared" si="24"/>
        <v>100</v>
      </c>
      <c r="AI100" s="108">
        <f t="shared" si="25"/>
        <v>0.8125</v>
      </c>
    </row>
    <row r="101" spans="1:37" ht="15.75" thickBot="1" x14ac:dyDescent="0.3">
      <c r="A101" s="116" t="s">
        <v>106</v>
      </c>
      <c r="B101" s="117"/>
      <c r="C101" s="117"/>
      <c r="D101" s="117" t="s">
        <v>231</v>
      </c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6">AF102</f>
        <v>9.9</v>
      </c>
      <c r="C102" s="53">
        <v>9.9</v>
      </c>
      <c r="D102" s="121">
        <f t="shared" ref="D102:S107" si="27">C102</f>
        <v>9.9</v>
      </c>
      <c r="E102" s="121">
        <f t="shared" si="27"/>
        <v>9.9</v>
      </c>
      <c r="F102" s="121">
        <f t="shared" si="27"/>
        <v>9.9</v>
      </c>
      <c r="G102" s="121">
        <f t="shared" si="27"/>
        <v>9.9</v>
      </c>
      <c r="H102" s="121">
        <f t="shared" si="27"/>
        <v>9.9</v>
      </c>
      <c r="I102" s="121">
        <f t="shared" si="27"/>
        <v>9.9</v>
      </c>
      <c r="J102" s="121">
        <f t="shared" si="27"/>
        <v>9.9</v>
      </c>
      <c r="K102" s="121">
        <f t="shared" si="27"/>
        <v>9.9</v>
      </c>
      <c r="L102" s="121">
        <f t="shared" si="27"/>
        <v>9.9</v>
      </c>
      <c r="M102" s="121">
        <f t="shared" si="27"/>
        <v>9.9</v>
      </c>
      <c r="N102" s="121">
        <f t="shared" si="27"/>
        <v>9.9</v>
      </c>
      <c r="O102" s="121">
        <f t="shared" si="27"/>
        <v>9.9</v>
      </c>
      <c r="P102" s="121">
        <f t="shared" si="27"/>
        <v>9.9</v>
      </c>
      <c r="Q102" s="121">
        <f t="shared" si="27"/>
        <v>9.9</v>
      </c>
      <c r="R102" s="121">
        <f t="shared" si="27"/>
        <v>9.9</v>
      </c>
      <c r="S102" s="121">
        <f t="shared" si="27"/>
        <v>9.9</v>
      </c>
      <c r="T102" s="121">
        <f t="shared" ref="T102:AF107" si="28">S102</f>
        <v>9.9</v>
      </c>
      <c r="U102" s="121">
        <f t="shared" si="28"/>
        <v>9.9</v>
      </c>
      <c r="V102" s="121">
        <f t="shared" si="28"/>
        <v>9.9</v>
      </c>
      <c r="W102" s="121">
        <f t="shared" si="28"/>
        <v>9.9</v>
      </c>
      <c r="X102" s="121">
        <f t="shared" si="28"/>
        <v>9.9</v>
      </c>
      <c r="Y102" s="121">
        <f t="shared" si="28"/>
        <v>9.9</v>
      </c>
      <c r="Z102" s="121">
        <f t="shared" si="28"/>
        <v>9.9</v>
      </c>
      <c r="AA102" s="121">
        <f t="shared" si="28"/>
        <v>9.9</v>
      </c>
      <c r="AB102" s="121">
        <f t="shared" si="28"/>
        <v>9.9</v>
      </c>
      <c r="AC102" s="121">
        <f t="shared" si="28"/>
        <v>9.9</v>
      </c>
      <c r="AD102" s="121">
        <f t="shared" si="28"/>
        <v>9.9</v>
      </c>
      <c r="AE102" s="121">
        <f t="shared" si="28"/>
        <v>9.9</v>
      </c>
      <c r="AF102" s="121">
        <f t="shared" si="28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6"/>
        <v>9.6</v>
      </c>
      <c r="C103" s="124">
        <v>9.6</v>
      </c>
      <c r="D103" s="123">
        <f t="shared" si="27"/>
        <v>9.6</v>
      </c>
      <c r="E103" s="123">
        <f t="shared" si="27"/>
        <v>9.6</v>
      </c>
      <c r="F103" s="123">
        <f t="shared" si="27"/>
        <v>9.6</v>
      </c>
      <c r="G103" s="123">
        <f t="shared" si="27"/>
        <v>9.6</v>
      </c>
      <c r="H103" s="123">
        <f t="shared" si="27"/>
        <v>9.6</v>
      </c>
      <c r="I103" s="123">
        <f t="shared" si="27"/>
        <v>9.6</v>
      </c>
      <c r="J103" s="123">
        <f t="shared" si="27"/>
        <v>9.6</v>
      </c>
      <c r="K103" s="123">
        <f t="shared" si="27"/>
        <v>9.6</v>
      </c>
      <c r="L103" s="123">
        <f t="shared" si="27"/>
        <v>9.6</v>
      </c>
      <c r="M103" s="123">
        <f t="shared" si="27"/>
        <v>9.6</v>
      </c>
      <c r="N103" s="123">
        <f t="shared" si="27"/>
        <v>9.6</v>
      </c>
      <c r="O103" s="123">
        <f t="shared" si="27"/>
        <v>9.6</v>
      </c>
      <c r="P103" s="123">
        <f t="shared" si="27"/>
        <v>9.6</v>
      </c>
      <c r="Q103" s="123">
        <f t="shared" si="27"/>
        <v>9.6</v>
      </c>
      <c r="R103" s="123">
        <f t="shared" si="27"/>
        <v>9.6</v>
      </c>
      <c r="S103" s="123">
        <f t="shared" si="27"/>
        <v>9.6</v>
      </c>
      <c r="T103" s="123">
        <f t="shared" si="28"/>
        <v>9.6</v>
      </c>
      <c r="U103" s="123">
        <f t="shared" si="28"/>
        <v>9.6</v>
      </c>
      <c r="V103" s="123">
        <f t="shared" si="28"/>
        <v>9.6</v>
      </c>
      <c r="W103" s="123">
        <f t="shared" si="28"/>
        <v>9.6</v>
      </c>
      <c r="X103" s="123">
        <f t="shared" si="28"/>
        <v>9.6</v>
      </c>
      <c r="Y103" s="123">
        <f t="shared" si="28"/>
        <v>9.6</v>
      </c>
      <c r="Z103" s="123">
        <f t="shared" si="28"/>
        <v>9.6</v>
      </c>
      <c r="AA103" s="123">
        <f t="shared" si="28"/>
        <v>9.6</v>
      </c>
      <c r="AB103" s="123">
        <f t="shared" si="28"/>
        <v>9.6</v>
      </c>
      <c r="AC103" s="123">
        <f t="shared" si="28"/>
        <v>9.6</v>
      </c>
      <c r="AD103" s="123">
        <f t="shared" si="28"/>
        <v>9.6</v>
      </c>
      <c r="AE103" s="123">
        <f t="shared" si="28"/>
        <v>9.6</v>
      </c>
      <c r="AF103" s="123">
        <f t="shared" si="28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6"/>
        <v>9.98</v>
      </c>
      <c r="C104" s="124">
        <v>9.98</v>
      </c>
      <c r="D104" s="123">
        <f t="shared" si="27"/>
        <v>9.98</v>
      </c>
      <c r="E104" s="123">
        <f t="shared" si="27"/>
        <v>9.98</v>
      </c>
      <c r="F104" s="123">
        <f t="shared" si="27"/>
        <v>9.98</v>
      </c>
      <c r="G104" s="123">
        <f t="shared" si="27"/>
        <v>9.98</v>
      </c>
      <c r="H104" s="123">
        <f t="shared" si="27"/>
        <v>9.98</v>
      </c>
      <c r="I104" s="123">
        <f t="shared" si="27"/>
        <v>9.98</v>
      </c>
      <c r="J104" s="123">
        <f t="shared" si="27"/>
        <v>9.98</v>
      </c>
      <c r="K104" s="123">
        <f t="shared" si="27"/>
        <v>9.98</v>
      </c>
      <c r="L104" s="123">
        <f t="shared" si="27"/>
        <v>9.98</v>
      </c>
      <c r="M104" s="123">
        <f t="shared" si="27"/>
        <v>9.98</v>
      </c>
      <c r="N104" s="123">
        <f t="shared" si="27"/>
        <v>9.98</v>
      </c>
      <c r="O104" s="123">
        <f t="shared" si="27"/>
        <v>9.98</v>
      </c>
      <c r="P104" s="123">
        <f t="shared" si="27"/>
        <v>9.98</v>
      </c>
      <c r="Q104" s="123">
        <f t="shared" si="27"/>
        <v>9.98</v>
      </c>
      <c r="R104" s="123">
        <f t="shared" si="27"/>
        <v>9.98</v>
      </c>
      <c r="S104" s="123">
        <f t="shared" si="27"/>
        <v>9.98</v>
      </c>
      <c r="T104" s="123">
        <f t="shared" si="28"/>
        <v>9.98</v>
      </c>
      <c r="U104" s="123">
        <f t="shared" si="28"/>
        <v>9.98</v>
      </c>
      <c r="V104" s="123">
        <f t="shared" si="28"/>
        <v>9.98</v>
      </c>
      <c r="W104" s="123">
        <f t="shared" si="28"/>
        <v>9.98</v>
      </c>
      <c r="X104" s="123">
        <f t="shared" si="28"/>
        <v>9.98</v>
      </c>
      <c r="Y104" s="123">
        <f t="shared" si="28"/>
        <v>9.98</v>
      </c>
      <c r="Z104" s="123">
        <f t="shared" si="28"/>
        <v>9.98</v>
      </c>
      <c r="AA104" s="123">
        <f t="shared" si="28"/>
        <v>9.98</v>
      </c>
      <c r="AB104" s="123">
        <f t="shared" si="28"/>
        <v>9.98</v>
      </c>
      <c r="AC104" s="123">
        <f t="shared" si="28"/>
        <v>9.98</v>
      </c>
      <c r="AD104" s="123">
        <f t="shared" si="28"/>
        <v>9.98</v>
      </c>
      <c r="AE104" s="123">
        <f t="shared" si="28"/>
        <v>9.98</v>
      </c>
      <c r="AF104" s="123">
        <f t="shared" si="28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6"/>
        <v>9.1</v>
      </c>
      <c r="C105" s="124">
        <v>9.1</v>
      </c>
      <c r="D105" s="123">
        <f t="shared" si="27"/>
        <v>9.1</v>
      </c>
      <c r="E105" s="123">
        <f t="shared" si="27"/>
        <v>9.1</v>
      </c>
      <c r="F105" s="123">
        <f t="shared" si="27"/>
        <v>9.1</v>
      </c>
      <c r="G105" s="123">
        <f t="shared" si="27"/>
        <v>9.1</v>
      </c>
      <c r="H105" s="123">
        <f t="shared" si="27"/>
        <v>9.1</v>
      </c>
      <c r="I105" s="123">
        <f t="shared" si="27"/>
        <v>9.1</v>
      </c>
      <c r="J105" s="123">
        <f t="shared" si="27"/>
        <v>9.1</v>
      </c>
      <c r="K105" s="123">
        <f t="shared" si="27"/>
        <v>9.1</v>
      </c>
      <c r="L105" s="123">
        <f t="shared" si="27"/>
        <v>9.1</v>
      </c>
      <c r="M105" s="123">
        <f t="shared" si="27"/>
        <v>9.1</v>
      </c>
      <c r="N105" s="123">
        <f t="shared" si="27"/>
        <v>9.1</v>
      </c>
      <c r="O105" s="123">
        <f t="shared" si="27"/>
        <v>9.1</v>
      </c>
      <c r="P105" s="123">
        <f t="shared" si="27"/>
        <v>9.1</v>
      </c>
      <c r="Q105" s="123">
        <f t="shared" si="27"/>
        <v>9.1</v>
      </c>
      <c r="R105" s="123">
        <f t="shared" si="27"/>
        <v>9.1</v>
      </c>
      <c r="S105" s="123">
        <f t="shared" si="27"/>
        <v>9.1</v>
      </c>
      <c r="T105" s="123">
        <f t="shared" si="28"/>
        <v>9.1</v>
      </c>
      <c r="U105" s="123">
        <f t="shared" si="28"/>
        <v>9.1</v>
      </c>
      <c r="V105" s="123">
        <f t="shared" si="28"/>
        <v>9.1</v>
      </c>
      <c r="W105" s="123">
        <f t="shared" si="28"/>
        <v>9.1</v>
      </c>
      <c r="X105" s="123">
        <f t="shared" si="28"/>
        <v>9.1</v>
      </c>
      <c r="Y105" s="123">
        <f t="shared" si="28"/>
        <v>9.1</v>
      </c>
      <c r="Z105" s="123">
        <f t="shared" si="28"/>
        <v>9.1</v>
      </c>
      <c r="AA105" s="123">
        <f t="shared" si="28"/>
        <v>9.1</v>
      </c>
      <c r="AB105" s="123">
        <f t="shared" si="28"/>
        <v>9.1</v>
      </c>
      <c r="AC105" s="123">
        <f t="shared" si="28"/>
        <v>9.1</v>
      </c>
      <c r="AD105" s="123">
        <f t="shared" si="28"/>
        <v>9.1</v>
      </c>
      <c r="AE105" s="123">
        <f t="shared" si="28"/>
        <v>9.1</v>
      </c>
      <c r="AF105" s="123">
        <f t="shared" si="28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6"/>
        <v>9.18</v>
      </c>
      <c r="C106" s="124">
        <v>9.18</v>
      </c>
      <c r="D106" s="123">
        <f t="shared" si="27"/>
        <v>9.18</v>
      </c>
      <c r="E106" s="123">
        <f t="shared" si="27"/>
        <v>9.18</v>
      </c>
      <c r="F106" s="123">
        <f t="shared" si="27"/>
        <v>9.18</v>
      </c>
      <c r="G106" s="123">
        <f t="shared" si="27"/>
        <v>9.18</v>
      </c>
      <c r="H106" s="123">
        <f t="shared" si="27"/>
        <v>9.18</v>
      </c>
      <c r="I106" s="123">
        <f t="shared" si="27"/>
        <v>9.18</v>
      </c>
      <c r="J106" s="123">
        <f t="shared" si="27"/>
        <v>9.18</v>
      </c>
      <c r="K106" s="123">
        <f t="shared" si="27"/>
        <v>9.18</v>
      </c>
      <c r="L106" s="123">
        <f t="shared" si="27"/>
        <v>9.18</v>
      </c>
      <c r="M106" s="123">
        <f t="shared" si="27"/>
        <v>9.18</v>
      </c>
      <c r="N106" s="123">
        <f t="shared" si="27"/>
        <v>9.18</v>
      </c>
      <c r="O106" s="123">
        <f t="shared" si="27"/>
        <v>9.18</v>
      </c>
      <c r="P106" s="123">
        <f t="shared" si="27"/>
        <v>9.18</v>
      </c>
      <c r="Q106" s="123">
        <f t="shared" si="27"/>
        <v>9.18</v>
      </c>
      <c r="R106" s="123">
        <f t="shared" si="27"/>
        <v>9.18</v>
      </c>
      <c r="S106" s="123">
        <f t="shared" si="27"/>
        <v>9.18</v>
      </c>
      <c r="T106" s="123">
        <f t="shared" si="28"/>
        <v>9.18</v>
      </c>
      <c r="U106" s="123">
        <f t="shared" si="28"/>
        <v>9.18</v>
      </c>
      <c r="V106" s="123">
        <f t="shared" si="28"/>
        <v>9.18</v>
      </c>
      <c r="W106" s="123">
        <f t="shared" si="28"/>
        <v>9.18</v>
      </c>
      <c r="X106" s="123">
        <f t="shared" si="28"/>
        <v>9.18</v>
      </c>
      <c r="Y106" s="123">
        <f t="shared" si="28"/>
        <v>9.18</v>
      </c>
      <c r="Z106" s="123">
        <f t="shared" si="28"/>
        <v>9.18</v>
      </c>
      <c r="AA106" s="123">
        <f t="shared" si="28"/>
        <v>9.18</v>
      </c>
      <c r="AB106" s="123">
        <f t="shared" si="28"/>
        <v>9.18</v>
      </c>
      <c r="AC106" s="123">
        <f t="shared" si="28"/>
        <v>9.18</v>
      </c>
      <c r="AD106" s="123">
        <f t="shared" si="28"/>
        <v>9.18</v>
      </c>
      <c r="AE106" s="123">
        <f t="shared" si="28"/>
        <v>9.18</v>
      </c>
      <c r="AF106" s="123">
        <f t="shared" si="28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6"/>
        <v>7</v>
      </c>
      <c r="C107" s="124">
        <v>7</v>
      </c>
      <c r="D107" s="123">
        <f t="shared" si="27"/>
        <v>7</v>
      </c>
      <c r="E107" s="123">
        <f t="shared" si="27"/>
        <v>7</v>
      </c>
      <c r="F107" s="123">
        <f t="shared" si="27"/>
        <v>7</v>
      </c>
      <c r="G107" s="123">
        <f t="shared" si="27"/>
        <v>7</v>
      </c>
      <c r="H107" s="123">
        <f t="shared" si="27"/>
        <v>7</v>
      </c>
      <c r="I107" s="123">
        <f t="shared" si="27"/>
        <v>7</v>
      </c>
      <c r="J107" s="123">
        <f t="shared" si="27"/>
        <v>7</v>
      </c>
      <c r="K107" s="123">
        <f t="shared" si="27"/>
        <v>7</v>
      </c>
      <c r="L107" s="123">
        <f t="shared" si="27"/>
        <v>7</v>
      </c>
      <c r="M107" s="123">
        <f t="shared" si="27"/>
        <v>7</v>
      </c>
      <c r="N107" s="123">
        <f t="shared" si="27"/>
        <v>7</v>
      </c>
      <c r="O107" s="123">
        <f t="shared" si="27"/>
        <v>7</v>
      </c>
      <c r="P107" s="123">
        <f t="shared" si="27"/>
        <v>7</v>
      </c>
      <c r="Q107" s="123">
        <f t="shared" si="27"/>
        <v>7</v>
      </c>
      <c r="R107" s="123">
        <f t="shared" si="27"/>
        <v>7</v>
      </c>
      <c r="S107" s="123">
        <f t="shared" si="27"/>
        <v>7</v>
      </c>
      <c r="T107" s="123">
        <f t="shared" si="28"/>
        <v>7</v>
      </c>
      <c r="U107" s="123">
        <f t="shared" si="28"/>
        <v>7</v>
      </c>
      <c r="V107" s="123">
        <f t="shared" si="28"/>
        <v>7</v>
      </c>
      <c r="W107" s="123">
        <f t="shared" si="28"/>
        <v>7</v>
      </c>
      <c r="X107" s="123">
        <f t="shared" si="28"/>
        <v>7</v>
      </c>
      <c r="Y107" s="123">
        <f t="shared" si="28"/>
        <v>7</v>
      </c>
      <c r="Z107" s="123">
        <f t="shared" si="28"/>
        <v>7</v>
      </c>
      <c r="AA107" s="123">
        <f t="shared" si="28"/>
        <v>7</v>
      </c>
      <c r="AB107" s="123">
        <f t="shared" si="28"/>
        <v>7</v>
      </c>
      <c r="AC107" s="123">
        <f t="shared" si="28"/>
        <v>7</v>
      </c>
      <c r="AD107" s="123">
        <f t="shared" si="28"/>
        <v>7</v>
      </c>
      <c r="AE107" s="123">
        <f t="shared" si="28"/>
        <v>7</v>
      </c>
      <c r="AF107" s="123">
        <f t="shared" si="28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9">C109</f>
        <v>2.25</v>
      </c>
      <c r="E109" s="123">
        <f t="shared" si="29"/>
        <v>2.25</v>
      </c>
      <c r="F109" s="123">
        <f t="shared" si="29"/>
        <v>2.25</v>
      </c>
      <c r="G109" s="123">
        <f t="shared" si="29"/>
        <v>2.25</v>
      </c>
      <c r="H109" s="123">
        <f t="shared" si="29"/>
        <v>2.25</v>
      </c>
      <c r="I109" s="123">
        <f t="shared" si="29"/>
        <v>2.25</v>
      </c>
      <c r="J109" s="123">
        <f t="shared" si="29"/>
        <v>2.25</v>
      </c>
      <c r="K109" s="123">
        <f t="shared" si="29"/>
        <v>2.25</v>
      </c>
      <c r="L109" s="123">
        <f t="shared" si="29"/>
        <v>2.25</v>
      </c>
      <c r="M109" s="123">
        <f t="shared" si="29"/>
        <v>2.25</v>
      </c>
      <c r="N109" s="123">
        <f t="shared" si="29"/>
        <v>2.25</v>
      </c>
      <c r="O109" s="123">
        <f t="shared" si="29"/>
        <v>2.25</v>
      </c>
      <c r="P109" s="123">
        <f t="shared" si="29"/>
        <v>2.25</v>
      </c>
      <c r="Q109" s="123">
        <f t="shared" si="29"/>
        <v>2.25</v>
      </c>
      <c r="R109" s="123">
        <f t="shared" si="29"/>
        <v>2.25</v>
      </c>
      <c r="S109" s="123">
        <f t="shared" si="29"/>
        <v>2.25</v>
      </c>
      <c r="T109" s="123">
        <f t="shared" ref="T109:AF110" si="30">S109</f>
        <v>2.25</v>
      </c>
      <c r="U109" s="123">
        <f t="shared" si="30"/>
        <v>2.25</v>
      </c>
      <c r="V109" s="123">
        <f t="shared" si="30"/>
        <v>2.25</v>
      </c>
      <c r="W109" s="123">
        <f t="shared" si="30"/>
        <v>2.25</v>
      </c>
      <c r="X109" s="123">
        <f t="shared" si="30"/>
        <v>2.25</v>
      </c>
      <c r="Y109" s="123">
        <f t="shared" si="30"/>
        <v>2.25</v>
      </c>
      <c r="Z109" s="123">
        <f t="shared" si="30"/>
        <v>2.25</v>
      </c>
      <c r="AA109" s="123">
        <f t="shared" si="30"/>
        <v>2.25</v>
      </c>
      <c r="AB109" s="123">
        <f t="shared" si="30"/>
        <v>2.25</v>
      </c>
      <c r="AC109" s="123">
        <f t="shared" si="30"/>
        <v>2.25</v>
      </c>
      <c r="AD109" s="123">
        <f t="shared" si="30"/>
        <v>2.25</v>
      </c>
      <c r="AE109" s="123">
        <f t="shared" si="30"/>
        <v>2.25</v>
      </c>
      <c r="AF109" s="123">
        <f t="shared" si="30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9"/>
        <v>1.64</v>
      </c>
      <c r="E110" s="123">
        <f t="shared" si="29"/>
        <v>1.64</v>
      </c>
      <c r="F110" s="123">
        <f t="shared" si="29"/>
        <v>1.64</v>
      </c>
      <c r="G110" s="123">
        <f t="shared" si="29"/>
        <v>1.64</v>
      </c>
      <c r="H110" s="123">
        <f t="shared" si="29"/>
        <v>1.64</v>
      </c>
      <c r="I110" s="123">
        <f t="shared" si="29"/>
        <v>1.64</v>
      </c>
      <c r="J110" s="123">
        <f t="shared" si="29"/>
        <v>1.64</v>
      </c>
      <c r="K110" s="123">
        <f t="shared" si="29"/>
        <v>1.64</v>
      </c>
      <c r="L110" s="123">
        <f t="shared" si="29"/>
        <v>1.64</v>
      </c>
      <c r="M110" s="123">
        <f t="shared" si="29"/>
        <v>1.64</v>
      </c>
      <c r="N110" s="123">
        <f t="shared" si="29"/>
        <v>1.64</v>
      </c>
      <c r="O110" s="123">
        <f t="shared" si="29"/>
        <v>1.64</v>
      </c>
      <c r="P110" s="123">
        <f t="shared" si="29"/>
        <v>1.64</v>
      </c>
      <c r="Q110" s="123">
        <f t="shared" si="29"/>
        <v>1.64</v>
      </c>
      <c r="R110" s="123">
        <f t="shared" si="29"/>
        <v>1.64</v>
      </c>
      <c r="S110" s="123">
        <f t="shared" si="29"/>
        <v>1.64</v>
      </c>
      <c r="T110" s="123">
        <f t="shared" si="30"/>
        <v>1.64</v>
      </c>
      <c r="U110" s="123">
        <f t="shared" si="30"/>
        <v>1.64</v>
      </c>
      <c r="V110" s="123">
        <f t="shared" si="30"/>
        <v>1.64</v>
      </c>
      <c r="W110" s="123">
        <f t="shared" si="30"/>
        <v>1.64</v>
      </c>
      <c r="X110" s="123">
        <f t="shared" si="30"/>
        <v>1.64</v>
      </c>
      <c r="Y110" s="123">
        <f t="shared" si="30"/>
        <v>1.64</v>
      </c>
      <c r="Z110" s="123">
        <f t="shared" si="30"/>
        <v>1.64</v>
      </c>
      <c r="AA110" s="123">
        <f t="shared" si="30"/>
        <v>1.64</v>
      </c>
      <c r="AB110" s="123">
        <f t="shared" si="30"/>
        <v>1.64</v>
      </c>
      <c r="AC110" s="123">
        <f t="shared" si="30"/>
        <v>1.64</v>
      </c>
      <c r="AD110" s="123">
        <f t="shared" si="30"/>
        <v>1.64</v>
      </c>
      <c r="AE110" s="123">
        <f t="shared" si="30"/>
        <v>1.64</v>
      </c>
      <c r="AF110" s="123">
        <f t="shared" si="30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1">AF112</f>
        <v>1.62</v>
      </c>
      <c r="C112" s="124">
        <v>1.62</v>
      </c>
      <c r="D112" s="123">
        <f t="shared" ref="D112:S119" si="32">C112</f>
        <v>1.62</v>
      </c>
      <c r="E112" s="123">
        <f t="shared" si="32"/>
        <v>1.62</v>
      </c>
      <c r="F112" s="123">
        <f t="shared" si="32"/>
        <v>1.62</v>
      </c>
      <c r="G112" s="123">
        <f t="shared" si="32"/>
        <v>1.62</v>
      </c>
      <c r="H112" s="123">
        <f t="shared" si="32"/>
        <v>1.62</v>
      </c>
      <c r="I112" s="123">
        <f t="shared" si="32"/>
        <v>1.62</v>
      </c>
      <c r="J112" s="123">
        <f t="shared" si="32"/>
        <v>1.62</v>
      </c>
      <c r="K112" s="123">
        <f t="shared" si="32"/>
        <v>1.62</v>
      </c>
      <c r="L112" s="123">
        <f t="shared" si="32"/>
        <v>1.62</v>
      </c>
      <c r="M112" s="123">
        <f t="shared" si="32"/>
        <v>1.62</v>
      </c>
      <c r="N112" s="123">
        <f t="shared" si="32"/>
        <v>1.62</v>
      </c>
      <c r="O112" s="123">
        <f t="shared" si="32"/>
        <v>1.62</v>
      </c>
      <c r="P112" s="123">
        <f t="shared" si="32"/>
        <v>1.62</v>
      </c>
      <c r="Q112" s="123">
        <f t="shared" si="32"/>
        <v>1.62</v>
      </c>
      <c r="R112" s="123">
        <f t="shared" si="32"/>
        <v>1.62</v>
      </c>
      <c r="S112" s="123">
        <f t="shared" si="32"/>
        <v>1.62</v>
      </c>
      <c r="T112" s="123">
        <f t="shared" ref="T112:AF127" si="33">S112</f>
        <v>1.62</v>
      </c>
      <c r="U112" s="123">
        <f t="shared" si="33"/>
        <v>1.62</v>
      </c>
      <c r="V112" s="123">
        <f t="shared" si="33"/>
        <v>1.62</v>
      </c>
      <c r="W112" s="123">
        <f t="shared" si="33"/>
        <v>1.62</v>
      </c>
      <c r="X112" s="123">
        <f t="shared" si="33"/>
        <v>1.62</v>
      </c>
      <c r="Y112" s="123">
        <f t="shared" si="33"/>
        <v>1.62</v>
      </c>
      <c r="Z112" s="123">
        <f t="shared" si="33"/>
        <v>1.62</v>
      </c>
      <c r="AA112" s="123">
        <f t="shared" si="33"/>
        <v>1.62</v>
      </c>
      <c r="AB112" s="123">
        <f t="shared" si="33"/>
        <v>1.62</v>
      </c>
      <c r="AC112" s="123">
        <f t="shared" si="33"/>
        <v>1.62</v>
      </c>
      <c r="AD112" s="123">
        <f t="shared" si="33"/>
        <v>1.62</v>
      </c>
      <c r="AE112" s="123">
        <f t="shared" si="33"/>
        <v>1.62</v>
      </c>
      <c r="AF112" s="123">
        <f t="shared" si="33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1"/>
        <v>8.36</v>
      </c>
      <c r="C113" s="124">
        <v>8.36</v>
      </c>
      <c r="D113" s="123">
        <f t="shared" si="32"/>
        <v>8.36</v>
      </c>
      <c r="E113" s="123">
        <f t="shared" si="32"/>
        <v>8.36</v>
      </c>
      <c r="F113" s="123">
        <f t="shared" si="32"/>
        <v>8.36</v>
      </c>
      <c r="G113" s="123">
        <f t="shared" si="32"/>
        <v>8.36</v>
      </c>
      <c r="H113" s="123">
        <f t="shared" si="32"/>
        <v>8.36</v>
      </c>
      <c r="I113" s="123">
        <f t="shared" si="32"/>
        <v>8.36</v>
      </c>
      <c r="J113" s="123">
        <f t="shared" si="32"/>
        <v>8.36</v>
      </c>
      <c r="K113" s="123">
        <f t="shared" si="32"/>
        <v>8.36</v>
      </c>
      <c r="L113" s="123">
        <f t="shared" si="32"/>
        <v>8.36</v>
      </c>
      <c r="M113" s="123">
        <f t="shared" si="32"/>
        <v>8.36</v>
      </c>
      <c r="N113" s="123">
        <f t="shared" si="32"/>
        <v>8.36</v>
      </c>
      <c r="O113" s="123">
        <f t="shared" si="32"/>
        <v>8.36</v>
      </c>
      <c r="P113" s="123">
        <f t="shared" si="32"/>
        <v>8.36</v>
      </c>
      <c r="Q113" s="123">
        <f t="shared" si="32"/>
        <v>8.36</v>
      </c>
      <c r="R113" s="123">
        <f t="shared" si="32"/>
        <v>8.36</v>
      </c>
      <c r="S113" s="123">
        <f t="shared" si="32"/>
        <v>8.36</v>
      </c>
      <c r="T113" s="123">
        <f t="shared" si="33"/>
        <v>8.36</v>
      </c>
      <c r="U113" s="123">
        <f t="shared" si="33"/>
        <v>8.36</v>
      </c>
      <c r="V113" s="123">
        <f t="shared" si="33"/>
        <v>8.36</v>
      </c>
      <c r="W113" s="123">
        <f t="shared" si="33"/>
        <v>8.36</v>
      </c>
      <c r="X113" s="123">
        <f t="shared" si="33"/>
        <v>8.36</v>
      </c>
      <c r="Y113" s="123">
        <f t="shared" si="33"/>
        <v>8.36</v>
      </c>
      <c r="Z113" s="123">
        <f t="shared" si="33"/>
        <v>8.36</v>
      </c>
      <c r="AA113" s="123">
        <f t="shared" si="33"/>
        <v>8.36</v>
      </c>
      <c r="AB113" s="123">
        <f t="shared" si="33"/>
        <v>8.36</v>
      </c>
      <c r="AC113" s="123">
        <f t="shared" si="33"/>
        <v>8.36</v>
      </c>
      <c r="AD113" s="123">
        <f t="shared" si="33"/>
        <v>8.36</v>
      </c>
      <c r="AE113" s="123">
        <f t="shared" si="33"/>
        <v>8.36</v>
      </c>
      <c r="AF113" s="123">
        <f t="shared" si="33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1"/>
        <v>5.4</v>
      </c>
      <c r="C114" s="124">
        <v>8</v>
      </c>
      <c r="D114" s="123">
        <f t="shared" si="32"/>
        <v>8</v>
      </c>
      <c r="E114" s="123">
        <f t="shared" si="32"/>
        <v>8</v>
      </c>
      <c r="F114" s="123">
        <f t="shared" si="32"/>
        <v>8</v>
      </c>
      <c r="G114" s="123">
        <f t="shared" si="32"/>
        <v>8</v>
      </c>
      <c r="H114" s="123">
        <f t="shared" si="32"/>
        <v>8</v>
      </c>
      <c r="I114" s="123">
        <f t="shared" si="32"/>
        <v>8</v>
      </c>
      <c r="J114" s="123">
        <v>5.4</v>
      </c>
      <c r="K114" s="123">
        <f t="shared" si="32"/>
        <v>5.4</v>
      </c>
      <c r="L114" s="123">
        <f t="shared" si="32"/>
        <v>5.4</v>
      </c>
      <c r="M114" s="123">
        <f t="shared" si="32"/>
        <v>5.4</v>
      </c>
      <c r="N114" s="123">
        <f t="shared" si="32"/>
        <v>5.4</v>
      </c>
      <c r="O114" s="123">
        <f t="shared" si="32"/>
        <v>5.4</v>
      </c>
      <c r="P114" s="123">
        <f t="shared" si="32"/>
        <v>5.4</v>
      </c>
      <c r="Q114" s="123">
        <f t="shared" si="32"/>
        <v>5.4</v>
      </c>
      <c r="R114" s="123">
        <f t="shared" si="32"/>
        <v>5.4</v>
      </c>
      <c r="S114" s="123">
        <f t="shared" si="32"/>
        <v>5.4</v>
      </c>
      <c r="T114" s="123">
        <f t="shared" si="33"/>
        <v>5.4</v>
      </c>
      <c r="U114" s="123">
        <f t="shared" si="33"/>
        <v>5.4</v>
      </c>
      <c r="V114" s="123">
        <f t="shared" si="33"/>
        <v>5.4</v>
      </c>
      <c r="W114" s="123">
        <f t="shared" si="33"/>
        <v>5.4</v>
      </c>
      <c r="X114" s="123">
        <f t="shared" si="33"/>
        <v>5.4</v>
      </c>
      <c r="Y114" s="123">
        <f t="shared" si="33"/>
        <v>5.4</v>
      </c>
      <c r="Z114" s="123">
        <f t="shared" si="33"/>
        <v>5.4</v>
      </c>
      <c r="AA114" s="123">
        <f t="shared" si="33"/>
        <v>5.4</v>
      </c>
      <c r="AB114" s="123">
        <f t="shared" si="33"/>
        <v>5.4</v>
      </c>
      <c r="AC114" s="123">
        <f t="shared" si="33"/>
        <v>5.4</v>
      </c>
      <c r="AD114" s="123">
        <f t="shared" si="33"/>
        <v>5.4</v>
      </c>
      <c r="AE114" s="123">
        <f t="shared" si="33"/>
        <v>5.4</v>
      </c>
      <c r="AF114" s="123">
        <f t="shared" si="33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1"/>
        <v>6.57</v>
      </c>
      <c r="C115" s="124">
        <v>6.57</v>
      </c>
      <c r="D115" s="123">
        <f t="shared" si="32"/>
        <v>6.57</v>
      </c>
      <c r="E115" s="123">
        <f t="shared" si="32"/>
        <v>6.57</v>
      </c>
      <c r="F115" s="123">
        <f t="shared" si="32"/>
        <v>6.57</v>
      </c>
      <c r="G115" s="123">
        <f t="shared" si="32"/>
        <v>6.57</v>
      </c>
      <c r="H115" s="123">
        <f t="shared" si="32"/>
        <v>6.57</v>
      </c>
      <c r="I115" s="123">
        <f t="shared" si="32"/>
        <v>6.57</v>
      </c>
      <c r="J115" s="123">
        <f t="shared" si="32"/>
        <v>6.57</v>
      </c>
      <c r="K115" s="123">
        <f t="shared" si="32"/>
        <v>6.57</v>
      </c>
      <c r="L115" s="123">
        <f t="shared" si="32"/>
        <v>6.57</v>
      </c>
      <c r="M115" s="123">
        <f t="shared" si="32"/>
        <v>6.57</v>
      </c>
      <c r="N115" s="123">
        <f t="shared" si="32"/>
        <v>6.57</v>
      </c>
      <c r="O115" s="123">
        <f t="shared" si="32"/>
        <v>6.57</v>
      </c>
      <c r="P115" s="123">
        <f t="shared" si="32"/>
        <v>6.57</v>
      </c>
      <c r="Q115" s="123">
        <f t="shared" si="32"/>
        <v>6.57</v>
      </c>
      <c r="R115" s="123">
        <f t="shared" si="32"/>
        <v>6.57</v>
      </c>
      <c r="S115" s="123">
        <f t="shared" si="32"/>
        <v>6.57</v>
      </c>
      <c r="T115" s="123">
        <f t="shared" si="33"/>
        <v>6.57</v>
      </c>
      <c r="U115" s="123">
        <f t="shared" si="33"/>
        <v>6.57</v>
      </c>
      <c r="V115" s="123">
        <f t="shared" si="33"/>
        <v>6.57</v>
      </c>
      <c r="W115" s="123">
        <f t="shared" si="33"/>
        <v>6.57</v>
      </c>
      <c r="X115" s="123">
        <f t="shared" si="33"/>
        <v>6.57</v>
      </c>
      <c r="Y115" s="123">
        <f t="shared" si="33"/>
        <v>6.57</v>
      </c>
      <c r="Z115" s="123">
        <f t="shared" si="33"/>
        <v>6.57</v>
      </c>
      <c r="AA115" s="123">
        <f t="shared" si="33"/>
        <v>6.57</v>
      </c>
      <c r="AB115" s="123">
        <f t="shared" si="33"/>
        <v>6.57</v>
      </c>
      <c r="AC115" s="123">
        <f t="shared" si="33"/>
        <v>6.57</v>
      </c>
      <c r="AD115" s="123">
        <f t="shared" si="33"/>
        <v>6.57</v>
      </c>
      <c r="AE115" s="123">
        <f t="shared" si="33"/>
        <v>6.57</v>
      </c>
      <c r="AF115" s="123">
        <f t="shared" si="33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1"/>
        <v>3.43</v>
      </c>
      <c r="C116" s="124">
        <v>3.43</v>
      </c>
      <c r="D116" s="123">
        <f t="shared" si="32"/>
        <v>3.43</v>
      </c>
      <c r="E116" s="123">
        <f t="shared" si="32"/>
        <v>3.43</v>
      </c>
      <c r="F116" s="123">
        <f t="shared" si="32"/>
        <v>3.43</v>
      </c>
      <c r="G116" s="123">
        <f t="shared" si="32"/>
        <v>3.43</v>
      </c>
      <c r="H116" s="123">
        <f t="shared" si="32"/>
        <v>3.43</v>
      </c>
      <c r="I116" s="123">
        <f t="shared" si="32"/>
        <v>3.43</v>
      </c>
      <c r="J116" s="123">
        <f t="shared" si="32"/>
        <v>3.43</v>
      </c>
      <c r="K116" s="123">
        <f t="shared" si="32"/>
        <v>3.43</v>
      </c>
      <c r="L116" s="123">
        <f t="shared" si="32"/>
        <v>3.43</v>
      </c>
      <c r="M116" s="123">
        <f t="shared" si="32"/>
        <v>3.43</v>
      </c>
      <c r="N116" s="123">
        <f t="shared" si="32"/>
        <v>3.43</v>
      </c>
      <c r="O116" s="123">
        <f t="shared" si="32"/>
        <v>3.43</v>
      </c>
      <c r="P116" s="123">
        <f t="shared" si="32"/>
        <v>3.43</v>
      </c>
      <c r="Q116" s="123">
        <f t="shared" si="32"/>
        <v>3.43</v>
      </c>
      <c r="R116" s="123">
        <f t="shared" si="32"/>
        <v>3.43</v>
      </c>
      <c r="S116" s="123">
        <f t="shared" si="32"/>
        <v>3.43</v>
      </c>
      <c r="T116" s="123">
        <f t="shared" si="33"/>
        <v>3.43</v>
      </c>
      <c r="U116" s="123">
        <f t="shared" si="33"/>
        <v>3.43</v>
      </c>
      <c r="V116" s="123">
        <f t="shared" si="33"/>
        <v>3.43</v>
      </c>
      <c r="W116" s="123">
        <f t="shared" si="33"/>
        <v>3.43</v>
      </c>
      <c r="X116" s="123">
        <f t="shared" si="33"/>
        <v>3.43</v>
      </c>
      <c r="Y116" s="123">
        <f t="shared" si="33"/>
        <v>3.43</v>
      </c>
      <c r="Z116" s="123">
        <f t="shared" si="33"/>
        <v>3.43</v>
      </c>
      <c r="AA116" s="123">
        <f t="shared" si="33"/>
        <v>3.43</v>
      </c>
      <c r="AB116" s="123">
        <f t="shared" si="33"/>
        <v>3.43</v>
      </c>
      <c r="AC116" s="123">
        <f t="shared" si="33"/>
        <v>3.43</v>
      </c>
      <c r="AD116" s="123">
        <f t="shared" si="33"/>
        <v>3.43</v>
      </c>
      <c r="AE116" s="123">
        <f t="shared" si="33"/>
        <v>3.43</v>
      </c>
      <c r="AF116" s="123">
        <f t="shared" si="33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1"/>
        <v>2.96</v>
      </c>
      <c r="C117" s="124">
        <v>2.96</v>
      </c>
      <c r="D117" s="123">
        <f t="shared" si="32"/>
        <v>2.96</v>
      </c>
      <c r="E117" s="123">
        <f t="shared" si="32"/>
        <v>2.96</v>
      </c>
      <c r="F117" s="123">
        <f t="shared" si="32"/>
        <v>2.96</v>
      </c>
      <c r="G117" s="123">
        <f t="shared" si="32"/>
        <v>2.96</v>
      </c>
      <c r="H117" s="123">
        <f t="shared" si="32"/>
        <v>2.96</v>
      </c>
      <c r="I117" s="123">
        <f t="shared" si="32"/>
        <v>2.96</v>
      </c>
      <c r="J117" s="123">
        <f t="shared" si="32"/>
        <v>2.96</v>
      </c>
      <c r="K117" s="123">
        <f t="shared" si="32"/>
        <v>2.96</v>
      </c>
      <c r="L117" s="123">
        <f t="shared" si="32"/>
        <v>2.96</v>
      </c>
      <c r="M117" s="123">
        <f t="shared" si="32"/>
        <v>2.96</v>
      </c>
      <c r="N117" s="123">
        <f t="shared" si="32"/>
        <v>2.96</v>
      </c>
      <c r="O117" s="123">
        <f t="shared" si="32"/>
        <v>2.96</v>
      </c>
      <c r="P117" s="123">
        <f t="shared" si="32"/>
        <v>2.96</v>
      </c>
      <c r="Q117" s="123">
        <f t="shared" si="32"/>
        <v>2.96</v>
      </c>
      <c r="R117" s="123">
        <f t="shared" si="32"/>
        <v>2.96</v>
      </c>
      <c r="S117" s="123">
        <f t="shared" si="32"/>
        <v>2.96</v>
      </c>
      <c r="T117" s="123">
        <f t="shared" si="33"/>
        <v>2.96</v>
      </c>
      <c r="U117" s="123">
        <f t="shared" si="33"/>
        <v>2.96</v>
      </c>
      <c r="V117" s="123">
        <f t="shared" si="33"/>
        <v>2.96</v>
      </c>
      <c r="W117" s="123">
        <f t="shared" si="33"/>
        <v>2.96</v>
      </c>
      <c r="X117" s="123">
        <f t="shared" si="33"/>
        <v>2.96</v>
      </c>
      <c r="Y117" s="123">
        <f t="shared" si="33"/>
        <v>2.96</v>
      </c>
      <c r="Z117" s="123">
        <f t="shared" si="33"/>
        <v>2.96</v>
      </c>
      <c r="AA117" s="123">
        <f t="shared" si="33"/>
        <v>2.96</v>
      </c>
      <c r="AB117" s="123">
        <f t="shared" si="33"/>
        <v>2.96</v>
      </c>
      <c r="AC117" s="123">
        <f t="shared" si="33"/>
        <v>2.96</v>
      </c>
      <c r="AD117" s="123">
        <f t="shared" si="33"/>
        <v>2.96</v>
      </c>
      <c r="AE117" s="123">
        <f t="shared" si="33"/>
        <v>2.96</v>
      </c>
      <c r="AF117" s="123">
        <f t="shared" si="33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1"/>
        <v>8</v>
      </c>
      <c r="C118" s="124">
        <v>8</v>
      </c>
      <c r="D118" s="123">
        <f t="shared" si="32"/>
        <v>8</v>
      </c>
      <c r="E118" s="123">
        <f t="shared" si="32"/>
        <v>8</v>
      </c>
      <c r="F118" s="123">
        <f t="shared" si="32"/>
        <v>8</v>
      </c>
      <c r="G118" s="123">
        <f t="shared" si="32"/>
        <v>8</v>
      </c>
      <c r="H118" s="123">
        <f t="shared" si="32"/>
        <v>8</v>
      </c>
      <c r="I118" s="123">
        <f t="shared" si="32"/>
        <v>8</v>
      </c>
      <c r="J118" s="123">
        <f t="shared" si="32"/>
        <v>8</v>
      </c>
      <c r="K118" s="123">
        <f t="shared" si="32"/>
        <v>8</v>
      </c>
      <c r="L118" s="123">
        <f t="shared" si="32"/>
        <v>8</v>
      </c>
      <c r="M118" s="123">
        <f t="shared" si="32"/>
        <v>8</v>
      </c>
      <c r="N118" s="123">
        <f t="shared" si="32"/>
        <v>8</v>
      </c>
      <c r="O118" s="123">
        <f t="shared" si="32"/>
        <v>8</v>
      </c>
      <c r="P118" s="123">
        <f t="shared" si="32"/>
        <v>8</v>
      </c>
      <c r="Q118" s="123">
        <f t="shared" si="32"/>
        <v>8</v>
      </c>
      <c r="R118" s="123">
        <f t="shared" si="32"/>
        <v>8</v>
      </c>
      <c r="S118" s="123">
        <f t="shared" si="32"/>
        <v>8</v>
      </c>
      <c r="T118" s="123">
        <f t="shared" si="33"/>
        <v>8</v>
      </c>
      <c r="U118" s="123">
        <f t="shared" si="33"/>
        <v>8</v>
      </c>
      <c r="V118" s="123">
        <f t="shared" si="33"/>
        <v>8</v>
      </c>
      <c r="W118" s="123">
        <f t="shared" si="33"/>
        <v>8</v>
      </c>
      <c r="X118" s="123">
        <f t="shared" si="33"/>
        <v>8</v>
      </c>
      <c r="Y118" s="123">
        <f t="shared" si="33"/>
        <v>8</v>
      </c>
      <c r="Z118" s="123">
        <f t="shared" si="33"/>
        <v>8</v>
      </c>
      <c r="AA118" s="123">
        <f t="shared" si="33"/>
        <v>8</v>
      </c>
      <c r="AB118" s="123">
        <f t="shared" si="33"/>
        <v>8</v>
      </c>
      <c r="AC118" s="123">
        <f t="shared" si="33"/>
        <v>8</v>
      </c>
      <c r="AD118" s="123">
        <f t="shared" si="33"/>
        <v>8</v>
      </c>
      <c r="AE118" s="123">
        <f t="shared" si="33"/>
        <v>8</v>
      </c>
      <c r="AF118" s="123">
        <f t="shared" si="33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1"/>
        <v>7</v>
      </c>
      <c r="C119" s="124">
        <v>7</v>
      </c>
      <c r="D119" s="123">
        <f>C119</f>
        <v>7</v>
      </c>
      <c r="E119" s="123">
        <f t="shared" si="32"/>
        <v>7</v>
      </c>
      <c r="F119" s="123">
        <f t="shared" si="32"/>
        <v>7</v>
      </c>
      <c r="G119" s="123">
        <f t="shared" si="32"/>
        <v>7</v>
      </c>
      <c r="H119" s="123">
        <f t="shared" si="32"/>
        <v>7</v>
      </c>
      <c r="I119" s="123">
        <f t="shared" si="32"/>
        <v>7</v>
      </c>
      <c r="J119" s="123">
        <f t="shared" si="32"/>
        <v>7</v>
      </c>
      <c r="K119" s="123">
        <f t="shared" si="32"/>
        <v>7</v>
      </c>
      <c r="L119" s="123">
        <f t="shared" si="32"/>
        <v>7</v>
      </c>
      <c r="M119" s="123">
        <f t="shared" si="32"/>
        <v>7</v>
      </c>
      <c r="N119" s="123">
        <f t="shared" si="32"/>
        <v>7</v>
      </c>
      <c r="O119" s="123">
        <f t="shared" si="32"/>
        <v>7</v>
      </c>
      <c r="P119" s="123">
        <f t="shared" si="32"/>
        <v>7</v>
      </c>
      <c r="Q119" s="123">
        <f t="shared" si="32"/>
        <v>7</v>
      </c>
      <c r="R119" s="123">
        <f t="shared" si="32"/>
        <v>7</v>
      </c>
      <c r="S119" s="123">
        <f t="shared" si="32"/>
        <v>7</v>
      </c>
      <c r="T119" s="123">
        <f t="shared" si="33"/>
        <v>7</v>
      </c>
      <c r="U119" s="123">
        <f t="shared" si="33"/>
        <v>7</v>
      </c>
      <c r="V119" s="123">
        <f t="shared" si="33"/>
        <v>7</v>
      </c>
      <c r="W119" s="123">
        <f t="shared" si="33"/>
        <v>7</v>
      </c>
      <c r="X119" s="123">
        <f t="shared" si="33"/>
        <v>7</v>
      </c>
      <c r="Y119" s="123">
        <f t="shared" si="33"/>
        <v>7</v>
      </c>
      <c r="Z119" s="123">
        <f t="shared" si="33"/>
        <v>7</v>
      </c>
      <c r="AA119" s="123">
        <f t="shared" si="33"/>
        <v>7</v>
      </c>
      <c r="AB119" s="123">
        <f t="shared" si="33"/>
        <v>7</v>
      </c>
      <c r="AC119" s="123">
        <f t="shared" si="33"/>
        <v>7</v>
      </c>
      <c r="AD119" s="123">
        <f t="shared" si="33"/>
        <v>7</v>
      </c>
      <c r="AE119" s="123">
        <f t="shared" si="33"/>
        <v>7</v>
      </c>
      <c r="AF119" s="123">
        <f t="shared" si="33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1"/>
        <v>3.47</v>
      </c>
      <c r="C120" s="124">
        <v>3.47</v>
      </c>
      <c r="D120" s="123">
        <f t="shared" ref="D120:S129" si="34">C120</f>
        <v>3.47</v>
      </c>
      <c r="E120" s="123">
        <f t="shared" si="34"/>
        <v>3.47</v>
      </c>
      <c r="F120" s="123">
        <f t="shared" si="34"/>
        <v>3.47</v>
      </c>
      <c r="G120" s="123">
        <f t="shared" si="34"/>
        <v>3.47</v>
      </c>
      <c r="H120" s="123">
        <f t="shared" si="34"/>
        <v>3.47</v>
      </c>
      <c r="I120" s="123">
        <f t="shared" si="34"/>
        <v>3.47</v>
      </c>
      <c r="J120" s="123">
        <f t="shared" si="34"/>
        <v>3.47</v>
      </c>
      <c r="K120" s="123">
        <f t="shared" si="34"/>
        <v>3.47</v>
      </c>
      <c r="L120" s="123">
        <f t="shared" si="34"/>
        <v>3.47</v>
      </c>
      <c r="M120" s="123">
        <f t="shared" si="34"/>
        <v>3.47</v>
      </c>
      <c r="N120" s="123">
        <f t="shared" si="34"/>
        <v>3.47</v>
      </c>
      <c r="O120" s="123">
        <f t="shared" si="34"/>
        <v>3.47</v>
      </c>
      <c r="P120" s="123">
        <f t="shared" si="34"/>
        <v>3.47</v>
      </c>
      <c r="Q120" s="123">
        <f t="shared" si="34"/>
        <v>3.47</v>
      </c>
      <c r="R120" s="123">
        <f t="shared" si="34"/>
        <v>3.47</v>
      </c>
      <c r="S120" s="123">
        <f t="shared" si="34"/>
        <v>3.47</v>
      </c>
      <c r="T120" s="123">
        <f t="shared" si="33"/>
        <v>3.47</v>
      </c>
      <c r="U120" s="123">
        <f t="shared" si="33"/>
        <v>3.47</v>
      </c>
      <c r="V120" s="123">
        <f t="shared" si="33"/>
        <v>3.47</v>
      </c>
      <c r="W120" s="123">
        <f t="shared" si="33"/>
        <v>3.47</v>
      </c>
      <c r="X120" s="123">
        <f t="shared" si="33"/>
        <v>3.47</v>
      </c>
      <c r="Y120" s="123">
        <f t="shared" si="33"/>
        <v>3.47</v>
      </c>
      <c r="Z120" s="123">
        <f t="shared" si="33"/>
        <v>3.47</v>
      </c>
      <c r="AA120" s="123">
        <f t="shared" si="33"/>
        <v>3.47</v>
      </c>
      <c r="AB120" s="123">
        <f t="shared" si="33"/>
        <v>3.47</v>
      </c>
      <c r="AC120" s="123">
        <f t="shared" si="33"/>
        <v>3.47</v>
      </c>
      <c r="AD120" s="123">
        <f t="shared" si="33"/>
        <v>3.47</v>
      </c>
      <c r="AE120" s="123">
        <f t="shared" si="33"/>
        <v>3.47</v>
      </c>
      <c r="AF120" s="123">
        <f t="shared" si="33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1"/>
        <v>2.1</v>
      </c>
      <c r="C121" s="124">
        <v>2.1</v>
      </c>
      <c r="D121" s="123">
        <f t="shared" si="34"/>
        <v>2.1</v>
      </c>
      <c r="E121" s="123">
        <f t="shared" si="34"/>
        <v>2.1</v>
      </c>
      <c r="F121" s="123">
        <f t="shared" si="34"/>
        <v>2.1</v>
      </c>
      <c r="G121" s="123">
        <f t="shared" si="34"/>
        <v>2.1</v>
      </c>
      <c r="H121" s="123">
        <f t="shared" si="34"/>
        <v>2.1</v>
      </c>
      <c r="I121" s="123">
        <f t="shared" si="34"/>
        <v>2.1</v>
      </c>
      <c r="J121" s="123">
        <f t="shared" si="34"/>
        <v>2.1</v>
      </c>
      <c r="K121" s="123">
        <f t="shared" si="34"/>
        <v>2.1</v>
      </c>
      <c r="L121" s="123">
        <f t="shared" si="34"/>
        <v>2.1</v>
      </c>
      <c r="M121" s="123">
        <f t="shared" si="34"/>
        <v>2.1</v>
      </c>
      <c r="N121" s="123">
        <f t="shared" si="34"/>
        <v>2.1</v>
      </c>
      <c r="O121" s="123">
        <f t="shared" si="34"/>
        <v>2.1</v>
      </c>
      <c r="P121" s="123">
        <f t="shared" si="34"/>
        <v>2.1</v>
      </c>
      <c r="Q121" s="123">
        <f t="shared" si="34"/>
        <v>2.1</v>
      </c>
      <c r="R121" s="123">
        <f t="shared" si="34"/>
        <v>2.1</v>
      </c>
      <c r="S121" s="123">
        <f t="shared" si="34"/>
        <v>2.1</v>
      </c>
      <c r="T121" s="123">
        <f t="shared" si="33"/>
        <v>2.1</v>
      </c>
      <c r="U121" s="123">
        <f t="shared" si="33"/>
        <v>2.1</v>
      </c>
      <c r="V121" s="123">
        <f t="shared" si="33"/>
        <v>2.1</v>
      </c>
      <c r="W121" s="123">
        <f t="shared" si="33"/>
        <v>2.1</v>
      </c>
      <c r="X121" s="123">
        <f t="shared" si="33"/>
        <v>2.1</v>
      </c>
      <c r="Y121" s="123">
        <f t="shared" si="33"/>
        <v>2.1</v>
      </c>
      <c r="Z121" s="123">
        <f t="shared" si="33"/>
        <v>2.1</v>
      </c>
      <c r="AA121" s="123">
        <f t="shared" si="33"/>
        <v>2.1</v>
      </c>
      <c r="AB121" s="123">
        <f t="shared" si="33"/>
        <v>2.1</v>
      </c>
      <c r="AC121" s="123">
        <f t="shared" si="33"/>
        <v>2.1</v>
      </c>
      <c r="AD121" s="123">
        <f t="shared" si="33"/>
        <v>2.1</v>
      </c>
      <c r="AE121" s="123">
        <f t="shared" si="33"/>
        <v>2.1</v>
      </c>
      <c r="AF121" s="123">
        <f t="shared" si="33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1"/>
        <v>9.3000000000000007</v>
      </c>
      <c r="C122" s="124">
        <v>9.3000000000000007</v>
      </c>
      <c r="D122" s="123">
        <f t="shared" si="34"/>
        <v>9.3000000000000007</v>
      </c>
      <c r="E122" s="123">
        <f t="shared" si="34"/>
        <v>9.3000000000000007</v>
      </c>
      <c r="F122" s="123">
        <f t="shared" si="34"/>
        <v>9.3000000000000007</v>
      </c>
      <c r="G122" s="123">
        <f t="shared" si="34"/>
        <v>9.3000000000000007</v>
      </c>
      <c r="H122" s="123">
        <f t="shared" si="34"/>
        <v>9.3000000000000007</v>
      </c>
      <c r="I122" s="123">
        <f t="shared" si="34"/>
        <v>9.3000000000000007</v>
      </c>
      <c r="J122" s="123">
        <f t="shared" si="34"/>
        <v>9.3000000000000007</v>
      </c>
      <c r="K122" s="123">
        <f t="shared" si="34"/>
        <v>9.3000000000000007</v>
      </c>
      <c r="L122" s="123">
        <f t="shared" si="34"/>
        <v>9.3000000000000007</v>
      </c>
      <c r="M122" s="123">
        <f t="shared" si="34"/>
        <v>9.3000000000000007</v>
      </c>
      <c r="N122" s="123">
        <f t="shared" si="34"/>
        <v>9.3000000000000007</v>
      </c>
      <c r="O122" s="123">
        <f t="shared" si="34"/>
        <v>9.3000000000000007</v>
      </c>
      <c r="P122" s="123">
        <f t="shared" si="34"/>
        <v>9.3000000000000007</v>
      </c>
      <c r="Q122" s="123">
        <f t="shared" si="34"/>
        <v>9.3000000000000007</v>
      </c>
      <c r="R122" s="123">
        <f t="shared" si="34"/>
        <v>9.3000000000000007</v>
      </c>
      <c r="S122" s="123">
        <f t="shared" si="34"/>
        <v>9.3000000000000007</v>
      </c>
      <c r="T122" s="123">
        <f t="shared" si="33"/>
        <v>9.3000000000000007</v>
      </c>
      <c r="U122" s="123">
        <f t="shared" si="33"/>
        <v>9.3000000000000007</v>
      </c>
      <c r="V122" s="123">
        <f t="shared" si="33"/>
        <v>9.3000000000000007</v>
      </c>
      <c r="W122" s="123">
        <f t="shared" si="33"/>
        <v>9.3000000000000007</v>
      </c>
      <c r="X122" s="123">
        <f t="shared" si="33"/>
        <v>9.3000000000000007</v>
      </c>
      <c r="Y122" s="123">
        <f t="shared" si="33"/>
        <v>9.3000000000000007</v>
      </c>
      <c r="Z122" s="123">
        <f t="shared" si="33"/>
        <v>9.3000000000000007</v>
      </c>
      <c r="AA122" s="123">
        <f t="shared" si="33"/>
        <v>9.3000000000000007</v>
      </c>
      <c r="AB122" s="123">
        <f t="shared" si="33"/>
        <v>9.3000000000000007</v>
      </c>
      <c r="AC122" s="123">
        <f t="shared" si="33"/>
        <v>9.3000000000000007</v>
      </c>
      <c r="AD122" s="123">
        <f t="shared" si="33"/>
        <v>9.3000000000000007</v>
      </c>
      <c r="AE122" s="123">
        <f t="shared" si="33"/>
        <v>9.3000000000000007</v>
      </c>
      <c r="AF122" s="123">
        <f t="shared" si="33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1"/>
        <v>0</v>
      </c>
      <c r="C123" s="124">
        <v>0</v>
      </c>
      <c r="D123" s="123">
        <f t="shared" si="34"/>
        <v>0</v>
      </c>
      <c r="E123" s="123">
        <f t="shared" si="34"/>
        <v>0</v>
      </c>
      <c r="F123" s="123">
        <f t="shared" si="34"/>
        <v>0</v>
      </c>
      <c r="G123" s="123">
        <f t="shared" si="34"/>
        <v>0</v>
      </c>
      <c r="H123" s="123">
        <f t="shared" si="34"/>
        <v>0</v>
      </c>
      <c r="I123" s="123">
        <f t="shared" si="34"/>
        <v>0</v>
      </c>
      <c r="J123" s="123">
        <f t="shared" si="34"/>
        <v>0</v>
      </c>
      <c r="K123" s="123">
        <f t="shared" si="34"/>
        <v>0</v>
      </c>
      <c r="L123" s="123">
        <f t="shared" si="34"/>
        <v>0</v>
      </c>
      <c r="M123" s="123">
        <f t="shared" si="34"/>
        <v>0</v>
      </c>
      <c r="N123" s="123">
        <f t="shared" si="34"/>
        <v>0</v>
      </c>
      <c r="O123" s="123">
        <f t="shared" si="34"/>
        <v>0</v>
      </c>
      <c r="P123" s="123">
        <f t="shared" si="34"/>
        <v>0</v>
      </c>
      <c r="Q123" s="123">
        <f t="shared" si="34"/>
        <v>0</v>
      </c>
      <c r="R123" s="123">
        <f t="shared" si="34"/>
        <v>0</v>
      </c>
      <c r="S123" s="123">
        <f t="shared" si="34"/>
        <v>0</v>
      </c>
      <c r="T123" s="123">
        <f t="shared" si="33"/>
        <v>0</v>
      </c>
      <c r="U123" s="123">
        <f t="shared" si="33"/>
        <v>0</v>
      </c>
      <c r="V123" s="123">
        <f t="shared" si="33"/>
        <v>0</v>
      </c>
      <c r="W123" s="123">
        <f t="shared" si="33"/>
        <v>0</v>
      </c>
      <c r="X123" s="123">
        <f t="shared" si="33"/>
        <v>0</v>
      </c>
      <c r="Y123" s="123">
        <f t="shared" si="33"/>
        <v>0</v>
      </c>
      <c r="Z123" s="123">
        <f t="shared" si="33"/>
        <v>0</v>
      </c>
      <c r="AA123" s="123">
        <f t="shared" si="33"/>
        <v>0</v>
      </c>
      <c r="AB123" s="123">
        <f t="shared" si="33"/>
        <v>0</v>
      </c>
      <c r="AC123" s="123">
        <f t="shared" si="33"/>
        <v>0</v>
      </c>
      <c r="AD123" s="123">
        <f t="shared" si="33"/>
        <v>0</v>
      </c>
      <c r="AE123" s="123">
        <f t="shared" si="33"/>
        <v>0</v>
      </c>
      <c r="AF123" s="123">
        <f t="shared" si="33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1"/>
        <v>;/</v>
      </c>
      <c r="C125" s="124">
        <v>5</v>
      </c>
      <c r="D125" s="123">
        <f t="shared" si="34"/>
        <v>5</v>
      </c>
      <c r="E125" s="123">
        <f t="shared" si="34"/>
        <v>5</v>
      </c>
      <c r="F125" s="123">
        <f t="shared" si="34"/>
        <v>5</v>
      </c>
      <c r="G125" s="123">
        <f t="shared" si="34"/>
        <v>5</v>
      </c>
      <c r="H125" s="123">
        <f t="shared" si="34"/>
        <v>5</v>
      </c>
      <c r="I125" s="123" t="s">
        <v>131</v>
      </c>
      <c r="J125" s="123" t="str">
        <f t="shared" si="34"/>
        <v>;/</v>
      </c>
      <c r="K125" s="123" t="str">
        <f t="shared" si="34"/>
        <v>;/</v>
      </c>
      <c r="L125" s="123" t="str">
        <f t="shared" si="34"/>
        <v>;/</v>
      </c>
      <c r="M125" s="123" t="str">
        <f t="shared" si="34"/>
        <v>;/</v>
      </c>
      <c r="N125" s="123" t="str">
        <f t="shared" si="34"/>
        <v>;/</v>
      </c>
      <c r="O125" s="123" t="str">
        <f t="shared" si="34"/>
        <v>;/</v>
      </c>
      <c r="P125" s="123" t="str">
        <f t="shared" si="34"/>
        <v>;/</v>
      </c>
      <c r="Q125" s="123" t="str">
        <f t="shared" si="34"/>
        <v>;/</v>
      </c>
      <c r="R125" s="123" t="str">
        <f t="shared" si="34"/>
        <v>;/</v>
      </c>
      <c r="S125" s="123" t="str">
        <f t="shared" si="34"/>
        <v>;/</v>
      </c>
      <c r="T125" s="123" t="str">
        <f t="shared" si="33"/>
        <v>;/</v>
      </c>
      <c r="U125" s="123" t="str">
        <f t="shared" si="33"/>
        <v>;/</v>
      </c>
      <c r="V125" s="123" t="str">
        <f t="shared" si="33"/>
        <v>;/</v>
      </c>
      <c r="W125" s="123" t="str">
        <f t="shared" si="33"/>
        <v>;/</v>
      </c>
      <c r="X125" s="123" t="str">
        <f t="shared" si="33"/>
        <v>;/</v>
      </c>
      <c r="Y125" s="123" t="str">
        <f t="shared" si="33"/>
        <v>;/</v>
      </c>
      <c r="Z125" s="123" t="str">
        <f t="shared" si="33"/>
        <v>;/</v>
      </c>
      <c r="AA125" s="123" t="str">
        <f t="shared" si="33"/>
        <v>;/</v>
      </c>
      <c r="AB125" s="123" t="str">
        <f t="shared" si="33"/>
        <v>;/</v>
      </c>
      <c r="AC125" s="123" t="str">
        <f t="shared" si="33"/>
        <v>;/</v>
      </c>
      <c r="AD125" s="123" t="str">
        <f t="shared" si="33"/>
        <v>;/</v>
      </c>
      <c r="AE125" s="123" t="str">
        <f t="shared" si="33"/>
        <v>;/</v>
      </c>
      <c r="AF125" s="123" t="str">
        <f t="shared" si="33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1"/>
        <v>1</v>
      </c>
      <c r="C126" s="124">
        <v>1</v>
      </c>
      <c r="D126" s="123">
        <f t="shared" si="34"/>
        <v>1</v>
      </c>
      <c r="E126" s="123">
        <f t="shared" si="34"/>
        <v>1</v>
      </c>
      <c r="F126" s="123">
        <f t="shared" si="34"/>
        <v>1</v>
      </c>
      <c r="G126" s="123">
        <f t="shared" si="34"/>
        <v>1</v>
      </c>
      <c r="H126" s="123">
        <f t="shared" si="34"/>
        <v>1</v>
      </c>
      <c r="I126" s="123">
        <f t="shared" si="34"/>
        <v>1</v>
      </c>
      <c r="J126" s="123">
        <f t="shared" si="34"/>
        <v>1</v>
      </c>
      <c r="K126" s="123">
        <f t="shared" si="34"/>
        <v>1</v>
      </c>
      <c r="L126" s="123">
        <f t="shared" si="34"/>
        <v>1</v>
      </c>
      <c r="M126" s="123">
        <f t="shared" si="34"/>
        <v>1</v>
      </c>
      <c r="N126" s="123">
        <f t="shared" si="34"/>
        <v>1</v>
      </c>
      <c r="O126" s="123">
        <f t="shared" si="34"/>
        <v>1</v>
      </c>
      <c r="P126" s="123">
        <f t="shared" si="34"/>
        <v>1</v>
      </c>
      <c r="Q126" s="123">
        <f t="shared" si="34"/>
        <v>1</v>
      </c>
      <c r="R126" s="123">
        <f t="shared" si="34"/>
        <v>1</v>
      </c>
      <c r="S126" s="123">
        <f t="shared" si="34"/>
        <v>1</v>
      </c>
      <c r="T126" s="123">
        <f t="shared" si="33"/>
        <v>1</v>
      </c>
      <c r="U126" s="123">
        <f t="shared" si="33"/>
        <v>1</v>
      </c>
      <c r="V126" s="123">
        <f t="shared" si="33"/>
        <v>1</v>
      </c>
      <c r="W126" s="123">
        <f t="shared" si="33"/>
        <v>1</v>
      </c>
      <c r="X126" s="123">
        <f t="shared" si="33"/>
        <v>1</v>
      </c>
      <c r="Y126" s="123">
        <f t="shared" si="33"/>
        <v>1</v>
      </c>
      <c r="Z126" s="123">
        <f t="shared" si="33"/>
        <v>1</v>
      </c>
      <c r="AA126" s="123">
        <f t="shared" si="33"/>
        <v>1</v>
      </c>
      <c r="AB126" s="123">
        <f t="shared" si="33"/>
        <v>1</v>
      </c>
      <c r="AC126" s="123">
        <f t="shared" si="33"/>
        <v>1</v>
      </c>
      <c r="AD126" s="123">
        <f t="shared" si="33"/>
        <v>1</v>
      </c>
      <c r="AE126" s="123">
        <f t="shared" si="33"/>
        <v>1</v>
      </c>
      <c r="AF126" s="123">
        <f t="shared" si="33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1"/>
        <v>1.58</v>
      </c>
      <c r="C127" s="124">
        <v>1.58</v>
      </c>
      <c r="D127" s="123">
        <f t="shared" si="34"/>
        <v>1.58</v>
      </c>
      <c r="E127" s="123">
        <f t="shared" si="34"/>
        <v>1.58</v>
      </c>
      <c r="F127" s="123">
        <f t="shared" si="34"/>
        <v>1.58</v>
      </c>
      <c r="G127" s="123">
        <f t="shared" si="34"/>
        <v>1.58</v>
      </c>
      <c r="H127" s="123">
        <f t="shared" si="34"/>
        <v>1.58</v>
      </c>
      <c r="I127" s="123">
        <f t="shared" si="34"/>
        <v>1.58</v>
      </c>
      <c r="J127" s="123">
        <f t="shared" si="34"/>
        <v>1.58</v>
      </c>
      <c r="K127" s="123">
        <f t="shared" si="34"/>
        <v>1.58</v>
      </c>
      <c r="L127" s="123">
        <f t="shared" si="34"/>
        <v>1.58</v>
      </c>
      <c r="M127" s="123">
        <f t="shared" si="34"/>
        <v>1.58</v>
      </c>
      <c r="N127" s="123">
        <f t="shared" si="34"/>
        <v>1.58</v>
      </c>
      <c r="O127" s="123">
        <f t="shared" si="34"/>
        <v>1.58</v>
      </c>
      <c r="P127" s="123">
        <f t="shared" si="34"/>
        <v>1.58</v>
      </c>
      <c r="Q127" s="123">
        <f t="shared" si="34"/>
        <v>1.58</v>
      </c>
      <c r="R127" s="123">
        <f t="shared" si="34"/>
        <v>1.58</v>
      </c>
      <c r="S127" s="123">
        <f t="shared" si="34"/>
        <v>1.58</v>
      </c>
      <c r="T127" s="123">
        <f t="shared" si="33"/>
        <v>1.58</v>
      </c>
      <c r="U127" s="123">
        <f t="shared" si="33"/>
        <v>1.58</v>
      </c>
      <c r="V127" s="123">
        <f t="shared" si="33"/>
        <v>1.58</v>
      </c>
      <c r="W127" s="123">
        <f t="shared" si="33"/>
        <v>1.58</v>
      </c>
      <c r="X127" s="123">
        <f t="shared" si="33"/>
        <v>1.58</v>
      </c>
      <c r="Y127" s="123">
        <f t="shared" si="33"/>
        <v>1.58</v>
      </c>
      <c r="Z127" s="123">
        <f t="shared" si="33"/>
        <v>1.58</v>
      </c>
      <c r="AA127" s="123">
        <f t="shared" si="33"/>
        <v>1.58</v>
      </c>
      <c r="AB127" s="123">
        <f t="shared" si="33"/>
        <v>1.58</v>
      </c>
      <c r="AC127" s="123">
        <f t="shared" si="33"/>
        <v>1.58</v>
      </c>
      <c r="AD127" s="123">
        <f t="shared" si="33"/>
        <v>1.58</v>
      </c>
      <c r="AE127" s="123">
        <f t="shared" si="33"/>
        <v>1.58</v>
      </c>
      <c r="AF127" s="123">
        <f t="shared" si="33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1"/>
        <v>1.46</v>
      </c>
      <c r="C128" s="124">
        <v>1.46</v>
      </c>
      <c r="D128" s="123">
        <f t="shared" si="34"/>
        <v>1.46</v>
      </c>
      <c r="E128" s="123">
        <f t="shared" si="34"/>
        <v>1.46</v>
      </c>
      <c r="F128" s="123">
        <f t="shared" si="34"/>
        <v>1.46</v>
      </c>
      <c r="G128" s="123">
        <f t="shared" si="34"/>
        <v>1.46</v>
      </c>
      <c r="H128" s="123">
        <f t="shared" si="34"/>
        <v>1.46</v>
      </c>
      <c r="I128" s="123">
        <f t="shared" si="34"/>
        <v>1.46</v>
      </c>
      <c r="J128" s="123">
        <f t="shared" si="34"/>
        <v>1.46</v>
      </c>
      <c r="K128" s="123">
        <f t="shared" si="34"/>
        <v>1.46</v>
      </c>
      <c r="L128" s="123">
        <f t="shared" si="34"/>
        <v>1.46</v>
      </c>
      <c r="M128" s="123">
        <f t="shared" si="34"/>
        <v>1.46</v>
      </c>
      <c r="N128" s="123">
        <f t="shared" si="34"/>
        <v>1.46</v>
      </c>
      <c r="O128" s="123">
        <f t="shared" si="34"/>
        <v>1.46</v>
      </c>
      <c r="P128" s="123">
        <f t="shared" si="34"/>
        <v>1.46</v>
      </c>
      <c r="Q128" s="123">
        <f t="shared" si="34"/>
        <v>1.46</v>
      </c>
      <c r="R128" s="123">
        <f t="shared" si="34"/>
        <v>1.46</v>
      </c>
      <c r="S128" s="123">
        <f t="shared" si="34"/>
        <v>1.46</v>
      </c>
      <c r="T128" s="123">
        <f t="shared" ref="T128:AF129" si="35">S128</f>
        <v>1.46</v>
      </c>
      <c r="U128" s="123">
        <f t="shared" si="35"/>
        <v>1.46</v>
      </c>
      <c r="V128" s="123">
        <f t="shared" si="35"/>
        <v>1.46</v>
      </c>
      <c r="W128" s="123">
        <f t="shared" si="35"/>
        <v>1.46</v>
      </c>
      <c r="X128" s="123">
        <f t="shared" si="35"/>
        <v>1.46</v>
      </c>
      <c r="Y128" s="123">
        <f t="shared" si="35"/>
        <v>1.46</v>
      </c>
      <c r="Z128" s="123">
        <f t="shared" si="35"/>
        <v>1.46</v>
      </c>
      <c r="AA128" s="123">
        <f t="shared" si="35"/>
        <v>1.46</v>
      </c>
      <c r="AB128" s="123">
        <f t="shared" si="35"/>
        <v>1.46</v>
      </c>
      <c r="AC128" s="123">
        <f t="shared" si="35"/>
        <v>1.46</v>
      </c>
      <c r="AD128" s="123">
        <f t="shared" si="35"/>
        <v>1.46</v>
      </c>
      <c r="AE128" s="123">
        <f t="shared" si="35"/>
        <v>1.46</v>
      </c>
      <c r="AF128" s="123">
        <f t="shared" si="35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1"/>
        <v>1.48</v>
      </c>
      <c r="C129" s="124">
        <v>1.48</v>
      </c>
      <c r="D129" s="123">
        <f t="shared" si="34"/>
        <v>1.48</v>
      </c>
      <c r="E129" s="123">
        <f t="shared" si="34"/>
        <v>1.48</v>
      </c>
      <c r="F129" s="123">
        <f t="shared" si="34"/>
        <v>1.48</v>
      </c>
      <c r="G129" s="123">
        <f t="shared" si="34"/>
        <v>1.48</v>
      </c>
      <c r="H129" s="123">
        <f t="shared" si="34"/>
        <v>1.48</v>
      </c>
      <c r="I129" s="123">
        <f t="shared" si="34"/>
        <v>1.48</v>
      </c>
      <c r="J129" s="123">
        <f t="shared" si="34"/>
        <v>1.48</v>
      </c>
      <c r="K129" s="123">
        <f t="shared" si="34"/>
        <v>1.48</v>
      </c>
      <c r="L129" s="123">
        <f t="shared" si="34"/>
        <v>1.48</v>
      </c>
      <c r="M129" s="123">
        <f t="shared" si="34"/>
        <v>1.48</v>
      </c>
      <c r="N129" s="123">
        <f t="shared" si="34"/>
        <v>1.48</v>
      </c>
      <c r="O129" s="123">
        <f t="shared" si="34"/>
        <v>1.48</v>
      </c>
      <c r="P129" s="123">
        <f t="shared" si="34"/>
        <v>1.48</v>
      </c>
      <c r="Q129" s="123">
        <f t="shared" si="34"/>
        <v>1.48</v>
      </c>
      <c r="R129" s="123">
        <f t="shared" si="34"/>
        <v>1.48</v>
      </c>
      <c r="S129" s="123">
        <f t="shared" si="34"/>
        <v>1.48</v>
      </c>
      <c r="T129" s="123">
        <f t="shared" si="35"/>
        <v>1.48</v>
      </c>
      <c r="U129" s="123">
        <f t="shared" si="35"/>
        <v>1.48</v>
      </c>
      <c r="V129" s="123">
        <f t="shared" si="35"/>
        <v>1.48</v>
      </c>
      <c r="W129" s="123">
        <f t="shared" si="35"/>
        <v>1.48</v>
      </c>
      <c r="X129" s="123">
        <f t="shared" si="35"/>
        <v>1.48</v>
      </c>
      <c r="Y129" s="123">
        <f t="shared" si="35"/>
        <v>1.48</v>
      </c>
      <c r="Z129" s="123">
        <f t="shared" si="35"/>
        <v>1.48</v>
      </c>
      <c r="AA129" s="123">
        <f t="shared" si="35"/>
        <v>1.48</v>
      </c>
      <c r="AB129" s="123">
        <f t="shared" si="35"/>
        <v>1.48</v>
      </c>
      <c r="AC129" s="123">
        <f t="shared" si="35"/>
        <v>1.48</v>
      </c>
      <c r="AD129" s="123">
        <f t="shared" si="35"/>
        <v>1.48</v>
      </c>
      <c r="AE129" s="123">
        <f t="shared" si="35"/>
        <v>1.48</v>
      </c>
      <c r="AF129" s="123">
        <f t="shared" si="35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6">AF131</f>
        <v>2.2000000000000002</v>
      </c>
      <c r="C131" s="124">
        <v>2.2000000000000002</v>
      </c>
      <c r="D131" s="123">
        <f t="shared" ref="D131:S138" si="37">C131</f>
        <v>2.2000000000000002</v>
      </c>
      <c r="E131" s="123">
        <f t="shared" si="37"/>
        <v>2.2000000000000002</v>
      </c>
      <c r="F131" s="123">
        <f t="shared" si="37"/>
        <v>2.2000000000000002</v>
      </c>
      <c r="G131" s="123">
        <f t="shared" si="37"/>
        <v>2.2000000000000002</v>
      </c>
      <c r="H131" s="123">
        <f t="shared" si="37"/>
        <v>2.2000000000000002</v>
      </c>
      <c r="I131" s="123">
        <f t="shared" si="37"/>
        <v>2.2000000000000002</v>
      </c>
      <c r="J131" s="123">
        <f t="shared" si="37"/>
        <v>2.2000000000000002</v>
      </c>
      <c r="K131" s="123">
        <f t="shared" si="37"/>
        <v>2.2000000000000002</v>
      </c>
      <c r="L131" s="123">
        <f t="shared" si="37"/>
        <v>2.2000000000000002</v>
      </c>
      <c r="M131" s="123">
        <f t="shared" si="37"/>
        <v>2.2000000000000002</v>
      </c>
      <c r="N131" s="123">
        <f t="shared" si="37"/>
        <v>2.2000000000000002</v>
      </c>
      <c r="O131" s="123">
        <f t="shared" si="37"/>
        <v>2.2000000000000002</v>
      </c>
      <c r="P131" s="123">
        <f t="shared" si="37"/>
        <v>2.2000000000000002</v>
      </c>
      <c r="Q131" s="123">
        <f t="shared" si="37"/>
        <v>2.2000000000000002</v>
      </c>
      <c r="R131" s="123">
        <f t="shared" si="37"/>
        <v>2.2000000000000002</v>
      </c>
      <c r="S131" s="123">
        <f t="shared" si="37"/>
        <v>2.2000000000000002</v>
      </c>
      <c r="T131" s="123">
        <f t="shared" ref="T131:AF138" si="38">S131</f>
        <v>2.2000000000000002</v>
      </c>
      <c r="U131" s="123">
        <f t="shared" si="38"/>
        <v>2.2000000000000002</v>
      </c>
      <c r="V131" s="123">
        <f t="shared" si="38"/>
        <v>2.2000000000000002</v>
      </c>
      <c r="W131" s="123">
        <f t="shared" si="38"/>
        <v>2.2000000000000002</v>
      </c>
      <c r="X131" s="123">
        <f t="shared" si="38"/>
        <v>2.2000000000000002</v>
      </c>
      <c r="Y131" s="123">
        <f t="shared" si="38"/>
        <v>2.2000000000000002</v>
      </c>
      <c r="Z131" s="123">
        <f t="shared" si="38"/>
        <v>2.2000000000000002</v>
      </c>
      <c r="AA131" s="123">
        <f t="shared" si="38"/>
        <v>2.2000000000000002</v>
      </c>
      <c r="AB131" s="123">
        <f t="shared" si="38"/>
        <v>2.2000000000000002</v>
      </c>
      <c r="AC131" s="123">
        <f t="shared" si="38"/>
        <v>2.2000000000000002</v>
      </c>
      <c r="AD131" s="123">
        <f t="shared" si="38"/>
        <v>2.2000000000000002</v>
      </c>
      <c r="AE131" s="123">
        <f t="shared" si="38"/>
        <v>2.2000000000000002</v>
      </c>
      <c r="AF131" s="123">
        <f t="shared" si="38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6"/>
        <v>2</v>
      </c>
      <c r="C132" s="124">
        <v>2</v>
      </c>
      <c r="D132" s="123">
        <f t="shared" si="37"/>
        <v>2</v>
      </c>
      <c r="E132" s="123">
        <f t="shared" si="37"/>
        <v>2</v>
      </c>
      <c r="F132" s="123">
        <f t="shared" si="37"/>
        <v>2</v>
      </c>
      <c r="G132" s="123">
        <f t="shared" si="37"/>
        <v>2</v>
      </c>
      <c r="H132" s="123">
        <f t="shared" si="37"/>
        <v>2</v>
      </c>
      <c r="I132" s="123">
        <f t="shared" si="37"/>
        <v>2</v>
      </c>
      <c r="J132" s="123">
        <f t="shared" si="37"/>
        <v>2</v>
      </c>
      <c r="K132" s="123">
        <f t="shared" si="37"/>
        <v>2</v>
      </c>
      <c r="L132" s="123">
        <f t="shared" si="37"/>
        <v>2</v>
      </c>
      <c r="M132" s="123">
        <f t="shared" si="37"/>
        <v>2</v>
      </c>
      <c r="N132" s="123">
        <f t="shared" si="37"/>
        <v>2</v>
      </c>
      <c r="O132" s="123">
        <f t="shared" si="37"/>
        <v>2</v>
      </c>
      <c r="P132" s="123">
        <f t="shared" si="37"/>
        <v>2</v>
      </c>
      <c r="Q132" s="123">
        <f t="shared" si="37"/>
        <v>2</v>
      </c>
      <c r="R132" s="123">
        <f t="shared" si="37"/>
        <v>2</v>
      </c>
      <c r="S132" s="123">
        <f t="shared" si="37"/>
        <v>2</v>
      </c>
      <c r="T132" s="123">
        <f t="shared" si="38"/>
        <v>2</v>
      </c>
      <c r="U132" s="123">
        <f t="shared" si="38"/>
        <v>2</v>
      </c>
      <c r="V132" s="123">
        <f t="shared" si="38"/>
        <v>2</v>
      </c>
      <c r="W132" s="123">
        <f t="shared" si="38"/>
        <v>2</v>
      </c>
      <c r="X132" s="123">
        <f t="shared" si="38"/>
        <v>2</v>
      </c>
      <c r="Y132" s="123">
        <f t="shared" si="38"/>
        <v>2</v>
      </c>
      <c r="Z132" s="123">
        <f t="shared" si="38"/>
        <v>2</v>
      </c>
      <c r="AA132" s="123">
        <f t="shared" si="38"/>
        <v>2</v>
      </c>
      <c r="AB132" s="123">
        <f t="shared" si="38"/>
        <v>2</v>
      </c>
      <c r="AC132" s="123">
        <f t="shared" si="38"/>
        <v>2</v>
      </c>
      <c r="AD132" s="123">
        <f t="shared" si="38"/>
        <v>2</v>
      </c>
      <c r="AE132" s="123">
        <f t="shared" si="38"/>
        <v>2</v>
      </c>
      <c r="AF132" s="123">
        <f t="shared" si="38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6"/>
        <v>1.25</v>
      </c>
      <c r="C133" s="124">
        <v>1.25</v>
      </c>
      <c r="D133" s="123">
        <f t="shared" si="37"/>
        <v>1.25</v>
      </c>
      <c r="E133" s="123">
        <f t="shared" si="37"/>
        <v>1.25</v>
      </c>
      <c r="F133" s="123">
        <f t="shared" si="37"/>
        <v>1.25</v>
      </c>
      <c r="G133" s="123">
        <f t="shared" si="37"/>
        <v>1.25</v>
      </c>
      <c r="H133" s="123">
        <f t="shared" si="37"/>
        <v>1.25</v>
      </c>
      <c r="I133" s="123">
        <f t="shared" si="37"/>
        <v>1.25</v>
      </c>
      <c r="J133" s="123">
        <f t="shared" si="37"/>
        <v>1.25</v>
      </c>
      <c r="K133" s="123">
        <f t="shared" si="37"/>
        <v>1.25</v>
      </c>
      <c r="L133" s="123">
        <f t="shared" si="37"/>
        <v>1.25</v>
      </c>
      <c r="M133" s="123">
        <f t="shared" si="37"/>
        <v>1.25</v>
      </c>
      <c r="N133" s="123">
        <f t="shared" si="37"/>
        <v>1.25</v>
      </c>
      <c r="O133" s="123">
        <f t="shared" si="37"/>
        <v>1.25</v>
      </c>
      <c r="P133" s="123">
        <f t="shared" si="37"/>
        <v>1.25</v>
      </c>
      <c r="Q133" s="123">
        <f t="shared" si="37"/>
        <v>1.25</v>
      </c>
      <c r="R133" s="123">
        <f t="shared" si="37"/>
        <v>1.25</v>
      </c>
      <c r="S133" s="123">
        <f t="shared" si="37"/>
        <v>1.25</v>
      </c>
      <c r="T133" s="123">
        <f t="shared" si="38"/>
        <v>1.25</v>
      </c>
      <c r="U133" s="123">
        <f t="shared" si="38"/>
        <v>1.25</v>
      </c>
      <c r="V133" s="123">
        <f t="shared" si="38"/>
        <v>1.25</v>
      </c>
      <c r="W133" s="123">
        <f t="shared" si="38"/>
        <v>1.25</v>
      </c>
      <c r="X133" s="123">
        <f t="shared" si="38"/>
        <v>1.25</v>
      </c>
      <c r="Y133" s="123">
        <f t="shared" si="38"/>
        <v>1.25</v>
      </c>
      <c r="Z133" s="123">
        <f t="shared" si="38"/>
        <v>1.25</v>
      </c>
      <c r="AA133" s="123">
        <f t="shared" si="38"/>
        <v>1.25</v>
      </c>
      <c r="AB133" s="123">
        <f t="shared" si="38"/>
        <v>1.25</v>
      </c>
      <c r="AC133" s="123">
        <f t="shared" si="38"/>
        <v>1.25</v>
      </c>
      <c r="AD133" s="123">
        <f t="shared" si="38"/>
        <v>1.25</v>
      </c>
      <c r="AE133" s="123">
        <f t="shared" si="38"/>
        <v>1.25</v>
      </c>
      <c r="AF133" s="123">
        <f t="shared" si="38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6"/>
        <v>1.1499999999999999</v>
      </c>
      <c r="C134" s="124">
        <v>1.1499999999999999</v>
      </c>
      <c r="D134" s="123">
        <f t="shared" si="37"/>
        <v>1.1499999999999999</v>
      </c>
      <c r="E134" s="123">
        <f t="shared" si="37"/>
        <v>1.1499999999999999</v>
      </c>
      <c r="F134" s="123">
        <f t="shared" si="37"/>
        <v>1.1499999999999999</v>
      </c>
      <c r="G134" s="123">
        <f t="shared" si="37"/>
        <v>1.1499999999999999</v>
      </c>
      <c r="H134" s="123">
        <f t="shared" si="37"/>
        <v>1.1499999999999999</v>
      </c>
      <c r="I134" s="123">
        <f t="shared" si="37"/>
        <v>1.1499999999999999</v>
      </c>
      <c r="J134" s="123">
        <f t="shared" si="37"/>
        <v>1.1499999999999999</v>
      </c>
      <c r="K134" s="123">
        <f t="shared" si="37"/>
        <v>1.1499999999999999</v>
      </c>
      <c r="L134" s="123">
        <f t="shared" si="37"/>
        <v>1.1499999999999999</v>
      </c>
      <c r="M134" s="123">
        <f t="shared" si="37"/>
        <v>1.1499999999999999</v>
      </c>
      <c r="N134" s="123">
        <f t="shared" si="37"/>
        <v>1.1499999999999999</v>
      </c>
      <c r="O134" s="123">
        <f t="shared" si="37"/>
        <v>1.1499999999999999</v>
      </c>
      <c r="P134" s="123">
        <f t="shared" si="37"/>
        <v>1.1499999999999999</v>
      </c>
      <c r="Q134" s="123">
        <f t="shared" si="37"/>
        <v>1.1499999999999999</v>
      </c>
      <c r="R134" s="123">
        <f t="shared" si="37"/>
        <v>1.1499999999999999</v>
      </c>
      <c r="S134" s="123">
        <f t="shared" si="37"/>
        <v>1.1499999999999999</v>
      </c>
      <c r="T134" s="123">
        <f t="shared" si="38"/>
        <v>1.1499999999999999</v>
      </c>
      <c r="U134" s="123">
        <f t="shared" si="38"/>
        <v>1.1499999999999999</v>
      </c>
      <c r="V134" s="123">
        <f t="shared" si="38"/>
        <v>1.1499999999999999</v>
      </c>
      <c r="W134" s="123">
        <f t="shared" si="38"/>
        <v>1.1499999999999999</v>
      </c>
      <c r="X134" s="123">
        <f t="shared" si="38"/>
        <v>1.1499999999999999</v>
      </c>
      <c r="Y134" s="123">
        <f t="shared" si="38"/>
        <v>1.1499999999999999</v>
      </c>
      <c r="Z134" s="123">
        <f t="shared" si="38"/>
        <v>1.1499999999999999</v>
      </c>
      <c r="AA134" s="123">
        <f t="shared" si="38"/>
        <v>1.1499999999999999</v>
      </c>
      <c r="AB134" s="123">
        <f t="shared" si="38"/>
        <v>1.1499999999999999</v>
      </c>
      <c r="AC134" s="123">
        <f t="shared" si="38"/>
        <v>1.1499999999999999</v>
      </c>
      <c r="AD134" s="123">
        <f t="shared" si="38"/>
        <v>1.1499999999999999</v>
      </c>
      <c r="AE134" s="123">
        <f t="shared" si="38"/>
        <v>1.1499999999999999</v>
      </c>
      <c r="AF134" s="123">
        <f t="shared" si="38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6"/>
        <v>2.133</v>
      </c>
      <c r="C135" s="124">
        <v>2.133</v>
      </c>
      <c r="D135" s="123">
        <f t="shared" si="37"/>
        <v>2.133</v>
      </c>
      <c r="E135" s="123">
        <f t="shared" si="37"/>
        <v>2.133</v>
      </c>
      <c r="F135" s="123">
        <f t="shared" si="37"/>
        <v>2.133</v>
      </c>
      <c r="G135" s="123">
        <f t="shared" si="37"/>
        <v>2.133</v>
      </c>
      <c r="H135" s="123">
        <f t="shared" si="37"/>
        <v>2.133</v>
      </c>
      <c r="I135" s="123">
        <f t="shared" si="37"/>
        <v>2.133</v>
      </c>
      <c r="J135" s="123">
        <f t="shared" si="37"/>
        <v>2.133</v>
      </c>
      <c r="K135" s="123">
        <f t="shared" si="37"/>
        <v>2.133</v>
      </c>
      <c r="L135" s="123">
        <f t="shared" si="37"/>
        <v>2.133</v>
      </c>
      <c r="M135" s="123">
        <f t="shared" si="37"/>
        <v>2.133</v>
      </c>
      <c r="N135" s="123">
        <f t="shared" si="37"/>
        <v>2.133</v>
      </c>
      <c r="O135" s="123">
        <f t="shared" si="37"/>
        <v>2.133</v>
      </c>
      <c r="P135" s="123">
        <f t="shared" si="37"/>
        <v>2.133</v>
      </c>
      <c r="Q135" s="123">
        <f t="shared" si="37"/>
        <v>2.133</v>
      </c>
      <c r="R135" s="123">
        <f t="shared" si="37"/>
        <v>2.133</v>
      </c>
      <c r="S135" s="123">
        <f t="shared" si="37"/>
        <v>2.133</v>
      </c>
      <c r="T135" s="123">
        <f t="shared" si="38"/>
        <v>2.133</v>
      </c>
      <c r="U135" s="123">
        <f t="shared" si="38"/>
        <v>2.133</v>
      </c>
      <c r="V135" s="123">
        <f t="shared" si="38"/>
        <v>2.133</v>
      </c>
      <c r="W135" s="123">
        <f t="shared" si="38"/>
        <v>2.133</v>
      </c>
      <c r="X135" s="123">
        <f t="shared" si="38"/>
        <v>2.133</v>
      </c>
      <c r="Y135" s="123">
        <f t="shared" si="38"/>
        <v>2.133</v>
      </c>
      <c r="Z135" s="123">
        <f t="shared" si="38"/>
        <v>2.133</v>
      </c>
      <c r="AA135" s="123">
        <f t="shared" si="38"/>
        <v>2.133</v>
      </c>
      <c r="AB135" s="123">
        <f t="shared" si="38"/>
        <v>2.133</v>
      </c>
      <c r="AC135" s="123">
        <f t="shared" si="38"/>
        <v>2.133</v>
      </c>
      <c r="AD135" s="123">
        <f t="shared" si="38"/>
        <v>2.133</v>
      </c>
      <c r="AE135" s="123">
        <f t="shared" si="38"/>
        <v>2.133</v>
      </c>
      <c r="AF135" s="123">
        <f t="shared" si="38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6"/>
        <v>2.09</v>
      </c>
      <c r="C136" s="124">
        <v>2.09</v>
      </c>
      <c r="D136" s="123">
        <f t="shared" si="37"/>
        <v>2.09</v>
      </c>
      <c r="E136" s="123">
        <f t="shared" si="37"/>
        <v>2.09</v>
      </c>
      <c r="F136" s="123">
        <f t="shared" si="37"/>
        <v>2.09</v>
      </c>
      <c r="G136" s="123">
        <f t="shared" si="37"/>
        <v>2.09</v>
      </c>
      <c r="H136" s="123">
        <f t="shared" si="37"/>
        <v>2.09</v>
      </c>
      <c r="I136" s="123">
        <f t="shared" si="37"/>
        <v>2.09</v>
      </c>
      <c r="J136" s="123">
        <f t="shared" si="37"/>
        <v>2.09</v>
      </c>
      <c r="K136" s="123">
        <f t="shared" si="37"/>
        <v>2.09</v>
      </c>
      <c r="L136" s="123">
        <f t="shared" si="37"/>
        <v>2.09</v>
      </c>
      <c r="M136" s="123">
        <f t="shared" si="37"/>
        <v>2.09</v>
      </c>
      <c r="N136" s="123">
        <f t="shared" si="37"/>
        <v>2.09</v>
      </c>
      <c r="O136" s="123">
        <f t="shared" si="37"/>
        <v>2.09</v>
      </c>
      <c r="P136" s="123">
        <f t="shared" si="37"/>
        <v>2.09</v>
      </c>
      <c r="Q136" s="123">
        <f t="shared" si="37"/>
        <v>2.09</v>
      </c>
      <c r="R136" s="123">
        <f t="shared" si="37"/>
        <v>2.09</v>
      </c>
      <c r="S136" s="123">
        <f t="shared" si="37"/>
        <v>2.09</v>
      </c>
      <c r="T136" s="123">
        <f t="shared" si="38"/>
        <v>2.09</v>
      </c>
      <c r="U136" s="123">
        <f t="shared" si="38"/>
        <v>2.09</v>
      </c>
      <c r="V136" s="123">
        <f t="shared" si="38"/>
        <v>2.09</v>
      </c>
      <c r="W136" s="123">
        <f t="shared" si="38"/>
        <v>2.09</v>
      </c>
      <c r="X136" s="123">
        <f t="shared" si="38"/>
        <v>2.09</v>
      </c>
      <c r="Y136" s="123">
        <f t="shared" si="38"/>
        <v>2.09</v>
      </c>
      <c r="Z136" s="123">
        <f t="shared" si="38"/>
        <v>2.09</v>
      </c>
      <c r="AA136" s="123">
        <f t="shared" si="38"/>
        <v>2.09</v>
      </c>
      <c r="AB136" s="123">
        <f t="shared" si="38"/>
        <v>2.09</v>
      </c>
      <c r="AC136" s="123">
        <f t="shared" si="38"/>
        <v>2.09</v>
      </c>
      <c r="AD136" s="123">
        <f t="shared" si="38"/>
        <v>2.09</v>
      </c>
      <c r="AE136" s="123">
        <f t="shared" si="38"/>
        <v>2.09</v>
      </c>
      <c r="AF136" s="123">
        <f t="shared" si="38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6"/>
        <v>1.1399999999999999</v>
      </c>
      <c r="C137" s="124">
        <v>1.1399999999999999</v>
      </c>
      <c r="D137" s="123">
        <f t="shared" si="37"/>
        <v>1.1399999999999999</v>
      </c>
      <c r="E137" s="123">
        <f t="shared" si="37"/>
        <v>1.1399999999999999</v>
      </c>
      <c r="F137" s="123">
        <f t="shared" si="37"/>
        <v>1.1399999999999999</v>
      </c>
      <c r="G137" s="123">
        <f t="shared" si="37"/>
        <v>1.1399999999999999</v>
      </c>
      <c r="H137" s="123">
        <f t="shared" si="37"/>
        <v>1.1399999999999999</v>
      </c>
      <c r="I137" s="123">
        <f t="shared" si="37"/>
        <v>1.1399999999999999</v>
      </c>
      <c r="J137" s="123">
        <f t="shared" si="37"/>
        <v>1.1399999999999999</v>
      </c>
      <c r="K137" s="123">
        <f t="shared" si="37"/>
        <v>1.1399999999999999</v>
      </c>
      <c r="L137" s="123">
        <f t="shared" si="37"/>
        <v>1.1399999999999999</v>
      </c>
      <c r="M137" s="123">
        <f t="shared" si="37"/>
        <v>1.1399999999999999</v>
      </c>
      <c r="N137" s="123">
        <f t="shared" si="37"/>
        <v>1.1399999999999999</v>
      </c>
      <c r="O137" s="123">
        <f t="shared" si="37"/>
        <v>1.1399999999999999</v>
      </c>
      <c r="P137" s="123">
        <f t="shared" si="37"/>
        <v>1.1399999999999999</v>
      </c>
      <c r="Q137" s="123">
        <f t="shared" si="37"/>
        <v>1.1399999999999999</v>
      </c>
      <c r="R137" s="123">
        <f t="shared" si="37"/>
        <v>1.1399999999999999</v>
      </c>
      <c r="S137" s="123">
        <f t="shared" si="37"/>
        <v>1.1399999999999999</v>
      </c>
      <c r="T137" s="123">
        <f t="shared" si="38"/>
        <v>1.1399999999999999</v>
      </c>
      <c r="U137" s="123">
        <f t="shared" si="38"/>
        <v>1.1399999999999999</v>
      </c>
      <c r="V137" s="123">
        <f t="shared" si="38"/>
        <v>1.1399999999999999</v>
      </c>
      <c r="W137" s="123">
        <f t="shared" si="38"/>
        <v>1.1399999999999999</v>
      </c>
      <c r="X137" s="123">
        <f t="shared" si="38"/>
        <v>1.1399999999999999</v>
      </c>
      <c r="Y137" s="123">
        <f t="shared" si="38"/>
        <v>1.1399999999999999</v>
      </c>
      <c r="Z137" s="123">
        <f t="shared" si="38"/>
        <v>1.1399999999999999</v>
      </c>
      <c r="AA137" s="123">
        <f t="shared" si="38"/>
        <v>1.1399999999999999</v>
      </c>
      <c r="AB137" s="123">
        <f t="shared" si="38"/>
        <v>1.1399999999999999</v>
      </c>
      <c r="AC137" s="123">
        <f t="shared" si="38"/>
        <v>1.1399999999999999</v>
      </c>
      <c r="AD137" s="123">
        <f t="shared" si="38"/>
        <v>1.1399999999999999</v>
      </c>
      <c r="AE137" s="123">
        <f t="shared" si="38"/>
        <v>1.1399999999999999</v>
      </c>
      <c r="AF137" s="123">
        <f t="shared" si="38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6"/>
        <v>0.82</v>
      </c>
      <c r="C138" s="124">
        <v>0.82</v>
      </c>
      <c r="D138" s="123">
        <f t="shared" si="37"/>
        <v>0.82</v>
      </c>
      <c r="E138" s="123">
        <f t="shared" si="37"/>
        <v>0.82</v>
      </c>
      <c r="F138" s="123">
        <f t="shared" si="37"/>
        <v>0.82</v>
      </c>
      <c r="G138" s="123">
        <f t="shared" si="37"/>
        <v>0.82</v>
      </c>
      <c r="H138" s="123">
        <f t="shared" si="37"/>
        <v>0.82</v>
      </c>
      <c r="I138" s="123">
        <f t="shared" si="37"/>
        <v>0.82</v>
      </c>
      <c r="J138" s="123">
        <f t="shared" si="37"/>
        <v>0.82</v>
      </c>
      <c r="K138" s="123">
        <f t="shared" si="37"/>
        <v>0.82</v>
      </c>
      <c r="L138" s="123">
        <f t="shared" si="37"/>
        <v>0.82</v>
      </c>
      <c r="M138" s="123">
        <f t="shared" si="37"/>
        <v>0.82</v>
      </c>
      <c r="N138" s="123">
        <f t="shared" si="37"/>
        <v>0.82</v>
      </c>
      <c r="O138" s="123">
        <f t="shared" si="37"/>
        <v>0.82</v>
      </c>
      <c r="P138" s="123">
        <f t="shared" si="37"/>
        <v>0.82</v>
      </c>
      <c r="Q138" s="123">
        <f t="shared" si="37"/>
        <v>0.82</v>
      </c>
      <c r="R138" s="123">
        <f t="shared" si="37"/>
        <v>0.82</v>
      </c>
      <c r="S138" s="123">
        <f t="shared" si="37"/>
        <v>0.82</v>
      </c>
      <c r="T138" s="123">
        <f t="shared" si="38"/>
        <v>0.82</v>
      </c>
      <c r="U138" s="123">
        <f t="shared" si="38"/>
        <v>0.82</v>
      </c>
      <c r="V138" s="123">
        <f t="shared" si="38"/>
        <v>0.82</v>
      </c>
      <c r="W138" s="123">
        <f t="shared" si="38"/>
        <v>0.82</v>
      </c>
      <c r="X138" s="123">
        <f t="shared" si="38"/>
        <v>0.82</v>
      </c>
      <c r="Y138" s="123">
        <f t="shared" si="38"/>
        <v>0.82</v>
      </c>
      <c r="Z138" s="123">
        <f t="shared" si="38"/>
        <v>0.82</v>
      </c>
      <c r="AA138" s="123">
        <f t="shared" si="38"/>
        <v>0.82</v>
      </c>
      <c r="AB138" s="123">
        <f t="shared" si="38"/>
        <v>0.82</v>
      </c>
      <c r="AC138" s="123">
        <f t="shared" si="38"/>
        <v>0.82</v>
      </c>
      <c r="AD138" s="123">
        <f t="shared" si="38"/>
        <v>0.82</v>
      </c>
      <c r="AE138" s="123">
        <f t="shared" si="38"/>
        <v>0.82</v>
      </c>
      <c r="AF138" s="123">
        <f t="shared" si="38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9">AF140</f>
        <v>2</v>
      </c>
      <c r="C140" s="124">
        <v>2</v>
      </c>
      <c r="D140" s="123">
        <f t="shared" ref="D140:S146" si="40">C140</f>
        <v>2</v>
      </c>
      <c r="E140" s="123">
        <f t="shared" si="40"/>
        <v>2</v>
      </c>
      <c r="F140" s="123">
        <f t="shared" si="40"/>
        <v>2</v>
      </c>
      <c r="G140" s="123">
        <f t="shared" si="40"/>
        <v>2</v>
      </c>
      <c r="H140" s="123">
        <f t="shared" si="40"/>
        <v>2</v>
      </c>
      <c r="I140" s="123">
        <f t="shared" si="40"/>
        <v>2</v>
      </c>
      <c r="J140" s="123">
        <f t="shared" si="40"/>
        <v>2</v>
      </c>
      <c r="K140" s="123">
        <f t="shared" si="40"/>
        <v>2</v>
      </c>
      <c r="L140" s="123">
        <f t="shared" si="40"/>
        <v>2</v>
      </c>
      <c r="M140" s="123">
        <f t="shared" si="40"/>
        <v>2</v>
      </c>
      <c r="N140" s="123">
        <f t="shared" si="40"/>
        <v>2</v>
      </c>
      <c r="O140" s="123">
        <f t="shared" si="40"/>
        <v>2</v>
      </c>
      <c r="P140" s="123">
        <f t="shared" si="40"/>
        <v>2</v>
      </c>
      <c r="Q140" s="123">
        <f t="shared" si="40"/>
        <v>2</v>
      </c>
      <c r="R140" s="123">
        <f t="shared" si="40"/>
        <v>2</v>
      </c>
      <c r="S140" s="123">
        <f t="shared" si="40"/>
        <v>2</v>
      </c>
      <c r="T140" s="123">
        <f t="shared" ref="T140:AF146" si="41">S140</f>
        <v>2</v>
      </c>
      <c r="U140" s="123">
        <f t="shared" si="41"/>
        <v>2</v>
      </c>
      <c r="V140" s="123">
        <f t="shared" si="41"/>
        <v>2</v>
      </c>
      <c r="W140" s="123">
        <f t="shared" si="41"/>
        <v>2</v>
      </c>
      <c r="X140" s="123">
        <f t="shared" si="41"/>
        <v>2</v>
      </c>
      <c r="Y140" s="123">
        <f t="shared" si="41"/>
        <v>2</v>
      </c>
      <c r="Z140" s="123">
        <f t="shared" si="41"/>
        <v>2</v>
      </c>
      <c r="AA140" s="123">
        <f t="shared" si="41"/>
        <v>2</v>
      </c>
      <c r="AB140" s="123">
        <f t="shared" si="41"/>
        <v>2</v>
      </c>
      <c r="AC140" s="123">
        <f t="shared" si="41"/>
        <v>2</v>
      </c>
      <c r="AD140" s="123">
        <f t="shared" si="41"/>
        <v>2</v>
      </c>
      <c r="AE140" s="123">
        <f t="shared" si="41"/>
        <v>2</v>
      </c>
      <c r="AF140" s="123">
        <f t="shared" si="41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9"/>
        <v>5.61</v>
      </c>
      <c r="C141" s="124">
        <v>5.61</v>
      </c>
      <c r="D141" s="123">
        <f t="shared" si="40"/>
        <v>5.61</v>
      </c>
      <c r="E141" s="123">
        <f t="shared" si="40"/>
        <v>5.61</v>
      </c>
      <c r="F141" s="123">
        <f t="shared" si="40"/>
        <v>5.61</v>
      </c>
      <c r="G141" s="123">
        <f t="shared" si="40"/>
        <v>5.61</v>
      </c>
      <c r="H141" s="123">
        <f t="shared" si="40"/>
        <v>5.61</v>
      </c>
      <c r="I141" s="123">
        <f t="shared" si="40"/>
        <v>5.61</v>
      </c>
      <c r="J141" s="123">
        <f t="shared" si="40"/>
        <v>5.61</v>
      </c>
      <c r="K141" s="123">
        <f t="shared" si="40"/>
        <v>5.61</v>
      </c>
      <c r="L141" s="123">
        <f t="shared" si="40"/>
        <v>5.61</v>
      </c>
      <c r="M141" s="123">
        <f t="shared" si="40"/>
        <v>5.61</v>
      </c>
      <c r="N141" s="123">
        <f t="shared" si="40"/>
        <v>5.61</v>
      </c>
      <c r="O141" s="123">
        <f t="shared" si="40"/>
        <v>5.61</v>
      </c>
      <c r="P141" s="123">
        <f t="shared" si="40"/>
        <v>5.61</v>
      </c>
      <c r="Q141" s="123">
        <f t="shared" si="40"/>
        <v>5.61</v>
      </c>
      <c r="R141" s="123">
        <f t="shared" si="40"/>
        <v>5.61</v>
      </c>
      <c r="S141" s="123">
        <f t="shared" si="40"/>
        <v>5.61</v>
      </c>
      <c r="T141" s="123">
        <f t="shared" si="41"/>
        <v>5.61</v>
      </c>
      <c r="U141" s="123">
        <f t="shared" si="41"/>
        <v>5.61</v>
      </c>
      <c r="V141" s="123">
        <f t="shared" si="41"/>
        <v>5.61</v>
      </c>
      <c r="W141" s="123">
        <f t="shared" si="41"/>
        <v>5.61</v>
      </c>
      <c r="X141" s="123">
        <f t="shared" si="41"/>
        <v>5.61</v>
      </c>
      <c r="Y141" s="123">
        <f t="shared" si="41"/>
        <v>5.61</v>
      </c>
      <c r="Z141" s="123">
        <f t="shared" si="41"/>
        <v>5.61</v>
      </c>
      <c r="AA141" s="123">
        <f t="shared" si="41"/>
        <v>5.61</v>
      </c>
      <c r="AB141" s="123">
        <f t="shared" si="41"/>
        <v>5.61</v>
      </c>
      <c r="AC141" s="123">
        <f t="shared" si="41"/>
        <v>5.61</v>
      </c>
      <c r="AD141" s="123">
        <f t="shared" si="41"/>
        <v>5.61</v>
      </c>
      <c r="AE141" s="123">
        <f t="shared" si="41"/>
        <v>5.61</v>
      </c>
      <c r="AF141" s="123">
        <f t="shared" si="41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9"/>
        <v>1.25</v>
      </c>
      <c r="C142" s="124">
        <v>1.25</v>
      </c>
      <c r="D142" s="123">
        <f t="shared" si="40"/>
        <v>1.25</v>
      </c>
      <c r="E142" s="123">
        <f t="shared" si="40"/>
        <v>1.25</v>
      </c>
      <c r="F142" s="123">
        <f t="shared" si="40"/>
        <v>1.25</v>
      </c>
      <c r="G142" s="123">
        <f t="shared" si="40"/>
        <v>1.25</v>
      </c>
      <c r="H142" s="123">
        <f t="shared" si="40"/>
        <v>1.25</v>
      </c>
      <c r="I142" s="123">
        <f t="shared" si="40"/>
        <v>1.25</v>
      </c>
      <c r="J142" s="123">
        <f t="shared" si="40"/>
        <v>1.25</v>
      </c>
      <c r="K142" s="123">
        <f t="shared" si="40"/>
        <v>1.25</v>
      </c>
      <c r="L142" s="123">
        <f t="shared" si="40"/>
        <v>1.25</v>
      </c>
      <c r="M142" s="123">
        <f t="shared" si="40"/>
        <v>1.25</v>
      </c>
      <c r="N142" s="123">
        <f t="shared" si="40"/>
        <v>1.25</v>
      </c>
      <c r="O142" s="123">
        <f t="shared" si="40"/>
        <v>1.25</v>
      </c>
      <c r="P142" s="123">
        <f t="shared" si="40"/>
        <v>1.25</v>
      </c>
      <c r="Q142" s="123">
        <f t="shared" si="40"/>
        <v>1.25</v>
      </c>
      <c r="R142" s="123">
        <f t="shared" si="40"/>
        <v>1.25</v>
      </c>
      <c r="S142" s="123">
        <f t="shared" si="40"/>
        <v>1.25</v>
      </c>
      <c r="T142" s="123">
        <f t="shared" si="41"/>
        <v>1.25</v>
      </c>
      <c r="U142" s="123">
        <f t="shared" si="41"/>
        <v>1.25</v>
      </c>
      <c r="V142" s="123">
        <f t="shared" si="41"/>
        <v>1.25</v>
      </c>
      <c r="W142" s="123">
        <f t="shared" si="41"/>
        <v>1.25</v>
      </c>
      <c r="X142" s="123">
        <f t="shared" si="41"/>
        <v>1.25</v>
      </c>
      <c r="Y142" s="123">
        <f t="shared" si="41"/>
        <v>1.25</v>
      </c>
      <c r="Z142" s="123">
        <f t="shared" si="41"/>
        <v>1.25</v>
      </c>
      <c r="AA142" s="123">
        <f t="shared" si="41"/>
        <v>1.25</v>
      </c>
      <c r="AB142" s="123">
        <f t="shared" si="41"/>
        <v>1.25</v>
      </c>
      <c r="AC142" s="123">
        <f t="shared" si="41"/>
        <v>1.25</v>
      </c>
      <c r="AD142" s="123">
        <f t="shared" si="41"/>
        <v>1.25</v>
      </c>
      <c r="AE142" s="123">
        <f t="shared" si="41"/>
        <v>1.25</v>
      </c>
      <c r="AF142" s="123">
        <f t="shared" si="41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9"/>
        <v>1.46</v>
      </c>
      <c r="C144" s="124">
        <v>1.46</v>
      </c>
      <c r="D144" s="123">
        <f t="shared" si="40"/>
        <v>1.46</v>
      </c>
      <c r="E144" s="123">
        <f t="shared" si="40"/>
        <v>1.46</v>
      </c>
      <c r="F144" s="123">
        <f t="shared" si="40"/>
        <v>1.46</v>
      </c>
      <c r="G144" s="123">
        <f t="shared" si="40"/>
        <v>1.46</v>
      </c>
      <c r="H144" s="123">
        <f t="shared" si="40"/>
        <v>1.46</v>
      </c>
      <c r="I144" s="123">
        <f t="shared" si="40"/>
        <v>1.46</v>
      </c>
      <c r="J144" s="123">
        <f t="shared" si="40"/>
        <v>1.46</v>
      </c>
      <c r="K144" s="123">
        <f t="shared" si="40"/>
        <v>1.46</v>
      </c>
      <c r="L144" s="123">
        <f t="shared" si="40"/>
        <v>1.46</v>
      </c>
      <c r="M144" s="123">
        <f t="shared" si="40"/>
        <v>1.46</v>
      </c>
      <c r="N144" s="123">
        <f t="shared" si="40"/>
        <v>1.46</v>
      </c>
      <c r="O144" s="123">
        <f t="shared" si="40"/>
        <v>1.46</v>
      </c>
      <c r="P144" s="123">
        <f t="shared" si="40"/>
        <v>1.46</v>
      </c>
      <c r="Q144" s="123">
        <f t="shared" si="40"/>
        <v>1.46</v>
      </c>
      <c r="R144" s="123">
        <f t="shared" si="40"/>
        <v>1.46</v>
      </c>
      <c r="S144" s="123">
        <f t="shared" si="40"/>
        <v>1.46</v>
      </c>
      <c r="T144" s="123">
        <f t="shared" si="41"/>
        <v>1.46</v>
      </c>
      <c r="U144" s="123">
        <f t="shared" si="41"/>
        <v>1.46</v>
      </c>
      <c r="V144" s="123">
        <f t="shared" si="41"/>
        <v>1.46</v>
      </c>
      <c r="W144" s="123">
        <f t="shared" si="41"/>
        <v>1.46</v>
      </c>
      <c r="X144" s="123">
        <f t="shared" si="41"/>
        <v>1.46</v>
      </c>
      <c r="Y144" s="123">
        <f t="shared" si="41"/>
        <v>1.46</v>
      </c>
      <c r="Z144" s="123">
        <f t="shared" si="41"/>
        <v>1.46</v>
      </c>
      <c r="AA144" s="123">
        <f t="shared" si="41"/>
        <v>1.46</v>
      </c>
      <c r="AB144" s="123">
        <f t="shared" si="41"/>
        <v>1.46</v>
      </c>
      <c r="AC144" s="123">
        <f t="shared" si="41"/>
        <v>1.46</v>
      </c>
      <c r="AD144" s="123">
        <f t="shared" si="41"/>
        <v>1.46</v>
      </c>
      <c r="AE144" s="123">
        <f t="shared" si="41"/>
        <v>1.46</v>
      </c>
      <c r="AF144" s="123">
        <f t="shared" si="41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9"/>
        <v>3</v>
      </c>
      <c r="C145" s="124">
        <v>3</v>
      </c>
      <c r="D145" s="123">
        <f t="shared" si="40"/>
        <v>3</v>
      </c>
      <c r="E145" s="123">
        <f t="shared" si="40"/>
        <v>3</v>
      </c>
      <c r="F145" s="123">
        <f t="shared" si="40"/>
        <v>3</v>
      </c>
      <c r="G145" s="123">
        <f t="shared" si="40"/>
        <v>3</v>
      </c>
      <c r="H145" s="123">
        <f t="shared" si="40"/>
        <v>3</v>
      </c>
      <c r="I145" s="123">
        <f t="shared" si="40"/>
        <v>3</v>
      </c>
      <c r="J145" s="123">
        <f t="shared" si="40"/>
        <v>3</v>
      </c>
      <c r="K145" s="123">
        <f t="shared" si="40"/>
        <v>3</v>
      </c>
      <c r="L145" s="123">
        <f t="shared" si="40"/>
        <v>3</v>
      </c>
      <c r="M145" s="123">
        <f t="shared" si="40"/>
        <v>3</v>
      </c>
      <c r="N145" s="123">
        <f t="shared" si="40"/>
        <v>3</v>
      </c>
      <c r="O145" s="123">
        <f t="shared" si="40"/>
        <v>3</v>
      </c>
      <c r="P145" s="123">
        <f t="shared" si="40"/>
        <v>3</v>
      </c>
      <c r="Q145" s="123">
        <f t="shared" si="40"/>
        <v>3</v>
      </c>
      <c r="R145" s="123">
        <f t="shared" si="40"/>
        <v>3</v>
      </c>
      <c r="S145" s="123">
        <f t="shared" si="40"/>
        <v>3</v>
      </c>
      <c r="T145" s="123">
        <f t="shared" si="41"/>
        <v>3</v>
      </c>
      <c r="U145" s="123">
        <f t="shared" si="41"/>
        <v>3</v>
      </c>
      <c r="V145" s="123">
        <f t="shared" si="41"/>
        <v>3</v>
      </c>
      <c r="W145" s="123">
        <f t="shared" si="41"/>
        <v>3</v>
      </c>
      <c r="X145" s="123">
        <f t="shared" si="41"/>
        <v>3</v>
      </c>
      <c r="Y145" s="123">
        <f t="shared" si="41"/>
        <v>3</v>
      </c>
      <c r="Z145" s="123">
        <f t="shared" si="41"/>
        <v>3</v>
      </c>
      <c r="AA145" s="123">
        <f t="shared" si="41"/>
        <v>3</v>
      </c>
      <c r="AB145" s="123">
        <f t="shared" si="41"/>
        <v>3</v>
      </c>
      <c r="AC145" s="123">
        <f t="shared" si="41"/>
        <v>3</v>
      </c>
      <c r="AD145" s="123">
        <f t="shared" si="41"/>
        <v>3</v>
      </c>
      <c r="AE145" s="123">
        <f t="shared" si="41"/>
        <v>3</v>
      </c>
      <c r="AF145" s="123">
        <f t="shared" si="41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9"/>
        <v>3.3</v>
      </c>
      <c r="C146" s="124">
        <v>3.3</v>
      </c>
      <c r="D146" s="123">
        <f t="shared" si="40"/>
        <v>3.3</v>
      </c>
      <c r="E146" s="123">
        <f t="shared" si="40"/>
        <v>3.3</v>
      </c>
      <c r="F146" s="123">
        <f t="shared" si="40"/>
        <v>3.3</v>
      </c>
      <c r="G146" s="123">
        <f t="shared" si="40"/>
        <v>3.3</v>
      </c>
      <c r="H146" s="123">
        <f t="shared" si="40"/>
        <v>3.3</v>
      </c>
      <c r="I146" s="123">
        <f t="shared" si="40"/>
        <v>3.3</v>
      </c>
      <c r="J146" s="123">
        <f t="shared" si="40"/>
        <v>3.3</v>
      </c>
      <c r="K146" s="123">
        <f t="shared" si="40"/>
        <v>3.3</v>
      </c>
      <c r="L146" s="123">
        <f t="shared" si="40"/>
        <v>3.3</v>
      </c>
      <c r="M146" s="123">
        <f t="shared" si="40"/>
        <v>3.3</v>
      </c>
      <c r="N146" s="123">
        <f t="shared" si="40"/>
        <v>3.3</v>
      </c>
      <c r="O146" s="123">
        <f t="shared" si="40"/>
        <v>3.3</v>
      </c>
      <c r="P146" s="123">
        <f t="shared" si="40"/>
        <v>3.3</v>
      </c>
      <c r="Q146" s="123">
        <f t="shared" si="40"/>
        <v>3.3</v>
      </c>
      <c r="R146" s="123">
        <f t="shared" si="40"/>
        <v>3.3</v>
      </c>
      <c r="S146" s="123">
        <f t="shared" si="40"/>
        <v>3.3</v>
      </c>
      <c r="T146" s="123">
        <f t="shared" si="41"/>
        <v>3.3</v>
      </c>
      <c r="U146" s="123">
        <f t="shared" si="41"/>
        <v>3.3</v>
      </c>
      <c r="V146" s="123">
        <f t="shared" si="41"/>
        <v>3.3</v>
      </c>
      <c r="W146" s="123">
        <f t="shared" si="41"/>
        <v>3.3</v>
      </c>
      <c r="X146" s="123">
        <f t="shared" si="41"/>
        <v>3.3</v>
      </c>
      <c r="Y146" s="123">
        <f t="shared" si="41"/>
        <v>3.3</v>
      </c>
      <c r="Z146" s="123">
        <f t="shared" si="41"/>
        <v>3.3</v>
      </c>
      <c r="AA146" s="123">
        <f t="shared" si="41"/>
        <v>3.3</v>
      </c>
      <c r="AB146" s="123">
        <f t="shared" si="41"/>
        <v>3.3</v>
      </c>
      <c r="AC146" s="123">
        <f t="shared" si="41"/>
        <v>3.3</v>
      </c>
      <c r="AD146" s="123">
        <f t="shared" si="41"/>
        <v>3.3</v>
      </c>
      <c r="AE146" s="123">
        <f t="shared" si="41"/>
        <v>3.3</v>
      </c>
      <c r="AF146" s="123">
        <f t="shared" si="41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2">C148</f>
        <v>1.76</v>
      </c>
      <c r="E148" s="123">
        <f t="shared" si="42"/>
        <v>1.76</v>
      </c>
      <c r="F148" s="123">
        <f t="shared" si="42"/>
        <v>1.76</v>
      </c>
      <c r="G148" s="123">
        <f t="shared" si="42"/>
        <v>1.76</v>
      </c>
      <c r="H148" s="123">
        <f t="shared" si="42"/>
        <v>1.76</v>
      </c>
      <c r="I148" s="123">
        <f t="shared" si="42"/>
        <v>1.76</v>
      </c>
      <c r="J148" s="123">
        <f t="shared" si="42"/>
        <v>1.76</v>
      </c>
      <c r="K148" s="123">
        <f t="shared" si="42"/>
        <v>1.76</v>
      </c>
      <c r="L148" s="123">
        <f t="shared" si="42"/>
        <v>1.76</v>
      </c>
      <c r="M148" s="123">
        <f t="shared" si="42"/>
        <v>1.76</v>
      </c>
      <c r="N148" s="123">
        <f t="shared" si="42"/>
        <v>1.76</v>
      </c>
      <c r="O148" s="123">
        <f t="shared" si="42"/>
        <v>1.76</v>
      </c>
      <c r="P148" s="123">
        <f t="shared" si="42"/>
        <v>1.76</v>
      </c>
      <c r="Q148" s="123">
        <f t="shared" si="42"/>
        <v>1.76</v>
      </c>
      <c r="R148" s="123">
        <f t="shared" si="42"/>
        <v>1.76</v>
      </c>
      <c r="S148" s="123">
        <f t="shared" si="42"/>
        <v>1.76</v>
      </c>
      <c r="T148" s="123">
        <f t="shared" ref="T148:AF149" si="43">S148</f>
        <v>1.76</v>
      </c>
      <c r="U148" s="123">
        <f t="shared" si="43"/>
        <v>1.76</v>
      </c>
      <c r="V148" s="123">
        <f t="shared" si="43"/>
        <v>1.76</v>
      </c>
      <c r="W148" s="123">
        <f t="shared" si="43"/>
        <v>1.76</v>
      </c>
      <c r="X148" s="123">
        <f t="shared" si="43"/>
        <v>1.76</v>
      </c>
      <c r="Y148" s="123">
        <f t="shared" si="43"/>
        <v>1.76</v>
      </c>
      <c r="Z148" s="123">
        <f t="shared" si="43"/>
        <v>1.76</v>
      </c>
      <c r="AA148" s="123">
        <f t="shared" si="43"/>
        <v>1.76</v>
      </c>
      <c r="AB148" s="123">
        <f t="shared" si="43"/>
        <v>1.76</v>
      </c>
      <c r="AC148" s="123">
        <f t="shared" si="43"/>
        <v>1.76</v>
      </c>
      <c r="AD148" s="123">
        <f t="shared" si="43"/>
        <v>1.76</v>
      </c>
      <c r="AE148" s="123">
        <f t="shared" si="43"/>
        <v>1.76</v>
      </c>
      <c r="AF148" s="123">
        <f t="shared" si="43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2"/>
        <v>0</v>
      </c>
      <c r="E149" s="123">
        <f t="shared" si="42"/>
        <v>0</v>
      </c>
      <c r="F149" s="123">
        <f t="shared" si="42"/>
        <v>0</v>
      </c>
      <c r="G149" s="123">
        <f t="shared" si="42"/>
        <v>0</v>
      </c>
      <c r="H149" s="123">
        <f t="shared" si="42"/>
        <v>0</v>
      </c>
      <c r="I149" s="123">
        <f t="shared" si="42"/>
        <v>0</v>
      </c>
      <c r="J149" s="123">
        <f t="shared" si="42"/>
        <v>0</v>
      </c>
      <c r="K149" s="123">
        <f t="shared" si="42"/>
        <v>0</v>
      </c>
      <c r="L149" s="123">
        <f t="shared" si="42"/>
        <v>0</v>
      </c>
      <c r="M149" s="123">
        <f t="shared" si="42"/>
        <v>0</v>
      </c>
      <c r="N149" s="123">
        <f t="shared" si="42"/>
        <v>0</v>
      </c>
      <c r="O149" s="123">
        <f t="shared" si="42"/>
        <v>0</v>
      </c>
      <c r="P149" s="123">
        <f t="shared" si="42"/>
        <v>0</v>
      </c>
      <c r="Q149" s="123">
        <f t="shared" si="42"/>
        <v>0</v>
      </c>
      <c r="R149" s="123">
        <f t="shared" si="42"/>
        <v>0</v>
      </c>
      <c r="S149" s="123">
        <f t="shared" si="42"/>
        <v>0</v>
      </c>
      <c r="T149" s="123">
        <f t="shared" si="43"/>
        <v>0</v>
      </c>
      <c r="U149" s="123">
        <f t="shared" si="43"/>
        <v>0</v>
      </c>
      <c r="V149" s="123">
        <f t="shared" si="43"/>
        <v>0</v>
      </c>
      <c r="W149" s="123">
        <f t="shared" si="43"/>
        <v>0</v>
      </c>
      <c r="X149" s="123">
        <f t="shared" si="43"/>
        <v>0</v>
      </c>
      <c r="Y149" s="123">
        <f t="shared" si="43"/>
        <v>0</v>
      </c>
      <c r="Z149" s="123">
        <f t="shared" si="43"/>
        <v>0</v>
      </c>
      <c r="AA149" s="123">
        <f t="shared" si="43"/>
        <v>0</v>
      </c>
      <c r="AB149" s="123">
        <f t="shared" si="43"/>
        <v>0</v>
      </c>
      <c r="AC149" s="123">
        <f t="shared" si="43"/>
        <v>0</v>
      </c>
      <c r="AD149" s="123">
        <f t="shared" si="43"/>
        <v>0</v>
      </c>
      <c r="AE149" s="123">
        <f t="shared" si="43"/>
        <v>0</v>
      </c>
      <c r="AF149" s="123">
        <f t="shared" si="43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4">C151</f>
        <v>0.1</v>
      </c>
      <c r="E151" s="123">
        <f t="shared" si="44"/>
        <v>0.1</v>
      </c>
      <c r="F151" s="123">
        <f t="shared" si="44"/>
        <v>0.1</v>
      </c>
      <c r="G151" s="123">
        <f t="shared" si="44"/>
        <v>0.1</v>
      </c>
      <c r="H151" s="123">
        <f t="shared" si="44"/>
        <v>0.1</v>
      </c>
      <c r="I151" s="123">
        <f t="shared" si="44"/>
        <v>0.1</v>
      </c>
      <c r="J151" s="123">
        <f t="shared" si="44"/>
        <v>0.1</v>
      </c>
      <c r="K151" s="123">
        <f t="shared" si="44"/>
        <v>0.1</v>
      </c>
      <c r="L151" s="123">
        <f t="shared" si="44"/>
        <v>0.1</v>
      </c>
      <c r="M151" s="123">
        <f t="shared" si="44"/>
        <v>0.1</v>
      </c>
      <c r="N151" s="123">
        <f t="shared" si="44"/>
        <v>0.1</v>
      </c>
      <c r="O151" s="123">
        <f t="shared" si="44"/>
        <v>0.1</v>
      </c>
      <c r="P151" s="123">
        <f t="shared" si="44"/>
        <v>0.1</v>
      </c>
      <c r="Q151" s="123">
        <f t="shared" si="44"/>
        <v>0.1</v>
      </c>
      <c r="R151" s="123">
        <f t="shared" si="44"/>
        <v>0.1</v>
      </c>
      <c r="S151" s="123">
        <f t="shared" si="44"/>
        <v>0.1</v>
      </c>
      <c r="T151" s="123">
        <f t="shared" ref="T151:AF154" si="45">S151</f>
        <v>0.1</v>
      </c>
      <c r="U151" s="123">
        <f t="shared" si="45"/>
        <v>0.1</v>
      </c>
      <c r="V151" s="123">
        <f t="shared" si="45"/>
        <v>0.1</v>
      </c>
      <c r="W151" s="123">
        <f t="shared" si="45"/>
        <v>0.1</v>
      </c>
      <c r="X151" s="123">
        <f t="shared" si="45"/>
        <v>0.1</v>
      </c>
      <c r="Y151" s="123">
        <f t="shared" si="45"/>
        <v>0.1</v>
      </c>
      <c r="Z151" s="123">
        <f t="shared" si="45"/>
        <v>0.1</v>
      </c>
      <c r="AA151" s="123">
        <f t="shared" si="45"/>
        <v>0.1</v>
      </c>
      <c r="AB151" s="123">
        <f t="shared" si="45"/>
        <v>0.1</v>
      </c>
      <c r="AC151" s="123">
        <f t="shared" si="45"/>
        <v>0.1</v>
      </c>
      <c r="AD151" s="123">
        <f t="shared" si="45"/>
        <v>0.1</v>
      </c>
      <c r="AE151" s="123">
        <f t="shared" si="45"/>
        <v>0.1</v>
      </c>
      <c r="AF151" s="123">
        <f t="shared" si="45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4"/>
        <v>2.0499999999999998</v>
      </c>
      <c r="E152" s="123">
        <f t="shared" si="44"/>
        <v>2.0499999999999998</v>
      </c>
      <c r="F152" s="123">
        <f t="shared" si="44"/>
        <v>2.0499999999999998</v>
      </c>
      <c r="G152" s="123">
        <f t="shared" si="44"/>
        <v>2.0499999999999998</v>
      </c>
      <c r="H152" s="123">
        <f t="shared" si="44"/>
        <v>2.0499999999999998</v>
      </c>
      <c r="I152" s="123">
        <f t="shared" si="44"/>
        <v>2.0499999999999998</v>
      </c>
      <c r="J152" s="123">
        <f t="shared" si="44"/>
        <v>2.0499999999999998</v>
      </c>
      <c r="K152" s="123">
        <f t="shared" si="44"/>
        <v>2.0499999999999998</v>
      </c>
      <c r="L152" s="123">
        <f t="shared" si="44"/>
        <v>2.0499999999999998</v>
      </c>
      <c r="M152" s="123">
        <f t="shared" si="44"/>
        <v>2.0499999999999998</v>
      </c>
      <c r="N152" s="123">
        <f t="shared" si="44"/>
        <v>2.0499999999999998</v>
      </c>
      <c r="O152" s="123">
        <f t="shared" si="44"/>
        <v>2.0499999999999998</v>
      </c>
      <c r="P152" s="123">
        <f t="shared" si="44"/>
        <v>2.0499999999999998</v>
      </c>
      <c r="Q152" s="123">
        <f t="shared" si="44"/>
        <v>2.0499999999999998</v>
      </c>
      <c r="R152" s="123">
        <f t="shared" si="44"/>
        <v>2.0499999999999998</v>
      </c>
      <c r="S152" s="123">
        <f t="shared" si="44"/>
        <v>2.0499999999999998</v>
      </c>
      <c r="T152" s="123">
        <f t="shared" si="45"/>
        <v>2.0499999999999998</v>
      </c>
      <c r="U152" s="123">
        <f t="shared" si="45"/>
        <v>2.0499999999999998</v>
      </c>
      <c r="V152" s="123">
        <f t="shared" si="45"/>
        <v>2.0499999999999998</v>
      </c>
      <c r="W152" s="123">
        <f t="shared" si="45"/>
        <v>2.0499999999999998</v>
      </c>
      <c r="X152" s="123">
        <f t="shared" si="45"/>
        <v>2.0499999999999998</v>
      </c>
      <c r="Y152" s="123">
        <f t="shared" si="45"/>
        <v>2.0499999999999998</v>
      </c>
      <c r="Z152" s="123">
        <f t="shared" si="45"/>
        <v>2.0499999999999998</v>
      </c>
      <c r="AA152" s="123">
        <f t="shared" si="45"/>
        <v>2.0499999999999998</v>
      </c>
      <c r="AB152" s="123">
        <f t="shared" si="45"/>
        <v>2.0499999999999998</v>
      </c>
      <c r="AC152" s="123">
        <f t="shared" si="45"/>
        <v>2.0499999999999998</v>
      </c>
      <c r="AD152" s="123">
        <f t="shared" si="45"/>
        <v>2.0499999999999998</v>
      </c>
      <c r="AE152" s="123">
        <f t="shared" si="45"/>
        <v>2.0499999999999998</v>
      </c>
      <c r="AF152" s="123">
        <f t="shared" si="45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4"/>
        <v>2.7</v>
      </c>
      <c r="E153" s="123">
        <f t="shared" si="44"/>
        <v>2.7</v>
      </c>
      <c r="F153" s="123">
        <f t="shared" si="44"/>
        <v>2.7</v>
      </c>
      <c r="G153" s="123">
        <f t="shared" si="44"/>
        <v>2.7</v>
      </c>
      <c r="H153" s="123">
        <f t="shared" si="44"/>
        <v>2.7</v>
      </c>
      <c r="I153" s="123">
        <f t="shared" si="44"/>
        <v>2.7</v>
      </c>
      <c r="J153" s="123">
        <f t="shared" si="44"/>
        <v>2.7</v>
      </c>
      <c r="K153" s="123">
        <f t="shared" si="44"/>
        <v>2.7</v>
      </c>
      <c r="L153" s="123">
        <f t="shared" si="44"/>
        <v>2.7</v>
      </c>
      <c r="M153" s="123">
        <f t="shared" si="44"/>
        <v>2.7</v>
      </c>
      <c r="N153" s="123">
        <f t="shared" si="44"/>
        <v>2.7</v>
      </c>
      <c r="O153" s="123">
        <f t="shared" si="44"/>
        <v>2.7</v>
      </c>
      <c r="P153" s="123">
        <f t="shared" si="44"/>
        <v>2.7</v>
      </c>
      <c r="Q153" s="123">
        <f t="shared" si="44"/>
        <v>2.7</v>
      </c>
      <c r="R153" s="123">
        <f t="shared" si="44"/>
        <v>2.7</v>
      </c>
      <c r="S153" s="123">
        <f t="shared" si="44"/>
        <v>2.7</v>
      </c>
      <c r="T153" s="123">
        <f t="shared" si="45"/>
        <v>2.7</v>
      </c>
      <c r="U153" s="123">
        <f t="shared" si="45"/>
        <v>2.7</v>
      </c>
      <c r="V153" s="123">
        <f t="shared" si="45"/>
        <v>2.7</v>
      </c>
      <c r="W153" s="123">
        <f t="shared" si="45"/>
        <v>2.7</v>
      </c>
      <c r="X153" s="123">
        <f t="shared" si="45"/>
        <v>2.7</v>
      </c>
      <c r="Y153" s="123">
        <f t="shared" si="45"/>
        <v>2.7</v>
      </c>
      <c r="Z153" s="123">
        <f t="shared" si="45"/>
        <v>2.7</v>
      </c>
      <c r="AA153" s="123">
        <f t="shared" si="45"/>
        <v>2.7</v>
      </c>
      <c r="AB153" s="123">
        <f t="shared" si="45"/>
        <v>2.7</v>
      </c>
      <c r="AC153" s="123">
        <f t="shared" si="45"/>
        <v>2.7</v>
      </c>
      <c r="AD153" s="123">
        <f t="shared" si="45"/>
        <v>2.7</v>
      </c>
      <c r="AE153" s="123">
        <f t="shared" si="45"/>
        <v>2.7</v>
      </c>
      <c r="AF153" s="123">
        <f t="shared" si="45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4"/>
        <v>2.15</v>
      </c>
      <c r="E154" s="123">
        <f t="shared" si="44"/>
        <v>2.15</v>
      </c>
      <c r="F154" s="123">
        <f t="shared" si="44"/>
        <v>2.15</v>
      </c>
      <c r="G154" s="123">
        <f t="shared" si="44"/>
        <v>2.15</v>
      </c>
      <c r="H154" s="123">
        <f t="shared" si="44"/>
        <v>2.15</v>
      </c>
      <c r="I154" s="123">
        <f t="shared" si="44"/>
        <v>2.15</v>
      </c>
      <c r="J154" s="123">
        <f t="shared" si="44"/>
        <v>2.15</v>
      </c>
      <c r="K154" s="123">
        <f t="shared" si="44"/>
        <v>2.15</v>
      </c>
      <c r="L154" s="123">
        <f t="shared" si="44"/>
        <v>2.15</v>
      </c>
      <c r="M154" s="123">
        <f t="shared" si="44"/>
        <v>2.15</v>
      </c>
      <c r="N154" s="123">
        <f t="shared" si="44"/>
        <v>2.15</v>
      </c>
      <c r="O154" s="123">
        <f t="shared" si="44"/>
        <v>2.15</v>
      </c>
      <c r="P154" s="123">
        <f t="shared" si="44"/>
        <v>2.15</v>
      </c>
      <c r="Q154" s="123">
        <f t="shared" si="44"/>
        <v>2.15</v>
      </c>
      <c r="R154" s="123">
        <f t="shared" si="44"/>
        <v>2.15</v>
      </c>
      <c r="S154" s="123">
        <f t="shared" si="44"/>
        <v>2.15</v>
      </c>
      <c r="T154" s="123">
        <f t="shared" si="45"/>
        <v>2.15</v>
      </c>
      <c r="U154" s="123">
        <f t="shared" si="45"/>
        <v>2.15</v>
      </c>
      <c r="V154" s="123">
        <f t="shared" si="45"/>
        <v>2.15</v>
      </c>
      <c r="W154" s="123">
        <f t="shared" si="45"/>
        <v>2.15</v>
      </c>
      <c r="X154" s="123">
        <f t="shared" si="45"/>
        <v>2.15</v>
      </c>
      <c r="Y154" s="123">
        <f t="shared" si="45"/>
        <v>2.15</v>
      </c>
      <c r="Z154" s="123">
        <f t="shared" si="45"/>
        <v>2.15</v>
      </c>
      <c r="AA154" s="123">
        <f t="shared" si="45"/>
        <v>2.15</v>
      </c>
      <c r="AB154" s="123">
        <f t="shared" si="45"/>
        <v>2.15</v>
      </c>
      <c r="AC154" s="123">
        <f t="shared" si="45"/>
        <v>2.15</v>
      </c>
      <c r="AD154" s="123">
        <f t="shared" si="45"/>
        <v>2.15</v>
      </c>
      <c r="AE154" s="123">
        <f t="shared" si="45"/>
        <v>2.15</v>
      </c>
      <c r="AF154" s="123">
        <f t="shared" si="45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6">AF156</f>
        <v>0.9</v>
      </c>
      <c r="C156" s="124">
        <v>0.9</v>
      </c>
      <c r="D156" s="123">
        <f t="shared" ref="D156:S168" si="47">C156</f>
        <v>0.9</v>
      </c>
      <c r="E156" s="123">
        <f t="shared" si="47"/>
        <v>0.9</v>
      </c>
      <c r="F156" s="123">
        <f t="shared" si="47"/>
        <v>0.9</v>
      </c>
      <c r="G156" s="123">
        <f t="shared" si="47"/>
        <v>0.9</v>
      </c>
      <c r="H156" s="123">
        <f t="shared" si="47"/>
        <v>0.9</v>
      </c>
      <c r="I156" s="123">
        <f t="shared" si="47"/>
        <v>0.9</v>
      </c>
      <c r="J156" s="123">
        <f t="shared" si="47"/>
        <v>0.9</v>
      </c>
      <c r="K156" s="123">
        <f t="shared" si="47"/>
        <v>0.9</v>
      </c>
      <c r="L156" s="123">
        <f t="shared" si="47"/>
        <v>0.9</v>
      </c>
      <c r="M156" s="123">
        <f t="shared" si="47"/>
        <v>0.9</v>
      </c>
      <c r="N156" s="123">
        <f t="shared" si="47"/>
        <v>0.9</v>
      </c>
      <c r="O156" s="123">
        <f t="shared" si="47"/>
        <v>0.9</v>
      </c>
      <c r="P156" s="123">
        <f t="shared" si="47"/>
        <v>0.9</v>
      </c>
      <c r="Q156" s="123">
        <f t="shared" si="47"/>
        <v>0.9</v>
      </c>
      <c r="R156" s="123">
        <f t="shared" si="47"/>
        <v>0.9</v>
      </c>
      <c r="S156" s="123">
        <f t="shared" si="47"/>
        <v>0.9</v>
      </c>
      <c r="T156" s="123">
        <f t="shared" ref="S156:AF168" si="48">S156</f>
        <v>0.9</v>
      </c>
      <c r="U156" s="123">
        <f t="shared" si="48"/>
        <v>0.9</v>
      </c>
      <c r="V156" s="123">
        <f t="shared" si="48"/>
        <v>0.9</v>
      </c>
      <c r="W156" s="123">
        <f t="shared" si="48"/>
        <v>0.9</v>
      </c>
      <c r="X156" s="123">
        <f t="shared" si="48"/>
        <v>0.9</v>
      </c>
      <c r="Y156" s="123">
        <f t="shared" si="48"/>
        <v>0.9</v>
      </c>
      <c r="Z156" s="123">
        <f t="shared" si="48"/>
        <v>0.9</v>
      </c>
      <c r="AA156" s="123">
        <f t="shared" si="48"/>
        <v>0.9</v>
      </c>
      <c r="AB156" s="123">
        <f t="shared" si="48"/>
        <v>0.9</v>
      </c>
      <c r="AC156" s="123">
        <f t="shared" si="48"/>
        <v>0.9</v>
      </c>
      <c r="AD156" s="123">
        <f t="shared" si="48"/>
        <v>0.9</v>
      </c>
      <c r="AE156" s="123">
        <f t="shared" si="48"/>
        <v>0.9</v>
      </c>
      <c r="AF156" s="123">
        <f t="shared" si="48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6"/>
        <v>1.08</v>
      </c>
      <c r="C157" s="124">
        <v>1.08</v>
      </c>
      <c r="D157" s="123">
        <f t="shared" si="47"/>
        <v>1.08</v>
      </c>
      <c r="E157" s="123">
        <f t="shared" si="47"/>
        <v>1.08</v>
      </c>
      <c r="F157" s="123">
        <f t="shared" si="47"/>
        <v>1.08</v>
      </c>
      <c r="G157" s="123">
        <f t="shared" si="47"/>
        <v>1.08</v>
      </c>
      <c r="H157" s="123">
        <f t="shared" si="47"/>
        <v>1.08</v>
      </c>
      <c r="I157" s="123">
        <f t="shared" si="47"/>
        <v>1.08</v>
      </c>
      <c r="J157" s="123">
        <f t="shared" si="47"/>
        <v>1.08</v>
      </c>
      <c r="K157" s="123">
        <f t="shared" si="47"/>
        <v>1.08</v>
      </c>
      <c r="L157" s="123">
        <f t="shared" si="47"/>
        <v>1.08</v>
      </c>
      <c r="M157" s="123">
        <f t="shared" si="47"/>
        <v>1.08</v>
      </c>
      <c r="N157" s="123">
        <f t="shared" si="47"/>
        <v>1.08</v>
      </c>
      <c r="O157" s="123">
        <f t="shared" si="47"/>
        <v>1.08</v>
      </c>
      <c r="P157" s="123">
        <f t="shared" si="47"/>
        <v>1.08</v>
      </c>
      <c r="Q157" s="123">
        <f t="shared" si="47"/>
        <v>1.08</v>
      </c>
      <c r="R157" s="123">
        <f t="shared" si="47"/>
        <v>1.08</v>
      </c>
      <c r="S157" s="123">
        <f t="shared" si="47"/>
        <v>1.08</v>
      </c>
      <c r="T157" s="123">
        <f t="shared" si="48"/>
        <v>1.08</v>
      </c>
      <c r="U157" s="123">
        <f t="shared" si="48"/>
        <v>1.08</v>
      </c>
      <c r="V157" s="123">
        <f t="shared" si="48"/>
        <v>1.08</v>
      </c>
      <c r="W157" s="123">
        <f t="shared" si="48"/>
        <v>1.08</v>
      </c>
      <c r="X157" s="123">
        <f t="shared" si="48"/>
        <v>1.08</v>
      </c>
      <c r="Y157" s="123">
        <f t="shared" si="48"/>
        <v>1.08</v>
      </c>
      <c r="Z157" s="123">
        <f t="shared" si="48"/>
        <v>1.08</v>
      </c>
      <c r="AA157" s="123">
        <f t="shared" si="48"/>
        <v>1.08</v>
      </c>
      <c r="AB157" s="123">
        <f t="shared" si="48"/>
        <v>1.08</v>
      </c>
      <c r="AC157" s="123">
        <f t="shared" si="48"/>
        <v>1.08</v>
      </c>
      <c r="AD157" s="123">
        <f t="shared" si="48"/>
        <v>1.08</v>
      </c>
      <c r="AE157" s="123">
        <f t="shared" si="48"/>
        <v>1.08</v>
      </c>
      <c r="AF157" s="123">
        <f t="shared" si="48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6"/>
        <v>2.37</v>
      </c>
      <c r="C158" s="124">
        <v>2.37</v>
      </c>
      <c r="D158" s="123">
        <f t="shared" si="47"/>
        <v>2.37</v>
      </c>
      <c r="E158" s="123">
        <f t="shared" si="47"/>
        <v>2.37</v>
      </c>
      <c r="F158" s="123">
        <f t="shared" si="47"/>
        <v>2.37</v>
      </c>
      <c r="G158" s="123">
        <f t="shared" si="47"/>
        <v>2.37</v>
      </c>
      <c r="H158" s="123">
        <f t="shared" si="47"/>
        <v>2.37</v>
      </c>
      <c r="I158" s="123">
        <f t="shared" si="47"/>
        <v>2.37</v>
      </c>
      <c r="J158" s="123">
        <f t="shared" si="47"/>
        <v>2.37</v>
      </c>
      <c r="K158" s="123">
        <f t="shared" si="47"/>
        <v>2.37</v>
      </c>
      <c r="L158" s="123">
        <f t="shared" si="47"/>
        <v>2.37</v>
      </c>
      <c r="M158" s="123">
        <f t="shared" si="47"/>
        <v>2.37</v>
      </c>
      <c r="N158" s="123">
        <f t="shared" si="47"/>
        <v>2.37</v>
      </c>
      <c r="O158" s="123">
        <f t="shared" si="47"/>
        <v>2.37</v>
      </c>
      <c r="P158" s="123">
        <f t="shared" si="47"/>
        <v>2.37</v>
      </c>
      <c r="Q158" s="123">
        <f t="shared" si="47"/>
        <v>2.37</v>
      </c>
      <c r="R158" s="123">
        <f t="shared" si="47"/>
        <v>2.37</v>
      </c>
      <c r="S158" s="123">
        <f t="shared" si="47"/>
        <v>2.37</v>
      </c>
      <c r="T158" s="123">
        <f t="shared" si="48"/>
        <v>2.37</v>
      </c>
      <c r="U158" s="123">
        <f t="shared" si="48"/>
        <v>2.37</v>
      </c>
      <c r="V158" s="123">
        <f t="shared" si="48"/>
        <v>2.37</v>
      </c>
      <c r="W158" s="123">
        <f t="shared" si="48"/>
        <v>2.37</v>
      </c>
      <c r="X158" s="123">
        <f t="shared" si="48"/>
        <v>2.37</v>
      </c>
      <c r="Y158" s="123">
        <f t="shared" si="48"/>
        <v>2.37</v>
      </c>
      <c r="Z158" s="123">
        <f t="shared" si="48"/>
        <v>2.37</v>
      </c>
      <c r="AA158" s="123">
        <f t="shared" si="48"/>
        <v>2.37</v>
      </c>
      <c r="AB158" s="123">
        <f t="shared" si="48"/>
        <v>2.37</v>
      </c>
      <c r="AC158" s="123">
        <f t="shared" si="48"/>
        <v>2.37</v>
      </c>
      <c r="AD158" s="123">
        <f t="shared" si="48"/>
        <v>2.37</v>
      </c>
      <c r="AE158" s="123">
        <f t="shared" si="48"/>
        <v>2.37</v>
      </c>
      <c r="AF158" s="123">
        <f t="shared" si="48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6"/>
        <v>1.81</v>
      </c>
      <c r="C159" s="124">
        <v>1.81</v>
      </c>
      <c r="D159" s="123">
        <f t="shared" si="47"/>
        <v>1.81</v>
      </c>
      <c r="E159" s="123">
        <f t="shared" si="47"/>
        <v>1.81</v>
      </c>
      <c r="F159" s="123">
        <f t="shared" si="47"/>
        <v>1.81</v>
      </c>
      <c r="G159" s="123">
        <f t="shared" si="47"/>
        <v>1.81</v>
      </c>
      <c r="H159" s="123">
        <f t="shared" si="47"/>
        <v>1.81</v>
      </c>
      <c r="I159" s="123">
        <f t="shared" si="47"/>
        <v>1.81</v>
      </c>
      <c r="J159" s="123">
        <f t="shared" si="47"/>
        <v>1.81</v>
      </c>
      <c r="K159" s="123">
        <f t="shared" si="47"/>
        <v>1.81</v>
      </c>
      <c r="L159" s="123">
        <f t="shared" si="47"/>
        <v>1.81</v>
      </c>
      <c r="M159" s="123">
        <f t="shared" si="47"/>
        <v>1.81</v>
      </c>
      <c r="N159" s="123">
        <f t="shared" si="47"/>
        <v>1.81</v>
      </c>
      <c r="O159" s="123">
        <f t="shared" si="47"/>
        <v>1.81</v>
      </c>
      <c r="P159" s="123">
        <f t="shared" si="47"/>
        <v>1.81</v>
      </c>
      <c r="Q159" s="123">
        <f t="shared" si="47"/>
        <v>1.81</v>
      </c>
      <c r="R159" s="123">
        <f t="shared" si="47"/>
        <v>1.81</v>
      </c>
      <c r="S159" s="123">
        <f t="shared" si="47"/>
        <v>1.81</v>
      </c>
      <c r="T159" s="123">
        <f t="shared" si="48"/>
        <v>1.81</v>
      </c>
      <c r="U159" s="123">
        <f t="shared" si="48"/>
        <v>1.81</v>
      </c>
      <c r="V159" s="123">
        <f t="shared" si="48"/>
        <v>1.81</v>
      </c>
      <c r="W159" s="123">
        <f t="shared" si="48"/>
        <v>1.81</v>
      </c>
      <c r="X159" s="123">
        <f t="shared" si="48"/>
        <v>1.81</v>
      </c>
      <c r="Y159" s="123">
        <f t="shared" si="48"/>
        <v>1.81</v>
      </c>
      <c r="Z159" s="123">
        <f t="shared" si="48"/>
        <v>1.81</v>
      </c>
      <c r="AA159" s="123">
        <f t="shared" si="48"/>
        <v>1.81</v>
      </c>
      <c r="AB159" s="123">
        <f t="shared" si="48"/>
        <v>1.81</v>
      </c>
      <c r="AC159" s="123">
        <f t="shared" si="48"/>
        <v>1.81</v>
      </c>
      <c r="AD159" s="123">
        <f t="shared" si="48"/>
        <v>1.81</v>
      </c>
      <c r="AE159" s="123">
        <f t="shared" si="48"/>
        <v>1.81</v>
      </c>
      <c r="AF159" s="123">
        <f t="shared" si="48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6"/>
        <v>1.0900000000000001</v>
      </c>
      <c r="C160" s="124">
        <v>1.0900000000000001</v>
      </c>
      <c r="D160" s="123">
        <f t="shared" si="47"/>
        <v>1.0900000000000001</v>
      </c>
      <c r="E160" s="123">
        <f t="shared" si="47"/>
        <v>1.0900000000000001</v>
      </c>
      <c r="F160" s="123">
        <f t="shared" si="47"/>
        <v>1.0900000000000001</v>
      </c>
      <c r="G160" s="123">
        <f t="shared" si="47"/>
        <v>1.0900000000000001</v>
      </c>
      <c r="H160" s="123">
        <f t="shared" si="47"/>
        <v>1.0900000000000001</v>
      </c>
      <c r="I160" s="123">
        <f t="shared" si="47"/>
        <v>1.0900000000000001</v>
      </c>
      <c r="J160" s="123">
        <f t="shared" si="47"/>
        <v>1.0900000000000001</v>
      </c>
      <c r="K160" s="123">
        <f t="shared" si="47"/>
        <v>1.0900000000000001</v>
      </c>
      <c r="L160" s="123">
        <f t="shared" si="47"/>
        <v>1.0900000000000001</v>
      </c>
      <c r="M160" s="123">
        <f t="shared" si="47"/>
        <v>1.0900000000000001</v>
      </c>
      <c r="N160" s="123">
        <f t="shared" si="47"/>
        <v>1.0900000000000001</v>
      </c>
      <c r="O160" s="123">
        <f t="shared" si="47"/>
        <v>1.0900000000000001</v>
      </c>
      <c r="P160" s="123">
        <f t="shared" si="47"/>
        <v>1.0900000000000001</v>
      </c>
      <c r="Q160" s="123">
        <f t="shared" si="47"/>
        <v>1.0900000000000001</v>
      </c>
      <c r="R160" s="123">
        <f t="shared" si="47"/>
        <v>1.0900000000000001</v>
      </c>
      <c r="S160" s="123">
        <f t="shared" si="47"/>
        <v>1.0900000000000001</v>
      </c>
      <c r="T160" s="123">
        <f t="shared" si="48"/>
        <v>1.0900000000000001</v>
      </c>
      <c r="U160" s="123">
        <f t="shared" si="48"/>
        <v>1.0900000000000001</v>
      </c>
      <c r="V160" s="123">
        <f t="shared" si="48"/>
        <v>1.0900000000000001</v>
      </c>
      <c r="W160" s="123">
        <f t="shared" si="48"/>
        <v>1.0900000000000001</v>
      </c>
      <c r="X160" s="123">
        <f t="shared" si="48"/>
        <v>1.0900000000000001</v>
      </c>
      <c r="Y160" s="123">
        <f t="shared" si="48"/>
        <v>1.0900000000000001</v>
      </c>
      <c r="Z160" s="123">
        <f t="shared" si="48"/>
        <v>1.0900000000000001</v>
      </c>
      <c r="AA160" s="123">
        <f t="shared" si="48"/>
        <v>1.0900000000000001</v>
      </c>
      <c r="AB160" s="123">
        <f t="shared" si="48"/>
        <v>1.0900000000000001</v>
      </c>
      <c r="AC160" s="123">
        <f t="shared" si="48"/>
        <v>1.0900000000000001</v>
      </c>
      <c r="AD160" s="123">
        <f t="shared" si="48"/>
        <v>1.0900000000000001</v>
      </c>
      <c r="AE160" s="123">
        <f t="shared" si="48"/>
        <v>1.0900000000000001</v>
      </c>
      <c r="AF160" s="123">
        <f t="shared" si="48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6"/>
        <v>1.58</v>
      </c>
      <c r="C161" s="124">
        <v>1.58</v>
      </c>
      <c r="D161" s="123">
        <f t="shared" si="47"/>
        <v>1.58</v>
      </c>
      <c r="E161" s="123">
        <f t="shared" si="47"/>
        <v>1.58</v>
      </c>
      <c r="F161" s="123">
        <f t="shared" si="47"/>
        <v>1.58</v>
      </c>
      <c r="G161" s="123">
        <f t="shared" si="47"/>
        <v>1.58</v>
      </c>
      <c r="H161" s="123">
        <f t="shared" si="47"/>
        <v>1.58</v>
      </c>
      <c r="I161" s="123">
        <f t="shared" si="47"/>
        <v>1.58</v>
      </c>
      <c r="J161" s="123">
        <f t="shared" si="47"/>
        <v>1.58</v>
      </c>
      <c r="K161" s="123">
        <f t="shared" si="47"/>
        <v>1.58</v>
      </c>
      <c r="L161" s="123">
        <f t="shared" si="47"/>
        <v>1.58</v>
      </c>
      <c r="M161" s="123">
        <f t="shared" si="47"/>
        <v>1.58</v>
      </c>
      <c r="N161" s="123">
        <f t="shared" si="47"/>
        <v>1.58</v>
      </c>
      <c r="O161" s="123">
        <f t="shared" si="47"/>
        <v>1.58</v>
      </c>
      <c r="P161" s="123">
        <f t="shared" si="47"/>
        <v>1.58</v>
      </c>
      <c r="Q161" s="123">
        <f t="shared" si="47"/>
        <v>1.58</v>
      </c>
      <c r="R161" s="123">
        <f t="shared" si="47"/>
        <v>1.58</v>
      </c>
      <c r="S161" s="123">
        <f t="shared" si="47"/>
        <v>1.58</v>
      </c>
      <c r="T161" s="123">
        <f t="shared" si="48"/>
        <v>1.58</v>
      </c>
      <c r="U161" s="123">
        <f t="shared" si="48"/>
        <v>1.58</v>
      </c>
      <c r="V161" s="123">
        <f t="shared" si="48"/>
        <v>1.58</v>
      </c>
      <c r="W161" s="123">
        <f t="shared" si="48"/>
        <v>1.58</v>
      </c>
      <c r="X161" s="123">
        <f t="shared" si="48"/>
        <v>1.58</v>
      </c>
      <c r="Y161" s="123">
        <f t="shared" si="48"/>
        <v>1.58</v>
      </c>
      <c r="Z161" s="123">
        <f t="shared" si="48"/>
        <v>1.58</v>
      </c>
      <c r="AA161" s="123">
        <f t="shared" si="48"/>
        <v>1.58</v>
      </c>
      <c r="AB161" s="123">
        <f t="shared" si="48"/>
        <v>1.58</v>
      </c>
      <c r="AC161" s="123">
        <f t="shared" si="48"/>
        <v>1.58</v>
      </c>
      <c r="AD161" s="123">
        <f t="shared" si="48"/>
        <v>1.58</v>
      </c>
      <c r="AE161" s="123">
        <f t="shared" si="48"/>
        <v>1.58</v>
      </c>
      <c r="AF161" s="123">
        <f t="shared" si="48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6"/>
        <v>2</v>
      </c>
      <c r="C162" s="124">
        <v>2</v>
      </c>
      <c r="D162" s="123">
        <f t="shared" si="47"/>
        <v>2</v>
      </c>
      <c r="E162" s="123">
        <f t="shared" si="47"/>
        <v>2</v>
      </c>
      <c r="F162" s="123">
        <f t="shared" si="47"/>
        <v>2</v>
      </c>
      <c r="G162" s="123">
        <f t="shared" si="47"/>
        <v>2</v>
      </c>
      <c r="H162" s="123">
        <f t="shared" si="47"/>
        <v>2</v>
      </c>
      <c r="I162" s="123">
        <f t="shared" si="47"/>
        <v>2</v>
      </c>
      <c r="J162" s="123">
        <f t="shared" si="47"/>
        <v>2</v>
      </c>
      <c r="K162" s="123">
        <f t="shared" si="47"/>
        <v>2</v>
      </c>
      <c r="L162" s="123">
        <f t="shared" si="47"/>
        <v>2</v>
      </c>
      <c r="M162" s="123">
        <f t="shared" si="47"/>
        <v>2</v>
      </c>
      <c r="N162" s="123">
        <f t="shared" si="47"/>
        <v>2</v>
      </c>
      <c r="O162" s="123">
        <f t="shared" si="47"/>
        <v>2</v>
      </c>
      <c r="P162" s="123">
        <f t="shared" si="47"/>
        <v>2</v>
      </c>
      <c r="Q162" s="123">
        <f t="shared" si="47"/>
        <v>2</v>
      </c>
      <c r="R162" s="123">
        <f t="shared" si="47"/>
        <v>2</v>
      </c>
      <c r="S162" s="123">
        <f t="shared" si="47"/>
        <v>2</v>
      </c>
      <c r="T162" s="123">
        <f t="shared" si="48"/>
        <v>2</v>
      </c>
      <c r="U162" s="123">
        <f t="shared" si="48"/>
        <v>2</v>
      </c>
      <c r="V162" s="123">
        <f t="shared" si="48"/>
        <v>2</v>
      </c>
      <c r="W162" s="123">
        <f t="shared" si="48"/>
        <v>2</v>
      </c>
      <c r="X162" s="123">
        <f t="shared" si="48"/>
        <v>2</v>
      </c>
      <c r="Y162" s="123">
        <f t="shared" si="48"/>
        <v>2</v>
      </c>
      <c r="Z162" s="123">
        <f t="shared" si="48"/>
        <v>2</v>
      </c>
      <c r="AA162" s="123">
        <f t="shared" si="48"/>
        <v>2</v>
      </c>
      <c r="AB162" s="123">
        <f t="shared" si="48"/>
        <v>2</v>
      </c>
      <c r="AC162" s="123">
        <f t="shared" si="48"/>
        <v>2</v>
      </c>
      <c r="AD162" s="123">
        <f t="shared" si="48"/>
        <v>2</v>
      </c>
      <c r="AE162" s="123">
        <f t="shared" si="48"/>
        <v>2</v>
      </c>
      <c r="AF162" s="123">
        <f t="shared" si="48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6"/>
        <v>0.47</v>
      </c>
      <c r="C163" s="124">
        <v>0.47</v>
      </c>
      <c r="D163" s="123">
        <f t="shared" si="47"/>
        <v>0.47</v>
      </c>
      <c r="E163" s="123">
        <f t="shared" si="47"/>
        <v>0.47</v>
      </c>
      <c r="F163" s="123">
        <f t="shared" si="47"/>
        <v>0.47</v>
      </c>
      <c r="G163" s="123">
        <f t="shared" si="47"/>
        <v>0.47</v>
      </c>
      <c r="H163" s="123">
        <f t="shared" si="47"/>
        <v>0.47</v>
      </c>
      <c r="I163" s="123">
        <f t="shared" si="47"/>
        <v>0.47</v>
      </c>
      <c r="J163" s="123">
        <f t="shared" si="47"/>
        <v>0.47</v>
      </c>
      <c r="K163" s="123">
        <f t="shared" si="47"/>
        <v>0.47</v>
      </c>
      <c r="L163" s="123">
        <f t="shared" si="47"/>
        <v>0.47</v>
      </c>
      <c r="M163" s="123">
        <f t="shared" si="47"/>
        <v>0.47</v>
      </c>
      <c r="N163" s="123">
        <f t="shared" si="47"/>
        <v>0.47</v>
      </c>
      <c r="O163" s="123">
        <f t="shared" si="47"/>
        <v>0.47</v>
      </c>
      <c r="P163" s="123">
        <f t="shared" si="47"/>
        <v>0.47</v>
      </c>
      <c r="Q163" s="123">
        <f t="shared" si="47"/>
        <v>0.47</v>
      </c>
      <c r="R163" s="123">
        <f t="shared" si="47"/>
        <v>0.47</v>
      </c>
      <c r="S163" s="123">
        <f t="shared" si="47"/>
        <v>0.47</v>
      </c>
      <c r="T163" s="123">
        <f t="shared" si="48"/>
        <v>0.47</v>
      </c>
      <c r="U163" s="123">
        <f t="shared" si="48"/>
        <v>0.47</v>
      </c>
      <c r="V163" s="123">
        <f t="shared" si="48"/>
        <v>0.47</v>
      </c>
      <c r="W163" s="123">
        <f t="shared" si="48"/>
        <v>0.47</v>
      </c>
      <c r="X163" s="123">
        <f t="shared" si="48"/>
        <v>0.47</v>
      </c>
      <c r="Y163" s="123">
        <f t="shared" si="48"/>
        <v>0.47</v>
      </c>
      <c r="Z163" s="123">
        <f t="shared" si="48"/>
        <v>0.47</v>
      </c>
      <c r="AA163" s="123">
        <f t="shared" si="48"/>
        <v>0.47</v>
      </c>
      <c r="AB163" s="123">
        <f t="shared" si="48"/>
        <v>0.47</v>
      </c>
      <c r="AC163" s="123">
        <f t="shared" si="48"/>
        <v>0.47</v>
      </c>
      <c r="AD163" s="123">
        <f t="shared" si="48"/>
        <v>0.47</v>
      </c>
      <c r="AE163" s="123">
        <f t="shared" si="48"/>
        <v>0.47</v>
      </c>
      <c r="AF163" s="123">
        <f t="shared" si="48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6"/>
        <v>0</v>
      </c>
      <c r="C164" s="124">
        <v>0</v>
      </c>
      <c r="D164" s="123">
        <f t="shared" si="47"/>
        <v>0</v>
      </c>
      <c r="E164" s="123">
        <f t="shared" si="47"/>
        <v>0</v>
      </c>
      <c r="F164" s="123">
        <f t="shared" si="47"/>
        <v>0</v>
      </c>
      <c r="G164" s="123">
        <f t="shared" si="47"/>
        <v>0</v>
      </c>
      <c r="H164" s="123">
        <f t="shared" si="47"/>
        <v>0</v>
      </c>
      <c r="I164" s="123">
        <f t="shared" si="47"/>
        <v>0</v>
      </c>
      <c r="J164" s="123">
        <f t="shared" si="47"/>
        <v>0</v>
      </c>
      <c r="K164" s="123">
        <f t="shared" si="47"/>
        <v>0</v>
      </c>
      <c r="L164" s="123">
        <f t="shared" si="47"/>
        <v>0</v>
      </c>
      <c r="M164" s="123">
        <f t="shared" si="47"/>
        <v>0</v>
      </c>
      <c r="N164" s="123">
        <f t="shared" si="47"/>
        <v>0</v>
      </c>
      <c r="O164" s="123">
        <f t="shared" si="47"/>
        <v>0</v>
      </c>
      <c r="P164" s="123">
        <f t="shared" si="47"/>
        <v>0</v>
      </c>
      <c r="Q164" s="123">
        <f t="shared" si="47"/>
        <v>0</v>
      </c>
      <c r="R164" s="123">
        <f t="shared" si="47"/>
        <v>0</v>
      </c>
      <c r="S164" s="123">
        <f t="shared" si="47"/>
        <v>0</v>
      </c>
      <c r="T164" s="123">
        <f t="shared" si="48"/>
        <v>0</v>
      </c>
      <c r="U164" s="123">
        <f t="shared" si="48"/>
        <v>0</v>
      </c>
      <c r="V164" s="123">
        <f t="shared" si="48"/>
        <v>0</v>
      </c>
      <c r="W164" s="123">
        <f t="shared" si="48"/>
        <v>0</v>
      </c>
      <c r="X164" s="123">
        <f t="shared" si="48"/>
        <v>0</v>
      </c>
      <c r="Y164" s="123">
        <f t="shared" si="48"/>
        <v>0</v>
      </c>
      <c r="Z164" s="123">
        <f t="shared" si="48"/>
        <v>0</v>
      </c>
      <c r="AA164" s="123">
        <f t="shared" si="48"/>
        <v>0</v>
      </c>
      <c r="AB164" s="123">
        <f t="shared" si="48"/>
        <v>0</v>
      </c>
      <c r="AC164" s="123">
        <f t="shared" si="48"/>
        <v>0</v>
      </c>
      <c r="AD164" s="123">
        <f t="shared" si="48"/>
        <v>0</v>
      </c>
      <c r="AE164" s="123">
        <f t="shared" si="48"/>
        <v>0</v>
      </c>
      <c r="AF164" s="123">
        <f t="shared" si="48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8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6"/>
        <v>0.8</v>
      </c>
      <c r="C166" s="124">
        <v>0.8</v>
      </c>
      <c r="D166" s="123">
        <f t="shared" si="47"/>
        <v>0.8</v>
      </c>
      <c r="E166" s="123">
        <f t="shared" si="47"/>
        <v>0.8</v>
      </c>
      <c r="F166" s="123">
        <f t="shared" si="47"/>
        <v>0.8</v>
      </c>
      <c r="G166" s="123">
        <f t="shared" si="47"/>
        <v>0.8</v>
      </c>
      <c r="H166" s="123">
        <f t="shared" si="47"/>
        <v>0.8</v>
      </c>
      <c r="I166" s="123">
        <f t="shared" si="47"/>
        <v>0.8</v>
      </c>
      <c r="J166" s="123">
        <f t="shared" si="47"/>
        <v>0.8</v>
      </c>
      <c r="K166" s="123">
        <f t="shared" si="47"/>
        <v>0.8</v>
      </c>
      <c r="L166" s="123">
        <f t="shared" si="47"/>
        <v>0.8</v>
      </c>
      <c r="M166" s="123">
        <f t="shared" si="47"/>
        <v>0.8</v>
      </c>
      <c r="N166" s="123">
        <f t="shared" si="47"/>
        <v>0.8</v>
      </c>
      <c r="O166" s="123">
        <f t="shared" si="47"/>
        <v>0.8</v>
      </c>
      <c r="P166" s="123">
        <f t="shared" si="47"/>
        <v>0.8</v>
      </c>
      <c r="Q166" s="123">
        <f t="shared" si="47"/>
        <v>0.8</v>
      </c>
      <c r="R166" s="123">
        <f t="shared" si="47"/>
        <v>0.8</v>
      </c>
      <c r="S166" s="123">
        <f t="shared" si="48"/>
        <v>0.8</v>
      </c>
      <c r="T166" s="123">
        <f t="shared" si="48"/>
        <v>0.8</v>
      </c>
      <c r="U166" s="123">
        <f t="shared" si="48"/>
        <v>0.8</v>
      </c>
      <c r="V166" s="123">
        <f t="shared" si="48"/>
        <v>0.8</v>
      </c>
      <c r="W166" s="123">
        <f t="shared" si="48"/>
        <v>0.8</v>
      </c>
      <c r="X166" s="123">
        <f t="shared" si="48"/>
        <v>0.8</v>
      </c>
      <c r="Y166" s="123">
        <f t="shared" si="48"/>
        <v>0.8</v>
      </c>
      <c r="Z166" s="123">
        <f t="shared" si="48"/>
        <v>0.8</v>
      </c>
      <c r="AA166" s="123">
        <f t="shared" si="48"/>
        <v>0.8</v>
      </c>
      <c r="AB166" s="123">
        <f t="shared" si="48"/>
        <v>0.8</v>
      </c>
      <c r="AC166" s="123">
        <f t="shared" si="48"/>
        <v>0.8</v>
      </c>
      <c r="AD166" s="123">
        <f t="shared" si="48"/>
        <v>0.8</v>
      </c>
      <c r="AE166" s="123">
        <f t="shared" si="48"/>
        <v>0.8</v>
      </c>
      <c r="AF166" s="123">
        <f t="shared" si="48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6"/>
        <v>1.5</v>
      </c>
      <c r="C167" s="124">
        <v>1.5</v>
      </c>
      <c r="D167" s="123">
        <f t="shared" si="47"/>
        <v>1.5</v>
      </c>
      <c r="E167" s="123">
        <f t="shared" si="47"/>
        <v>1.5</v>
      </c>
      <c r="F167" s="123">
        <f t="shared" si="47"/>
        <v>1.5</v>
      </c>
      <c r="G167" s="123">
        <f t="shared" si="47"/>
        <v>1.5</v>
      </c>
      <c r="H167" s="123">
        <f t="shared" si="47"/>
        <v>1.5</v>
      </c>
      <c r="I167" s="123">
        <f t="shared" si="47"/>
        <v>1.5</v>
      </c>
      <c r="J167" s="123">
        <f t="shared" si="47"/>
        <v>1.5</v>
      </c>
      <c r="K167" s="123">
        <f t="shared" si="47"/>
        <v>1.5</v>
      </c>
      <c r="L167" s="123">
        <f t="shared" si="47"/>
        <v>1.5</v>
      </c>
      <c r="M167" s="123">
        <f t="shared" si="47"/>
        <v>1.5</v>
      </c>
      <c r="N167" s="123">
        <f t="shared" si="47"/>
        <v>1.5</v>
      </c>
      <c r="O167" s="123">
        <f t="shared" si="47"/>
        <v>1.5</v>
      </c>
      <c r="P167" s="123">
        <f t="shared" si="47"/>
        <v>1.5</v>
      </c>
      <c r="Q167" s="123">
        <f t="shared" si="47"/>
        <v>1.5</v>
      </c>
      <c r="R167" s="123">
        <f t="shared" si="47"/>
        <v>1.5</v>
      </c>
      <c r="S167" s="123">
        <f t="shared" si="48"/>
        <v>1.5</v>
      </c>
      <c r="T167" s="123">
        <f t="shared" si="48"/>
        <v>1.5</v>
      </c>
      <c r="U167" s="123">
        <f t="shared" si="48"/>
        <v>1.5</v>
      </c>
      <c r="V167" s="123">
        <f t="shared" si="48"/>
        <v>1.5</v>
      </c>
      <c r="W167" s="123">
        <f t="shared" si="48"/>
        <v>1.5</v>
      </c>
      <c r="X167" s="123">
        <f t="shared" si="48"/>
        <v>1.5</v>
      </c>
      <c r="Y167" s="123">
        <f t="shared" si="48"/>
        <v>1.5</v>
      </c>
      <c r="Z167" s="123">
        <f t="shared" si="48"/>
        <v>1.5</v>
      </c>
      <c r="AA167" s="123">
        <f t="shared" si="48"/>
        <v>1.5</v>
      </c>
      <c r="AB167" s="123">
        <f t="shared" si="48"/>
        <v>1.5</v>
      </c>
      <c r="AC167" s="123">
        <f t="shared" si="48"/>
        <v>1.5</v>
      </c>
      <c r="AD167" s="123">
        <f t="shared" si="48"/>
        <v>1.5</v>
      </c>
      <c r="AE167" s="123">
        <f t="shared" si="48"/>
        <v>1.5</v>
      </c>
      <c r="AF167" s="123">
        <f t="shared" si="48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6"/>
        <v>1</v>
      </c>
      <c r="C168" s="124">
        <v>1</v>
      </c>
      <c r="D168" s="123">
        <f t="shared" si="47"/>
        <v>1</v>
      </c>
      <c r="E168" s="123">
        <f t="shared" si="47"/>
        <v>1</v>
      </c>
      <c r="F168" s="123">
        <f t="shared" si="47"/>
        <v>1</v>
      </c>
      <c r="G168" s="123">
        <f t="shared" si="47"/>
        <v>1</v>
      </c>
      <c r="H168" s="123">
        <f t="shared" si="47"/>
        <v>1</v>
      </c>
      <c r="I168" s="123">
        <f t="shared" si="47"/>
        <v>1</v>
      </c>
      <c r="J168" s="123">
        <f t="shared" si="47"/>
        <v>1</v>
      </c>
      <c r="K168" s="123">
        <f t="shared" si="47"/>
        <v>1</v>
      </c>
      <c r="L168" s="123">
        <f t="shared" si="47"/>
        <v>1</v>
      </c>
      <c r="M168" s="123">
        <f t="shared" si="47"/>
        <v>1</v>
      </c>
      <c r="N168" s="123">
        <f t="shared" si="47"/>
        <v>1</v>
      </c>
      <c r="O168" s="123">
        <f t="shared" si="47"/>
        <v>1</v>
      </c>
      <c r="P168" s="123">
        <f t="shared" si="47"/>
        <v>1</v>
      </c>
      <c r="Q168" s="123">
        <f t="shared" si="47"/>
        <v>1</v>
      </c>
      <c r="R168" s="123">
        <f t="shared" si="47"/>
        <v>1</v>
      </c>
      <c r="S168" s="123">
        <f t="shared" si="48"/>
        <v>1</v>
      </c>
      <c r="T168" s="123">
        <f t="shared" si="48"/>
        <v>1</v>
      </c>
      <c r="U168" s="123">
        <f t="shared" si="48"/>
        <v>1</v>
      </c>
      <c r="V168" s="123">
        <f t="shared" si="48"/>
        <v>1</v>
      </c>
      <c r="W168" s="123">
        <f t="shared" si="48"/>
        <v>1</v>
      </c>
      <c r="X168" s="123">
        <f t="shared" si="48"/>
        <v>1</v>
      </c>
      <c r="Y168" s="123">
        <f t="shared" si="48"/>
        <v>1</v>
      </c>
      <c r="Z168" s="123">
        <f t="shared" si="48"/>
        <v>1</v>
      </c>
      <c r="AA168" s="123">
        <f t="shared" si="48"/>
        <v>1</v>
      </c>
      <c r="AB168" s="123">
        <f t="shared" si="48"/>
        <v>1</v>
      </c>
      <c r="AC168" s="123">
        <f t="shared" si="48"/>
        <v>1</v>
      </c>
      <c r="AD168" s="123">
        <f t="shared" si="48"/>
        <v>1</v>
      </c>
      <c r="AE168" s="123">
        <f t="shared" si="48"/>
        <v>1</v>
      </c>
      <c r="AF168" s="123">
        <f t="shared" si="48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9">AF170</f>
        <v>1</v>
      </c>
      <c r="C170" s="124">
        <v>1</v>
      </c>
      <c r="D170" s="123">
        <f t="shared" ref="D170:S177" si="50">C170</f>
        <v>1</v>
      </c>
      <c r="E170" s="123">
        <f t="shared" si="50"/>
        <v>1</v>
      </c>
      <c r="F170" s="123">
        <f t="shared" si="50"/>
        <v>1</v>
      </c>
      <c r="G170" s="123">
        <f t="shared" si="50"/>
        <v>1</v>
      </c>
      <c r="H170" s="123">
        <f t="shared" si="50"/>
        <v>1</v>
      </c>
      <c r="I170" s="123">
        <f t="shared" si="50"/>
        <v>1</v>
      </c>
      <c r="J170" s="123">
        <f t="shared" si="50"/>
        <v>1</v>
      </c>
      <c r="K170" s="123">
        <f t="shared" si="50"/>
        <v>1</v>
      </c>
      <c r="L170" s="123">
        <f t="shared" si="50"/>
        <v>1</v>
      </c>
      <c r="M170" s="123">
        <f t="shared" si="50"/>
        <v>1</v>
      </c>
      <c r="N170" s="123">
        <f t="shared" si="50"/>
        <v>1</v>
      </c>
      <c r="O170" s="123">
        <f t="shared" si="50"/>
        <v>1</v>
      </c>
      <c r="P170" s="123">
        <f t="shared" si="50"/>
        <v>1</v>
      </c>
      <c r="Q170" s="123">
        <f t="shared" si="50"/>
        <v>1</v>
      </c>
      <c r="R170" s="123">
        <f t="shared" si="50"/>
        <v>1</v>
      </c>
      <c r="S170" s="123">
        <f t="shared" si="50"/>
        <v>1</v>
      </c>
      <c r="T170" s="123">
        <f t="shared" ref="S170:AF177" si="51">S170</f>
        <v>1</v>
      </c>
      <c r="U170" s="123">
        <f t="shared" si="51"/>
        <v>1</v>
      </c>
      <c r="V170" s="123">
        <f t="shared" si="51"/>
        <v>1</v>
      </c>
      <c r="W170" s="123">
        <f t="shared" si="51"/>
        <v>1</v>
      </c>
      <c r="X170" s="123">
        <f t="shared" si="51"/>
        <v>1</v>
      </c>
      <c r="Y170" s="123">
        <f t="shared" si="51"/>
        <v>1</v>
      </c>
      <c r="Z170" s="123">
        <f t="shared" si="51"/>
        <v>1</v>
      </c>
      <c r="AA170" s="123">
        <f t="shared" si="51"/>
        <v>1</v>
      </c>
      <c r="AB170" s="123">
        <f t="shared" si="51"/>
        <v>1</v>
      </c>
      <c r="AC170" s="123">
        <f t="shared" si="51"/>
        <v>1</v>
      </c>
      <c r="AD170" s="123">
        <f t="shared" si="51"/>
        <v>1</v>
      </c>
      <c r="AE170" s="123">
        <f t="shared" si="51"/>
        <v>1</v>
      </c>
      <c r="AF170" s="123">
        <f t="shared" si="51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9"/>
        <v>0.42</v>
      </c>
      <c r="C171" s="124">
        <v>0.42</v>
      </c>
      <c r="D171" s="123">
        <f t="shared" si="50"/>
        <v>0.42</v>
      </c>
      <c r="E171" s="123">
        <f t="shared" si="50"/>
        <v>0.42</v>
      </c>
      <c r="F171" s="123">
        <f t="shared" si="50"/>
        <v>0.42</v>
      </c>
      <c r="G171" s="123">
        <f t="shared" si="50"/>
        <v>0.42</v>
      </c>
      <c r="H171" s="123">
        <f t="shared" si="50"/>
        <v>0.42</v>
      </c>
      <c r="I171" s="123">
        <f t="shared" si="50"/>
        <v>0.42</v>
      </c>
      <c r="J171" s="123">
        <f t="shared" si="50"/>
        <v>0.42</v>
      </c>
      <c r="K171" s="123">
        <f t="shared" si="50"/>
        <v>0.42</v>
      </c>
      <c r="L171" s="123">
        <f t="shared" si="50"/>
        <v>0.42</v>
      </c>
      <c r="M171" s="123">
        <f t="shared" si="50"/>
        <v>0.42</v>
      </c>
      <c r="N171" s="123">
        <f t="shared" si="50"/>
        <v>0.42</v>
      </c>
      <c r="O171" s="123">
        <f t="shared" si="50"/>
        <v>0.42</v>
      </c>
      <c r="P171" s="123">
        <f t="shared" si="50"/>
        <v>0.42</v>
      </c>
      <c r="Q171" s="123">
        <f t="shared" si="50"/>
        <v>0.42</v>
      </c>
      <c r="R171" s="123">
        <f t="shared" si="50"/>
        <v>0.42</v>
      </c>
      <c r="S171" s="123">
        <f t="shared" si="51"/>
        <v>0.42</v>
      </c>
      <c r="T171" s="123">
        <f t="shared" si="51"/>
        <v>0.42</v>
      </c>
      <c r="U171" s="123">
        <f t="shared" si="51"/>
        <v>0.42</v>
      </c>
      <c r="V171" s="123">
        <f t="shared" si="51"/>
        <v>0.42</v>
      </c>
      <c r="W171" s="123">
        <f t="shared" si="51"/>
        <v>0.42</v>
      </c>
      <c r="X171" s="123">
        <f t="shared" si="51"/>
        <v>0.42</v>
      </c>
      <c r="Y171" s="123">
        <f t="shared" si="51"/>
        <v>0.42</v>
      </c>
      <c r="Z171" s="123">
        <f t="shared" si="51"/>
        <v>0.42</v>
      </c>
      <c r="AA171" s="123">
        <f t="shared" si="51"/>
        <v>0.42</v>
      </c>
      <c r="AB171" s="123">
        <f t="shared" si="51"/>
        <v>0.42</v>
      </c>
      <c r="AC171" s="123">
        <f t="shared" si="51"/>
        <v>0.42</v>
      </c>
      <c r="AD171" s="123">
        <f t="shared" si="51"/>
        <v>0.42</v>
      </c>
      <c r="AE171" s="123">
        <f t="shared" si="51"/>
        <v>0.42</v>
      </c>
      <c r="AF171" s="123">
        <f t="shared" si="51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9"/>
        <v>0.46</v>
      </c>
      <c r="C172" s="124">
        <v>0.46</v>
      </c>
      <c r="D172" s="123">
        <f t="shared" si="50"/>
        <v>0.46</v>
      </c>
      <c r="E172" s="123">
        <f t="shared" si="50"/>
        <v>0.46</v>
      </c>
      <c r="F172" s="123">
        <f t="shared" si="50"/>
        <v>0.46</v>
      </c>
      <c r="G172" s="123">
        <f t="shared" si="50"/>
        <v>0.46</v>
      </c>
      <c r="H172" s="123">
        <f t="shared" si="50"/>
        <v>0.46</v>
      </c>
      <c r="I172" s="123">
        <f t="shared" si="50"/>
        <v>0.46</v>
      </c>
      <c r="J172" s="123">
        <f t="shared" si="50"/>
        <v>0.46</v>
      </c>
      <c r="K172" s="123">
        <f t="shared" si="50"/>
        <v>0.46</v>
      </c>
      <c r="L172" s="123">
        <f t="shared" si="50"/>
        <v>0.46</v>
      </c>
      <c r="M172" s="123">
        <f t="shared" si="50"/>
        <v>0.46</v>
      </c>
      <c r="N172" s="123">
        <f t="shared" si="50"/>
        <v>0.46</v>
      </c>
      <c r="O172" s="123">
        <f t="shared" si="50"/>
        <v>0.46</v>
      </c>
      <c r="P172" s="123">
        <f t="shared" si="50"/>
        <v>0.46</v>
      </c>
      <c r="Q172" s="123">
        <f t="shared" si="50"/>
        <v>0.46</v>
      </c>
      <c r="R172" s="123">
        <f t="shared" si="50"/>
        <v>0.46</v>
      </c>
      <c r="S172" s="123">
        <f t="shared" si="51"/>
        <v>0.46</v>
      </c>
      <c r="T172" s="123">
        <f t="shared" si="51"/>
        <v>0.46</v>
      </c>
      <c r="U172" s="123">
        <f t="shared" si="51"/>
        <v>0.46</v>
      </c>
      <c r="V172" s="123">
        <f t="shared" si="51"/>
        <v>0.46</v>
      </c>
      <c r="W172" s="123">
        <f t="shared" si="51"/>
        <v>0.46</v>
      </c>
      <c r="X172" s="123">
        <f t="shared" si="51"/>
        <v>0.46</v>
      </c>
      <c r="Y172" s="123">
        <f t="shared" si="51"/>
        <v>0.46</v>
      </c>
      <c r="Z172" s="123">
        <f t="shared" si="51"/>
        <v>0.46</v>
      </c>
      <c r="AA172" s="123">
        <f t="shared" si="51"/>
        <v>0.46</v>
      </c>
      <c r="AB172" s="123">
        <f t="shared" si="51"/>
        <v>0.46</v>
      </c>
      <c r="AC172" s="123">
        <f t="shared" si="51"/>
        <v>0.46</v>
      </c>
      <c r="AD172" s="123">
        <f t="shared" si="51"/>
        <v>0.46</v>
      </c>
      <c r="AE172" s="123">
        <f t="shared" si="51"/>
        <v>0.46</v>
      </c>
      <c r="AF172" s="123">
        <f t="shared" si="51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9"/>
        <v>0.85</v>
      </c>
      <c r="C173" s="124">
        <v>0.85</v>
      </c>
      <c r="D173" s="123">
        <f t="shared" si="50"/>
        <v>0.85</v>
      </c>
      <c r="E173" s="123">
        <f t="shared" si="50"/>
        <v>0.85</v>
      </c>
      <c r="F173" s="123">
        <f t="shared" si="50"/>
        <v>0.85</v>
      </c>
      <c r="G173" s="123">
        <f t="shared" si="50"/>
        <v>0.85</v>
      </c>
      <c r="H173" s="123">
        <f t="shared" si="50"/>
        <v>0.85</v>
      </c>
      <c r="I173" s="123">
        <f t="shared" si="50"/>
        <v>0.85</v>
      </c>
      <c r="J173" s="123">
        <f t="shared" si="50"/>
        <v>0.85</v>
      </c>
      <c r="K173" s="123">
        <f t="shared" si="50"/>
        <v>0.85</v>
      </c>
      <c r="L173" s="123">
        <f t="shared" si="50"/>
        <v>0.85</v>
      </c>
      <c r="M173" s="123">
        <f t="shared" si="50"/>
        <v>0.85</v>
      </c>
      <c r="N173" s="123">
        <f t="shared" si="50"/>
        <v>0.85</v>
      </c>
      <c r="O173" s="123">
        <f t="shared" si="50"/>
        <v>0.85</v>
      </c>
      <c r="P173" s="123">
        <f t="shared" si="50"/>
        <v>0.85</v>
      </c>
      <c r="Q173" s="123">
        <f t="shared" si="50"/>
        <v>0.85</v>
      </c>
      <c r="R173" s="123">
        <f t="shared" si="50"/>
        <v>0.85</v>
      </c>
      <c r="S173" s="123">
        <f t="shared" si="51"/>
        <v>0.85</v>
      </c>
      <c r="T173" s="123">
        <f t="shared" si="51"/>
        <v>0.85</v>
      </c>
      <c r="U173" s="123">
        <f t="shared" si="51"/>
        <v>0.85</v>
      </c>
      <c r="V173" s="123">
        <f t="shared" si="51"/>
        <v>0.85</v>
      </c>
      <c r="W173" s="123">
        <f t="shared" si="51"/>
        <v>0.85</v>
      </c>
      <c r="X173" s="123">
        <f t="shared" si="51"/>
        <v>0.85</v>
      </c>
      <c r="Y173" s="123">
        <f t="shared" si="51"/>
        <v>0.85</v>
      </c>
      <c r="Z173" s="123">
        <f t="shared" si="51"/>
        <v>0.85</v>
      </c>
      <c r="AA173" s="123">
        <f t="shared" si="51"/>
        <v>0.85</v>
      </c>
      <c r="AB173" s="123">
        <f t="shared" si="51"/>
        <v>0.85</v>
      </c>
      <c r="AC173" s="123">
        <f t="shared" si="51"/>
        <v>0.85</v>
      </c>
      <c r="AD173" s="123">
        <f t="shared" si="51"/>
        <v>0.85</v>
      </c>
      <c r="AE173" s="123">
        <f t="shared" si="51"/>
        <v>0.85</v>
      </c>
      <c r="AF173" s="123">
        <f t="shared" si="51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9"/>
        <v>0.9</v>
      </c>
      <c r="C174" s="124">
        <v>0.9</v>
      </c>
      <c r="D174" s="123">
        <f t="shared" si="50"/>
        <v>0.9</v>
      </c>
      <c r="E174" s="123">
        <f t="shared" si="50"/>
        <v>0.9</v>
      </c>
      <c r="F174" s="123">
        <f t="shared" si="50"/>
        <v>0.9</v>
      </c>
      <c r="G174" s="123">
        <f t="shared" si="50"/>
        <v>0.9</v>
      </c>
      <c r="H174" s="123">
        <f t="shared" si="50"/>
        <v>0.9</v>
      </c>
      <c r="I174" s="123">
        <f t="shared" si="50"/>
        <v>0.9</v>
      </c>
      <c r="J174" s="123">
        <f t="shared" si="50"/>
        <v>0.9</v>
      </c>
      <c r="K174" s="123">
        <f t="shared" si="50"/>
        <v>0.9</v>
      </c>
      <c r="L174" s="123">
        <f t="shared" si="50"/>
        <v>0.9</v>
      </c>
      <c r="M174" s="123">
        <f t="shared" si="50"/>
        <v>0.9</v>
      </c>
      <c r="N174" s="123">
        <f t="shared" si="50"/>
        <v>0.9</v>
      </c>
      <c r="O174" s="123">
        <f t="shared" si="50"/>
        <v>0.9</v>
      </c>
      <c r="P174" s="123">
        <f t="shared" si="50"/>
        <v>0.9</v>
      </c>
      <c r="Q174" s="123">
        <f t="shared" si="50"/>
        <v>0.9</v>
      </c>
      <c r="R174" s="123">
        <f t="shared" si="50"/>
        <v>0.9</v>
      </c>
      <c r="S174" s="123">
        <f t="shared" si="51"/>
        <v>0.9</v>
      </c>
      <c r="T174" s="123">
        <f t="shared" si="51"/>
        <v>0.9</v>
      </c>
      <c r="U174" s="123">
        <f t="shared" si="51"/>
        <v>0.9</v>
      </c>
      <c r="V174" s="123">
        <f t="shared" si="51"/>
        <v>0.9</v>
      </c>
      <c r="W174" s="123">
        <f t="shared" si="51"/>
        <v>0.9</v>
      </c>
      <c r="X174" s="123">
        <f t="shared" si="51"/>
        <v>0.9</v>
      </c>
      <c r="Y174" s="123">
        <f t="shared" si="51"/>
        <v>0.9</v>
      </c>
      <c r="Z174" s="123">
        <f t="shared" si="51"/>
        <v>0.9</v>
      </c>
      <c r="AA174" s="123">
        <f t="shared" si="51"/>
        <v>0.9</v>
      </c>
      <c r="AB174" s="123">
        <f t="shared" si="51"/>
        <v>0.9</v>
      </c>
      <c r="AC174" s="123">
        <f t="shared" si="51"/>
        <v>0.9</v>
      </c>
      <c r="AD174" s="123">
        <f t="shared" si="51"/>
        <v>0.9</v>
      </c>
      <c r="AE174" s="123">
        <f t="shared" si="51"/>
        <v>0.9</v>
      </c>
      <c r="AF174" s="123">
        <f t="shared" si="51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9"/>
        <v>0.44</v>
      </c>
      <c r="C175" s="124">
        <v>0.44</v>
      </c>
      <c r="D175" s="123">
        <f t="shared" si="50"/>
        <v>0.44</v>
      </c>
      <c r="E175" s="123">
        <f t="shared" si="50"/>
        <v>0.44</v>
      </c>
      <c r="F175" s="123">
        <f t="shared" si="50"/>
        <v>0.44</v>
      </c>
      <c r="G175" s="123">
        <f t="shared" si="50"/>
        <v>0.44</v>
      </c>
      <c r="H175" s="123">
        <f t="shared" si="50"/>
        <v>0.44</v>
      </c>
      <c r="I175" s="123">
        <f t="shared" si="50"/>
        <v>0.44</v>
      </c>
      <c r="J175" s="123">
        <f t="shared" si="50"/>
        <v>0.44</v>
      </c>
      <c r="K175" s="123">
        <f t="shared" si="50"/>
        <v>0.44</v>
      </c>
      <c r="L175" s="123">
        <f t="shared" si="50"/>
        <v>0.44</v>
      </c>
      <c r="M175" s="123">
        <f t="shared" si="50"/>
        <v>0.44</v>
      </c>
      <c r="N175" s="123">
        <f t="shared" si="50"/>
        <v>0.44</v>
      </c>
      <c r="O175" s="123">
        <f t="shared" si="50"/>
        <v>0.44</v>
      </c>
      <c r="P175" s="123">
        <f t="shared" si="50"/>
        <v>0.44</v>
      </c>
      <c r="Q175" s="123">
        <f t="shared" si="50"/>
        <v>0.44</v>
      </c>
      <c r="R175" s="123">
        <f t="shared" si="50"/>
        <v>0.44</v>
      </c>
      <c r="S175" s="123">
        <f t="shared" si="51"/>
        <v>0.44</v>
      </c>
      <c r="T175" s="123">
        <f t="shared" si="51"/>
        <v>0.44</v>
      </c>
      <c r="U175" s="123">
        <f t="shared" si="51"/>
        <v>0.44</v>
      </c>
      <c r="V175" s="123">
        <f t="shared" si="51"/>
        <v>0.44</v>
      </c>
      <c r="W175" s="123">
        <f t="shared" si="51"/>
        <v>0.44</v>
      </c>
      <c r="X175" s="123">
        <f t="shared" si="51"/>
        <v>0.44</v>
      </c>
      <c r="Y175" s="123">
        <f t="shared" si="51"/>
        <v>0.44</v>
      </c>
      <c r="Z175" s="123">
        <f t="shared" si="51"/>
        <v>0.44</v>
      </c>
      <c r="AA175" s="123">
        <f t="shared" si="51"/>
        <v>0.44</v>
      </c>
      <c r="AB175" s="123">
        <f t="shared" si="51"/>
        <v>0.44</v>
      </c>
      <c r="AC175" s="123">
        <f t="shared" si="51"/>
        <v>0.44</v>
      </c>
      <c r="AD175" s="123">
        <f t="shared" si="51"/>
        <v>0.44</v>
      </c>
      <c r="AE175" s="123">
        <f t="shared" si="51"/>
        <v>0.44</v>
      </c>
      <c r="AF175" s="123">
        <f t="shared" si="51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9"/>
        <v>2.1</v>
      </c>
      <c r="C176" s="124">
        <v>2.1</v>
      </c>
      <c r="D176" s="123">
        <f t="shared" si="50"/>
        <v>2.1</v>
      </c>
      <c r="E176" s="123">
        <f t="shared" si="50"/>
        <v>2.1</v>
      </c>
      <c r="F176" s="123">
        <f t="shared" si="50"/>
        <v>2.1</v>
      </c>
      <c r="G176" s="123">
        <f t="shared" si="50"/>
        <v>2.1</v>
      </c>
      <c r="H176" s="123">
        <f t="shared" si="50"/>
        <v>2.1</v>
      </c>
      <c r="I176" s="123">
        <f t="shared" si="50"/>
        <v>2.1</v>
      </c>
      <c r="J176" s="123">
        <f t="shared" si="50"/>
        <v>2.1</v>
      </c>
      <c r="K176" s="123">
        <f t="shared" si="50"/>
        <v>2.1</v>
      </c>
      <c r="L176" s="123">
        <f t="shared" si="50"/>
        <v>2.1</v>
      </c>
      <c r="M176" s="123">
        <f t="shared" si="50"/>
        <v>2.1</v>
      </c>
      <c r="N176" s="123">
        <f t="shared" si="50"/>
        <v>2.1</v>
      </c>
      <c r="O176" s="123">
        <f t="shared" si="50"/>
        <v>2.1</v>
      </c>
      <c r="P176" s="123">
        <f t="shared" si="50"/>
        <v>2.1</v>
      </c>
      <c r="Q176" s="123">
        <f t="shared" si="50"/>
        <v>2.1</v>
      </c>
      <c r="R176" s="123">
        <f t="shared" si="50"/>
        <v>2.1</v>
      </c>
      <c r="S176" s="123">
        <f t="shared" si="51"/>
        <v>2.1</v>
      </c>
      <c r="T176" s="123">
        <f t="shared" si="51"/>
        <v>2.1</v>
      </c>
      <c r="U176" s="123">
        <f t="shared" si="51"/>
        <v>2.1</v>
      </c>
      <c r="V176" s="123">
        <f t="shared" si="51"/>
        <v>2.1</v>
      </c>
      <c r="W176" s="123">
        <f t="shared" si="51"/>
        <v>2.1</v>
      </c>
      <c r="X176" s="123">
        <f t="shared" si="51"/>
        <v>2.1</v>
      </c>
      <c r="Y176" s="123">
        <f t="shared" si="51"/>
        <v>2.1</v>
      </c>
      <c r="Z176" s="123">
        <f t="shared" si="51"/>
        <v>2.1</v>
      </c>
      <c r="AA176" s="123">
        <f t="shared" si="51"/>
        <v>2.1</v>
      </c>
      <c r="AB176" s="123">
        <f t="shared" si="51"/>
        <v>2.1</v>
      </c>
      <c r="AC176" s="123">
        <f t="shared" si="51"/>
        <v>2.1</v>
      </c>
      <c r="AD176" s="123">
        <f t="shared" si="51"/>
        <v>2.1</v>
      </c>
      <c r="AE176" s="123">
        <f t="shared" si="51"/>
        <v>2.1</v>
      </c>
      <c r="AF176" s="123">
        <f t="shared" si="51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9"/>
        <v>0.9</v>
      </c>
      <c r="C177" s="124">
        <v>0.9</v>
      </c>
      <c r="D177" s="123">
        <f t="shared" si="50"/>
        <v>0.9</v>
      </c>
      <c r="E177" s="123">
        <f t="shared" si="50"/>
        <v>0.9</v>
      </c>
      <c r="F177" s="123">
        <f t="shared" si="50"/>
        <v>0.9</v>
      </c>
      <c r="G177" s="123">
        <f t="shared" si="50"/>
        <v>0.9</v>
      </c>
      <c r="H177" s="123">
        <f t="shared" si="50"/>
        <v>0.9</v>
      </c>
      <c r="I177" s="123">
        <f t="shared" si="50"/>
        <v>0.9</v>
      </c>
      <c r="J177" s="123">
        <f t="shared" si="50"/>
        <v>0.9</v>
      </c>
      <c r="K177" s="123">
        <f t="shared" si="50"/>
        <v>0.9</v>
      </c>
      <c r="L177" s="123">
        <f t="shared" si="50"/>
        <v>0.9</v>
      </c>
      <c r="M177" s="123">
        <f t="shared" si="50"/>
        <v>0.9</v>
      </c>
      <c r="N177" s="123">
        <f t="shared" si="50"/>
        <v>0.9</v>
      </c>
      <c r="O177" s="123">
        <f t="shared" si="50"/>
        <v>0.9</v>
      </c>
      <c r="P177" s="123">
        <f t="shared" si="50"/>
        <v>0.9</v>
      </c>
      <c r="Q177" s="123">
        <f t="shared" si="50"/>
        <v>0.9</v>
      </c>
      <c r="R177" s="123">
        <f t="shared" si="50"/>
        <v>0.9</v>
      </c>
      <c r="S177" s="123">
        <f t="shared" si="51"/>
        <v>0.9</v>
      </c>
      <c r="T177" s="123">
        <f t="shared" si="51"/>
        <v>0.9</v>
      </c>
      <c r="U177" s="123">
        <f t="shared" si="51"/>
        <v>0.9</v>
      </c>
      <c r="V177" s="123">
        <f t="shared" si="51"/>
        <v>0.9</v>
      </c>
      <c r="W177" s="123">
        <f t="shared" si="51"/>
        <v>0.9</v>
      </c>
      <c r="X177" s="123">
        <f t="shared" si="51"/>
        <v>0.9</v>
      </c>
      <c r="Y177" s="123">
        <f t="shared" si="51"/>
        <v>0.9</v>
      </c>
      <c r="Z177" s="123">
        <f t="shared" si="51"/>
        <v>0.9</v>
      </c>
      <c r="AA177" s="123">
        <f t="shared" si="51"/>
        <v>0.9</v>
      </c>
      <c r="AB177" s="123">
        <f t="shared" si="51"/>
        <v>0.9</v>
      </c>
      <c r="AC177" s="123">
        <f t="shared" si="51"/>
        <v>0.9</v>
      </c>
      <c r="AD177" s="123">
        <f t="shared" si="51"/>
        <v>0.9</v>
      </c>
      <c r="AE177" s="123">
        <f t="shared" si="51"/>
        <v>0.9</v>
      </c>
      <c r="AF177" s="123">
        <f t="shared" si="51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2">AF179</f>
        <v>0.57999999999999996</v>
      </c>
      <c r="C179" s="124">
        <v>0.57999999999999996</v>
      </c>
      <c r="D179" s="123">
        <f t="shared" ref="D179:S191" si="53">C179</f>
        <v>0.57999999999999996</v>
      </c>
      <c r="E179" s="123">
        <f t="shared" si="53"/>
        <v>0.57999999999999996</v>
      </c>
      <c r="F179" s="123">
        <f t="shared" si="53"/>
        <v>0.57999999999999996</v>
      </c>
      <c r="G179" s="123">
        <f t="shared" si="53"/>
        <v>0.57999999999999996</v>
      </c>
      <c r="H179" s="123">
        <f t="shared" si="53"/>
        <v>0.57999999999999996</v>
      </c>
      <c r="I179" s="123">
        <f t="shared" si="53"/>
        <v>0.57999999999999996</v>
      </c>
      <c r="J179" s="123">
        <f t="shared" si="53"/>
        <v>0.57999999999999996</v>
      </c>
      <c r="K179" s="123">
        <f t="shared" si="53"/>
        <v>0.57999999999999996</v>
      </c>
      <c r="L179" s="123">
        <f t="shared" si="53"/>
        <v>0.57999999999999996</v>
      </c>
      <c r="M179" s="123">
        <f t="shared" si="53"/>
        <v>0.57999999999999996</v>
      </c>
      <c r="N179" s="123">
        <f t="shared" si="53"/>
        <v>0.57999999999999996</v>
      </c>
      <c r="O179" s="123">
        <f t="shared" si="53"/>
        <v>0.57999999999999996</v>
      </c>
      <c r="P179" s="123">
        <f t="shared" si="53"/>
        <v>0.57999999999999996</v>
      </c>
      <c r="Q179" s="123">
        <f t="shared" si="53"/>
        <v>0.57999999999999996</v>
      </c>
      <c r="R179" s="123">
        <f t="shared" si="53"/>
        <v>0.57999999999999996</v>
      </c>
      <c r="S179" s="123">
        <f t="shared" si="53"/>
        <v>0.57999999999999996</v>
      </c>
      <c r="T179" s="123">
        <f t="shared" ref="S179:AF191" si="54">S179</f>
        <v>0.57999999999999996</v>
      </c>
      <c r="U179" s="123">
        <f t="shared" si="54"/>
        <v>0.57999999999999996</v>
      </c>
      <c r="V179" s="123">
        <f t="shared" si="54"/>
        <v>0.57999999999999996</v>
      </c>
      <c r="W179" s="123">
        <f t="shared" si="54"/>
        <v>0.57999999999999996</v>
      </c>
      <c r="X179" s="123">
        <f t="shared" si="54"/>
        <v>0.57999999999999996</v>
      </c>
      <c r="Y179" s="123">
        <f t="shared" si="54"/>
        <v>0.57999999999999996</v>
      </c>
      <c r="Z179" s="123">
        <f t="shared" si="54"/>
        <v>0.57999999999999996</v>
      </c>
      <c r="AA179" s="123">
        <f t="shared" si="54"/>
        <v>0.57999999999999996</v>
      </c>
      <c r="AB179" s="123">
        <f t="shared" si="54"/>
        <v>0.57999999999999996</v>
      </c>
      <c r="AC179" s="123">
        <f t="shared" si="54"/>
        <v>0.57999999999999996</v>
      </c>
      <c r="AD179" s="123">
        <f t="shared" si="54"/>
        <v>0.57999999999999996</v>
      </c>
      <c r="AE179" s="123">
        <f t="shared" si="54"/>
        <v>0.57999999999999996</v>
      </c>
      <c r="AF179" s="123">
        <f t="shared" si="54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2"/>
        <v>0.8</v>
      </c>
      <c r="C180" s="124">
        <v>0.8</v>
      </c>
      <c r="D180" s="123">
        <f t="shared" si="53"/>
        <v>0.8</v>
      </c>
      <c r="E180" s="123">
        <f t="shared" si="53"/>
        <v>0.8</v>
      </c>
      <c r="F180" s="123">
        <f t="shared" si="53"/>
        <v>0.8</v>
      </c>
      <c r="G180" s="123">
        <f t="shared" si="53"/>
        <v>0.8</v>
      </c>
      <c r="H180" s="123">
        <f t="shared" si="53"/>
        <v>0.8</v>
      </c>
      <c r="I180" s="123">
        <f t="shared" si="53"/>
        <v>0.8</v>
      </c>
      <c r="J180" s="123">
        <f t="shared" si="53"/>
        <v>0.8</v>
      </c>
      <c r="K180" s="123">
        <f t="shared" si="53"/>
        <v>0.8</v>
      </c>
      <c r="L180" s="123">
        <f t="shared" si="53"/>
        <v>0.8</v>
      </c>
      <c r="M180" s="123">
        <f t="shared" si="53"/>
        <v>0.8</v>
      </c>
      <c r="N180" s="123">
        <f t="shared" si="53"/>
        <v>0.8</v>
      </c>
      <c r="O180" s="123">
        <f t="shared" si="53"/>
        <v>0.8</v>
      </c>
      <c r="P180" s="123">
        <f t="shared" si="53"/>
        <v>0.8</v>
      </c>
      <c r="Q180" s="123">
        <f t="shared" si="53"/>
        <v>0.8</v>
      </c>
      <c r="R180" s="123">
        <f t="shared" si="53"/>
        <v>0.8</v>
      </c>
      <c r="S180" s="123">
        <f t="shared" si="53"/>
        <v>0.8</v>
      </c>
      <c r="T180" s="123">
        <f t="shared" si="54"/>
        <v>0.8</v>
      </c>
      <c r="U180" s="123">
        <f t="shared" si="54"/>
        <v>0.8</v>
      </c>
      <c r="V180" s="123">
        <f t="shared" si="54"/>
        <v>0.8</v>
      </c>
      <c r="W180" s="123">
        <f t="shared" si="54"/>
        <v>0.8</v>
      </c>
      <c r="X180" s="123">
        <f t="shared" si="54"/>
        <v>0.8</v>
      </c>
      <c r="Y180" s="123">
        <f t="shared" si="54"/>
        <v>0.8</v>
      </c>
      <c r="Z180" s="123">
        <f t="shared" si="54"/>
        <v>0.8</v>
      </c>
      <c r="AA180" s="123">
        <f t="shared" si="54"/>
        <v>0.8</v>
      </c>
      <c r="AB180" s="123">
        <f t="shared" si="54"/>
        <v>0.8</v>
      </c>
      <c r="AC180" s="123">
        <f t="shared" si="54"/>
        <v>0.8</v>
      </c>
      <c r="AD180" s="123">
        <f t="shared" si="54"/>
        <v>0.8</v>
      </c>
      <c r="AE180" s="123">
        <f t="shared" si="54"/>
        <v>0.8</v>
      </c>
      <c r="AF180" s="123">
        <f t="shared" si="54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2"/>
        <v>0</v>
      </c>
      <c r="C181" s="124">
        <v>0</v>
      </c>
      <c r="D181" s="123">
        <f t="shared" si="53"/>
        <v>0</v>
      </c>
      <c r="E181" s="123">
        <f t="shared" si="53"/>
        <v>0</v>
      </c>
      <c r="F181" s="123">
        <f t="shared" si="53"/>
        <v>0</v>
      </c>
      <c r="G181" s="123">
        <f t="shared" si="53"/>
        <v>0</v>
      </c>
      <c r="H181" s="123">
        <f t="shared" si="53"/>
        <v>0</v>
      </c>
      <c r="I181" s="123">
        <f t="shared" si="53"/>
        <v>0</v>
      </c>
      <c r="J181" s="123">
        <f t="shared" si="53"/>
        <v>0</v>
      </c>
      <c r="K181" s="123">
        <f t="shared" si="53"/>
        <v>0</v>
      </c>
      <c r="L181" s="123">
        <f t="shared" si="53"/>
        <v>0</v>
      </c>
      <c r="M181" s="123">
        <f t="shared" si="53"/>
        <v>0</v>
      </c>
      <c r="N181" s="123">
        <f t="shared" si="53"/>
        <v>0</v>
      </c>
      <c r="O181" s="123">
        <f t="shared" si="53"/>
        <v>0</v>
      </c>
      <c r="P181" s="123">
        <f t="shared" si="53"/>
        <v>0</v>
      </c>
      <c r="Q181" s="123">
        <f t="shared" si="53"/>
        <v>0</v>
      </c>
      <c r="R181" s="123">
        <f t="shared" si="53"/>
        <v>0</v>
      </c>
      <c r="S181" s="123">
        <f t="shared" si="53"/>
        <v>0</v>
      </c>
      <c r="T181" s="123">
        <f t="shared" si="54"/>
        <v>0</v>
      </c>
      <c r="U181" s="123">
        <f t="shared" si="54"/>
        <v>0</v>
      </c>
      <c r="V181" s="123">
        <f t="shared" si="54"/>
        <v>0</v>
      </c>
      <c r="W181" s="123">
        <f t="shared" si="54"/>
        <v>0</v>
      </c>
      <c r="X181" s="123">
        <f t="shared" si="54"/>
        <v>0</v>
      </c>
      <c r="Y181" s="123">
        <f t="shared" si="54"/>
        <v>0</v>
      </c>
      <c r="Z181" s="123">
        <f t="shared" si="54"/>
        <v>0</v>
      </c>
      <c r="AA181" s="123">
        <f t="shared" si="54"/>
        <v>0</v>
      </c>
      <c r="AB181" s="123">
        <f t="shared" si="54"/>
        <v>0</v>
      </c>
      <c r="AC181" s="123">
        <f t="shared" si="54"/>
        <v>0</v>
      </c>
      <c r="AD181" s="123">
        <f t="shared" si="54"/>
        <v>0</v>
      </c>
      <c r="AE181" s="123">
        <f t="shared" si="54"/>
        <v>0</v>
      </c>
      <c r="AF181" s="123">
        <f t="shared" si="54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2"/>
        <v>0.6</v>
      </c>
      <c r="C182" s="124">
        <v>0.6</v>
      </c>
      <c r="D182" s="123">
        <f t="shared" si="53"/>
        <v>0.6</v>
      </c>
      <c r="E182" s="123">
        <f t="shared" si="53"/>
        <v>0.6</v>
      </c>
      <c r="F182" s="123">
        <f t="shared" si="53"/>
        <v>0.6</v>
      </c>
      <c r="G182" s="123">
        <f t="shared" si="53"/>
        <v>0.6</v>
      </c>
      <c r="H182" s="123">
        <f t="shared" si="53"/>
        <v>0.6</v>
      </c>
      <c r="I182" s="123">
        <f t="shared" si="53"/>
        <v>0.6</v>
      </c>
      <c r="J182" s="123">
        <f t="shared" si="53"/>
        <v>0.6</v>
      </c>
      <c r="K182" s="123">
        <f t="shared" si="53"/>
        <v>0.6</v>
      </c>
      <c r="L182" s="123">
        <f t="shared" si="53"/>
        <v>0.6</v>
      </c>
      <c r="M182" s="123">
        <f t="shared" si="53"/>
        <v>0.6</v>
      </c>
      <c r="N182" s="123">
        <f t="shared" si="53"/>
        <v>0.6</v>
      </c>
      <c r="O182" s="123">
        <f t="shared" si="53"/>
        <v>0.6</v>
      </c>
      <c r="P182" s="123">
        <f t="shared" si="53"/>
        <v>0.6</v>
      </c>
      <c r="Q182" s="123">
        <f t="shared" si="53"/>
        <v>0.6</v>
      </c>
      <c r="R182" s="123">
        <f t="shared" si="53"/>
        <v>0.6</v>
      </c>
      <c r="S182" s="123">
        <f t="shared" si="53"/>
        <v>0.6</v>
      </c>
      <c r="T182" s="123">
        <f t="shared" si="54"/>
        <v>0.6</v>
      </c>
      <c r="U182" s="123">
        <f t="shared" si="54"/>
        <v>0.6</v>
      </c>
      <c r="V182" s="123">
        <f t="shared" si="54"/>
        <v>0.6</v>
      </c>
      <c r="W182" s="123">
        <f t="shared" si="54"/>
        <v>0.6</v>
      </c>
      <c r="X182" s="123">
        <f t="shared" si="54"/>
        <v>0.6</v>
      </c>
      <c r="Y182" s="123">
        <f t="shared" si="54"/>
        <v>0.6</v>
      </c>
      <c r="Z182" s="123">
        <f t="shared" si="54"/>
        <v>0.6</v>
      </c>
      <c r="AA182" s="123">
        <f t="shared" si="54"/>
        <v>0.6</v>
      </c>
      <c r="AB182" s="123">
        <f t="shared" si="54"/>
        <v>0.6</v>
      </c>
      <c r="AC182" s="123">
        <f t="shared" si="54"/>
        <v>0.6</v>
      </c>
      <c r="AD182" s="123">
        <f t="shared" si="54"/>
        <v>0.6</v>
      </c>
      <c r="AE182" s="123">
        <f t="shared" si="54"/>
        <v>0.6</v>
      </c>
      <c r="AF182" s="123">
        <f t="shared" si="54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2"/>
        <v>0.35</v>
      </c>
      <c r="C184" s="124">
        <v>0.35</v>
      </c>
      <c r="D184" s="123">
        <f t="shared" si="53"/>
        <v>0.35</v>
      </c>
      <c r="E184" s="123">
        <f t="shared" si="53"/>
        <v>0.35</v>
      </c>
      <c r="F184" s="123">
        <f t="shared" si="53"/>
        <v>0.35</v>
      </c>
      <c r="G184" s="123">
        <f t="shared" si="53"/>
        <v>0.35</v>
      </c>
      <c r="H184" s="123">
        <f t="shared" si="53"/>
        <v>0.35</v>
      </c>
      <c r="I184" s="123">
        <f t="shared" si="53"/>
        <v>0.35</v>
      </c>
      <c r="J184" s="123">
        <f t="shared" si="53"/>
        <v>0.35</v>
      </c>
      <c r="K184" s="123">
        <f t="shared" si="53"/>
        <v>0.35</v>
      </c>
      <c r="L184" s="123">
        <f t="shared" si="53"/>
        <v>0.35</v>
      </c>
      <c r="M184" s="123">
        <f t="shared" si="53"/>
        <v>0.35</v>
      </c>
      <c r="N184" s="123">
        <f t="shared" si="53"/>
        <v>0.35</v>
      </c>
      <c r="O184" s="123">
        <f t="shared" si="53"/>
        <v>0.35</v>
      </c>
      <c r="P184" s="123">
        <f t="shared" si="53"/>
        <v>0.35</v>
      </c>
      <c r="Q184" s="123">
        <f t="shared" si="53"/>
        <v>0.35</v>
      </c>
      <c r="R184" s="123">
        <f t="shared" si="53"/>
        <v>0.35</v>
      </c>
      <c r="S184" s="123">
        <f t="shared" si="53"/>
        <v>0.35</v>
      </c>
      <c r="T184" s="123">
        <f t="shared" si="54"/>
        <v>0.35</v>
      </c>
      <c r="U184" s="123">
        <f t="shared" si="54"/>
        <v>0.35</v>
      </c>
      <c r="V184" s="123">
        <f t="shared" si="54"/>
        <v>0.35</v>
      </c>
      <c r="W184" s="123">
        <f t="shared" si="54"/>
        <v>0.35</v>
      </c>
      <c r="X184" s="123">
        <f t="shared" si="54"/>
        <v>0.35</v>
      </c>
      <c r="Y184" s="123">
        <f t="shared" si="54"/>
        <v>0.35</v>
      </c>
      <c r="Z184" s="123">
        <f t="shared" si="54"/>
        <v>0.35</v>
      </c>
      <c r="AA184" s="123">
        <f t="shared" si="54"/>
        <v>0.35</v>
      </c>
      <c r="AB184" s="123">
        <f t="shared" si="54"/>
        <v>0.35</v>
      </c>
      <c r="AC184" s="123">
        <f t="shared" si="54"/>
        <v>0.35</v>
      </c>
      <c r="AD184" s="123">
        <f t="shared" si="54"/>
        <v>0.35</v>
      </c>
      <c r="AE184" s="123">
        <f t="shared" si="54"/>
        <v>0.35</v>
      </c>
      <c r="AF184" s="123">
        <f t="shared" si="54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2"/>
        <v>0.28999999999999998</v>
      </c>
      <c r="C185" s="124">
        <v>0.28999999999999998</v>
      </c>
      <c r="D185" s="123">
        <f t="shared" si="53"/>
        <v>0.28999999999999998</v>
      </c>
      <c r="E185" s="123">
        <f t="shared" si="53"/>
        <v>0.28999999999999998</v>
      </c>
      <c r="F185" s="123">
        <f t="shared" si="53"/>
        <v>0.28999999999999998</v>
      </c>
      <c r="G185" s="123">
        <f t="shared" si="53"/>
        <v>0.28999999999999998</v>
      </c>
      <c r="H185" s="123">
        <f t="shared" si="53"/>
        <v>0.28999999999999998</v>
      </c>
      <c r="I185" s="123">
        <f t="shared" si="53"/>
        <v>0.28999999999999998</v>
      </c>
      <c r="J185" s="123">
        <f t="shared" si="53"/>
        <v>0.28999999999999998</v>
      </c>
      <c r="K185" s="123">
        <f t="shared" si="53"/>
        <v>0.28999999999999998</v>
      </c>
      <c r="L185" s="123">
        <f t="shared" si="53"/>
        <v>0.28999999999999998</v>
      </c>
      <c r="M185" s="123">
        <f t="shared" si="53"/>
        <v>0.28999999999999998</v>
      </c>
      <c r="N185" s="123">
        <f t="shared" si="53"/>
        <v>0.28999999999999998</v>
      </c>
      <c r="O185" s="123">
        <f t="shared" si="53"/>
        <v>0.28999999999999998</v>
      </c>
      <c r="P185" s="123">
        <f t="shared" si="53"/>
        <v>0.28999999999999998</v>
      </c>
      <c r="Q185" s="123">
        <f t="shared" si="53"/>
        <v>0.28999999999999998</v>
      </c>
      <c r="R185" s="123">
        <f t="shared" si="53"/>
        <v>0.28999999999999998</v>
      </c>
      <c r="S185" s="123">
        <f t="shared" si="53"/>
        <v>0.28999999999999998</v>
      </c>
      <c r="T185" s="123">
        <f t="shared" si="54"/>
        <v>0.28999999999999998</v>
      </c>
      <c r="U185" s="123">
        <f t="shared" si="54"/>
        <v>0.28999999999999998</v>
      </c>
      <c r="V185" s="123">
        <f t="shared" si="54"/>
        <v>0.28999999999999998</v>
      </c>
      <c r="W185" s="123">
        <f t="shared" si="54"/>
        <v>0.28999999999999998</v>
      </c>
      <c r="X185" s="123">
        <f t="shared" si="54"/>
        <v>0.28999999999999998</v>
      </c>
      <c r="Y185" s="123">
        <f t="shared" si="54"/>
        <v>0.28999999999999998</v>
      </c>
      <c r="Z185" s="123">
        <f t="shared" si="54"/>
        <v>0.28999999999999998</v>
      </c>
      <c r="AA185" s="123">
        <f t="shared" si="54"/>
        <v>0.28999999999999998</v>
      </c>
      <c r="AB185" s="123">
        <f t="shared" si="54"/>
        <v>0.28999999999999998</v>
      </c>
      <c r="AC185" s="123">
        <f t="shared" si="54"/>
        <v>0.28999999999999998</v>
      </c>
      <c r="AD185" s="123">
        <f t="shared" si="54"/>
        <v>0.28999999999999998</v>
      </c>
      <c r="AE185" s="123">
        <f t="shared" si="54"/>
        <v>0.28999999999999998</v>
      </c>
      <c r="AF185" s="123">
        <f t="shared" si="54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2"/>
        <v>0.06</v>
      </c>
      <c r="C186" s="124">
        <v>0.06</v>
      </c>
      <c r="D186" s="123">
        <f t="shared" si="53"/>
        <v>0.06</v>
      </c>
      <c r="E186" s="123">
        <f t="shared" si="53"/>
        <v>0.06</v>
      </c>
      <c r="F186" s="123">
        <f t="shared" si="53"/>
        <v>0.06</v>
      </c>
      <c r="G186" s="123">
        <f t="shared" si="53"/>
        <v>0.06</v>
      </c>
      <c r="H186" s="123">
        <f t="shared" si="53"/>
        <v>0.06</v>
      </c>
      <c r="I186" s="123">
        <f t="shared" si="53"/>
        <v>0.06</v>
      </c>
      <c r="J186" s="123">
        <f t="shared" si="53"/>
        <v>0.06</v>
      </c>
      <c r="K186" s="123">
        <f t="shared" si="53"/>
        <v>0.06</v>
      </c>
      <c r="L186" s="123">
        <f t="shared" si="53"/>
        <v>0.06</v>
      </c>
      <c r="M186" s="123">
        <f t="shared" si="53"/>
        <v>0.06</v>
      </c>
      <c r="N186" s="123">
        <f t="shared" si="53"/>
        <v>0.06</v>
      </c>
      <c r="O186" s="123">
        <f t="shared" si="53"/>
        <v>0.06</v>
      </c>
      <c r="P186" s="123">
        <f t="shared" si="53"/>
        <v>0.06</v>
      </c>
      <c r="Q186" s="123">
        <f t="shared" si="53"/>
        <v>0.06</v>
      </c>
      <c r="R186" s="123">
        <f t="shared" si="53"/>
        <v>0.06</v>
      </c>
      <c r="S186" s="123">
        <f t="shared" si="53"/>
        <v>0.06</v>
      </c>
      <c r="T186" s="123">
        <f t="shared" si="54"/>
        <v>0.06</v>
      </c>
      <c r="U186" s="123">
        <f t="shared" si="54"/>
        <v>0.06</v>
      </c>
      <c r="V186" s="123">
        <f t="shared" si="54"/>
        <v>0.06</v>
      </c>
      <c r="W186" s="123">
        <f t="shared" si="54"/>
        <v>0.06</v>
      </c>
      <c r="X186" s="123">
        <f t="shared" si="54"/>
        <v>0.06</v>
      </c>
      <c r="Y186" s="123">
        <f t="shared" si="54"/>
        <v>0.06</v>
      </c>
      <c r="Z186" s="123">
        <f t="shared" si="54"/>
        <v>0.06</v>
      </c>
      <c r="AA186" s="123">
        <f t="shared" si="54"/>
        <v>0.06</v>
      </c>
      <c r="AB186" s="123">
        <f t="shared" si="54"/>
        <v>0.06</v>
      </c>
      <c r="AC186" s="123">
        <f t="shared" si="54"/>
        <v>0.06</v>
      </c>
      <c r="AD186" s="123">
        <f t="shared" si="54"/>
        <v>0.06</v>
      </c>
      <c r="AE186" s="123">
        <f t="shared" si="54"/>
        <v>0.06</v>
      </c>
      <c r="AF186" s="123">
        <f t="shared" si="54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2"/>
        <v>0.11</v>
      </c>
      <c r="C187" s="124">
        <v>0.11</v>
      </c>
      <c r="D187" s="123">
        <f t="shared" si="53"/>
        <v>0.11</v>
      </c>
      <c r="E187" s="123">
        <f t="shared" si="53"/>
        <v>0.11</v>
      </c>
      <c r="F187" s="123">
        <f t="shared" si="53"/>
        <v>0.11</v>
      </c>
      <c r="G187" s="123">
        <f t="shared" si="53"/>
        <v>0.11</v>
      </c>
      <c r="H187" s="123">
        <f t="shared" si="53"/>
        <v>0.11</v>
      </c>
      <c r="I187" s="123">
        <f t="shared" si="53"/>
        <v>0.11</v>
      </c>
      <c r="J187" s="123">
        <f t="shared" si="53"/>
        <v>0.11</v>
      </c>
      <c r="K187" s="123">
        <f t="shared" si="53"/>
        <v>0.11</v>
      </c>
      <c r="L187" s="123">
        <f t="shared" si="53"/>
        <v>0.11</v>
      </c>
      <c r="M187" s="123">
        <f t="shared" si="53"/>
        <v>0.11</v>
      </c>
      <c r="N187" s="123">
        <f t="shared" si="53"/>
        <v>0.11</v>
      </c>
      <c r="O187" s="123">
        <f t="shared" si="53"/>
        <v>0.11</v>
      </c>
      <c r="P187" s="123">
        <f t="shared" si="53"/>
        <v>0.11</v>
      </c>
      <c r="Q187" s="123">
        <f t="shared" si="53"/>
        <v>0.11</v>
      </c>
      <c r="R187" s="123">
        <f t="shared" si="53"/>
        <v>0.11</v>
      </c>
      <c r="S187" s="123">
        <f t="shared" si="53"/>
        <v>0.11</v>
      </c>
      <c r="T187" s="123">
        <f t="shared" si="54"/>
        <v>0.11</v>
      </c>
      <c r="U187" s="123">
        <f t="shared" si="54"/>
        <v>0.11</v>
      </c>
      <c r="V187" s="123">
        <f t="shared" si="54"/>
        <v>0.11</v>
      </c>
      <c r="W187" s="123">
        <f t="shared" si="54"/>
        <v>0.11</v>
      </c>
      <c r="X187" s="123">
        <f t="shared" si="54"/>
        <v>0.11</v>
      </c>
      <c r="Y187" s="123">
        <f t="shared" si="54"/>
        <v>0.11</v>
      </c>
      <c r="Z187" s="123">
        <f t="shared" si="54"/>
        <v>0.11</v>
      </c>
      <c r="AA187" s="123">
        <f t="shared" si="54"/>
        <v>0.11</v>
      </c>
      <c r="AB187" s="123">
        <f t="shared" si="54"/>
        <v>0.11</v>
      </c>
      <c r="AC187" s="123">
        <f t="shared" si="54"/>
        <v>0.11</v>
      </c>
      <c r="AD187" s="123">
        <f t="shared" si="54"/>
        <v>0.11</v>
      </c>
      <c r="AE187" s="123">
        <f t="shared" si="54"/>
        <v>0.11</v>
      </c>
      <c r="AF187" s="123">
        <f t="shared" si="54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2"/>
        <v>0.1</v>
      </c>
      <c r="C188" s="124">
        <v>0.1</v>
      </c>
      <c r="D188" s="123">
        <f t="shared" si="53"/>
        <v>0.1</v>
      </c>
      <c r="E188" s="123">
        <f t="shared" si="53"/>
        <v>0.1</v>
      </c>
      <c r="F188" s="123">
        <f t="shared" si="53"/>
        <v>0.1</v>
      </c>
      <c r="G188" s="123">
        <f t="shared" si="53"/>
        <v>0.1</v>
      </c>
      <c r="H188" s="123">
        <f t="shared" si="53"/>
        <v>0.1</v>
      </c>
      <c r="I188" s="123">
        <f t="shared" si="53"/>
        <v>0.1</v>
      </c>
      <c r="J188" s="123">
        <f t="shared" si="53"/>
        <v>0.1</v>
      </c>
      <c r="K188" s="123">
        <f t="shared" si="53"/>
        <v>0.1</v>
      </c>
      <c r="L188" s="123">
        <f t="shared" si="53"/>
        <v>0.1</v>
      </c>
      <c r="M188" s="123">
        <f t="shared" si="53"/>
        <v>0.1</v>
      </c>
      <c r="N188" s="123">
        <f t="shared" si="53"/>
        <v>0.1</v>
      </c>
      <c r="O188" s="123">
        <f t="shared" si="53"/>
        <v>0.1</v>
      </c>
      <c r="P188" s="123">
        <f t="shared" si="53"/>
        <v>0.1</v>
      </c>
      <c r="Q188" s="123">
        <f t="shared" si="53"/>
        <v>0.1</v>
      </c>
      <c r="R188" s="123">
        <f t="shared" si="53"/>
        <v>0.1</v>
      </c>
      <c r="S188" s="123">
        <f t="shared" si="54"/>
        <v>0.1</v>
      </c>
      <c r="T188" s="123">
        <f t="shared" si="54"/>
        <v>0.1</v>
      </c>
      <c r="U188" s="123">
        <f t="shared" si="54"/>
        <v>0.1</v>
      </c>
      <c r="V188" s="123">
        <f t="shared" si="54"/>
        <v>0.1</v>
      </c>
      <c r="W188" s="123">
        <f t="shared" si="54"/>
        <v>0.1</v>
      </c>
      <c r="X188" s="123">
        <f t="shared" si="54"/>
        <v>0.1</v>
      </c>
      <c r="Y188" s="123">
        <f t="shared" si="54"/>
        <v>0.1</v>
      </c>
      <c r="Z188" s="123">
        <f t="shared" si="54"/>
        <v>0.1</v>
      </c>
      <c r="AA188" s="123">
        <f t="shared" si="54"/>
        <v>0.1</v>
      </c>
      <c r="AB188" s="123">
        <f t="shared" si="54"/>
        <v>0.1</v>
      </c>
      <c r="AC188" s="123">
        <f t="shared" si="54"/>
        <v>0.1</v>
      </c>
      <c r="AD188" s="123">
        <f t="shared" si="54"/>
        <v>0.1</v>
      </c>
      <c r="AE188" s="123">
        <f t="shared" si="54"/>
        <v>0.1</v>
      </c>
      <c r="AF188" s="123">
        <f t="shared" si="54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2"/>
        <v>0.09</v>
      </c>
      <c r="C189" s="124">
        <v>0.09</v>
      </c>
      <c r="D189" s="123">
        <f t="shared" si="53"/>
        <v>0.09</v>
      </c>
      <c r="E189" s="123">
        <f t="shared" si="53"/>
        <v>0.09</v>
      </c>
      <c r="F189" s="123">
        <f t="shared" si="53"/>
        <v>0.09</v>
      </c>
      <c r="G189" s="123">
        <f t="shared" si="53"/>
        <v>0.09</v>
      </c>
      <c r="H189" s="123">
        <f t="shared" si="53"/>
        <v>0.09</v>
      </c>
      <c r="I189" s="123">
        <f t="shared" si="53"/>
        <v>0.09</v>
      </c>
      <c r="J189" s="123">
        <f t="shared" si="53"/>
        <v>0.09</v>
      </c>
      <c r="K189" s="123">
        <f t="shared" si="53"/>
        <v>0.09</v>
      </c>
      <c r="L189" s="123">
        <f t="shared" si="53"/>
        <v>0.09</v>
      </c>
      <c r="M189" s="123">
        <f t="shared" si="53"/>
        <v>0.09</v>
      </c>
      <c r="N189" s="123">
        <f t="shared" si="53"/>
        <v>0.09</v>
      </c>
      <c r="O189" s="123">
        <f t="shared" si="53"/>
        <v>0.09</v>
      </c>
      <c r="P189" s="123">
        <f t="shared" si="53"/>
        <v>0.09</v>
      </c>
      <c r="Q189" s="123">
        <f t="shared" si="53"/>
        <v>0.09</v>
      </c>
      <c r="R189" s="123">
        <f t="shared" si="53"/>
        <v>0.09</v>
      </c>
      <c r="S189" s="123">
        <f t="shared" si="54"/>
        <v>0.09</v>
      </c>
      <c r="T189" s="123">
        <f t="shared" si="54"/>
        <v>0.09</v>
      </c>
      <c r="U189" s="123">
        <f t="shared" si="54"/>
        <v>0.09</v>
      </c>
      <c r="V189" s="123">
        <f t="shared" si="54"/>
        <v>0.09</v>
      </c>
      <c r="W189" s="123">
        <f t="shared" si="54"/>
        <v>0.09</v>
      </c>
      <c r="X189" s="123">
        <f t="shared" si="54"/>
        <v>0.09</v>
      </c>
      <c r="Y189" s="123">
        <f t="shared" si="54"/>
        <v>0.09</v>
      </c>
      <c r="Z189" s="123">
        <f t="shared" si="54"/>
        <v>0.09</v>
      </c>
      <c r="AA189" s="123">
        <f t="shared" si="54"/>
        <v>0.09</v>
      </c>
      <c r="AB189" s="123">
        <f t="shared" si="54"/>
        <v>0.09</v>
      </c>
      <c r="AC189" s="123">
        <f t="shared" si="54"/>
        <v>0.09</v>
      </c>
      <c r="AD189" s="123">
        <f t="shared" si="54"/>
        <v>0.09</v>
      </c>
      <c r="AE189" s="123">
        <f t="shared" si="54"/>
        <v>0.09</v>
      </c>
      <c r="AF189" s="123">
        <f t="shared" si="54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2"/>
        <v>0.04</v>
      </c>
      <c r="C190" s="53">
        <v>0.04</v>
      </c>
      <c r="D190" s="123">
        <f t="shared" si="53"/>
        <v>0.04</v>
      </c>
      <c r="E190" s="123">
        <f t="shared" si="53"/>
        <v>0.04</v>
      </c>
      <c r="F190" s="123">
        <f t="shared" si="53"/>
        <v>0.04</v>
      </c>
      <c r="G190" s="123">
        <f t="shared" si="53"/>
        <v>0.04</v>
      </c>
      <c r="H190" s="123">
        <f t="shared" si="53"/>
        <v>0.04</v>
      </c>
      <c r="I190" s="123">
        <f t="shared" si="53"/>
        <v>0.04</v>
      </c>
      <c r="J190" s="123">
        <f t="shared" si="53"/>
        <v>0.04</v>
      </c>
      <c r="K190" s="123">
        <f t="shared" si="53"/>
        <v>0.04</v>
      </c>
      <c r="L190" s="123">
        <f t="shared" si="53"/>
        <v>0.04</v>
      </c>
      <c r="M190" s="123">
        <f t="shared" si="53"/>
        <v>0.04</v>
      </c>
      <c r="N190" s="123">
        <f t="shared" si="53"/>
        <v>0.04</v>
      </c>
      <c r="O190" s="123">
        <f t="shared" si="53"/>
        <v>0.04</v>
      </c>
      <c r="P190" s="123">
        <f t="shared" si="53"/>
        <v>0.04</v>
      </c>
      <c r="Q190" s="123">
        <f t="shared" si="53"/>
        <v>0.04</v>
      </c>
      <c r="R190" s="123">
        <f t="shared" si="53"/>
        <v>0.04</v>
      </c>
      <c r="S190" s="123">
        <f t="shared" si="54"/>
        <v>0.04</v>
      </c>
      <c r="T190" s="123">
        <f t="shared" si="54"/>
        <v>0.04</v>
      </c>
      <c r="U190" s="123">
        <f t="shared" si="54"/>
        <v>0.04</v>
      </c>
      <c r="V190" s="123">
        <f t="shared" si="54"/>
        <v>0.04</v>
      </c>
      <c r="W190" s="123">
        <f t="shared" si="54"/>
        <v>0.04</v>
      </c>
      <c r="X190" s="123">
        <f t="shared" si="54"/>
        <v>0.04</v>
      </c>
      <c r="Y190" s="123">
        <f t="shared" si="54"/>
        <v>0.04</v>
      </c>
      <c r="Z190" s="123">
        <f t="shared" si="54"/>
        <v>0.04</v>
      </c>
      <c r="AA190" s="123">
        <f t="shared" si="54"/>
        <v>0.04</v>
      </c>
      <c r="AB190" s="123">
        <f t="shared" si="54"/>
        <v>0.04</v>
      </c>
      <c r="AC190" s="123">
        <f t="shared" si="54"/>
        <v>0.04</v>
      </c>
      <c r="AD190" s="123">
        <f t="shared" si="54"/>
        <v>0.04</v>
      </c>
      <c r="AE190" s="123">
        <f t="shared" si="54"/>
        <v>0.04</v>
      </c>
      <c r="AF190" s="123">
        <f t="shared" si="54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2"/>
        <v>2.3E-2</v>
      </c>
      <c r="C191" s="53">
        <v>2.3E-2</v>
      </c>
      <c r="D191" s="123">
        <f>C191</f>
        <v>2.3E-2</v>
      </c>
      <c r="E191" s="123">
        <f t="shared" si="53"/>
        <v>2.3E-2</v>
      </c>
      <c r="F191" s="123">
        <f t="shared" si="53"/>
        <v>2.3E-2</v>
      </c>
      <c r="G191" s="123">
        <f t="shared" si="53"/>
        <v>2.3E-2</v>
      </c>
      <c r="H191" s="123">
        <f t="shared" si="53"/>
        <v>2.3E-2</v>
      </c>
      <c r="I191" s="123">
        <f t="shared" si="53"/>
        <v>2.3E-2</v>
      </c>
      <c r="J191" s="123">
        <f t="shared" si="53"/>
        <v>2.3E-2</v>
      </c>
      <c r="K191" s="123">
        <f t="shared" si="53"/>
        <v>2.3E-2</v>
      </c>
      <c r="L191" s="123">
        <f t="shared" si="53"/>
        <v>2.3E-2</v>
      </c>
      <c r="M191" s="123">
        <f t="shared" si="53"/>
        <v>2.3E-2</v>
      </c>
      <c r="N191" s="123">
        <f t="shared" si="53"/>
        <v>2.3E-2</v>
      </c>
      <c r="O191" s="123">
        <f t="shared" si="53"/>
        <v>2.3E-2</v>
      </c>
      <c r="P191" s="123">
        <f t="shared" si="53"/>
        <v>2.3E-2</v>
      </c>
      <c r="Q191" s="123">
        <f t="shared" si="53"/>
        <v>2.3E-2</v>
      </c>
      <c r="R191" s="123">
        <f t="shared" si="53"/>
        <v>2.3E-2</v>
      </c>
      <c r="S191" s="123">
        <f t="shared" si="54"/>
        <v>2.3E-2</v>
      </c>
      <c r="T191" s="123">
        <f t="shared" si="54"/>
        <v>2.3E-2</v>
      </c>
      <c r="U191" s="123">
        <f t="shared" si="54"/>
        <v>2.3E-2</v>
      </c>
      <c r="V191" s="123">
        <f t="shared" si="54"/>
        <v>2.3E-2</v>
      </c>
      <c r="W191" s="123">
        <f t="shared" si="54"/>
        <v>2.3E-2</v>
      </c>
      <c r="X191" s="123">
        <f t="shared" si="54"/>
        <v>2.3E-2</v>
      </c>
      <c r="Y191" s="123">
        <f t="shared" si="54"/>
        <v>2.3E-2</v>
      </c>
      <c r="Z191" s="123">
        <f t="shared" si="54"/>
        <v>2.3E-2</v>
      </c>
      <c r="AA191" s="123">
        <f t="shared" si="54"/>
        <v>2.3E-2</v>
      </c>
      <c r="AB191" s="123">
        <f t="shared" si="54"/>
        <v>2.3E-2</v>
      </c>
      <c r="AC191" s="123">
        <f t="shared" si="54"/>
        <v>2.3E-2</v>
      </c>
      <c r="AD191" s="123">
        <f t="shared" si="54"/>
        <v>2.3E-2</v>
      </c>
      <c r="AE191" s="123">
        <f t="shared" si="54"/>
        <v>2.3E-2</v>
      </c>
      <c r="AF191" s="123">
        <f t="shared" si="54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5">SUM(C102:C191)</f>
        <v>194.70600000000002</v>
      </c>
      <c r="D192" s="128">
        <f t="shared" si="55"/>
        <v>194.70600000000002</v>
      </c>
      <c r="E192" s="128">
        <f t="shared" si="55"/>
        <v>194.70600000000002</v>
      </c>
      <c r="F192" s="128">
        <f t="shared" si="55"/>
        <v>194.70600000000002</v>
      </c>
      <c r="G192" s="128">
        <f t="shared" si="55"/>
        <v>194.70600000000002</v>
      </c>
      <c r="H192" s="128">
        <f t="shared" si="55"/>
        <v>194.70600000000002</v>
      </c>
      <c r="I192" s="128">
        <f t="shared" si="55"/>
        <v>189.70600000000005</v>
      </c>
      <c r="J192" s="128">
        <f t="shared" si="55"/>
        <v>187.10600000000005</v>
      </c>
      <c r="K192" s="128">
        <f t="shared" si="55"/>
        <v>187.10600000000005</v>
      </c>
      <c r="L192" s="128">
        <f t="shared" si="55"/>
        <v>187.10600000000005</v>
      </c>
      <c r="M192" s="128">
        <f t="shared" si="55"/>
        <v>187.10600000000005</v>
      </c>
      <c r="N192" s="128">
        <f t="shared" si="55"/>
        <v>187.10600000000005</v>
      </c>
      <c r="O192" s="128">
        <f t="shared" si="55"/>
        <v>187.10600000000005</v>
      </c>
      <c r="P192" s="128">
        <f t="shared" si="55"/>
        <v>187.10600000000005</v>
      </c>
      <c r="Q192" s="128">
        <f t="shared" si="55"/>
        <v>187.10600000000005</v>
      </c>
      <c r="R192" s="128">
        <f t="shared" si="55"/>
        <v>187.10600000000005</v>
      </c>
      <c r="S192" s="128">
        <f t="shared" si="55"/>
        <v>187.10600000000005</v>
      </c>
      <c r="T192" s="128">
        <f t="shared" si="55"/>
        <v>187.10600000000005</v>
      </c>
      <c r="U192" s="128">
        <f t="shared" si="55"/>
        <v>187.10600000000005</v>
      </c>
      <c r="V192" s="128">
        <f t="shared" si="55"/>
        <v>187.10600000000005</v>
      </c>
      <c r="W192" s="128">
        <f t="shared" si="55"/>
        <v>187.10600000000005</v>
      </c>
      <c r="X192" s="128">
        <f t="shared" si="55"/>
        <v>187.10600000000005</v>
      </c>
      <c r="Y192" s="128">
        <f t="shared" si="55"/>
        <v>187.10600000000005</v>
      </c>
      <c r="Z192" s="128">
        <f t="shared" si="55"/>
        <v>187.10600000000005</v>
      </c>
      <c r="AA192" s="128">
        <f t="shared" si="55"/>
        <v>187.10600000000005</v>
      </c>
      <c r="AB192" s="128">
        <f t="shared" si="55"/>
        <v>187.10600000000005</v>
      </c>
      <c r="AC192" s="128">
        <f t="shared" si="55"/>
        <v>187.10600000000005</v>
      </c>
      <c r="AD192" s="128">
        <f t="shared" si="55"/>
        <v>187.10600000000005</v>
      </c>
      <c r="AE192" s="128">
        <f t="shared" si="55"/>
        <v>187.10600000000005</v>
      </c>
      <c r="AF192" s="128">
        <f t="shared" si="55"/>
        <v>187.10600000000005</v>
      </c>
      <c r="AG192" s="129">
        <f t="shared" si="55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6">AF194</f>
        <v>0.3</v>
      </c>
      <c r="C194" s="130">
        <v>0.3</v>
      </c>
      <c r="D194" s="130">
        <f t="shared" ref="D194:S199" si="57">C194</f>
        <v>0.3</v>
      </c>
      <c r="E194" s="130">
        <f t="shared" si="57"/>
        <v>0.3</v>
      </c>
      <c r="F194" s="130">
        <f t="shared" si="57"/>
        <v>0.3</v>
      </c>
      <c r="G194" s="130">
        <f t="shared" si="57"/>
        <v>0.3</v>
      </c>
      <c r="H194" s="130">
        <f t="shared" si="57"/>
        <v>0.3</v>
      </c>
      <c r="I194" s="130">
        <f t="shared" si="57"/>
        <v>0.3</v>
      </c>
      <c r="J194" s="130">
        <f t="shared" si="57"/>
        <v>0.3</v>
      </c>
      <c r="K194" s="130">
        <f t="shared" si="57"/>
        <v>0.3</v>
      </c>
      <c r="L194" s="130">
        <f t="shared" si="57"/>
        <v>0.3</v>
      </c>
      <c r="M194" s="130">
        <f t="shared" si="57"/>
        <v>0.3</v>
      </c>
      <c r="N194" s="130">
        <f t="shared" si="57"/>
        <v>0.3</v>
      </c>
      <c r="O194" s="130">
        <f t="shared" si="57"/>
        <v>0.3</v>
      </c>
      <c r="P194" s="130">
        <f t="shared" si="57"/>
        <v>0.3</v>
      </c>
      <c r="Q194" s="130">
        <f t="shared" si="57"/>
        <v>0.3</v>
      </c>
      <c r="R194" s="130">
        <f t="shared" si="57"/>
        <v>0.3</v>
      </c>
      <c r="S194" s="130">
        <f t="shared" si="57"/>
        <v>0.3</v>
      </c>
      <c r="T194" s="130">
        <f t="shared" ref="T194:AF199" si="58">S194</f>
        <v>0.3</v>
      </c>
      <c r="U194" s="130">
        <f t="shared" si="58"/>
        <v>0.3</v>
      </c>
      <c r="V194" s="130">
        <f t="shared" si="58"/>
        <v>0.3</v>
      </c>
      <c r="W194" s="130">
        <f t="shared" si="58"/>
        <v>0.3</v>
      </c>
      <c r="X194" s="130">
        <f t="shared" si="58"/>
        <v>0.3</v>
      </c>
      <c r="Y194" s="130">
        <f t="shared" si="58"/>
        <v>0.3</v>
      </c>
      <c r="Z194" s="130">
        <f t="shared" si="58"/>
        <v>0.3</v>
      </c>
      <c r="AA194" s="130">
        <f t="shared" si="58"/>
        <v>0.3</v>
      </c>
      <c r="AB194" s="130">
        <f t="shared" si="58"/>
        <v>0.3</v>
      </c>
      <c r="AC194" s="130">
        <f t="shared" si="58"/>
        <v>0.3</v>
      </c>
      <c r="AD194" s="130">
        <f t="shared" si="58"/>
        <v>0.3</v>
      </c>
      <c r="AE194" s="130">
        <f t="shared" si="58"/>
        <v>0.3</v>
      </c>
      <c r="AF194" s="130">
        <f t="shared" si="58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6"/>
        <v>0.4</v>
      </c>
      <c r="C195" s="123">
        <v>0.4</v>
      </c>
      <c r="D195" s="123">
        <f t="shared" si="57"/>
        <v>0.4</v>
      </c>
      <c r="E195" s="123">
        <f t="shared" si="57"/>
        <v>0.4</v>
      </c>
      <c r="F195" s="123">
        <f t="shared" si="57"/>
        <v>0.4</v>
      </c>
      <c r="G195" s="123">
        <f t="shared" si="57"/>
        <v>0.4</v>
      </c>
      <c r="H195" s="123">
        <f t="shared" si="57"/>
        <v>0.4</v>
      </c>
      <c r="I195" s="123">
        <f t="shared" si="57"/>
        <v>0.4</v>
      </c>
      <c r="J195" s="123">
        <f t="shared" si="57"/>
        <v>0.4</v>
      </c>
      <c r="K195" s="123">
        <f t="shared" si="57"/>
        <v>0.4</v>
      </c>
      <c r="L195" s="123">
        <f t="shared" si="57"/>
        <v>0.4</v>
      </c>
      <c r="M195" s="123">
        <f t="shared" si="57"/>
        <v>0.4</v>
      </c>
      <c r="N195" s="123">
        <f t="shared" si="57"/>
        <v>0.4</v>
      </c>
      <c r="O195" s="123">
        <f t="shared" si="57"/>
        <v>0.4</v>
      </c>
      <c r="P195" s="123">
        <f t="shared" si="57"/>
        <v>0.4</v>
      </c>
      <c r="Q195" s="123">
        <f t="shared" si="57"/>
        <v>0.4</v>
      </c>
      <c r="R195" s="123">
        <f t="shared" si="57"/>
        <v>0.4</v>
      </c>
      <c r="S195" s="123">
        <f t="shared" si="57"/>
        <v>0.4</v>
      </c>
      <c r="T195" s="123">
        <f t="shared" si="58"/>
        <v>0.4</v>
      </c>
      <c r="U195" s="123">
        <f t="shared" si="58"/>
        <v>0.4</v>
      </c>
      <c r="V195" s="123">
        <f t="shared" si="58"/>
        <v>0.4</v>
      </c>
      <c r="W195" s="123">
        <f>V195</f>
        <v>0.4</v>
      </c>
      <c r="X195" s="123">
        <f>W195</f>
        <v>0.4</v>
      </c>
      <c r="Y195" s="123">
        <f t="shared" si="58"/>
        <v>0.4</v>
      </c>
      <c r="Z195" s="123">
        <f t="shared" si="58"/>
        <v>0.4</v>
      </c>
      <c r="AA195" s="123">
        <f t="shared" si="58"/>
        <v>0.4</v>
      </c>
      <c r="AB195" s="123">
        <f t="shared" si="58"/>
        <v>0.4</v>
      </c>
      <c r="AC195" s="123">
        <f t="shared" si="58"/>
        <v>0.4</v>
      </c>
      <c r="AD195" s="123">
        <f t="shared" si="58"/>
        <v>0.4</v>
      </c>
      <c r="AE195" s="123">
        <f t="shared" si="58"/>
        <v>0.4</v>
      </c>
      <c r="AF195" s="123">
        <f t="shared" si="58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6"/>
        <v>1.5</v>
      </c>
      <c r="C196" s="123">
        <v>1.5</v>
      </c>
      <c r="D196" s="123">
        <f t="shared" si="57"/>
        <v>1.5</v>
      </c>
      <c r="E196" s="123">
        <f t="shared" si="57"/>
        <v>1.5</v>
      </c>
      <c r="F196" s="123">
        <f t="shared" si="57"/>
        <v>1.5</v>
      </c>
      <c r="G196" s="123">
        <f t="shared" si="57"/>
        <v>1.5</v>
      </c>
      <c r="H196" s="123">
        <f t="shared" si="57"/>
        <v>1.5</v>
      </c>
      <c r="I196" s="123">
        <f t="shared" si="57"/>
        <v>1.5</v>
      </c>
      <c r="J196" s="123">
        <f t="shared" si="57"/>
        <v>1.5</v>
      </c>
      <c r="K196" s="123">
        <f t="shared" si="57"/>
        <v>1.5</v>
      </c>
      <c r="L196" s="123">
        <f t="shared" si="57"/>
        <v>1.5</v>
      </c>
      <c r="M196" s="123">
        <f t="shared" si="57"/>
        <v>1.5</v>
      </c>
      <c r="N196" s="123">
        <f t="shared" si="57"/>
        <v>1.5</v>
      </c>
      <c r="O196" s="123">
        <f t="shared" si="57"/>
        <v>1.5</v>
      </c>
      <c r="P196" s="123">
        <f t="shared" si="57"/>
        <v>1.5</v>
      </c>
      <c r="Q196" s="123">
        <f t="shared" si="57"/>
        <v>1.5</v>
      </c>
      <c r="R196" s="123">
        <f t="shared" si="57"/>
        <v>1.5</v>
      </c>
      <c r="S196" s="123">
        <f t="shared" si="57"/>
        <v>1.5</v>
      </c>
      <c r="T196" s="123">
        <f t="shared" si="58"/>
        <v>1.5</v>
      </c>
      <c r="U196" s="123">
        <f t="shared" si="58"/>
        <v>1.5</v>
      </c>
      <c r="V196" s="123">
        <f t="shared" si="58"/>
        <v>1.5</v>
      </c>
      <c r="W196" s="123">
        <f t="shared" si="58"/>
        <v>1.5</v>
      </c>
      <c r="X196" s="123">
        <f t="shared" si="58"/>
        <v>1.5</v>
      </c>
      <c r="Y196" s="123">
        <f t="shared" si="58"/>
        <v>1.5</v>
      </c>
      <c r="Z196" s="123">
        <f t="shared" si="58"/>
        <v>1.5</v>
      </c>
      <c r="AA196" s="123">
        <f t="shared" si="58"/>
        <v>1.5</v>
      </c>
      <c r="AB196" s="123">
        <f t="shared" si="58"/>
        <v>1.5</v>
      </c>
      <c r="AC196" s="123">
        <f t="shared" si="58"/>
        <v>1.5</v>
      </c>
      <c r="AD196" s="123">
        <f t="shared" si="58"/>
        <v>1.5</v>
      </c>
      <c r="AE196" s="123">
        <f t="shared" si="58"/>
        <v>1.5</v>
      </c>
      <c r="AF196" s="123">
        <f t="shared" si="58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6"/>
        <v>0.3</v>
      </c>
      <c r="C197" s="123">
        <v>0.3</v>
      </c>
      <c r="D197" s="123">
        <f t="shared" si="57"/>
        <v>0.3</v>
      </c>
      <c r="E197" s="123">
        <f t="shared" si="57"/>
        <v>0.3</v>
      </c>
      <c r="F197" s="123">
        <f t="shared" si="57"/>
        <v>0.3</v>
      </c>
      <c r="G197" s="123">
        <f t="shared" si="57"/>
        <v>0.3</v>
      </c>
      <c r="H197" s="123">
        <f t="shared" si="57"/>
        <v>0.3</v>
      </c>
      <c r="I197" s="123">
        <f t="shared" si="57"/>
        <v>0.3</v>
      </c>
      <c r="J197" s="123">
        <f t="shared" si="57"/>
        <v>0.3</v>
      </c>
      <c r="K197" s="123">
        <f t="shared" si="57"/>
        <v>0.3</v>
      </c>
      <c r="L197" s="123">
        <f t="shared" si="57"/>
        <v>0.3</v>
      </c>
      <c r="M197" s="123">
        <f t="shared" si="57"/>
        <v>0.3</v>
      </c>
      <c r="N197" s="123">
        <f t="shared" si="57"/>
        <v>0.3</v>
      </c>
      <c r="O197" s="123">
        <f t="shared" si="57"/>
        <v>0.3</v>
      </c>
      <c r="P197" s="123">
        <f t="shared" si="57"/>
        <v>0.3</v>
      </c>
      <c r="Q197" s="123">
        <f t="shared" si="57"/>
        <v>0.3</v>
      </c>
      <c r="R197" s="123">
        <f t="shared" si="57"/>
        <v>0.3</v>
      </c>
      <c r="S197" s="123">
        <f t="shared" si="57"/>
        <v>0.3</v>
      </c>
      <c r="T197" s="123">
        <f t="shared" si="58"/>
        <v>0.3</v>
      </c>
      <c r="U197" s="123">
        <f t="shared" si="58"/>
        <v>0.3</v>
      </c>
      <c r="V197" s="123">
        <f t="shared" si="58"/>
        <v>0.3</v>
      </c>
      <c r="W197" s="123">
        <f t="shared" si="58"/>
        <v>0.3</v>
      </c>
      <c r="X197" s="123">
        <f t="shared" si="58"/>
        <v>0.3</v>
      </c>
      <c r="Y197" s="123">
        <f t="shared" si="58"/>
        <v>0.3</v>
      </c>
      <c r="Z197" s="123">
        <f t="shared" si="58"/>
        <v>0.3</v>
      </c>
      <c r="AA197" s="123">
        <f t="shared" si="58"/>
        <v>0.3</v>
      </c>
      <c r="AB197" s="123">
        <f t="shared" si="58"/>
        <v>0.3</v>
      </c>
      <c r="AC197" s="123">
        <f t="shared" si="58"/>
        <v>0.3</v>
      </c>
      <c r="AD197" s="123">
        <f t="shared" si="58"/>
        <v>0.3</v>
      </c>
      <c r="AE197" s="123">
        <f t="shared" si="58"/>
        <v>0.3</v>
      </c>
      <c r="AF197" s="123">
        <f t="shared" si="58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6"/>
        <v>0.4</v>
      </c>
      <c r="C198" s="123">
        <v>0.4</v>
      </c>
      <c r="D198" s="123">
        <f t="shared" si="57"/>
        <v>0.4</v>
      </c>
      <c r="E198" s="123">
        <f t="shared" si="57"/>
        <v>0.4</v>
      </c>
      <c r="F198" s="123">
        <f t="shared" si="57"/>
        <v>0.4</v>
      </c>
      <c r="G198" s="123">
        <f t="shared" si="57"/>
        <v>0.4</v>
      </c>
      <c r="H198" s="123">
        <f t="shared" si="57"/>
        <v>0.4</v>
      </c>
      <c r="I198" s="123">
        <f t="shared" si="57"/>
        <v>0.4</v>
      </c>
      <c r="J198" s="123">
        <f t="shared" si="57"/>
        <v>0.4</v>
      </c>
      <c r="K198" s="123">
        <f t="shared" si="57"/>
        <v>0.4</v>
      </c>
      <c r="L198" s="123">
        <f t="shared" si="57"/>
        <v>0.4</v>
      </c>
      <c r="M198" s="123">
        <f t="shared" si="57"/>
        <v>0.4</v>
      </c>
      <c r="N198" s="123">
        <f t="shared" si="57"/>
        <v>0.4</v>
      </c>
      <c r="O198" s="123">
        <f t="shared" si="57"/>
        <v>0.4</v>
      </c>
      <c r="P198" s="123">
        <f t="shared" si="57"/>
        <v>0.4</v>
      </c>
      <c r="Q198" s="123">
        <f t="shared" si="57"/>
        <v>0.4</v>
      </c>
      <c r="R198" s="123">
        <f t="shared" si="57"/>
        <v>0.4</v>
      </c>
      <c r="S198" s="123">
        <f t="shared" si="57"/>
        <v>0.4</v>
      </c>
      <c r="T198" s="123">
        <f t="shared" si="58"/>
        <v>0.4</v>
      </c>
      <c r="U198" s="123">
        <f t="shared" si="58"/>
        <v>0.4</v>
      </c>
      <c r="V198" s="123">
        <f t="shared" si="58"/>
        <v>0.4</v>
      </c>
      <c r="W198" s="123">
        <f t="shared" si="58"/>
        <v>0.4</v>
      </c>
      <c r="X198" s="123">
        <f t="shared" si="58"/>
        <v>0.4</v>
      </c>
      <c r="Y198" s="123">
        <f t="shared" si="58"/>
        <v>0.4</v>
      </c>
      <c r="Z198" s="123">
        <f t="shared" si="58"/>
        <v>0.4</v>
      </c>
      <c r="AA198" s="123">
        <f t="shared" si="58"/>
        <v>0.4</v>
      </c>
      <c r="AB198" s="123">
        <f t="shared" si="58"/>
        <v>0.4</v>
      </c>
      <c r="AC198" s="123">
        <f t="shared" si="58"/>
        <v>0.4</v>
      </c>
      <c r="AD198" s="123">
        <f t="shared" si="58"/>
        <v>0.4</v>
      </c>
      <c r="AE198" s="123">
        <f t="shared" si="58"/>
        <v>0.4</v>
      </c>
      <c r="AF198" s="123">
        <f t="shared" si="58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6"/>
        <v>0.64</v>
      </c>
      <c r="C199" s="133">
        <v>0.64</v>
      </c>
      <c r="D199" s="133">
        <f t="shared" si="57"/>
        <v>0.64</v>
      </c>
      <c r="E199" s="133">
        <f t="shared" si="57"/>
        <v>0.64</v>
      </c>
      <c r="F199" s="133">
        <f t="shared" si="57"/>
        <v>0.64</v>
      </c>
      <c r="G199" s="133">
        <f t="shared" si="57"/>
        <v>0.64</v>
      </c>
      <c r="H199" s="133">
        <f t="shared" si="57"/>
        <v>0.64</v>
      </c>
      <c r="I199" s="133">
        <f t="shared" si="57"/>
        <v>0.64</v>
      </c>
      <c r="J199" s="133">
        <f t="shared" si="57"/>
        <v>0.64</v>
      </c>
      <c r="K199" s="133">
        <f t="shared" si="57"/>
        <v>0.64</v>
      </c>
      <c r="L199" s="133">
        <f t="shared" si="57"/>
        <v>0.64</v>
      </c>
      <c r="M199" s="133">
        <f t="shared" si="57"/>
        <v>0.64</v>
      </c>
      <c r="N199" s="133">
        <f t="shared" si="57"/>
        <v>0.64</v>
      </c>
      <c r="O199" s="133">
        <f t="shared" si="57"/>
        <v>0.64</v>
      </c>
      <c r="P199" s="133">
        <f t="shared" si="57"/>
        <v>0.64</v>
      </c>
      <c r="Q199" s="133">
        <f t="shared" si="57"/>
        <v>0.64</v>
      </c>
      <c r="R199" s="133">
        <f t="shared" si="57"/>
        <v>0.64</v>
      </c>
      <c r="S199" s="133">
        <f t="shared" si="57"/>
        <v>0.64</v>
      </c>
      <c r="T199" s="133">
        <f t="shared" si="58"/>
        <v>0.64</v>
      </c>
      <c r="U199" s="133">
        <f t="shared" si="58"/>
        <v>0.64</v>
      </c>
      <c r="V199" s="133">
        <f t="shared" si="58"/>
        <v>0.64</v>
      </c>
      <c r="W199" s="133">
        <f t="shared" si="58"/>
        <v>0.64</v>
      </c>
      <c r="X199" s="133">
        <f t="shared" si="58"/>
        <v>0.64</v>
      </c>
      <c r="Y199" s="133">
        <f t="shared" si="58"/>
        <v>0.64</v>
      </c>
      <c r="Z199" s="133">
        <f t="shared" si="58"/>
        <v>0.64</v>
      </c>
      <c r="AA199" s="133">
        <f t="shared" si="58"/>
        <v>0.64</v>
      </c>
      <c r="AB199" s="133">
        <f t="shared" si="58"/>
        <v>0.64</v>
      </c>
      <c r="AC199" s="133">
        <f t="shared" si="58"/>
        <v>0.64</v>
      </c>
      <c r="AD199" s="133">
        <f t="shared" si="58"/>
        <v>0.64</v>
      </c>
      <c r="AE199" s="133">
        <f t="shared" si="58"/>
        <v>0.64</v>
      </c>
      <c r="AF199" s="133">
        <f t="shared" si="58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9">SUM(D194:D199)</f>
        <v>3.54</v>
      </c>
      <c r="E200" s="136">
        <f t="shared" si="59"/>
        <v>3.54</v>
      </c>
      <c r="F200" s="136">
        <f t="shared" si="59"/>
        <v>3.54</v>
      </c>
      <c r="G200" s="136">
        <f t="shared" si="59"/>
        <v>3.54</v>
      </c>
      <c r="H200" s="136">
        <f t="shared" si="59"/>
        <v>3.54</v>
      </c>
      <c r="I200" s="136">
        <f t="shared" si="59"/>
        <v>3.54</v>
      </c>
      <c r="J200" s="136">
        <f t="shared" si="59"/>
        <v>3.54</v>
      </c>
      <c r="K200" s="136">
        <f t="shared" si="59"/>
        <v>3.54</v>
      </c>
      <c r="L200" s="136">
        <f t="shared" si="59"/>
        <v>3.54</v>
      </c>
      <c r="M200" s="136">
        <f>SUM(M194:M199)</f>
        <v>3.54</v>
      </c>
      <c r="N200" s="136">
        <f t="shared" ref="N200:S200" si="60">SUM(N194:N199)</f>
        <v>3.54</v>
      </c>
      <c r="O200" s="136">
        <f t="shared" si="60"/>
        <v>3.54</v>
      </c>
      <c r="P200" s="136">
        <f t="shared" si="60"/>
        <v>3.54</v>
      </c>
      <c r="Q200" s="136">
        <f t="shared" si="60"/>
        <v>3.54</v>
      </c>
      <c r="R200" s="136">
        <f t="shared" si="60"/>
        <v>3.54</v>
      </c>
      <c r="S200" s="136">
        <f t="shared" si="60"/>
        <v>3.54</v>
      </c>
      <c r="T200" s="136">
        <f>SUM(T194:T199)</f>
        <v>3.54</v>
      </c>
      <c r="U200" s="136">
        <f t="shared" ref="U200:AG200" si="61">SUM(U194:U199)</f>
        <v>3.54</v>
      </c>
      <c r="V200" s="136">
        <f t="shared" si="61"/>
        <v>3.54</v>
      </c>
      <c r="W200" s="136">
        <f t="shared" si="61"/>
        <v>3.54</v>
      </c>
      <c r="X200" s="136">
        <f t="shared" si="61"/>
        <v>3.54</v>
      </c>
      <c r="Y200" s="136">
        <f t="shared" si="61"/>
        <v>3.54</v>
      </c>
      <c r="Z200" s="136">
        <f t="shared" si="61"/>
        <v>3.54</v>
      </c>
      <c r="AA200" s="136">
        <f t="shared" si="61"/>
        <v>3.54</v>
      </c>
      <c r="AB200" s="136">
        <f t="shared" si="61"/>
        <v>3.54</v>
      </c>
      <c r="AC200" s="136">
        <f t="shared" si="61"/>
        <v>3.54</v>
      </c>
      <c r="AD200" s="136">
        <f t="shared" si="61"/>
        <v>3.54</v>
      </c>
      <c r="AE200" s="136">
        <f t="shared" si="61"/>
        <v>3.54</v>
      </c>
      <c r="AF200" s="136">
        <f t="shared" si="61"/>
        <v>3.54</v>
      </c>
      <c r="AG200" s="137">
        <f t="shared" si="61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1390.24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11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2079/02/11)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2079/02/11)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2">B75</f>
        <v>1355.94</v>
      </c>
      <c r="U214" s="161">
        <f t="shared" si="62"/>
        <v>1368.2400000000002</v>
      </c>
      <c r="V214" s="161">
        <f t="shared" si="62"/>
        <v>1326.44</v>
      </c>
      <c r="W214" s="161">
        <f t="shared" si="62"/>
        <v>1213.0400000000002</v>
      </c>
      <c r="X214" s="161">
        <f t="shared" si="62"/>
        <v>1191.0400000000002</v>
      </c>
      <c r="Y214" s="161">
        <f t="shared" si="62"/>
        <v>1177.1400000000001</v>
      </c>
      <c r="Z214" s="161">
        <f t="shared" si="62"/>
        <v>1183.1400000000001</v>
      </c>
      <c r="AA214" s="161">
        <f t="shared" si="62"/>
        <v>1217.1400000000001</v>
      </c>
      <c r="AB214" s="161">
        <f t="shared" si="62"/>
        <v>1279.54</v>
      </c>
      <c r="AC214" s="161">
        <f t="shared" si="62"/>
        <v>1346.24</v>
      </c>
      <c r="AD214" s="161">
        <f t="shared" si="62"/>
        <v>1390.24</v>
      </c>
      <c r="AE214" s="161">
        <f t="shared" si="62"/>
        <v>1351.8400000000001</v>
      </c>
      <c r="AF214" s="161">
        <f t="shared" si="62"/>
        <v>1379.74</v>
      </c>
      <c r="AG214" s="161">
        <f t="shared" si="62"/>
        <v>1406.94</v>
      </c>
      <c r="AH214" s="161">
        <f t="shared" si="62"/>
        <v>1381.6399999999999</v>
      </c>
      <c r="AI214" s="161">
        <f t="shared" si="62"/>
        <v>1353.04</v>
      </c>
      <c r="AJ214" s="161">
        <f t="shared" si="62"/>
        <v>1349.8400000000001</v>
      </c>
      <c r="AK214" s="161">
        <f t="shared" si="62"/>
        <v>1344.94</v>
      </c>
      <c r="AL214" s="161">
        <f t="shared" si="62"/>
        <v>1385.2399999999998</v>
      </c>
      <c r="AM214" s="161">
        <f t="shared" si="62"/>
        <v>1346.44</v>
      </c>
      <c r="AN214" s="161">
        <f t="shared" si="62"/>
        <v>1276.2400000000002</v>
      </c>
      <c r="AO214" s="161">
        <f t="shared" si="62"/>
        <v>1271.2400000000002</v>
      </c>
      <c r="AP214" s="161">
        <f t="shared" si="62"/>
        <v>1249.44</v>
      </c>
      <c r="AQ214" s="161">
        <f t="shared" si="62"/>
        <v>1276.04</v>
      </c>
      <c r="AR214" s="161">
        <f t="shared" si="62"/>
        <v>1358.3400000000001</v>
      </c>
      <c r="AS214" s="161">
        <f t="shared" si="62"/>
        <v>1441.2400000000002</v>
      </c>
      <c r="AT214" s="161">
        <f t="shared" si="62"/>
        <v>1401.84</v>
      </c>
      <c r="AU214" s="161">
        <f t="shared" si="62"/>
        <v>1413.8400000000001</v>
      </c>
      <c r="AV214" s="161">
        <f t="shared" si="62"/>
        <v>1408.44</v>
      </c>
      <c r="AW214" s="161">
        <f t="shared" si="62"/>
        <v>1325.44</v>
      </c>
      <c r="AX214" s="161">
        <f t="shared" si="62"/>
        <v>1247.24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3">C199</f>
        <v>0.64</v>
      </c>
      <c r="C235" s="164">
        <f t="shared" si="63"/>
        <v>0.64</v>
      </c>
      <c r="D235" s="164">
        <f t="shared" si="63"/>
        <v>0.64</v>
      </c>
      <c r="E235" s="164">
        <f t="shared" si="63"/>
        <v>0.64</v>
      </c>
      <c r="F235" s="164">
        <f t="shared" si="63"/>
        <v>0.64</v>
      </c>
      <c r="G235" s="164">
        <f t="shared" si="63"/>
        <v>0.64</v>
      </c>
      <c r="H235" s="164">
        <f t="shared" si="63"/>
        <v>0.64</v>
      </c>
      <c r="I235" s="164">
        <f t="shared" si="63"/>
        <v>0.64</v>
      </c>
      <c r="J235" s="164">
        <f t="shared" si="63"/>
        <v>0.64</v>
      </c>
      <c r="K235" s="164">
        <f t="shared" si="63"/>
        <v>0.64</v>
      </c>
      <c r="L235" s="164">
        <f t="shared" si="63"/>
        <v>0.64</v>
      </c>
      <c r="M235" s="164">
        <f t="shared" si="63"/>
        <v>0.64</v>
      </c>
      <c r="N235" s="164">
        <f t="shared" si="63"/>
        <v>0.64</v>
      </c>
      <c r="O235" s="164">
        <f t="shared" si="63"/>
        <v>0.64</v>
      </c>
      <c r="P235" s="164">
        <f t="shared" si="63"/>
        <v>0.64</v>
      </c>
      <c r="Q235" s="164">
        <f t="shared" si="63"/>
        <v>0.64</v>
      </c>
      <c r="R235" s="164">
        <f t="shared" si="63"/>
        <v>0.64</v>
      </c>
      <c r="S235" s="164">
        <f t="shared" si="63"/>
        <v>0.64</v>
      </c>
      <c r="T235" s="164">
        <f t="shared" si="63"/>
        <v>0.64</v>
      </c>
      <c r="U235" s="164">
        <f t="shared" si="63"/>
        <v>0.64</v>
      </c>
      <c r="V235" s="164">
        <f t="shared" si="63"/>
        <v>0.64</v>
      </c>
      <c r="W235" s="164">
        <f t="shared" si="63"/>
        <v>0.64</v>
      </c>
      <c r="X235" s="164">
        <f t="shared" si="63"/>
        <v>0.64</v>
      </c>
      <c r="Y235" s="164">
        <f t="shared" si="63"/>
        <v>0.64</v>
      </c>
      <c r="Z235" s="164">
        <f t="shared" si="63"/>
        <v>0.64</v>
      </c>
      <c r="AA235" s="164">
        <f t="shared" si="63"/>
        <v>0.64</v>
      </c>
      <c r="AB235" s="164">
        <f t="shared" si="63"/>
        <v>0.64</v>
      </c>
      <c r="AC235" s="164">
        <f t="shared" si="63"/>
        <v>0.64</v>
      </c>
      <c r="AD235" s="164">
        <f t="shared" si="63"/>
        <v>0.64</v>
      </c>
      <c r="AE235" s="164">
        <f t="shared" si="63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4">IF(C203&lt;100,"",C203-520)</f>
        <v/>
      </c>
      <c r="D236" s="107" t="str">
        <f t="shared" si="64"/>
        <v/>
      </c>
      <c r="E236" s="107" t="str">
        <f t="shared" si="64"/>
        <v/>
      </c>
      <c r="F236" s="107" t="str">
        <f t="shared" si="64"/>
        <v/>
      </c>
      <c r="G236" s="107" t="str">
        <f t="shared" si="64"/>
        <v/>
      </c>
      <c r="H236" s="107" t="str">
        <f t="shared" si="64"/>
        <v/>
      </c>
      <c r="I236" s="107" t="str">
        <f t="shared" si="64"/>
        <v/>
      </c>
      <c r="J236" s="107" t="str">
        <f t="shared" si="64"/>
        <v/>
      </c>
      <c r="K236" s="107" t="str">
        <f t="shared" si="64"/>
        <v/>
      </c>
      <c r="L236" s="107" t="str">
        <f t="shared" si="64"/>
        <v/>
      </c>
      <c r="M236" s="107" t="str">
        <f t="shared" si="64"/>
        <v/>
      </c>
      <c r="N236" s="107" t="str">
        <f t="shared" si="64"/>
        <v/>
      </c>
      <c r="O236" s="107" t="str">
        <f t="shared" si="64"/>
        <v/>
      </c>
      <c r="P236" s="107" t="str">
        <f t="shared" si="64"/>
        <v/>
      </c>
      <c r="Q236" s="107" t="str">
        <f t="shared" si="64"/>
        <v/>
      </c>
      <c r="R236" s="107" t="str">
        <f t="shared" si="64"/>
        <v/>
      </c>
      <c r="S236" s="107" t="str">
        <f t="shared" si="64"/>
        <v/>
      </c>
      <c r="T236" s="107" t="str">
        <f t="shared" si="64"/>
        <v/>
      </c>
      <c r="U236" s="107" t="str">
        <f t="shared" si="64"/>
        <v/>
      </c>
      <c r="V236" s="107" t="str">
        <f t="shared" si="64"/>
        <v/>
      </c>
      <c r="W236" s="107" t="str">
        <f t="shared" si="64"/>
        <v/>
      </c>
      <c r="X236" s="107" t="str">
        <f t="shared" si="64"/>
        <v/>
      </c>
      <c r="Y236" s="107" t="str">
        <f t="shared" si="64"/>
        <v/>
      </c>
      <c r="Z236" s="107" t="str">
        <f t="shared" si="64"/>
        <v/>
      </c>
      <c r="AA236" s="107" t="str">
        <f t="shared" si="64"/>
        <v/>
      </c>
      <c r="AB236" s="107" t="str">
        <f t="shared" si="64"/>
        <v/>
      </c>
      <c r="AC236" s="107" t="str">
        <f t="shared" si="64"/>
        <v/>
      </c>
      <c r="AD236" s="107" t="str">
        <f t="shared" si="64"/>
        <v/>
      </c>
      <c r="AE236" s="107" t="str">
        <f t="shared" si="64"/>
        <v/>
      </c>
      <c r="AF236" s="107" t="str">
        <f t="shared" si="64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5">IF(B204&lt;100,"",B204-620)</f>
        <v/>
      </c>
      <c r="C237" s="107" t="str">
        <f t="shared" si="65"/>
        <v/>
      </c>
      <c r="D237" s="107" t="str">
        <f t="shared" si="65"/>
        <v/>
      </c>
      <c r="E237" s="107" t="str">
        <f t="shared" si="65"/>
        <v/>
      </c>
      <c r="F237" s="107" t="str">
        <f t="shared" si="65"/>
        <v/>
      </c>
      <c r="G237" s="107" t="str">
        <f t="shared" si="65"/>
        <v/>
      </c>
      <c r="H237" s="107" t="str">
        <f t="shared" si="65"/>
        <v/>
      </c>
      <c r="I237" s="107" t="str">
        <f t="shared" si="65"/>
        <v/>
      </c>
      <c r="J237" s="107" t="str">
        <f t="shared" si="65"/>
        <v/>
      </c>
      <c r="K237" s="107" t="str">
        <f t="shared" si="65"/>
        <v/>
      </c>
      <c r="L237" s="107" t="str">
        <f t="shared" si="65"/>
        <v/>
      </c>
      <c r="M237" s="107" t="str">
        <f t="shared" si="65"/>
        <v/>
      </c>
      <c r="N237" s="107" t="str">
        <f t="shared" si="65"/>
        <v/>
      </c>
      <c r="O237" s="107" t="str">
        <f t="shared" si="65"/>
        <v/>
      </c>
      <c r="P237" s="107" t="str">
        <f t="shared" si="65"/>
        <v/>
      </c>
      <c r="Q237" s="107" t="str">
        <f t="shared" si="65"/>
        <v/>
      </c>
      <c r="R237" s="107" t="str">
        <f t="shared" si="65"/>
        <v/>
      </c>
      <c r="S237" s="107" t="str">
        <f t="shared" si="65"/>
        <v/>
      </c>
      <c r="T237" s="107" t="str">
        <f t="shared" si="65"/>
        <v/>
      </c>
      <c r="U237" s="107" t="str">
        <f t="shared" si="65"/>
        <v/>
      </c>
      <c r="V237" s="107" t="str">
        <f t="shared" si="65"/>
        <v/>
      </c>
      <c r="W237" s="107" t="str">
        <f t="shared" si="65"/>
        <v/>
      </c>
      <c r="X237" s="107" t="str">
        <f t="shared" si="65"/>
        <v/>
      </c>
      <c r="Y237" s="107" t="str">
        <f t="shared" si="65"/>
        <v/>
      </c>
      <c r="Z237" s="107" t="str">
        <f t="shared" si="65"/>
        <v/>
      </c>
      <c r="AA237" s="107" t="str">
        <f t="shared" si="65"/>
        <v/>
      </c>
      <c r="AB237" s="107" t="str">
        <f t="shared" si="65"/>
        <v/>
      </c>
      <c r="AC237" s="107" t="str">
        <f t="shared" si="65"/>
        <v/>
      </c>
      <c r="AD237" s="107" t="str">
        <f t="shared" si="65"/>
        <v/>
      </c>
      <c r="AE237" s="107" t="str">
        <f t="shared" si="65"/>
        <v/>
      </c>
      <c r="AF237" s="107" t="str">
        <f t="shared" si="65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6">IF(B205&lt;100,"",B205-330)</f>
        <v/>
      </c>
      <c r="C238" s="107" t="str">
        <f t="shared" si="66"/>
        <v/>
      </c>
      <c r="D238" s="107" t="str">
        <f t="shared" si="66"/>
        <v/>
      </c>
      <c r="E238" s="107" t="str">
        <f t="shared" si="66"/>
        <v/>
      </c>
      <c r="F238" s="107" t="str">
        <f t="shared" si="66"/>
        <v/>
      </c>
      <c r="G238" s="107" t="str">
        <f t="shared" si="66"/>
        <v/>
      </c>
      <c r="H238" s="107" t="str">
        <f t="shared" si="66"/>
        <v/>
      </c>
      <c r="I238" s="107" t="str">
        <f t="shared" si="66"/>
        <v/>
      </c>
      <c r="J238" s="107" t="str">
        <f t="shared" si="66"/>
        <v/>
      </c>
      <c r="K238" s="107" t="str">
        <f t="shared" si="66"/>
        <v/>
      </c>
      <c r="L238" s="107" t="str">
        <f t="shared" si="66"/>
        <v/>
      </c>
      <c r="M238" s="107" t="str">
        <f t="shared" si="66"/>
        <v/>
      </c>
      <c r="N238" s="107" t="str">
        <f t="shared" si="66"/>
        <v/>
      </c>
      <c r="O238" s="107" t="str">
        <f t="shared" si="66"/>
        <v/>
      </c>
      <c r="P238" s="107" t="str">
        <f t="shared" si="66"/>
        <v/>
      </c>
      <c r="Q238" s="107" t="str">
        <f t="shared" si="66"/>
        <v/>
      </c>
      <c r="R238" s="107" t="str">
        <f t="shared" si="66"/>
        <v/>
      </c>
      <c r="S238" s="107" t="str">
        <f t="shared" si="66"/>
        <v/>
      </c>
      <c r="T238" s="107" t="str">
        <f t="shared" si="66"/>
        <v/>
      </c>
      <c r="U238" s="107" t="str">
        <f t="shared" si="66"/>
        <v/>
      </c>
      <c r="V238" s="107" t="str">
        <f t="shared" si="66"/>
        <v/>
      </c>
      <c r="W238" s="107" t="str">
        <f t="shared" si="66"/>
        <v/>
      </c>
      <c r="X238" s="107" t="str">
        <f t="shared" si="66"/>
        <v/>
      </c>
      <c r="Y238" s="107" t="str">
        <f t="shared" si="66"/>
        <v/>
      </c>
      <c r="Z238" s="107" t="str">
        <f t="shared" si="66"/>
        <v/>
      </c>
      <c r="AA238" s="107" t="str">
        <f t="shared" si="66"/>
        <v/>
      </c>
      <c r="AB238" s="107" t="str">
        <f t="shared" si="66"/>
        <v/>
      </c>
      <c r="AC238" s="107" t="str">
        <f t="shared" si="66"/>
        <v/>
      </c>
      <c r="AD238" s="107" t="str">
        <f t="shared" si="66"/>
        <v/>
      </c>
      <c r="AE238" s="107" t="str">
        <f t="shared" si="66"/>
        <v/>
      </c>
      <c r="AF238" s="107" t="str">
        <f t="shared" si="66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7">IF(C206&lt;100,"",C206-1500)</f>
        <v/>
      </c>
      <c r="D239" s="107" t="str">
        <f t="shared" si="67"/>
        <v/>
      </c>
      <c r="E239" s="107" t="str">
        <f t="shared" si="67"/>
        <v/>
      </c>
      <c r="F239" s="107" t="str">
        <f t="shared" si="67"/>
        <v/>
      </c>
      <c r="G239" s="107" t="str">
        <f t="shared" si="67"/>
        <v/>
      </c>
      <c r="H239" s="107" t="str">
        <f t="shared" si="67"/>
        <v/>
      </c>
      <c r="I239" s="107" t="str">
        <f t="shared" si="67"/>
        <v/>
      </c>
      <c r="J239" s="107" t="str">
        <f t="shared" si="67"/>
        <v/>
      </c>
      <c r="K239" s="107" t="str">
        <f t="shared" si="67"/>
        <v/>
      </c>
      <c r="L239" s="107" t="str">
        <f t="shared" si="67"/>
        <v/>
      </c>
      <c r="M239" s="107" t="str">
        <f t="shared" si="67"/>
        <v/>
      </c>
      <c r="N239" s="107" t="str">
        <f t="shared" si="67"/>
        <v/>
      </c>
      <c r="O239" s="107" t="str">
        <f t="shared" si="67"/>
        <v/>
      </c>
      <c r="P239" s="107" t="str">
        <f t="shared" si="67"/>
        <v/>
      </c>
      <c r="Q239" s="107" t="str">
        <f t="shared" si="67"/>
        <v/>
      </c>
      <c r="R239" s="107" t="str">
        <f t="shared" si="67"/>
        <v/>
      </c>
      <c r="S239" s="107" t="str">
        <f t="shared" si="67"/>
        <v/>
      </c>
      <c r="T239" s="107" t="str">
        <f t="shared" si="67"/>
        <v/>
      </c>
      <c r="U239" s="107" t="str">
        <f t="shared" si="67"/>
        <v/>
      </c>
      <c r="V239" s="107" t="str">
        <f t="shared" si="67"/>
        <v/>
      </c>
      <c r="W239" s="107" t="str">
        <f t="shared" si="67"/>
        <v/>
      </c>
      <c r="X239" s="107" t="str">
        <f t="shared" si="67"/>
        <v/>
      </c>
      <c r="Y239" s="107" t="str">
        <f t="shared" si="67"/>
        <v/>
      </c>
      <c r="Z239" s="107" t="str">
        <f t="shared" si="67"/>
        <v/>
      </c>
      <c r="AA239" s="107" t="str">
        <f t="shared" si="67"/>
        <v/>
      </c>
      <c r="AB239" s="107" t="str">
        <f t="shared" si="67"/>
        <v/>
      </c>
      <c r="AC239" s="107" t="str">
        <f t="shared" si="67"/>
        <v/>
      </c>
      <c r="AD239" s="107" t="str">
        <f t="shared" si="67"/>
        <v/>
      </c>
      <c r="AE239" s="107" t="str">
        <f t="shared" si="67"/>
        <v/>
      </c>
      <c r="AF239" s="107" t="str">
        <f t="shared" si="67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8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4033" priority="279">
      <formula>B$9&gt;=20/24</formula>
    </cfRule>
    <cfRule type="expression" dxfId="4032" priority="280">
      <formula>AND(B$9&gt;=14/24,B$9&lt;20/24)</formula>
    </cfRule>
    <cfRule type="expression" dxfId="4031" priority="281">
      <formula>AND(B$9&gt;=8/24,B$9&lt;14/24)</formula>
    </cfRule>
    <cfRule type="expression" dxfId="4030" priority="282">
      <formula>B$9&lt;8/24</formula>
    </cfRule>
  </conditionalFormatting>
  <conditionalFormatting sqref="AL4:AL6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029" priority="274">
      <formula>S$9&gt;=20/24</formula>
    </cfRule>
    <cfRule type="expression" dxfId="4028" priority="275">
      <formula>AND(S$9&gt;=14/24,S$9&lt;20/24)</formula>
    </cfRule>
    <cfRule type="expression" dxfId="4027" priority="276">
      <formula>AND(S$9&gt;=8/24,S$9&lt;14/24)</formula>
    </cfRule>
    <cfRule type="expression" dxfId="4026" priority="277">
      <formula>S$9&lt;8/24</formula>
    </cfRule>
  </conditionalFormatting>
  <conditionalFormatting sqref="AG51 J11:AF11 S37:AF37">
    <cfRule type="expression" dxfId="4025" priority="273">
      <formula>J11&gt;$AG11</formula>
    </cfRule>
  </conditionalFormatting>
  <conditionalFormatting sqref="A101:A157 A84:A97 A11:A14 A16:A32 A45:A72 A80:A82 A74:A78 A35:A43 A170:A200">
    <cfRule type="expression" dxfId="4024" priority="272">
      <formula>$AH11=0</formula>
    </cfRule>
  </conditionalFormatting>
  <conditionalFormatting sqref="A98">
    <cfRule type="expression" dxfId="4023" priority="271">
      <formula>$AH98=0</formula>
    </cfRule>
  </conditionalFormatting>
  <conditionalFormatting sqref="AL32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022" priority="269">
      <formula>$AH34=0</formula>
    </cfRule>
  </conditionalFormatting>
  <conditionalFormatting sqref="A83">
    <cfRule type="expression" dxfId="4021" priority="268">
      <formula>$AH83=0</formula>
    </cfRule>
  </conditionalFormatting>
  <conditionalFormatting sqref="A15">
    <cfRule type="expression" dxfId="4020" priority="267">
      <formula>$AH15=0</formula>
    </cfRule>
  </conditionalFormatting>
  <conditionalFormatting sqref="A164:A169">
    <cfRule type="expression" dxfId="4019" priority="266">
      <formula>$AH164=0</formula>
    </cfRule>
  </conditionalFormatting>
  <conditionalFormatting sqref="A158:A163">
    <cfRule type="expression" dxfId="4018" priority="265">
      <formula>$AH158=0</formula>
    </cfRule>
  </conditionalFormatting>
  <conditionalFormatting sqref="A44">
    <cfRule type="expression" dxfId="4017" priority="264">
      <formula>$AH44=0</formula>
    </cfRule>
  </conditionalFormatting>
  <conditionalFormatting sqref="A79">
    <cfRule type="expression" dxfId="4016" priority="263">
      <formula>$AH79=0</formula>
    </cfRule>
  </conditionalFormatting>
  <conditionalFormatting sqref="A73">
    <cfRule type="expression" dxfId="4015" priority="262">
      <formula>$AH73=0</formula>
    </cfRule>
  </conditionalFormatting>
  <conditionalFormatting sqref="AL34:AL35 AL7:AL31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014" priority="258">
      <formula>C$9&gt;=20/24</formula>
    </cfRule>
    <cfRule type="expression" dxfId="4013" priority="259">
      <formula>AND(C$9&gt;=14/24,C$9&lt;20/24)</formula>
    </cfRule>
    <cfRule type="expression" dxfId="4012" priority="260">
      <formula>AND(C$9&gt;=8/24,C$9&lt;14/24)</formula>
    </cfRule>
    <cfRule type="expression" dxfId="4011" priority="261">
      <formula>C$9&lt;8/24</formula>
    </cfRule>
  </conditionalFormatting>
  <conditionalFormatting sqref="AL33">
    <cfRule type="iconSet" priority="25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010" priority="286">
      <formula>C$9&gt;=20/24</formula>
    </cfRule>
    <cfRule type="expression" dxfId="4009" priority="287">
      <formula>AND(C$9&gt;=14/24,C$9&lt;20/24)</formula>
    </cfRule>
    <cfRule type="expression" dxfId="4008" priority="288">
      <formula>AND(C$9&gt;=8/24,C$9&lt;14/24)</formula>
    </cfRule>
    <cfRule type="expression" dxfId="4007" priority="289">
      <formula>C$9&lt;8/24</formula>
    </cfRule>
  </conditionalFormatting>
  <conditionalFormatting sqref="A201">
    <cfRule type="expression" dxfId="4006" priority="290">
      <formula>$AH201=0</formula>
    </cfRule>
  </conditionalFormatting>
  <conditionalFormatting sqref="AG213">
    <cfRule type="expression" dxfId="4005" priority="291">
      <formula>B$9&gt;=20/24</formula>
    </cfRule>
    <cfRule type="expression" dxfId="4004" priority="292">
      <formula>AND(B$9&gt;=14/24,B$9&lt;20/24)</formula>
    </cfRule>
    <cfRule type="expression" dxfId="4003" priority="293">
      <formula>AND(B$9&gt;=8/24,B$9&lt;14/24)</formula>
    </cfRule>
    <cfRule type="expression" dxfId="4002" priority="294">
      <formula>B$9&lt;8/24</formula>
    </cfRule>
  </conditionalFormatting>
  <conditionalFormatting sqref="S8">
    <cfRule type="expression" dxfId="4001" priority="252">
      <formula>U$9&gt;=20/24</formula>
    </cfRule>
    <cfRule type="expression" dxfId="4000" priority="253">
      <formula>AND(U$9&gt;=14/24,U$9&lt;20/24)</formula>
    </cfRule>
    <cfRule type="expression" dxfId="3999" priority="254">
      <formula>AND(U$9&gt;=8/24,U$9&lt;14/24)</formula>
    </cfRule>
    <cfRule type="expression" dxfId="3998" priority="255">
      <formula>U$9&lt;8/24</formula>
    </cfRule>
  </conditionalFormatting>
  <conditionalFormatting sqref="AB8">
    <cfRule type="expression" dxfId="3997" priority="248">
      <formula>AD$9&gt;=20/24</formula>
    </cfRule>
    <cfRule type="expression" dxfId="3996" priority="249">
      <formula>AND(AD$9&gt;=14/24,AD$9&lt;20/24)</formula>
    </cfRule>
    <cfRule type="expression" dxfId="3995" priority="250">
      <formula>AND(AD$9&gt;=8/24,AD$9&lt;14/24)</formula>
    </cfRule>
    <cfRule type="expression" dxfId="3994" priority="251">
      <formula>AD$9&lt;8/24</formula>
    </cfRule>
  </conditionalFormatting>
  <conditionalFormatting sqref="AH213:AX213">
    <cfRule type="expression" dxfId="3993" priority="295">
      <formula>AG$9&gt;=20/24</formula>
    </cfRule>
    <cfRule type="expression" dxfId="3992" priority="296">
      <formula>AND(AG$9&gt;=14/24,AG$9&lt;20/24)</formula>
    </cfRule>
    <cfRule type="expression" dxfId="3991" priority="297">
      <formula>AND(AG$9&gt;=8/24,AG$9&lt;14/24)</formula>
    </cfRule>
    <cfRule type="expression" dxfId="3990" priority="298">
      <formula>AG$9&lt;8/24</formula>
    </cfRule>
  </conditionalFormatting>
  <conditionalFormatting sqref="T213">
    <cfRule type="expression" dxfId="3989" priority="299">
      <formula>AX$9&gt;=20/24</formula>
    </cfRule>
    <cfRule type="expression" dxfId="3988" priority="300">
      <formula>AND(AX$9&gt;=14/24,AX$9&lt;20/24)</formula>
    </cfRule>
    <cfRule type="expression" dxfId="3987" priority="301">
      <formula>AND(AX$9&gt;=8/24,AX$9&lt;14/24)</formula>
    </cfRule>
    <cfRule type="expression" dxfId="3986" priority="302">
      <formula>AX$9&lt;8/24</formula>
    </cfRule>
  </conditionalFormatting>
  <conditionalFormatting sqref="A99:A100">
    <cfRule type="expression" dxfId="3985" priority="247">
      <formula>$AH99=0</formula>
    </cfRule>
  </conditionalFormatting>
  <conditionalFormatting sqref="E11:I11 E40:L41 C57:AF57 AA36:AF36 S40:AF41">
    <cfRule type="expression" dxfId="3984" priority="243">
      <formula>C$9&gt;=20/24</formula>
    </cfRule>
    <cfRule type="expression" dxfId="3983" priority="244">
      <formula>AND(C$9&gt;=14/24,C$9&lt;20/24)</formula>
    </cfRule>
    <cfRule type="expression" dxfId="3982" priority="245">
      <formula>AND(C$9&gt;=8/24,C$9&lt;14/24)</formula>
    </cfRule>
    <cfRule type="expression" dxfId="3981" priority="246">
      <formula>C$9&lt;8/24</formula>
    </cfRule>
  </conditionalFormatting>
  <conditionalFormatting sqref="E39:L39 S39:AF39">
    <cfRule type="expression" dxfId="3980" priority="239">
      <formula>E$9&gt;=20/24</formula>
    </cfRule>
    <cfRule type="expression" dxfId="3979" priority="240">
      <formula>AND(E$9&gt;=14/24,E$9&lt;20/24)</formula>
    </cfRule>
    <cfRule type="expression" dxfId="3978" priority="241">
      <formula>AND(E$9&gt;=8/24,E$9&lt;14/24)</formula>
    </cfRule>
    <cfRule type="expression" dxfId="3977" priority="242">
      <formula>E$9&lt;8/24</formula>
    </cfRule>
  </conditionalFormatting>
  <conditionalFormatting sqref="E11:I11 E39:L41 AA36:AF36 S39:AF41">
    <cfRule type="expression" dxfId="3976" priority="238">
      <formula>E11&gt;$AG11</formula>
    </cfRule>
  </conditionalFormatting>
  <conditionalFormatting sqref="C83:AF83 C75:AF81 C68:AF73 L58:O59 D58:K60 J12:L13 L60 M60:O67 M11:R14 M36:R37 S36:Z36 C53:AF56 M16:AF16 M28:AF31 M24:AF26 M18:AF22 S12:AF14 P58:AF67 C85:AF91">
    <cfRule type="expression" dxfId="3975" priority="234">
      <formula>C$9&gt;=20/24</formula>
    </cfRule>
    <cfRule type="expression" dxfId="3974" priority="235">
      <formula>AND(C$9&gt;=14/24,C$9&lt;20/24)</formula>
    </cfRule>
    <cfRule type="expression" dxfId="3973" priority="236">
      <formula>AND(C$9&gt;=8/24,C$9&lt;14/24)</formula>
    </cfRule>
    <cfRule type="expression" dxfId="3972" priority="237">
      <formula>C$9&lt;8/24</formula>
    </cfRule>
  </conditionalFormatting>
  <conditionalFormatting sqref="M32:AF32">
    <cfRule type="expression" dxfId="3971" priority="230">
      <formula>M$9&gt;=20/24</formula>
    </cfRule>
    <cfRule type="expression" dxfId="3970" priority="231">
      <formula>AND(M$9&gt;=14/24,M$9&lt;20/24)</formula>
    </cfRule>
    <cfRule type="expression" dxfId="3969" priority="232">
      <formula>AND(M$9&gt;=8/24,M$9&lt;14/24)</formula>
    </cfRule>
    <cfRule type="expression" dxfId="3968" priority="233">
      <formula>M$9&lt;8/24</formula>
    </cfRule>
  </conditionalFormatting>
  <conditionalFormatting sqref="M35:AF35">
    <cfRule type="expression" dxfId="3967" priority="226">
      <formula>M$9&gt;=20/24</formula>
    </cfRule>
    <cfRule type="expression" dxfId="3966" priority="227">
      <formula>AND(M$9&gt;=14/24,M$9&lt;20/24)</formula>
    </cfRule>
    <cfRule type="expression" dxfId="3965" priority="228">
      <formula>AND(M$9&gt;=8/24,M$9&lt;14/24)</formula>
    </cfRule>
    <cfRule type="expression" dxfId="3964" priority="229">
      <formula>M$9&lt;8/24</formula>
    </cfRule>
  </conditionalFormatting>
  <conditionalFormatting sqref="C38:AF38 M34:M36 J12:L13 K37:M37 M11:R16 N34:R37 S34:Z36 C51:AF56 AA34:AF35 M24:AF32 M18:AF22 S12:AF16 AB42:AF42">
    <cfRule type="expression" dxfId="3963" priority="225">
      <formula>C11&gt;$AG11</formula>
    </cfRule>
  </conditionalFormatting>
  <conditionalFormatting sqref="M34:AF34">
    <cfRule type="expression" dxfId="3962" priority="221">
      <formula>M$9&gt;=20/24</formula>
    </cfRule>
    <cfRule type="expression" dxfId="3961" priority="222">
      <formula>AND(M$9&gt;=14/24,M$9&lt;20/24)</formula>
    </cfRule>
    <cfRule type="expression" dxfId="3960" priority="223">
      <formula>AND(M$9&gt;=8/24,M$9&lt;14/24)</formula>
    </cfRule>
    <cfRule type="expression" dxfId="3959" priority="224">
      <formula>M$9&lt;8/24</formula>
    </cfRule>
  </conditionalFormatting>
  <conditionalFormatting sqref="M15:AF15">
    <cfRule type="expression" dxfId="3958" priority="217">
      <formula>M$9&gt;=20/24</formula>
    </cfRule>
    <cfRule type="expression" dxfId="3957" priority="218">
      <formula>AND(M$9&gt;=14/24,M$9&lt;20/24)</formula>
    </cfRule>
    <cfRule type="expression" dxfId="3956" priority="219">
      <formula>AND(M$9&gt;=8/24,M$9&lt;14/24)</formula>
    </cfRule>
    <cfRule type="expression" dxfId="3955" priority="220">
      <formula>M$9&lt;8/24</formula>
    </cfRule>
  </conditionalFormatting>
  <conditionalFormatting sqref="M33:AF33">
    <cfRule type="expression" dxfId="3954" priority="213">
      <formula>M$9&gt;=20/24</formula>
    </cfRule>
    <cfRule type="expression" dxfId="3953" priority="214">
      <formula>AND(M$9&gt;=14/24,M$9&lt;20/24)</formula>
    </cfRule>
    <cfRule type="expression" dxfId="3952" priority="215">
      <formula>AND(M$9&gt;=8/24,M$9&lt;14/24)</formula>
    </cfRule>
    <cfRule type="expression" dxfId="3951" priority="216">
      <formula>M$9&lt;8/24</formula>
    </cfRule>
  </conditionalFormatting>
  <conditionalFormatting sqref="M33:AF33">
    <cfRule type="expression" dxfId="3950" priority="212">
      <formula>M33&gt;$AG33</formula>
    </cfRule>
  </conditionalFormatting>
  <conditionalFormatting sqref="S11">
    <cfRule type="expression" dxfId="3949" priority="208">
      <formula>S$9&gt;=20/24</formula>
    </cfRule>
    <cfRule type="expression" dxfId="3948" priority="209">
      <formula>AND(S$9&gt;=14/24,S$9&lt;20/24)</formula>
    </cfRule>
    <cfRule type="expression" dxfId="3947" priority="210">
      <formula>AND(S$9&gt;=8/24,S$9&lt;14/24)</formula>
    </cfRule>
    <cfRule type="expression" dxfId="3946" priority="211">
      <formula>S$9&lt;8/24</formula>
    </cfRule>
  </conditionalFormatting>
  <conditionalFormatting sqref="AA42:AA43 AB43:AF43">
    <cfRule type="expression" dxfId="3945" priority="204">
      <formula>AA$9&gt;=20/24</formula>
    </cfRule>
    <cfRule type="expression" dxfId="3944" priority="205">
      <formula>AND(AA$9&gt;=14/24,AA$9&lt;20/24)</formula>
    </cfRule>
    <cfRule type="expression" dxfId="3943" priority="206">
      <formula>AND(AA$9&gt;=8/24,AA$9&lt;14/24)</formula>
    </cfRule>
    <cfRule type="expression" dxfId="3942" priority="207">
      <formula>AA$9&lt;8/24</formula>
    </cfRule>
  </conditionalFormatting>
  <conditionalFormatting sqref="AA42:AA43 AB43:AF43">
    <cfRule type="expression" dxfId="3941" priority="203">
      <formula>AA42&gt;$AG42</formula>
    </cfRule>
  </conditionalFormatting>
  <conditionalFormatting sqref="M39:R50 S42:Z50 AA44:AF50">
    <cfRule type="expression" dxfId="3940" priority="199">
      <formula>M$9&gt;=20/24</formula>
    </cfRule>
    <cfRule type="expression" dxfId="3939" priority="200">
      <formula>AND(M$9&gt;=14/24,M$9&lt;20/24)</formula>
    </cfRule>
    <cfRule type="expression" dxfId="3938" priority="201">
      <formula>AND(M$9&gt;=8/24,M$9&lt;14/24)</formula>
    </cfRule>
    <cfRule type="expression" dxfId="3937" priority="202">
      <formula>M$9&lt;8/24</formula>
    </cfRule>
  </conditionalFormatting>
  <conditionalFormatting sqref="M39:R50 S42:Z50 AA44:AF50">
    <cfRule type="expression" dxfId="3936" priority="198">
      <formula>M39&gt;$AG39</formula>
    </cfRule>
  </conditionalFormatting>
  <conditionalFormatting sqref="M27:AF27">
    <cfRule type="expression" dxfId="3935" priority="194">
      <formula>M$9&gt;=20/24</formula>
    </cfRule>
    <cfRule type="expression" dxfId="3934" priority="195">
      <formula>AND(M$9&gt;=14/24,M$9&lt;20/24)</formula>
    </cfRule>
    <cfRule type="expression" dxfId="3933" priority="196">
      <formula>AND(M$9&gt;=8/24,M$9&lt;14/24)</formula>
    </cfRule>
    <cfRule type="expression" dxfId="3932" priority="197">
      <formula>M$9&lt;8/24</formula>
    </cfRule>
  </conditionalFormatting>
  <conditionalFormatting sqref="C74:I74 K16:L16 M17:AF17 M23:AF23">
    <cfRule type="expression" dxfId="3931" priority="190">
      <formula>C$9&gt;=20/24</formula>
    </cfRule>
    <cfRule type="expression" dxfId="3930" priority="191">
      <formula>AND(C$9&gt;=14/24,C$9&lt;20/24)</formula>
    </cfRule>
    <cfRule type="expression" dxfId="3929" priority="192">
      <formula>AND(C$9&gt;=8/24,C$9&lt;14/24)</formula>
    </cfRule>
    <cfRule type="expression" dxfId="3928" priority="193">
      <formula>C$9&lt;8/24</formula>
    </cfRule>
  </conditionalFormatting>
  <conditionalFormatting sqref="K16:L16 M17:AF17 M23:AF23">
    <cfRule type="expression" dxfId="3927" priority="181">
      <formula>K16&gt;$AG16</formula>
    </cfRule>
  </conditionalFormatting>
  <conditionalFormatting sqref="C40:D41">
    <cfRule type="expression" dxfId="3926" priority="164">
      <formula>C$9&gt;=20/24</formula>
    </cfRule>
    <cfRule type="expression" dxfId="3925" priority="165">
      <formula>AND(C$9&gt;=14/24,C$9&lt;20/24)</formula>
    </cfRule>
    <cfRule type="expression" dxfId="3924" priority="166">
      <formula>AND(C$9&gt;=8/24,C$9&lt;14/24)</formula>
    </cfRule>
    <cfRule type="expression" dxfId="3923" priority="167">
      <formula>C$9&lt;8/24</formula>
    </cfRule>
  </conditionalFormatting>
  <conditionalFormatting sqref="C39:D39">
    <cfRule type="expression" dxfId="3922" priority="160">
      <formula>C$9&gt;=20/24</formula>
    </cfRule>
    <cfRule type="expression" dxfId="3921" priority="161">
      <formula>AND(C$9&gt;=14/24,C$9&lt;20/24)</formula>
    </cfRule>
    <cfRule type="expression" dxfId="3920" priority="162">
      <formula>AND(C$9&gt;=8/24,C$9&lt;14/24)</formula>
    </cfRule>
    <cfRule type="expression" dxfId="3919" priority="163">
      <formula>C$9&lt;8/24</formula>
    </cfRule>
  </conditionalFormatting>
  <conditionalFormatting sqref="C39:D41">
    <cfRule type="expression" dxfId="3918" priority="159">
      <formula>C39&gt;$AG39</formula>
    </cfRule>
  </conditionalFormatting>
  <conditionalFormatting sqref="C42:L43">
    <cfRule type="expression" dxfId="3917" priority="154">
      <formula>C42&gt;$AG42</formula>
    </cfRule>
  </conditionalFormatting>
  <conditionalFormatting sqref="B28:L31 B18:L22 B24:L26">
    <cfRule type="expression" dxfId="3916" priority="33">
      <formula>B$9&gt;=20/24</formula>
    </cfRule>
    <cfRule type="expression" dxfId="3915" priority="34">
      <formula>AND(B$9&gt;=14/24,B$9&lt;20/24)</formula>
    </cfRule>
    <cfRule type="expression" dxfId="3914" priority="35">
      <formula>AND(B$9&gt;=8/24,B$9&lt;14/24)</formula>
    </cfRule>
    <cfRule type="expression" dxfId="3913" priority="36">
      <formula>B$9&lt;8/24</formula>
    </cfRule>
  </conditionalFormatting>
  <conditionalFormatting sqref="B32:L32">
    <cfRule type="expression" dxfId="3912" priority="29">
      <formula>B$9&gt;=20/24</formula>
    </cfRule>
    <cfRule type="expression" dxfId="3911" priority="30">
      <formula>AND(B$9&gt;=14/24,B$9&lt;20/24)</formula>
    </cfRule>
    <cfRule type="expression" dxfId="3910" priority="31">
      <formula>AND(B$9&gt;=8/24,B$9&lt;14/24)</formula>
    </cfRule>
    <cfRule type="expression" dxfId="3909" priority="32">
      <formula>B$9&lt;8/24</formula>
    </cfRule>
  </conditionalFormatting>
  <conditionalFormatting sqref="B34:L34">
    <cfRule type="expression" dxfId="3908" priority="20">
      <formula>B$9&gt;=20/24</formula>
    </cfRule>
    <cfRule type="expression" dxfId="3907" priority="21">
      <formula>AND(B$9&gt;=14/24,B$9&lt;20/24)</formula>
    </cfRule>
    <cfRule type="expression" dxfId="3906" priority="22">
      <formula>AND(B$9&gt;=8/24,B$9&lt;14/24)</formula>
    </cfRule>
    <cfRule type="expression" dxfId="3905" priority="23">
      <formula>B$9&lt;8/24</formula>
    </cfRule>
  </conditionalFormatting>
  <conditionalFormatting sqref="B33:L33">
    <cfRule type="expression" dxfId="3904" priority="16">
      <formula>B$9&gt;=20/24</formula>
    </cfRule>
    <cfRule type="expression" dxfId="3903" priority="17">
      <formula>AND(B$9&gt;=14/24,B$9&lt;20/24)</formula>
    </cfRule>
    <cfRule type="expression" dxfId="3902" priority="18">
      <formula>AND(B$9&gt;=8/24,B$9&lt;14/24)</formula>
    </cfRule>
    <cfRule type="expression" dxfId="3901" priority="19">
      <formula>B$9&lt;8/24</formula>
    </cfRule>
  </conditionalFormatting>
  <conditionalFormatting sqref="B33:L33">
    <cfRule type="expression" dxfId="3900" priority="15">
      <formula>B33&gt;$AG33</formula>
    </cfRule>
  </conditionalFormatting>
  <conditionalFormatting sqref="B50:L50">
    <cfRule type="expression" dxfId="3899" priority="11">
      <formula>B$9&gt;=20/24</formula>
    </cfRule>
    <cfRule type="expression" dxfId="3898" priority="12">
      <formula>AND(B$9&gt;=14/24,B$9&lt;20/24)</formula>
    </cfRule>
    <cfRule type="expression" dxfId="3897" priority="13">
      <formula>AND(B$9&gt;=8/24,B$9&lt;14/24)</formula>
    </cfRule>
    <cfRule type="expression" dxfId="3896" priority="14">
      <formula>B$9&lt;8/24</formula>
    </cfRule>
  </conditionalFormatting>
  <conditionalFormatting sqref="B50:L50">
    <cfRule type="expression" dxfId="3895" priority="10">
      <formula>B50&gt;$AG50</formula>
    </cfRule>
  </conditionalFormatting>
  <conditionalFormatting sqref="B27:L27">
    <cfRule type="expression" dxfId="3894" priority="6">
      <formula>B$9&gt;=20/24</formula>
    </cfRule>
    <cfRule type="expression" dxfId="3893" priority="7">
      <formula>AND(B$9&gt;=14/24,B$9&lt;20/24)</formula>
    </cfRule>
    <cfRule type="expression" dxfId="3892" priority="8">
      <formula>AND(B$9&gt;=8/24,B$9&lt;14/24)</formula>
    </cfRule>
    <cfRule type="expression" dxfId="3891" priority="9">
      <formula>B$9&lt;8/24</formula>
    </cfRule>
  </conditionalFormatting>
  <conditionalFormatting sqref="B17:L17 B23:L23">
    <cfRule type="expression" dxfId="3890" priority="2">
      <formula>B$9&gt;=20/24</formula>
    </cfRule>
    <cfRule type="expression" dxfId="3889" priority="3">
      <formula>AND(B$9&gt;=14/24,B$9&lt;20/24)</formula>
    </cfRule>
    <cfRule type="expression" dxfId="3888" priority="4">
      <formula>AND(B$9&gt;=8/24,B$9&lt;14/24)</formula>
    </cfRule>
    <cfRule type="expression" dxfId="3887" priority="5">
      <formula>B$9&lt;8/24</formula>
    </cfRule>
  </conditionalFormatting>
  <conditionalFormatting sqref="B17:L17 B23:L23">
    <cfRule type="expression" dxfId="3886" priority="1">
      <formula>B17&gt;$AG17</formula>
    </cfRule>
  </conditionalFormatting>
  <conditionalFormatting sqref="B82 B74 B94:B100 B11:D11">
    <cfRule type="expression" dxfId="3885" priority="74">
      <formula>B$9&gt;=20/24</formula>
    </cfRule>
    <cfRule type="expression" dxfId="3884" priority="75">
      <formula>AND(B$9&gt;=14/24,B$9&lt;20/24)</formula>
    </cfRule>
    <cfRule type="expression" dxfId="3883" priority="76">
      <formula>AND(B$9&gt;=8/24,B$9&lt;14/24)</formula>
    </cfRule>
    <cfRule type="expression" dxfId="3882" priority="77">
      <formula>B$9&lt;8/24</formula>
    </cfRule>
  </conditionalFormatting>
  <conditionalFormatting sqref="B37:J37">
    <cfRule type="expression" dxfId="3881" priority="70">
      <formula>B$9&gt;=20/24</formula>
    </cfRule>
    <cfRule type="expression" dxfId="3880" priority="71">
      <formula>AND(B$9&gt;=14/24,B$9&lt;20/24)</formula>
    </cfRule>
    <cfRule type="expression" dxfId="3879" priority="72">
      <formula>AND(B$9&gt;=8/24,B$9&lt;14/24)</formula>
    </cfRule>
    <cfRule type="expression" dxfId="3878" priority="73">
      <formula>B$9&lt;8/24</formula>
    </cfRule>
  </conditionalFormatting>
  <conditionalFormatting sqref="B11:D11 B37:J37">
    <cfRule type="expression" dxfId="3877" priority="69">
      <formula>B11&gt;$AG11</formula>
    </cfRule>
  </conditionalFormatting>
  <conditionalFormatting sqref="B84">
    <cfRule type="expression" dxfId="3876" priority="65">
      <formula>B$9&gt;=20/24</formula>
    </cfRule>
    <cfRule type="expression" dxfId="3875" priority="66">
      <formula>AND(B$9&gt;=14/24,B$9&lt;20/24)</formula>
    </cfRule>
    <cfRule type="expression" dxfId="3874" priority="67">
      <formula>AND(B$9&gt;=8/24,B$9&lt;14/24)</formula>
    </cfRule>
    <cfRule type="expression" dxfId="3873" priority="68">
      <formula>B$9&lt;8/24</formula>
    </cfRule>
  </conditionalFormatting>
  <conditionalFormatting sqref="B40:B41 B57 B36:L36">
    <cfRule type="expression" dxfId="3872" priority="61">
      <formula>B$9&gt;=20/24</formula>
    </cfRule>
    <cfRule type="expression" dxfId="3871" priority="62">
      <formula>AND(B$9&gt;=14/24,B$9&lt;20/24)</formula>
    </cfRule>
    <cfRule type="expression" dxfId="3870" priority="63">
      <formula>AND(B$9&gt;=8/24,B$9&lt;14/24)</formula>
    </cfRule>
    <cfRule type="expression" dxfId="3869" priority="64">
      <formula>B$9&lt;8/24</formula>
    </cfRule>
  </conditionalFormatting>
  <conditionalFormatting sqref="B39">
    <cfRule type="expression" dxfId="3868" priority="57">
      <formula>B$9&gt;=20/24</formula>
    </cfRule>
    <cfRule type="expression" dxfId="3867" priority="58">
      <formula>AND(B$9&gt;=14/24,B$9&lt;20/24)</formula>
    </cfRule>
    <cfRule type="expression" dxfId="3866" priority="59">
      <formula>AND(B$9&gt;=8/24,B$9&lt;14/24)</formula>
    </cfRule>
    <cfRule type="expression" dxfId="3865" priority="60">
      <formula>B$9&lt;8/24</formula>
    </cfRule>
  </conditionalFormatting>
  <conditionalFormatting sqref="B39:B41 B36:L36">
    <cfRule type="expression" dxfId="3864" priority="56">
      <formula>B36&gt;$AG36</formula>
    </cfRule>
  </conditionalFormatting>
  <conditionalFormatting sqref="B83 B75:B81 B53:B56 B85:B91 B58:B73 C58:C67 B12:I14 J14:L14 D61:L67">
    <cfRule type="expression" dxfId="3863" priority="52">
      <formula>B$9&gt;=20/24</formula>
    </cfRule>
    <cfRule type="expression" dxfId="3862" priority="53">
      <formula>AND(B$9&gt;=14/24,B$9&lt;20/24)</formula>
    </cfRule>
    <cfRule type="expression" dxfId="3861" priority="54">
      <formula>AND(B$9&gt;=8/24,B$9&lt;14/24)</formula>
    </cfRule>
    <cfRule type="expression" dxfId="3860" priority="55">
      <formula>B$9&lt;8/24</formula>
    </cfRule>
  </conditionalFormatting>
  <conditionalFormatting sqref="B38 B42:B43 B51:B56 B12:I15 J14:L15">
    <cfRule type="expression" dxfId="3859" priority="51">
      <formula>B12&gt;$AG12</formula>
    </cfRule>
  </conditionalFormatting>
  <conditionalFormatting sqref="B15:L15">
    <cfRule type="expression" dxfId="3858" priority="47">
      <formula>B$9&gt;=20/24</formula>
    </cfRule>
    <cfRule type="expression" dxfId="3857" priority="48">
      <formula>AND(B$9&gt;=14/24,B$9&lt;20/24)</formula>
    </cfRule>
    <cfRule type="expression" dxfId="3856" priority="49">
      <formula>AND(B$9&gt;=8/24,B$9&lt;14/24)</formula>
    </cfRule>
    <cfRule type="expression" dxfId="3855" priority="50">
      <formula>B$9&lt;8/24</formula>
    </cfRule>
  </conditionalFormatting>
  <conditionalFormatting sqref="B44:L49">
    <cfRule type="expression" dxfId="3854" priority="43">
      <formula>B$9&gt;=20/24</formula>
    </cfRule>
    <cfRule type="expression" dxfId="3853" priority="44">
      <formula>AND(B$9&gt;=14/24,B$9&lt;20/24)</formula>
    </cfRule>
    <cfRule type="expression" dxfId="3852" priority="45">
      <formula>AND(B$9&gt;=8/24,B$9&lt;14/24)</formula>
    </cfRule>
    <cfRule type="expression" dxfId="3851" priority="46">
      <formula>B$9&lt;8/24</formula>
    </cfRule>
  </conditionalFormatting>
  <conditionalFormatting sqref="B44:L49">
    <cfRule type="expression" dxfId="3850" priority="42">
      <formula>B44&gt;$AG44</formula>
    </cfRule>
  </conditionalFormatting>
  <conditionalFormatting sqref="B16:J16">
    <cfRule type="expression" dxfId="3849" priority="38">
      <formula>B$9&gt;=20/24</formula>
    </cfRule>
    <cfRule type="expression" dxfId="3848" priority="39">
      <formula>AND(B$9&gt;=14/24,B$9&lt;20/24)</formula>
    </cfRule>
    <cfRule type="expression" dxfId="3847" priority="40">
      <formula>AND(B$9&gt;=8/24,B$9&lt;14/24)</formula>
    </cfRule>
    <cfRule type="expression" dxfId="3846" priority="41">
      <formula>B$9&lt;8/24</formula>
    </cfRule>
  </conditionalFormatting>
  <conditionalFormatting sqref="B16:J16">
    <cfRule type="expression" dxfId="3845" priority="37">
      <formula>B16&gt;$AG16</formula>
    </cfRule>
  </conditionalFormatting>
  <conditionalFormatting sqref="B35:L35">
    <cfRule type="expression" dxfId="3844" priority="25">
      <formula>B$9&gt;=20/24</formula>
    </cfRule>
    <cfRule type="expression" dxfId="3843" priority="26">
      <formula>AND(B$9&gt;=14/24,B$9&lt;20/24)</formula>
    </cfRule>
    <cfRule type="expression" dxfId="3842" priority="27">
      <formula>AND(B$9&gt;=8/24,B$9&lt;14/24)</formula>
    </cfRule>
    <cfRule type="expression" dxfId="3841" priority="28">
      <formula>B$9&lt;8/24</formula>
    </cfRule>
  </conditionalFormatting>
  <conditionalFormatting sqref="B18:L22 B24:L32 B34:L35">
    <cfRule type="expression" dxfId="3840" priority="24">
      <formula>B18&gt;$AG18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7" id="{88700708-2981-4CED-8516-4D2FEB638C7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37" activePane="bottomRight" state="frozen"/>
      <selection activeCell="AF88" sqref="AF88"/>
      <selection pane="topRight" activeCell="AF88" sqref="AF88"/>
      <selection pane="bottomLeft" activeCell="AF88" sqref="AF88"/>
      <selection pane="bottomRight" activeCell="F9" sqref="F9:F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2079/02/12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147</v>
      </c>
      <c r="C5" s="32">
        <f t="shared" si="0"/>
        <v>149.4</v>
      </c>
      <c r="D5" s="32">
        <f t="shared" si="0"/>
        <v>160.1</v>
      </c>
      <c r="E5" s="32">
        <f t="shared" si="0"/>
        <v>125.9</v>
      </c>
      <c r="F5" s="32">
        <f t="shared" si="0"/>
        <v>139</v>
      </c>
      <c r="G5" s="32">
        <f t="shared" si="0"/>
        <v>155.69999999999999</v>
      </c>
      <c r="H5" s="32">
        <f t="shared" si="0"/>
        <v>192</v>
      </c>
      <c r="I5" s="32">
        <f t="shared" si="0"/>
        <v>189</v>
      </c>
      <c r="J5" s="32">
        <f t="shared" si="0"/>
        <v>201.1</v>
      </c>
      <c r="K5" s="32">
        <f t="shared" si="0"/>
        <v>259</v>
      </c>
      <c r="L5" s="32">
        <f t="shared" si="0"/>
        <v>251.1</v>
      </c>
      <c r="M5" s="32">
        <f t="shared" si="0"/>
        <v>267</v>
      </c>
      <c r="N5" s="32">
        <f t="shared" si="0"/>
        <v>263.7</v>
      </c>
      <c r="O5" s="32">
        <f t="shared" si="0"/>
        <v>288.5</v>
      </c>
      <c r="P5" s="32">
        <f t="shared" si="0"/>
        <v>262.60000000000002</v>
      </c>
      <c r="Q5" s="32">
        <f t="shared" si="0"/>
        <v>311.10000000000002</v>
      </c>
      <c r="R5" s="32">
        <f t="shared" si="0"/>
        <v>313.60000000000002</v>
      </c>
      <c r="S5" s="32">
        <f t="shared" si="0"/>
        <v>298.60000000000002</v>
      </c>
      <c r="T5" s="32">
        <f t="shared" si="0"/>
        <v>289.10000000000002</v>
      </c>
      <c r="U5" s="32">
        <f t="shared" si="0"/>
        <v>284</v>
      </c>
      <c r="V5" s="32">
        <f t="shared" si="0"/>
        <v>283.3</v>
      </c>
      <c r="W5" s="32">
        <f t="shared" si="0"/>
        <v>296.3</v>
      </c>
      <c r="X5" s="32">
        <f t="shared" si="0"/>
        <v>267</v>
      </c>
      <c r="Y5" s="32">
        <f t="shared" si="0"/>
        <v>111.8</v>
      </c>
      <c r="Z5" s="32">
        <f t="shared" si="0"/>
        <v>144.5</v>
      </c>
      <c r="AA5" s="32">
        <f t="shared" si="0"/>
        <v>143.4</v>
      </c>
      <c r="AB5" s="32">
        <f t="shared" si="0"/>
        <v>143.30000000000001</v>
      </c>
      <c r="AC5" s="32">
        <f t="shared" si="0"/>
        <v>148.20000000000002</v>
      </c>
      <c r="AD5" s="32">
        <f t="shared" si="0"/>
        <v>143</v>
      </c>
      <c r="AE5" s="32">
        <f t="shared" si="0"/>
        <v>156.70000000000002</v>
      </c>
      <c r="AF5" s="32">
        <f>B68</f>
        <v>50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1363MW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Load=1157</v>
      </c>
      <c r="B7" s="37">
        <f>B75</f>
        <v>1228.8400000000001</v>
      </c>
      <c r="C7" s="37">
        <f t="shared" ref="C7:AF7" si="1">C75</f>
        <v>1220.24</v>
      </c>
      <c r="D7" s="37">
        <f t="shared" si="1"/>
        <v>1206.1399999999999</v>
      </c>
      <c r="E7" s="37">
        <f t="shared" si="1"/>
        <v>1199.8399999999999</v>
      </c>
      <c r="F7" s="37">
        <f t="shared" si="1"/>
        <v>1164.6399999999999</v>
      </c>
      <c r="G7" s="37">
        <f t="shared" si="1"/>
        <v>1156.74</v>
      </c>
      <c r="H7" s="37">
        <f t="shared" si="1"/>
        <v>1175.24</v>
      </c>
      <c r="I7" s="37">
        <f t="shared" si="1"/>
        <v>1218.54</v>
      </c>
      <c r="J7" s="37">
        <f t="shared" si="1"/>
        <v>1240.54</v>
      </c>
      <c r="K7" s="37">
        <f t="shared" si="1"/>
        <v>1280.8399999999999</v>
      </c>
      <c r="L7" s="37">
        <f t="shared" si="1"/>
        <v>1347.6399999999999</v>
      </c>
      <c r="M7" s="37">
        <f t="shared" si="1"/>
        <v>1363.2400000000002</v>
      </c>
      <c r="N7" s="37">
        <f t="shared" si="1"/>
        <v>1358.54</v>
      </c>
      <c r="O7" s="37">
        <f t="shared" si="1"/>
        <v>1431.3400000000001</v>
      </c>
      <c r="P7" s="37">
        <f t="shared" si="1"/>
        <v>1453.1399999999999</v>
      </c>
      <c r="Q7" s="37">
        <f t="shared" si="1"/>
        <v>1442.1399999999999</v>
      </c>
      <c r="R7" s="37">
        <f t="shared" si="1"/>
        <v>1497.14</v>
      </c>
      <c r="S7" s="37">
        <f t="shared" si="1"/>
        <v>1482.04</v>
      </c>
      <c r="T7" s="37">
        <f t="shared" si="1"/>
        <v>1418.94</v>
      </c>
      <c r="U7" s="37">
        <f t="shared" si="1"/>
        <v>1424.54</v>
      </c>
      <c r="V7" s="37">
        <f t="shared" si="1"/>
        <v>1367.44</v>
      </c>
      <c r="W7" s="37">
        <f t="shared" si="1"/>
        <v>1347.1399999999999</v>
      </c>
      <c r="X7" s="37">
        <f t="shared" si="1"/>
        <v>1336.44</v>
      </c>
      <c r="Y7" s="37">
        <f t="shared" si="1"/>
        <v>1377.24</v>
      </c>
      <c r="Z7" s="37">
        <f t="shared" si="1"/>
        <v>1437.2400000000002</v>
      </c>
      <c r="AA7" s="37">
        <f t="shared" si="1"/>
        <v>1555.94</v>
      </c>
      <c r="AB7" s="37">
        <f t="shared" si="1"/>
        <v>1531.44</v>
      </c>
      <c r="AC7" s="37">
        <f t="shared" si="1"/>
        <v>1506.44</v>
      </c>
      <c r="AD7" s="37">
        <f t="shared" si="1"/>
        <v>1484.94</v>
      </c>
      <c r="AE7" s="37">
        <f t="shared" si="1"/>
        <v>1399.74</v>
      </c>
      <c r="AF7" s="37">
        <f t="shared" si="1"/>
        <v>1377.04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220</v>
      </c>
      <c r="C11" s="50">
        <v>120</v>
      </c>
      <c r="D11" s="50">
        <v>120</v>
      </c>
      <c r="E11" s="50">
        <v>120</v>
      </c>
      <c r="F11" s="51">
        <v>120</v>
      </c>
      <c r="G11" s="51">
        <v>100</v>
      </c>
      <c r="H11" s="51">
        <v>90</v>
      </c>
      <c r="I11" s="51">
        <v>90</v>
      </c>
      <c r="J11" s="52">
        <v>120</v>
      </c>
      <c r="K11" s="52">
        <v>140</v>
      </c>
      <c r="L11" s="52">
        <v>130</v>
      </c>
      <c r="M11" s="51">
        <v>130</v>
      </c>
      <c r="N11" s="51">
        <v>132</v>
      </c>
      <c r="O11" s="51">
        <v>195</v>
      </c>
      <c r="P11" s="51">
        <v>175</v>
      </c>
      <c r="Q11" s="51">
        <v>200</v>
      </c>
      <c r="R11" s="51">
        <v>195</v>
      </c>
      <c r="S11" s="51">
        <v>184</v>
      </c>
      <c r="T11" s="51">
        <v>162</v>
      </c>
      <c r="U11" s="51">
        <v>165</v>
      </c>
      <c r="V11" s="51">
        <v>120</v>
      </c>
      <c r="W11" s="51">
        <v>90</v>
      </c>
      <c r="X11" s="51">
        <v>55</v>
      </c>
      <c r="Y11" s="49">
        <v>100</v>
      </c>
      <c r="Z11" s="49">
        <v>280</v>
      </c>
      <c r="AA11" s="49">
        <v>330</v>
      </c>
      <c r="AB11" s="49">
        <v>330</v>
      </c>
      <c r="AC11" s="49">
        <v>330</v>
      </c>
      <c r="AD11" s="49">
        <v>340</v>
      </c>
      <c r="AE11" s="49">
        <v>260</v>
      </c>
      <c r="AF11" s="49">
        <v>260</v>
      </c>
      <c r="AG11" s="53">
        <v>456</v>
      </c>
      <c r="AH11" s="54">
        <f>MAX(B11:AF11)</f>
        <v>340</v>
      </c>
      <c r="AI11" s="55">
        <f>MIN(B11:AF11)</f>
        <v>55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46</v>
      </c>
      <c r="C12" s="51">
        <v>50</v>
      </c>
      <c r="D12" s="51">
        <v>59</v>
      </c>
      <c r="E12" s="51">
        <v>52</v>
      </c>
      <c r="F12" s="51">
        <v>51</v>
      </c>
      <c r="G12" s="51">
        <v>50</v>
      </c>
      <c r="H12" s="51">
        <v>49</v>
      </c>
      <c r="I12" s="51">
        <v>48</v>
      </c>
      <c r="J12" s="51">
        <v>48</v>
      </c>
      <c r="K12" s="51">
        <v>47</v>
      </c>
      <c r="L12" s="51">
        <v>47</v>
      </c>
      <c r="M12" s="51">
        <v>44</v>
      </c>
      <c r="N12" s="51">
        <v>44</v>
      </c>
      <c r="O12" s="51">
        <v>44</v>
      </c>
      <c r="P12" s="51">
        <v>44</v>
      </c>
      <c r="Q12" s="51">
        <v>44</v>
      </c>
      <c r="R12" s="51">
        <v>44</v>
      </c>
      <c r="S12" s="51">
        <v>35</v>
      </c>
      <c r="T12" s="51">
        <v>35</v>
      </c>
      <c r="U12" s="51">
        <v>35</v>
      </c>
      <c r="V12" s="51">
        <v>28</v>
      </c>
      <c r="W12" s="51">
        <v>28</v>
      </c>
      <c r="X12" s="51">
        <v>28</v>
      </c>
      <c r="Y12" s="51">
        <v>42</v>
      </c>
      <c r="Z12" s="51">
        <v>42</v>
      </c>
      <c r="AA12" s="51">
        <v>44</v>
      </c>
      <c r="AB12" s="51">
        <v>44</v>
      </c>
      <c r="AC12" s="51">
        <v>44</v>
      </c>
      <c r="AD12" s="51">
        <v>44</v>
      </c>
      <c r="AE12" s="51">
        <v>44</v>
      </c>
      <c r="AF12" s="51">
        <v>44</v>
      </c>
      <c r="AG12" s="58">
        <v>60</v>
      </c>
      <c r="AH12" s="54">
        <f t="shared" ref="AH12:AH75" si="2">MAX(B12:AF12)</f>
        <v>59</v>
      </c>
      <c r="AI12" s="55">
        <f t="shared" ref="AI12:AI75" si="3">MIN(B12:AF12)</f>
        <v>28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24.4</v>
      </c>
      <c r="C13" s="51">
        <v>23.7</v>
      </c>
      <c r="D13" s="51">
        <v>23.7</v>
      </c>
      <c r="E13" s="51">
        <v>23.7</v>
      </c>
      <c r="F13" s="51">
        <v>23.7</v>
      </c>
      <c r="G13" s="51">
        <v>23.7</v>
      </c>
      <c r="H13" s="51">
        <v>23.7</v>
      </c>
      <c r="I13" s="51">
        <v>23.7</v>
      </c>
      <c r="J13" s="51">
        <v>23.7</v>
      </c>
      <c r="K13" s="51">
        <v>23.7</v>
      </c>
      <c r="L13" s="51">
        <v>23.7</v>
      </c>
      <c r="M13" s="51">
        <v>20.100000000000001</v>
      </c>
      <c r="N13" s="51">
        <v>19</v>
      </c>
      <c r="O13" s="51">
        <v>20.9</v>
      </c>
      <c r="P13" s="51">
        <v>19.5</v>
      </c>
      <c r="Q13" s="51">
        <v>19.399999999999999</v>
      </c>
      <c r="R13" s="51">
        <v>20.6</v>
      </c>
      <c r="S13" s="51">
        <v>19.100000000000001</v>
      </c>
      <c r="T13" s="51">
        <v>18.5</v>
      </c>
      <c r="U13" s="51">
        <v>18.5</v>
      </c>
      <c r="V13" s="51">
        <v>18.5</v>
      </c>
      <c r="W13" s="51">
        <v>18.5</v>
      </c>
      <c r="X13" s="51">
        <v>18.5</v>
      </c>
      <c r="Y13" s="51">
        <v>19</v>
      </c>
      <c r="Z13" s="51">
        <v>19</v>
      </c>
      <c r="AA13" s="51">
        <v>19.899999999999999</v>
      </c>
      <c r="AB13" s="51">
        <v>19.899999999999999</v>
      </c>
      <c r="AC13" s="51">
        <v>19.899999999999999</v>
      </c>
      <c r="AD13" s="51">
        <v>19.899999999999999</v>
      </c>
      <c r="AE13" s="51">
        <v>19.899999999999999</v>
      </c>
      <c r="AF13" s="51">
        <v>19.899999999999999</v>
      </c>
      <c r="AG13" s="58">
        <v>52.4</v>
      </c>
      <c r="AH13" s="54">
        <f t="shared" si="2"/>
        <v>24.4</v>
      </c>
      <c r="AI13" s="55">
        <f t="shared" si="3"/>
        <v>18.5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50.2</v>
      </c>
      <c r="C14" s="51">
        <v>50.2</v>
      </c>
      <c r="D14" s="51">
        <v>50.2</v>
      </c>
      <c r="E14" s="51">
        <v>50.2</v>
      </c>
      <c r="F14" s="51">
        <v>50.2</v>
      </c>
      <c r="G14" s="51">
        <v>50.2</v>
      </c>
      <c r="H14" s="51">
        <v>50.2</v>
      </c>
      <c r="I14" s="51">
        <v>50.2</v>
      </c>
      <c r="J14" s="51">
        <v>50.2</v>
      </c>
      <c r="K14" s="51">
        <v>50.2</v>
      </c>
      <c r="L14" s="51">
        <v>50.2</v>
      </c>
      <c r="M14" s="51">
        <v>50.5</v>
      </c>
      <c r="N14" s="51">
        <v>50.4</v>
      </c>
      <c r="O14" s="51">
        <v>50.6</v>
      </c>
      <c r="P14" s="51">
        <v>50.4</v>
      </c>
      <c r="Q14" s="51">
        <v>50.4</v>
      </c>
      <c r="R14" s="51">
        <v>49.8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8">
        <v>50</v>
      </c>
      <c r="AH14" s="54">
        <f t="shared" si="2"/>
        <v>50.6</v>
      </c>
      <c r="AI14" s="55">
        <f t="shared" si="3"/>
        <v>49.8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24.2</v>
      </c>
      <c r="C15" s="51">
        <v>24.2</v>
      </c>
      <c r="D15" s="51">
        <v>24.2</v>
      </c>
      <c r="E15" s="51">
        <v>24.2</v>
      </c>
      <c r="F15" s="51">
        <v>24.2</v>
      </c>
      <c r="G15" s="51">
        <v>24.2</v>
      </c>
      <c r="H15" s="51">
        <v>24.2</v>
      </c>
      <c r="I15" s="51">
        <v>24.2</v>
      </c>
      <c r="J15" s="51">
        <v>24.2</v>
      </c>
      <c r="K15" s="51">
        <v>24.2</v>
      </c>
      <c r="L15" s="51">
        <v>24.2</v>
      </c>
      <c r="M15" s="51">
        <v>23.9</v>
      </c>
      <c r="N15" s="51">
        <v>24</v>
      </c>
      <c r="O15" s="51">
        <v>24</v>
      </c>
      <c r="P15" s="51">
        <v>24</v>
      </c>
      <c r="Q15" s="51">
        <v>24</v>
      </c>
      <c r="R15" s="51">
        <v>23.4</v>
      </c>
      <c r="S15" s="51">
        <v>23.6</v>
      </c>
      <c r="T15" s="51">
        <v>23.6</v>
      </c>
      <c r="U15" s="51">
        <v>23.6</v>
      </c>
      <c r="V15" s="51">
        <v>23.6</v>
      </c>
      <c r="W15" s="51">
        <v>23.6</v>
      </c>
      <c r="X15" s="51">
        <v>23.6</v>
      </c>
      <c r="Y15" s="51">
        <v>23.6</v>
      </c>
      <c r="Z15" s="51">
        <v>23.6</v>
      </c>
      <c r="AA15" s="51">
        <v>23.9</v>
      </c>
      <c r="AB15" s="51">
        <v>23.9</v>
      </c>
      <c r="AC15" s="51">
        <v>23.9</v>
      </c>
      <c r="AD15" s="51">
        <v>23.9</v>
      </c>
      <c r="AE15" s="51">
        <v>23.9</v>
      </c>
      <c r="AF15" s="51">
        <v>23.9</v>
      </c>
      <c r="AG15" s="59">
        <v>45</v>
      </c>
      <c r="AH15" s="54">
        <f t="shared" si="2"/>
        <v>24.2</v>
      </c>
      <c r="AI15" s="55">
        <f t="shared" si="3"/>
        <v>23.4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35</v>
      </c>
      <c r="C16" s="51">
        <v>35</v>
      </c>
      <c r="D16" s="51">
        <v>35</v>
      </c>
      <c r="E16" s="51">
        <v>35</v>
      </c>
      <c r="F16" s="51">
        <v>35</v>
      </c>
      <c r="G16" s="51">
        <v>35</v>
      </c>
      <c r="H16" s="51">
        <v>35</v>
      </c>
      <c r="I16" s="51">
        <v>38</v>
      </c>
      <c r="J16" s="51">
        <v>38</v>
      </c>
      <c r="K16" s="51">
        <v>38</v>
      </c>
      <c r="L16" s="51">
        <v>37</v>
      </c>
      <c r="M16" s="51">
        <v>35</v>
      </c>
      <c r="N16" s="51">
        <v>26</v>
      </c>
      <c r="O16" s="51">
        <v>26</v>
      </c>
      <c r="P16" s="51">
        <v>26</v>
      </c>
      <c r="Q16" s="51">
        <v>26</v>
      </c>
      <c r="R16" s="51">
        <v>26</v>
      </c>
      <c r="S16" s="51">
        <v>26</v>
      </c>
      <c r="T16" s="51">
        <v>26</v>
      </c>
      <c r="U16" s="51">
        <v>26</v>
      </c>
      <c r="V16" s="51">
        <v>26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8">
        <v>45</v>
      </c>
      <c r="AH16" s="54">
        <f t="shared" si="2"/>
        <v>40</v>
      </c>
      <c r="AI16" s="55">
        <f t="shared" si="3"/>
        <v>26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>
        <v>13</v>
      </c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21.2</v>
      </c>
      <c r="C19" s="51">
        <v>21.2</v>
      </c>
      <c r="D19" s="51">
        <v>21.2</v>
      </c>
      <c r="E19" s="51">
        <v>21.2</v>
      </c>
      <c r="F19" s="51">
        <v>21.2</v>
      </c>
      <c r="G19" s="51">
        <v>21.2</v>
      </c>
      <c r="H19" s="51">
        <v>21.2</v>
      </c>
      <c r="I19" s="51">
        <v>21.2</v>
      </c>
      <c r="J19" s="51">
        <v>21.2</v>
      </c>
      <c r="K19" s="51">
        <v>21.2</v>
      </c>
      <c r="L19" s="51">
        <v>21.2</v>
      </c>
      <c r="M19" s="51">
        <v>21.2</v>
      </c>
      <c r="N19" s="51">
        <v>21.2</v>
      </c>
      <c r="O19" s="51">
        <v>21.2</v>
      </c>
      <c r="P19" s="51">
        <v>21.2</v>
      </c>
      <c r="Q19" s="51">
        <v>21.2</v>
      </c>
      <c r="R19" s="51">
        <v>21.2</v>
      </c>
      <c r="S19" s="51">
        <v>21.2</v>
      </c>
      <c r="T19" s="51">
        <v>21.2</v>
      </c>
      <c r="U19" s="51">
        <v>21.2</v>
      </c>
      <c r="V19" s="51">
        <v>21.2</v>
      </c>
      <c r="W19" s="51">
        <v>21.2</v>
      </c>
      <c r="X19" s="51">
        <v>21.2</v>
      </c>
      <c r="Y19" s="51">
        <v>21.2</v>
      </c>
      <c r="Z19" s="51">
        <v>21.2</v>
      </c>
      <c r="AA19" s="51">
        <v>21.2</v>
      </c>
      <c r="AB19" s="51">
        <v>21.2</v>
      </c>
      <c r="AC19" s="51">
        <v>21.2</v>
      </c>
      <c r="AD19" s="51">
        <v>21.2</v>
      </c>
      <c r="AE19" s="51">
        <v>21.2</v>
      </c>
      <c r="AF19" s="51">
        <v>21.2</v>
      </c>
      <c r="AG19" s="58">
        <v>30</v>
      </c>
      <c r="AH19" s="54">
        <f t="shared" si="2"/>
        <v>21.2</v>
      </c>
      <c r="AI19" s="55">
        <f t="shared" si="3"/>
        <v>21.2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7.1</v>
      </c>
      <c r="C20" s="51">
        <v>7.1</v>
      </c>
      <c r="D20" s="51">
        <v>7.1</v>
      </c>
      <c r="E20" s="51">
        <v>7.1</v>
      </c>
      <c r="F20" s="51">
        <v>7.1</v>
      </c>
      <c r="G20" s="51">
        <v>7.1</v>
      </c>
      <c r="H20" s="51">
        <v>7.1</v>
      </c>
      <c r="I20" s="51">
        <v>7.1</v>
      </c>
      <c r="J20" s="51">
        <v>7.1</v>
      </c>
      <c r="K20" s="51">
        <v>7.1</v>
      </c>
      <c r="L20" s="51">
        <v>7.1</v>
      </c>
      <c r="M20" s="51">
        <v>7.1</v>
      </c>
      <c r="N20" s="51">
        <v>7.1</v>
      </c>
      <c r="O20" s="51">
        <v>7.1</v>
      </c>
      <c r="P20" s="51">
        <v>7.1</v>
      </c>
      <c r="Q20" s="51">
        <v>7.1</v>
      </c>
      <c r="R20" s="51">
        <v>7.1</v>
      </c>
      <c r="S20" s="51">
        <v>7.1</v>
      </c>
      <c r="T20" s="51">
        <v>7.1</v>
      </c>
      <c r="U20" s="51">
        <v>7.1</v>
      </c>
      <c r="V20" s="51">
        <v>7.1</v>
      </c>
      <c r="W20" s="51">
        <v>7.1</v>
      </c>
      <c r="X20" s="51">
        <v>7.1</v>
      </c>
      <c r="Y20" s="51">
        <v>7.1</v>
      </c>
      <c r="Z20" s="51">
        <v>7.1</v>
      </c>
      <c r="AA20" s="51">
        <v>7.1</v>
      </c>
      <c r="AB20" s="51">
        <v>7.1</v>
      </c>
      <c r="AC20" s="51">
        <v>7.1</v>
      </c>
      <c r="AD20" s="51">
        <v>7.1</v>
      </c>
      <c r="AE20" s="51">
        <v>7.1</v>
      </c>
      <c r="AF20" s="51">
        <v>7.1</v>
      </c>
      <c r="AG20" s="58">
        <v>27</v>
      </c>
      <c r="AH20" s="54">
        <f t="shared" si="2"/>
        <v>7.1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21.9</v>
      </c>
      <c r="C22" s="51">
        <v>21.9</v>
      </c>
      <c r="D22" s="51">
        <v>21.9</v>
      </c>
      <c r="E22" s="51">
        <v>21.9</v>
      </c>
      <c r="F22" s="51">
        <v>21.9</v>
      </c>
      <c r="G22" s="51">
        <v>21.9</v>
      </c>
      <c r="H22" s="51">
        <v>21.9</v>
      </c>
      <c r="I22" s="51">
        <v>21.9</v>
      </c>
      <c r="J22" s="51">
        <v>21.9</v>
      </c>
      <c r="K22" s="51">
        <v>21.9</v>
      </c>
      <c r="L22" s="51">
        <v>21.9</v>
      </c>
      <c r="M22" s="51">
        <v>21.9</v>
      </c>
      <c r="N22" s="51">
        <v>21.9</v>
      </c>
      <c r="O22" s="51">
        <v>21.9</v>
      </c>
      <c r="P22" s="51">
        <v>21.9</v>
      </c>
      <c r="Q22" s="51">
        <v>21.9</v>
      </c>
      <c r="R22" s="51">
        <v>21.9</v>
      </c>
      <c r="S22" s="51">
        <v>21.9</v>
      </c>
      <c r="T22" s="51">
        <v>21.9</v>
      </c>
      <c r="U22" s="51">
        <v>21.9</v>
      </c>
      <c r="V22" s="51">
        <v>21.9</v>
      </c>
      <c r="W22" s="51">
        <v>21.9</v>
      </c>
      <c r="X22" s="51">
        <v>21.9</v>
      </c>
      <c r="Y22" s="51">
        <v>21.9</v>
      </c>
      <c r="Z22" s="51">
        <v>21.9</v>
      </c>
      <c r="AA22" s="51">
        <v>21.9</v>
      </c>
      <c r="AB22" s="51">
        <v>21.9</v>
      </c>
      <c r="AC22" s="51">
        <v>21.9</v>
      </c>
      <c r="AD22" s="51">
        <v>21.9</v>
      </c>
      <c r="AE22" s="51">
        <v>21.9</v>
      </c>
      <c r="AF22" s="51">
        <v>21.9</v>
      </c>
      <c r="AG22" s="58">
        <v>25</v>
      </c>
      <c r="AH22" s="54">
        <f t="shared" si="2"/>
        <v>21.9</v>
      </c>
      <c r="AI22" s="55">
        <f t="shared" si="3"/>
        <v>21.9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14.9</v>
      </c>
      <c r="C24" s="51">
        <v>14.9</v>
      </c>
      <c r="D24" s="51">
        <v>14.9</v>
      </c>
      <c r="E24" s="51">
        <v>14.9</v>
      </c>
      <c r="F24" s="51">
        <v>14.9</v>
      </c>
      <c r="G24" s="51">
        <v>14.9</v>
      </c>
      <c r="H24" s="51">
        <v>14.9</v>
      </c>
      <c r="I24" s="51">
        <v>14.9</v>
      </c>
      <c r="J24" s="51">
        <v>14.9</v>
      </c>
      <c r="K24" s="51">
        <v>14.9</v>
      </c>
      <c r="L24" s="51">
        <v>14.9</v>
      </c>
      <c r="M24" s="51">
        <v>14.9</v>
      </c>
      <c r="N24" s="51">
        <v>14.9</v>
      </c>
      <c r="O24" s="51">
        <v>14.9</v>
      </c>
      <c r="P24" s="51">
        <v>14.9</v>
      </c>
      <c r="Q24" s="51">
        <v>14.9</v>
      </c>
      <c r="R24" s="51">
        <v>14.9</v>
      </c>
      <c r="S24" s="51">
        <v>14.9</v>
      </c>
      <c r="T24" s="51">
        <v>14.9</v>
      </c>
      <c r="U24" s="51">
        <v>14.9</v>
      </c>
      <c r="V24" s="51">
        <v>14.9</v>
      </c>
      <c r="W24" s="51">
        <v>14.9</v>
      </c>
      <c r="X24" s="51">
        <v>14.9</v>
      </c>
      <c r="Y24" s="51">
        <v>14.9</v>
      </c>
      <c r="Z24" s="51">
        <v>14.9</v>
      </c>
      <c r="AA24" s="51">
        <v>14.9</v>
      </c>
      <c r="AB24" s="51">
        <v>14.9</v>
      </c>
      <c r="AC24" s="51">
        <v>14.9</v>
      </c>
      <c r="AD24" s="51">
        <v>14.9</v>
      </c>
      <c r="AE24" s="51">
        <v>14.9</v>
      </c>
      <c r="AF24" s="51">
        <v>14.9</v>
      </c>
      <c r="AG24" s="58">
        <v>25</v>
      </c>
      <c r="AH24" s="54">
        <f t="shared" si="2"/>
        <v>14.9</v>
      </c>
      <c r="AI24" s="55">
        <f t="shared" si="3"/>
        <v>14.9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11</v>
      </c>
      <c r="C30" s="51">
        <v>11</v>
      </c>
      <c r="D30" s="51">
        <v>11</v>
      </c>
      <c r="E30" s="51">
        <v>11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>
        <v>11</v>
      </c>
      <c r="AB30" s="51">
        <v>11</v>
      </c>
      <c r="AC30" s="51">
        <v>11</v>
      </c>
      <c r="AD30" s="51">
        <v>11</v>
      </c>
      <c r="AE30" s="51">
        <v>11</v>
      </c>
      <c r="AF30" s="51">
        <v>11</v>
      </c>
      <c r="AG30" s="58">
        <v>22.1</v>
      </c>
      <c r="AH30" s="54">
        <f t="shared" si="2"/>
        <v>11</v>
      </c>
      <c r="AI30" s="55">
        <f t="shared" si="3"/>
        <v>11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>
        <v>6.6</v>
      </c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6.6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6</v>
      </c>
      <c r="C34" s="51">
        <v>6</v>
      </c>
      <c r="D34" s="51">
        <v>6</v>
      </c>
      <c r="E34" s="51">
        <v>6</v>
      </c>
      <c r="F34" s="51">
        <v>6</v>
      </c>
      <c r="G34" s="51">
        <v>6</v>
      </c>
      <c r="H34" s="51">
        <v>6</v>
      </c>
      <c r="I34" s="51">
        <v>6</v>
      </c>
      <c r="J34" s="51">
        <v>6</v>
      </c>
      <c r="K34" s="51">
        <v>6</v>
      </c>
      <c r="L34" s="51">
        <v>6</v>
      </c>
      <c r="M34" s="51">
        <v>6</v>
      </c>
      <c r="N34" s="51">
        <v>6</v>
      </c>
      <c r="O34" s="51">
        <v>6</v>
      </c>
      <c r="P34" s="51">
        <v>6</v>
      </c>
      <c r="Q34" s="51">
        <v>6</v>
      </c>
      <c r="R34" s="51">
        <v>6</v>
      </c>
      <c r="S34" s="51">
        <v>6</v>
      </c>
      <c r="T34" s="51">
        <v>6</v>
      </c>
      <c r="U34" s="51">
        <v>6</v>
      </c>
      <c r="V34" s="51">
        <v>6</v>
      </c>
      <c r="W34" s="51">
        <v>6</v>
      </c>
      <c r="X34" s="51">
        <v>6</v>
      </c>
      <c r="Y34" s="51">
        <v>6</v>
      </c>
      <c r="Z34" s="51">
        <v>6</v>
      </c>
      <c r="AA34" s="51">
        <v>6</v>
      </c>
      <c r="AB34" s="51">
        <v>6</v>
      </c>
      <c r="AC34" s="51">
        <v>6</v>
      </c>
      <c r="AD34" s="51">
        <v>6</v>
      </c>
      <c r="AE34" s="51">
        <v>6</v>
      </c>
      <c r="AF34" s="51">
        <v>6</v>
      </c>
      <c r="AG34" s="63">
        <v>20</v>
      </c>
      <c r="AH34" s="54">
        <f t="shared" si="2"/>
        <v>6</v>
      </c>
      <c r="AI34" s="55">
        <f t="shared" si="3"/>
        <v>6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83</v>
      </c>
      <c r="C37" s="67">
        <v>85</v>
      </c>
      <c r="D37" s="65">
        <f>51.5+37.6</f>
        <v>89.1</v>
      </c>
      <c r="E37" s="65">
        <f>52.6+38.4</f>
        <v>91</v>
      </c>
      <c r="F37" s="65">
        <f>52.7+37.9</f>
        <v>90.6</v>
      </c>
      <c r="G37" s="65">
        <f t="shared" ref="G37" si="4">52.7+37.9</f>
        <v>90.6</v>
      </c>
      <c r="H37" s="65">
        <f>49.5+42.6</f>
        <v>92.1</v>
      </c>
      <c r="I37" s="65">
        <f>48.8+42.3</f>
        <v>91.1</v>
      </c>
      <c r="J37" s="65">
        <f>49.6+38.2</f>
        <v>87.800000000000011</v>
      </c>
      <c r="K37" s="65">
        <v>88</v>
      </c>
      <c r="L37" s="65">
        <v>88</v>
      </c>
      <c r="M37" s="65">
        <v>85.6</v>
      </c>
      <c r="N37" s="65">
        <v>87.8</v>
      </c>
      <c r="O37" s="65">
        <v>87.7</v>
      </c>
      <c r="P37" s="65">
        <v>85.4</v>
      </c>
      <c r="Q37" s="65">
        <v>81.400000000000006</v>
      </c>
      <c r="R37" s="65">
        <v>79.2</v>
      </c>
      <c r="S37" s="65">
        <v>79.2</v>
      </c>
      <c r="T37" s="65">
        <f>46.3+52.3</f>
        <v>98.6</v>
      </c>
      <c r="U37" s="65">
        <f>46.3+52.3</f>
        <v>98.6</v>
      </c>
      <c r="V37" s="65">
        <f>46.3+52.3</f>
        <v>98.6</v>
      </c>
      <c r="W37" s="65">
        <f>46.3+52.3</f>
        <v>98.6</v>
      </c>
      <c r="X37" s="65">
        <f>47.9+63.2</f>
        <v>111.1</v>
      </c>
      <c r="Y37" s="65">
        <v>113</v>
      </c>
      <c r="Z37" s="65">
        <v>113</v>
      </c>
      <c r="AA37" s="67">
        <v>113.9</v>
      </c>
      <c r="AB37" s="67">
        <v>113.9</v>
      </c>
      <c r="AC37" s="67">
        <v>113.9</v>
      </c>
      <c r="AD37" s="67">
        <v>111.7</v>
      </c>
      <c r="AE37" s="67">
        <v>114.6</v>
      </c>
      <c r="AF37" s="67">
        <v>114</v>
      </c>
      <c r="AG37" s="63">
        <v>240</v>
      </c>
      <c r="AH37" s="54">
        <f t="shared" si="2"/>
        <v>114.6</v>
      </c>
      <c r="AI37" s="55">
        <f t="shared" si="3"/>
        <v>79.2</v>
      </c>
      <c r="AK37" s="56"/>
    </row>
    <row r="38" spans="1:88" ht="15.75" thickBot="1" x14ac:dyDescent="0.3">
      <c r="A38" s="68" t="s">
        <v>46</v>
      </c>
      <c r="B38" s="69">
        <f t="shared" ref="B38:AF38" si="5">SUM(B11:B36)</f>
        <v>786</v>
      </c>
      <c r="C38" s="69">
        <f t="shared" si="5"/>
        <v>689.3</v>
      </c>
      <c r="D38" s="69">
        <f t="shared" si="5"/>
        <v>698.3</v>
      </c>
      <c r="E38" s="69">
        <f t="shared" si="5"/>
        <v>691.3</v>
      </c>
      <c r="F38" s="69">
        <f t="shared" si="5"/>
        <v>690.3</v>
      </c>
      <c r="G38" s="69">
        <f t="shared" si="5"/>
        <v>669.3</v>
      </c>
      <c r="H38" s="69">
        <f t="shared" si="5"/>
        <v>658.3</v>
      </c>
      <c r="I38" s="69">
        <f t="shared" si="5"/>
        <v>660.3</v>
      </c>
      <c r="J38" s="69">
        <f t="shared" si="5"/>
        <v>690.3</v>
      </c>
      <c r="K38" s="69">
        <f t="shared" si="5"/>
        <v>709.3</v>
      </c>
      <c r="L38" s="69">
        <f t="shared" si="5"/>
        <v>698.3</v>
      </c>
      <c r="M38" s="69">
        <f t="shared" si="5"/>
        <v>689.7</v>
      </c>
      <c r="N38" s="69">
        <f t="shared" si="5"/>
        <v>681.59999999999991</v>
      </c>
      <c r="O38" s="69">
        <f t="shared" si="5"/>
        <v>746.69999999999993</v>
      </c>
      <c r="P38" s="69">
        <f t="shared" si="5"/>
        <v>725.09999999999991</v>
      </c>
      <c r="Q38" s="69">
        <f t="shared" si="5"/>
        <v>749.99999999999989</v>
      </c>
      <c r="R38" s="69">
        <f t="shared" si="5"/>
        <v>745</v>
      </c>
      <c r="S38" s="69">
        <f t="shared" si="5"/>
        <v>724.4</v>
      </c>
      <c r="T38" s="69">
        <f t="shared" si="5"/>
        <v>701.8</v>
      </c>
      <c r="U38" s="69">
        <f t="shared" si="5"/>
        <v>704.8</v>
      </c>
      <c r="V38" s="69">
        <f t="shared" si="5"/>
        <v>652.79999999999995</v>
      </c>
      <c r="W38" s="69">
        <f t="shared" si="5"/>
        <v>636.79999999999995</v>
      </c>
      <c r="X38" s="69">
        <f t="shared" si="5"/>
        <v>601.79999999999995</v>
      </c>
      <c r="Y38" s="69">
        <f t="shared" si="5"/>
        <v>661.3</v>
      </c>
      <c r="Z38" s="69">
        <f t="shared" si="5"/>
        <v>841.30000000000007</v>
      </c>
      <c r="AA38" s="69">
        <f t="shared" si="5"/>
        <v>894.4</v>
      </c>
      <c r="AB38" s="69">
        <f t="shared" si="5"/>
        <v>894.4</v>
      </c>
      <c r="AC38" s="69">
        <f t="shared" si="5"/>
        <v>894.4</v>
      </c>
      <c r="AD38" s="69">
        <f t="shared" si="5"/>
        <v>904.4</v>
      </c>
      <c r="AE38" s="69">
        <f t="shared" si="5"/>
        <v>824.4</v>
      </c>
      <c r="AF38" s="69">
        <f t="shared" si="5"/>
        <v>824.4</v>
      </c>
      <c r="AG38" s="63">
        <f>SUM(AG11:AG37)</f>
        <v>1492.8299999999997</v>
      </c>
      <c r="AH38" s="54">
        <f t="shared" si="2"/>
        <v>904.4</v>
      </c>
      <c r="AI38" s="55">
        <f t="shared" si="3"/>
        <v>601.79999999999995</v>
      </c>
      <c r="AK38" s="56"/>
    </row>
    <row r="39" spans="1:88" x14ac:dyDescent="0.25">
      <c r="A39" s="57" t="s">
        <v>47</v>
      </c>
      <c r="B39" s="51">
        <v>145.6</v>
      </c>
      <c r="C39" s="51">
        <v>145.69999999999999</v>
      </c>
      <c r="D39" s="51">
        <v>145.69999999999999</v>
      </c>
      <c r="E39" s="51">
        <v>145.69999999999999</v>
      </c>
      <c r="F39" s="51">
        <v>145.69999999999999</v>
      </c>
      <c r="G39" s="51">
        <v>145.69999999999999</v>
      </c>
      <c r="H39" s="51">
        <v>145.69999999999999</v>
      </c>
      <c r="I39" s="51">
        <v>145.69999999999999</v>
      </c>
      <c r="J39" s="51">
        <v>145.69999999999999</v>
      </c>
      <c r="K39" s="51">
        <v>145.69999999999999</v>
      </c>
      <c r="L39" s="51">
        <v>135</v>
      </c>
      <c r="M39" s="51">
        <v>145.5</v>
      </c>
      <c r="N39" s="51">
        <v>145.4</v>
      </c>
      <c r="O39" s="51">
        <v>145.6</v>
      </c>
      <c r="P39" s="51">
        <v>145.5</v>
      </c>
      <c r="Q39" s="51">
        <v>145.6</v>
      </c>
      <c r="R39" s="51">
        <v>145.6</v>
      </c>
      <c r="S39" s="51">
        <v>142.9</v>
      </c>
      <c r="T39" s="51">
        <v>143</v>
      </c>
      <c r="U39" s="51">
        <v>125</v>
      </c>
      <c r="V39" s="51">
        <v>125</v>
      </c>
      <c r="W39" s="51">
        <v>138.69999999999999</v>
      </c>
      <c r="X39" s="51">
        <v>145.6</v>
      </c>
      <c r="Y39" s="51">
        <v>145</v>
      </c>
      <c r="Z39" s="51">
        <v>145</v>
      </c>
      <c r="AA39" s="51">
        <v>145.30000000000001</v>
      </c>
      <c r="AB39" s="51">
        <v>145.30000000000001</v>
      </c>
      <c r="AC39" s="51">
        <v>145.30000000000001</v>
      </c>
      <c r="AD39" s="51">
        <v>145.30000000000001</v>
      </c>
      <c r="AE39" s="51">
        <v>136.1</v>
      </c>
      <c r="AF39" s="51">
        <v>131.30000000000001</v>
      </c>
      <c r="AG39" s="59">
        <v>144</v>
      </c>
      <c r="AH39" s="54">
        <f t="shared" si="2"/>
        <v>145.69999999999999</v>
      </c>
      <c r="AI39" s="55">
        <f t="shared" si="3"/>
        <v>125</v>
      </c>
      <c r="AK39" s="56"/>
    </row>
    <row r="40" spans="1:88" x14ac:dyDescent="0.25">
      <c r="A40" s="62" t="s">
        <v>48</v>
      </c>
      <c r="B40" s="70">
        <v>60</v>
      </c>
      <c r="C40" s="70">
        <v>60</v>
      </c>
      <c r="D40" s="70">
        <v>60</v>
      </c>
      <c r="E40" s="70">
        <v>50</v>
      </c>
      <c r="F40" s="70">
        <v>50</v>
      </c>
      <c r="G40" s="70">
        <v>50</v>
      </c>
      <c r="H40" s="70">
        <v>52.5</v>
      </c>
      <c r="I40" s="70">
        <v>52</v>
      </c>
      <c r="J40" s="70">
        <v>47</v>
      </c>
      <c r="K40" s="70">
        <v>46.2</v>
      </c>
      <c r="L40" s="70">
        <v>59</v>
      </c>
      <c r="M40" s="51">
        <v>59.3</v>
      </c>
      <c r="N40" s="51">
        <v>50.9</v>
      </c>
      <c r="O40" s="51">
        <v>50</v>
      </c>
      <c r="P40" s="51">
        <v>59.6</v>
      </c>
      <c r="Q40" s="51">
        <v>70</v>
      </c>
      <c r="R40" s="51">
        <v>69.5</v>
      </c>
      <c r="S40" s="51">
        <v>59.4</v>
      </c>
      <c r="T40" s="51">
        <v>61.1</v>
      </c>
      <c r="U40" s="51">
        <v>61.1</v>
      </c>
      <c r="V40" s="51">
        <v>61.1</v>
      </c>
      <c r="W40" s="70">
        <v>44.7</v>
      </c>
      <c r="X40" s="70">
        <v>69</v>
      </c>
      <c r="Y40" s="70">
        <v>71</v>
      </c>
      <c r="Z40" s="70">
        <v>71</v>
      </c>
      <c r="AA40" s="70">
        <v>71.099999999999994</v>
      </c>
      <c r="AB40" s="70">
        <v>71.099999999999994</v>
      </c>
      <c r="AC40" s="70">
        <v>66.3</v>
      </c>
      <c r="AD40" s="70">
        <v>60.6</v>
      </c>
      <c r="AE40" s="70">
        <v>60.6</v>
      </c>
      <c r="AF40" s="70">
        <v>61.6</v>
      </c>
      <c r="AG40" s="63">
        <v>70</v>
      </c>
      <c r="AH40" s="54">
        <f t="shared" si="2"/>
        <v>71.099999999999994</v>
      </c>
      <c r="AI40" s="55">
        <f t="shared" si="3"/>
        <v>44.7</v>
      </c>
      <c r="AK40" s="56"/>
    </row>
    <row r="41" spans="1:88" x14ac:dyDescent="0.25">
      <c r="A41" s="62" t="s">
        <v>49</v>
      </c>
      <c r="B41" s="70">
        <v>65</v>
      </c>
      <c r="C41" s="70">
        <v>61</v>
      </c>
      <c r="D41" s="70">
        <v>45.5</v>
      </c>
      <c r="E41" s="70">
        <v>45.5</v>
      </c>
      <c r="F41" s="70">
        <v>45.5</v>
      </c>
      <c r="G41" s="70">
        <v>45.5</v>
      </c>
      <c r="H41" s="70">
        <v>45.5</v>
      </c>
      <c r="I41" s="70">
        <v>45.7</v>
      </c>
      <c r="J41" s="70">
        <v>45.7</v>
      </c>
      <c r="K41" s="70">
        <v>45.7</v>
      </c>
      <c r="L41" s="70">
        <v>63.5</v>
      </c>
      <c r="M41" s="51">
        <v>63.3</v>
      </c>
      <c r="N41" s="51">
        <v>53.8</v>
      </c>
      <c r="O41" s="51">
        <v>60.5</v>
      </c>
      <c r="P41" s="51">
        <v>60.3</v>
      </c>
      <c r="Q41" s="51">
        <v>60.3</v>
      </c>
      <c r="R41" s="51">
        <v>65.2</v>
      </c>
      <c r="S41" s="51">
        <v>55.1</v>
      </c>
      <c r="T41" s="51">
        <v>54.4</v>
      </c>
      <c r="U41" s="51">
        <v>54.4</v>
      </c>
      <c r="V41" s="51">
        <v>54.4</v>
      </c>
      <c r="W41" s="70">
        <v>51.2</v>
      </c>
      <c r="X41" s="70">
        <v>69</v>
      </c>
      <c r="Y41" s="70">
        <v>69</v>
      </c>
      <c r="Z41" s="70">
        <v>69</v>
      </c>
      <c r="AA41" s="70">
        <v>68.3</v>
      </c>
      <c r="AB41" s="70">
        <v>68.3</v>
      </c>
      <c r="AC41" s="70">
        <v>64.599999999999994</v>
      </c>
      <c r="AD41" s="70">
        <v>62</v>
      </c>
      <c r="AE41" s="70">
        <v>64.900000000000006</v>
      </c>
      <c r="AF41" s="70">
        <v>61.5</v>
      </c>
      <c r="AG41" s="63">
        <v>69</v>
      </c>
      <c r="AH41" s="54">
        <f t="shared" si="2"/>
        <v>69</v>
      </c>
      <c r="AI41" s="55">
        <f t="shared" si="3"/>
        <v>45.5</v>
      </c>
      <c r="AK41" s="56"/>
    </row>
    <row r="42" spans="1:88" x14ac:dyDescent="0.25">
      <c r="A42" s="62" t="s">
        <v>50</v>
      </c>
      <c r="B42" s="65">
        <v>60.7</v>
      </c>
      <c r="C42" s="65">
        <v>60.7</v>
      </c>
      <c r="D42" s="65">
        <v>60.7</v>
      </c>
      <c r="E42" s="65">
        <v>60.7</v>
      </c>
      <c r="F42" s="65">
        <v>60.7</v>
      </c>
      <c r="G42" s="65">
        <v>60.7</v>
      </c>
      <c r="H42" s="65">
        <v>60.7</v>
      </c>
      <c r="I42" s="65">
        <v>60.7</v>
      </c>
      <c r="J42" s="65">
        <v>60.7</v>
      </c>
      <c r="K42" s="65">
        <v>60.7</v>
      </c>
      <c r="L42" s="65">
        <v>60.7</v>
      </c>
      <c r="M42" s="51">
        <v>60.7</v>
      </c>
      <c r="N42" s="51">
        <v>60.9</v>
      </c>
      <c r="O42" s="51">
        <v>60.9</v>
      </c>
      <c r="P42" s="51">
        <v>60.9</v>
      </c>
      <c r="Q42" s="51">
        <v>60.9</v>
      </c>
      <c r="R42" s="51">
        <v>60.4</v>
      </c>
      <c r="S42" s="51">
        <v>60.4</v>
      </c>
      <c r="T42" s="51">
        <v>60.4</v>
      </c>
      <c r="U42" s="51">
        <v>60.4</v>
      </c>
      <c r="V42" s="51">
        <v>60.4</v>
      </c>
      <c r="W42" s="70">
        <v>59.7</v>
      </c>
      <c r="X42" s="70">
        <v>59.7</v>
      </c>
      <c r="Y42" s="70">
        <v>59.7</v>
      </c>
      <c r="Z42" s="70">
        <v>59.7</v>
      </c>
      <c r="AA42" s="70">
        <v>60.2</v>
      </c>
      <c r="AB42" s="70">
        <v>60.2</v>
      </c>
      <c r="AC42" s="70">
        <v>60.2</v>
      </c>
      <c r="AD42" s="70">
        <v>60.2</v>
      </c>
      <c r="AE42" s="70">
        <v>60.2</v>
      </c>
      <c r="AF42" s="70">
        <v>60.2</v>
      </c>
      <c r="AG42" s="63">
        <v>60</v>
      </c>
      <c r="AH42" s="54">
        <f t="shared" si="2"/>
        <v>60.9</v>
      </c>
      <c r="AI42" s="55">
        <f t="shared" si="3"/>
        <v>59.7</v>
      </c>
      <c r="AK42" s="56"/>
    </row>
    <row r="43" spans="1:88" x14ac:dyDescent="0.25">
      <c r="A43" s="62" t="s">
        <v>51</v>
      </c>
      <c r="B43" s="65">
        <v>15</v>
      </c>
      <c r="C43" s="65">
        <v>10</v>
      </c>
      <c r="D43" s="65">
        <v>0</v>
      </c>
      <c r="E43" s="65">
        <v>0</v>
      </c>
      <c r="F43" s="65">
        <v>0</v>
      </c>
      <c r="G43" s="65">
        <v>0</v>
      </c>
      <c r="H43" s="65">
        <v>10.3</v>
      </c>
      <c r="I43" s="65">
        <v>10</v>
      </c>
      <c r="J43" s="65">
        <v>10</v>
      </c>
      <c r="K43" s="65">
        <v>20</v>
      </c>
      <c r="L43" s="65">
        <v>20</v>
      </c>
      <c r="M43" s="51">
        <v>20</v>
      </c>
      <c r="N43" s="51">
        <v>23</v>
      </c>
      <c r="O43" s="51">
        <v>27</v>
      </c>
      <c r="P43" s="51">
        <v>28</v>
      </c>
      <c r="Q43" s="51">
        <v>15</v>
      </c>
      <c r="R43" s="51">
        <v>15</v>
      </c>
      <c r="S43" s="51">
        <v>15</v>
      </c>
      <c r="T43" s="51">
        <v>15</v>
      </c>
      <c r="U43" s="51">
        <v>15</v>
      </c>
      <c r="V43" s="51">
        <v>15</v>
      </c>
      <c r="W43" s="70">
        <v>10.8</v>
      </c>
      <c r="X43" s="70">
        <v>10.8</v>
      </c>
      <c r="Y43" s="70">
        <v>20</v>
      </c>
      <c r="Z43" s="70">
        <v>20</v>
      </c>
      <c r="AA43" s="70">
        <v>28.3</v>
      </c>
      <c r="AB43" s="70">
        <v>30</v>
      </c>
      <c r="AC43" s="70">
        <v>30</v>
      </c>
      <c r="AD43" s="70">
        <v>30</v>
      </c>
      <c r="AE43" s="70">
        <v>24.6</v>
      </c>
      <c r="AF43" s="70">
        <v>24.6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5</v>
      </c>
      <c r="N44" s="51">
        <v>7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16</v>
      </c>
      <c r="C45" s="70">
        <v>16</v>
      </c>
      <c r="D45" s="70">
        <v>16</v>
      </c>
      <c r="E45" s="70">
        <v>16</v>
      </c>
      <c r="F45" s="70">
        <v>16</v>
      </c>
      <c r="G45" s="70">
        <v>16</v>
      </c>
      <c r="H45" s="70">
        <v>16</v>
      </c>
      <c r="I45" s="70">
        <v>17.399999999999999</v>
      </c>
      <c r="J45" s="70">
        <v>17.399999999999999</v>
      </c>
      <c r="K45" s="70">
        <v>17.5</v>
      </c>
      <c r="L45" s="70">
        <v>17.5</v>
      </c>
      <c r="M45" s="70">
        <v>17.5</v>
      </c>
      <c r="N45" s="51">
        <v>17.8</v>
      </c>
      <c r="O45" s="51">
        <v>17.8</v>
      </c>
      <c r="P45" s="51">
        <v>17.8</v>
      </c>
      <c r="Q45" s="51">
        <v>17.8</v>
      </c>
      <c r="R45" s="51">
        <v>17.8</v>
      </c>
      <c r="S45" s="51">
        <v>17.8</v>
      </c>
      <c r="T45" s="51">
        <v>17.8</v>
      </c>
      <c r="U45" s="51">
        <v>17.8</v>
      </c>
      <c r="V45" s="51">
        <v>17.8</v>
      </c>
      <c r="W45" s="51">
        <v>17.8</v>
      </c>
      <c r="X45" s="51">
        <v>17.8</v>
      </c>
      <c r="Y45" s="51">
        <v>17.8</v>
      </c>
      <c r="Z45" s="51">
        <v>17.8</v>
      </c>
      <c r="AA45" s="51">
        <v>17.8</v>
      </c>
      <c r="AB45" s="51">
        <v>17.8</v>
      </c>
      <c r="AC45" s="51">
        <v>17.8</v>
      </c>
      <c r="AD45" s="51">
        <v>17.8</v>
      </c>
      <c r="AE45" s="51">
        <v>18.399999999999999</v>
      </c>
      <c r="AF45" s="51">
        <v>18.399999999999999</v>
      </c>
      <c r="AG45" s="63">
        <v>24</v>
      </c>
      <c r="AH45" s="54">
        <f t="shared" si="2"/>
        <v>18.399999999999999</v>
      </c>
      <c r="AI45" s="55">
        <f t="shared" si="3"/>
        <v>16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9.6</v>
      </c>
      <c r="C47" s="70">
        <v>9.6</v>
      </c>
      <c r="D47" s="70">
        <v>9.6</v>
      </c>
      <c r="E47" s="70">
        <v>9.6</v>
      </c>
      <c r="F47" s="70">
        <v>9.6</v>
      </c>
      <c r="G47" s="70">
        <v>9.6</v>
      </c>
      <c r="H47" s="70">
        <v>9.6</v>
      </c>
      <c r="I47" s="70">
        <v>13.8</v>
      </c>
      <c r="J47" s="70">
        <v>13.8</v>
      </c>
      <c r="K47" s="70">
        <v>13.6</v>
      </c>
      <c r="L47" s="70">
        <v>13.6</v>
      </c>
      <c r="M47" s="70">
        <v>13.6</v>
      </c>
      <c r="N47" s="70">
        <v>13.6</v>
      </c>
      <c r="O47" s="70">
        <v>13.6</v>
      </c>
      <c r="P47" s="70">
        <v>14.2</v>
      </c>
      <c r="Q47" s="70">
        <v>14.2</v>
      </c>
      <c r="R47" s="70">
        <v>14.2</v>
      </c>
      <c r="S47" s="70">
        <v>14.2</v>
      </c>
      <c r="T47" s="70">
        <v>14.2</v>
      </c>
      <c r="U47" s="70">
        <v>14.2</v>
      </c>
      <c r="V47" s="70">
        <v>14.2</v>
      </c>
      <c r="W47" s="51">
        <v>14.2</v>
      </c>
      <c r="X47" s="51">
        <v>14.2</v>
      </c>
      <c r="Y47" s="51">
        <v>14.2</v>
      </c>
      <c r="Z47" s="51">
        <v>14.2</v>
      </c>
      <c r="AA47" s="51">
        <v>14.2</v>
      </c>
      <c r="AB47" s="51">
        <v>14.2</v>
      </c>
      <c r="AC47" s="51">
        <v>14.2</v>
      </c>
      <c r="AD47" s="51">
        <v>14.2</v>
      </c>
      <c r="AE47" s="51">
        <v>14.2</v>
      </c>
      <c r="AF47" s="51">
        <v>14.2</v>
      </c>
      <c r="AG47" s="63">
        <v>14.1</v>
      </c>
      <c r="AH47" s="54">
        <f t="shared" si="2"/>
        <v>14.2</v>
      </c>
      <c r="AI47" s="55">
        <f t="shared" si="3"/>
        <v>9.6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8.9</v>
      </c>
      <c r="C48" s="70">
        <v>8.9</v>
      </c>
      <c r="D48" s="70">
        <v>8.9</v>
      </c>
      <c r="E48" s="70">
        <v>8.9</v>
      </c>
      <c r="F48" s="70">
        <v>8.9</v>
      </c>
      <c r="G48" s="70">
        <v>8.9</v>
      </c>
      <c r="H48" s="70">
        <v>8.9</v>
      </c>
      <c r="I48" s="70">
        <v>8.9</v>
      </c>
      <c r="J48" s="70">
        <v>8.9</v>
      </c>
      <c r="K48" s="70">
        <v>9</v>
      </c>
      <c r="L48" s="70">
        <v>9</v>
      </c>
      <c r="M48" s="70">
        <v>9</v>
      </c>
      <c r="N48" s="70">
        <v>9</v>
      </c>
      <c r="O48" s="70">
        <v>9</v>
      </c>
      <c r="P48" s="70">
        <v>9</v>
      </c>
      <c r="Q48" s="70">
        <v>9</v>
      </c>
      <c r="R48" s="70">
        <v>9</v>
      </c>
      <c r="S48" s="70">
        <v>9</v>
      </c>
      <c r="T48" s="70">
        <v>9</v>
      </c>
      <c r="U48" s="70">
        <v>9</v>
      </c>
      <c r="V48" s="70">
        <v>9</v>
      </c>
      <c r="W48" s="51">
        <v>9</v>
      </c>
      <c r="X48" s="51">
        <v>9</v>
      </c>
      <c r="Y48" s="51">
        <v>9</v>
      </c>
      <c r="Z48" s="51">
        <v>9</v>
      </c>
      <c r="AA48" s="51">
        <v>9</v>
      </c>
      <c r="AB48" s="51">
        <v>9</v>
      </c>
      <c r="AC48" s="51">
        <v>9</v>
      </c>
      <c r="AD48" s="51">
        <v>9</v>
      </c>
      <c r="AE48" s="51">
        <v>9</v>
      </c>
      <c r="AF48" s="51">
        <v>9</v>
      </c>
      <c r="AG48" s="63">
        <v>14</v>
      </c>
      <c r="AH48" s="54">
        <f t="shared" si="2"/>
        <v>9</v>
      </c>
      <c r="AI48" s="55">
        <f t="shared" si="3"/>
        <v>8.9</v>
      </c>
      <c r="AK48" s="56"/>
    </row>
    <row r="49" spans="1:37" x14ac:dyDescent="0.25">
      <c r="A49" s="62" t="s">
        <v>57</v>
      </c>
      <c r="B49" s="70">
        <v>8.5</v>
      </c>
      <c r="C49" s="70">
        <v>8.5</v>
      </c>
      <c r="D49" s="70">
        <v>8.5</v>
      </c>
      <c r="E49" s="70">
        <v>8.5</v>
      </c>
      <c r="F49" s="70">
        <v>8.5</v>
      </c>
      <c r="G49" s="70">
        <v>8.5</v>
      </c>
      <c r="H49" s="70">
        <v>8.5</v>
      </c>
      <c r="I49" s="70">
        <v>8.5</v>
      </c>
      <c r="J49" s="70">
        <v>8.5</v>
      </c>
      <c r="K49" s="70">
        <v>8.5</v>
      </c>
      <c r="L49" s="70">
        <v>8.5</v>
      </c>
      <c r="M49" s="70">
        <v>8.5</v>
      </c>
      <c r="N49" s="70">
        <v>8.5</v>
      </c>
      <c r="O49" s="70">
        <v>8.5</v>
      </c>
      <c r="P49" s="70">
        <v>8.5</v>
      </c>
      <c r="Q49" s="70">
        <v>8.5</v>
      </c>
      <c r="R49" s="70">
        <v>8.5</v>
      </c>
      <c r="S49" s="70">
        <v>8.5</v>
      </c>
      <c r="T49" s="70">
        <v>8.5</v>
      </c>
      <c r="U49" s="70">
        <v>8.5</v>
      </c>
      <c r="V49" s="70">
        <v>8.5</v>
      </c>
      <c r="W49" s="51">
        <v>8.5</v>
      </c>
      <c r="X49" s="51">
        <v>8.5</v>
      </c>
      <c r="Y49" s="51">
        <v>8.5</v>
      </c>
      <c r="Z49" s="51">
        <v>8.5</v>
      </c>
      <c r="AA49" s="51">
        <v>8.5</v>
      </c>
      <c r="AB49" s="51">
        <v>8.5</v>
      </c>
      <c r="AC49" s="51">
        <v>8.5</v>
      </c>
      <c r="AD49" s="51">
        <v>8.5</v>
      </c>
      <c r="AE49" s="51">
        <v>8.5</v>
      </c>
      <c r="AF49" s="51">
        <v>8.5</v>
      </c>
      <c r="AG49" s="63">
        <v>10.050000000000001</v>
      </c>
      <c r="AH49" s="54">
        <f t="shared" si="2"/>
        <v>8.5</v>
      </c>
      <c r="AI49" s="55">
        <f t="shared" si="3"/>
        <v>8.5</v>
      </c>
      <c r="AK49" s="56"/>
    </row>
    <row r="50" spans="1:37" x14ac:dyDescent="0.25">
      <c r="A50" s="62" t="s">
        <v>58</v>
      </c>
      <c r="B50" s="70">
        <v>0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0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7">SUM(B39:B51)</f>
        <v>392.84000000000003</v>
      </c>
      <c r="C52" s="69">
        <f t="shared" si="7"/>
        <v>383.94</v>
      </c>
      <c r="D52" s="69">
        <f t="shared" si="7"/>
        <v>358.44</v>
      </c>
      <c r="E52" s="69">
        <f t="shared" si="7"/>
        <v>348.44</v>
      </c>
      <c r="F52" s="69">
        <f t="shared" si="7"/>
        <v>348.44</v>
      </c>
      <c r="G52" s="69">
        <f t="shared" si="7"/>
        <v>348.44</v>
      </c>
      <c r="H52" s="69">
        <f t="shared" si="7"/>
        <v>361.24</v>
      </c>
      <c r="I52" s="69">
        <f t="shared" si="7"/>
        <v>366.23999999999995</v>
      </c>
      <c r="J52" s="69">
        <f t="shared" si="7"/>
        <v>361.23999999999995</v>
      </c>
      <c r="K52" s="69">
        <f t="shared" si="7"/>
        <v>370.44</v>
      </c>
      <c r="L52" s="69">
        <f t="shared" si="7"/>
        <v>390.34000000000003</v>
      </c>
      <c r="M52" s="69">
        <f t="shared" si="7"/>
        <v>405.94000000000005</v>
      </c>
      <c r="N52" s="69">
        <f t="shared" si="7"/>
        <v>393.44000000000005</v>
      </c>
      <c r="O52" s="69">
        <f t="shared" si="7"/>
        <v>404.44000000000005</v>
      </c>
      <c r="P52" s="69">
        <f t="shared" si="7"/>
        <v>415.34</v>
      </c>
      <c r="Q52" s="69">
        <f t="shared" si="7"/>
        <v>412.84</v>
      </c>
      <c r="R52" s="69">
        <f t="shared" si="7"/>
        <v>416.74</v>
      </c>
      <c r="S52" s="69">
        <f t="shared" si="7"/>
        <v>393.84000000000003</v>
      </c>
      <c r="T52" s="69">
        <f t="shared" si="7"/>
        <v>394.94</v>
      </c>
      <c r="U52" s="69">
        <f t="shared" si="7"/>
        <v>376.94</v>
      </c>
      <c r="V52" s="69">
        <f t="shared" si="7"/>
        <v>376.94</v>
      </c>
      <c r="W52" s="69">
        <f t="shared" si="7"/>
        <v>366.14</v>
      </c>
      <c r="X52" s="69">
        <f>SUM(X39:X51)</f>
        <v>415.14000000000004</v>
      </c>
      <c r="Y52" s="69">
        <f t="shared" si="7"/>
        <v>425.74</v>
      </c>
      <c r="Z52" s="69">
        <f t="shared" si="7"/>
        <v>425.74</v>
      </c>
      <c r="AA52" s="69">
        <f t="shared" si="7"/>
        <v>434.24</v>
      </c>
      <c r="AB52" s="69">
        <f t="shared" si="7"/>
        <v>427.94</v>
      </c>
      <c r="AC52" s="69">
        <f t="shared" si="7"/>
        <v>419.44000000000005</v>
      </c>
      <c r="AD52" s="69">
        <f t="shared" si="7"/>
        <v>411.14</v>
      </c>
      <c r="AE52" s="69">
        <f t="shared" si="7"/>
        <v>400.04</v>
      </c>
      <c r="AF52" s="69">
        <f t="shared" si="7"/>
        <v>395.94000000000005</v>
      </c>
      <c r="AG52" s="74">
        <f>SUM(AG39:AG51)</f>
        <v>489.91</v>
      </c>
      <c r="AH52" s="54">
        <f t="shared" si="2"/>
        <v>434.24</v>
      </c>
      <c r="AI52" s="55">
        <f t="shared" si="3"/>
        <v>348.44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10.6</v>
      </c>
      <c r="N53" s="51">
        <v>10.6</v>
      </c>
      <c r="O53" s="51">
        <v>10.6</v>
      </c>
      <c r="P53" s="51">
        <v>10.4</v>
      </c>
      <c r="Q53" s="51">
        <v>10.4</v>
      </c>
      <c r="R53" s="51">
        <v>14.2</v>
      </c>
      <c r="S53" s="51">
        <v>30</v>
      </c>
      <c r="T53" s="51">
        <v>14</v>
      </c>
      <c r="U53" s="51">
        <v>30</v>
      </c>
      <c r="V53" s="51">
        <v>30</v>
      </c>
      <c r="W53" s="51">
        <v>35</v>
      </c>
      <c r="X53" s="51">
        <v>14</v>
      </c>
      <c r="Y53" s="51">
        <v>14</v>
      </c>
      <c r="Z53" s="51">
        <v>35</v>
      </c>
      <c r="AA53" s="51">
        <v>50</v>
      </c>
      <c r="AB53" s="51">
        <v>40</v>
      </c>
      <c r="AC53" s="51">
        <v>30</v>
      </c>
      <c r="AD53" s="51">
        <v>10</v>
      </c>
      <c r="AE53" s="51">
        <v>20</v>
      </c>
      <c r="AF53" s="51">
        <v>0</v>
      </c>
      <c r="AG53" s="59">
        <v>60</v>
      </c>
      <c r="AH53" s="54">
        <f t="shared" si="2"/>
        <v>50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4.3</v>
      </c>
      <c r="N54" s="70">
        <v>4.3</v>
      </c>
      <c r="O54" s="70">
        <v>4.3</v>
      </c>
      <c r="P54" s="70">
        <v>10.1</v>
      </c>
      <c r="Q54" s="70">
        <v>4.5999999999999996</v>
      </c>
      <c r="R54" s="70">
        <v>7.5</v>
      </c>
      <c r="S54" s="70">
        <v>14.8</v>
      </c>
      <c r="T54" s="70">
        <v>7</v>
      </c>
      <c r="U54" s="70">
        <v>15</v>
      </c>
      <c r="V54" s="70">
        <v>15</v>
      </c>
      <c r="W54" s="70">
        <v>18</v>
      </c>
      <c r="X54" s="70">
        <v>6.7</v>
      </c>
      <c r="Y54" s="70">
        <v>6.7</v>
      </c>
      <c r="Z54" s="70">
        <v>17.100000000000001</v>
      </c>
      <c r="AA54" s="70">
        <v>24</v>
      </c>
      <c r="AB54" s="70">
        <v>18.8</v>
      </c>
      <c r="AC54" s="70">
        <v>14.1</v>
      </c>
      <c r="AD54" s="70">
        <v>8.1999999999999993</v>
      </c>
      <c r="AE54" s="70">
        <v>9</v>
      </c>
      <c r="AF54" s="70">
        <v>0</v>
      </c>
      <c r="AG54" s="63">
        <v>32</v>
      </c>
      <c r="AH54" s="54">
        <f t="shared" si="2"/>
        <v>24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1.6</v>
      </c>
      <c r="N55" s="75">
        <v>1.6</v>
      </c>
      <c r="O55" s="75">
        <v>1.6</v>
      </c>
      <c r="P55" s="75">
        <v>3.7</v>
      </c>
      <c r="Q55" s="75">
        <v>1.7</v>
      </c>
      <c r="R55" s="75">
        <v>2.6</v>
      </c>
      <c r="S55" s="75">
        <v>5.4</v>
      </c>
      <c r="T55" s="75">
        <v>2.6</v>
      </c>
      <c r="U55" s="75">
        <v>8.6999999999999993</v>
      </c>
      <c r="V55" s="75">
        <v>8.6999999999999993</v>
      </c>
      <c r="W55" s="75">
        <v>7.9</v>
      </c>
      <c r="X55" s="75">
        <v>2.5</v>
      </c>
      <c r="Y55" s="75">
        <v>2.5</v>
      </c>
      <c r="Z55" s="75">
        <v>6.3</v>
      </c>
      <c r="AA55" s="75">
        <v>8.8000000000000007</v>
      </c>
      <c r="AB55" s="75">
        <v>6.9</v>
      </c>
      <c r="AC55" s="75">
        <v>5.2</v>
      </c>
      <c r="AD55" s="75">
        <v>3</v>
      </c>
      <c r="AE55" s="75">
        <v>3.3</v>
      </c>
      <c r="AF55" s="75">
        <v>0</v>
      </c>
      <c r="AG55" s="76">
        <v>14</v>
      </c>
      <c r="AH55" s="54">
        <f t="shared" si="2"/>
        <v>8.8000000000000007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8">SUM(B53:B55)</f>
        <v>0</v>
      </c>
      <c r="C56" s="69">
        <f t="shared" si="8"/>
        <v>0</v>
      </c>
      <c r="D56" s="69">
        <f t="shared" si="8"/>
        <v>0</v>
      </c>
      <c r="E56" s="69">
        <f t="shared" si="8"/>
        <v>0</v>
      </c>
      <c r="F56" s="69">
        <f t="shared" si="8"/>
        <v>0</v>
      </c>
      <c r="G56" s="69">
        <f t="shared" si="8"/>
        <v>0</v>
      </c>
      <c r="H56" s="69">
        <f t="shared" si="8"/>
        <v>0</v>
      </c>
      <c r="I56" s="69">
        <f t="shared" si="8"/>
        <v>0</v>
      </c>
      <c r="J56" s="69">
        <f t="shared" si="8"/>
        <v>0</v>
      </c>
      <c r="K56" s="69">
        <f t="shared" si="8"/>
        <v>0</v>
      </c>
      <c r="L56" s="69">
        <f t="shared" si="8"/>
        <v>0</v>
      </c>
      <c r="M56" s="69">
        <f t="shared" si="8"/>
        <v>16.5</v>
      </c>
      <c r="N56" s="69">
        <f t="shared" si="8"/>
        <v>16.5</v>
      </c>
      <c r="O56" s="69">
        <f t="shared" si="8"/>
        <v>16.5</v>
      </c>
      <c r="P56" s="69">
        <f t="shared" si="8"/>
        <v>24.2</v>
      </c>
      <c r="Q56" s="69">
        <f t="shared" si="8"/>
        <v>16.7</v>
      </c>
      <c r="R56" s="69">
        <f t="shared" si="8"/>
        <v>24.3</v>
      </c>
      <c r="S56" s="69">
        <f t="shared" si="8"/>
        <v>50.199999999999996</v>
      </c>
      <c r="T56" s="69">
        <f t="shared" si="8"/>
        <v>23.6</v>
      </c>
      <c r="U56" s="69">
        <f t="shared" si="8"/>
        <v>53.7</v>
      </c>
      <c r="V56" s="69">
        <f t="shared" si="8"/>
        <v>53.7</v>
      </c>
      <c r="W56" s="69">
        <f t="shared" si="8"/>
        <v>60.9</v>
      </c>
      <c r="X56" s="69">
        <f t="shared" si="8"/>
        <v>23.2</v>
      </c>
      <c r="Y56" s="69">
        <f t="shared" si="8"/>
        <v>23.2</v>
      </c>
      <c r="Z56" s="69">
        <f t="shared" si="8"/>
        <v>58.4</v>
      </c>
      <c r="AA56" s="69">
        <f t="shared" si="8"/>
        <v>82.8</v>
      </c>
      <c r="AB56" s="69">
        <f t="shared" si="8"/>
        <v>65.7</v>
      </c>
      <c r="AC56" s="69">
        <f t="shared" si="8"/>
        <v>49.300000000000004</v>
      </c>
      <c r="AD56" s="69">
        <f t="shared" si="8"/>
        <v>21.2</v>
      </c>
      <c r="AE56" s="69">
        <f t="shared" si="8"/>
        <v>32.299999999999997</v>
      </c>
      <c r="AF56" s="69">
        <f t="shared" si="8"/>
        <v>0</v>
      </c>
      <c r="AG56" s="74">
        <f>SUM(AG53:AG55)</f>
        <v>106</v>
      </c>
      <c r="AH56" s="54">
        <f t="shared" si="2"/>
        <v>82.8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40</v>
      </c>
      <c r="C57" s="51">
        <v>41</v>
      </c>
      <c r="D57" s="51">
        <v>49.4</v>
      </c>
      <c r="E57" s="51">
        <v>46.4</v>
      </c>
      <c r="F57" s="51">
        <v>44.4</v>
      </c>
      <c r="G57" s="51">
        <v>41</v>
      </c>
      <c r="H57" s="51">
        <v>35</v>
      </c>
      <c r="I57" s="51">
        <v>34</v>
      </c>
      <c r="J57" s="51">
        <v>47</v>
      </c>
      <c r="K57" s="51">
        <v>39</v>
      </c>
      <c r="L57" s="51">
        <v>39</v>
      </c>
      <c r="M57" s="51">
        <v>38.1</v>
      </c>
      <c r="N57" s="51">
        <v>57.5</v>
      </c>
      <c r="O57" s="51">
        <v>62.2</v>
      </c>
      <c r="P57" s="51">
        <v>67.3</v>
      </c>
      <c r="Q57" s="51">
        <v>59</v>
      </c>
      <c r="R57" s="51">
        <v>64.2</v>
      </c>
      <c r="S57" s="51">
        <v>75.2</v>
      </c>
      <c r="T57" s="51">
        <v>70.7</v>
      </c>
      <c r="U57" s="51">
        <v>71.099999999999994</v>
      </c>
      <c r="V57" s="51">
        <v>72</v>
      </c>
      <c r="W57" s="51">
        <v>70.3</v>
      </c>
      <c r="X57" s="51">
        <v>70.3</v>
      </c>
      <c r="Y57" s="51">
        <v>59</v>
      </c>
      <c r="Z57" s="51">
        <v>51.8</v>
      </c>
      <c r="AA57" s="51">
        <v>57.4</v>
      </c>
      <c r="AB57" s="51">
        <v>66.400000000000006</v>
      </c>
      <c r="AC57" s="51">
        <v>67.5</v>
      </c>
      <c r="AD57" s="51">
        <v>68.3</v>
      </c>
      <c r="AE57" s="51">
        <v>71.2</v>
      </c>
      <c r="AF57" s="51">
        <v>76</v>
      </c>
      <c r="AG57" s="59"/>
      <c r="AH57" s="54">
        <f t="shared" si="2"/>
        <v>76</v>
      </c>
      <c r="AI57" s="55">
        <f t="shared" si="3"/>
        <v>34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10</v>
      </c>
      <c r="C59" s="70">
        <v>106</v>
      </c>
      <c r="D59" s="70">
        <v>100</v>
      </c>
      <c r="E59" s="70">
        <v>113.7</v>
      </c>
      <c r="F59" s="70">
        <v>81.5</v>
      </c>
      <c r="G59" s="70">
        <v>98</v>
      </c>
      <c r="H59" s="70">
        <v>120.7</v>
      </c>
      <c r="I59" s="70">
        <v>158</v>
      </c>
      <c r="J59" s="70">
        <v>142</v>
      </c>
      <c r="K59" s="70">
        <v>162.1</v>
      </c>
      <c r="L59" s="70">
        <v>220</v>
      </c>
      <c r="M59" s="70">
        <v>213</v>
      </c>
      <c r="N59" s="70">
        <v>201.5</v>
      </c>
      <c r="O59" s="70">
        <v>193.5</v>
      </c>
      <c r="P59" s="70">
        <v>213.2</v>
      </c>
      <c r="Q59" s="70">
        <v>195.6</v>
      </c>
      <c r="R59" s="70">
        <v>223.9</v>
      </c>
      <c r="S59" s="70">
        <v>215.4</v>
      </c>
      <c r="T59" s="70">
        <v>204.9</v>
      </c>
      <c r="U59" s="70">
        <v>195</v>
      </c>
      <c r="V59" s="70">
        <v>189</v>
      </c>
      <c r="W59" s="70">
        <v>190</v>
      </c>
      <c r="X59" s="70">
        <v>218</v>
      </c>
      <c r="Y59" s="70">
        <v>200</v>
      </c>
      <c r="Z59" s="70">
        <v>52</v>
      </c>
      <c r="AA59" s="70">
        <v>55.9</v>
      </c>
      <c r="AB59" s="70">
        <v>46.2</v>
      </c>
      <c r="AC59" s="70">
        <v>45</v>
      </c>
      <c r="AD59" s="70">
        <v>49.1</v>
      </c>
      <c r="AE59" s="70">
        <v>41</v>
      </c>
      <c r="AF59" s="70">
        <v>47.4</v>
      </c>
      <c r="AG59" s="77"/>
      <c r="AH59" s="54">
        <f t="shared" si="2"/>
        <v>223.9</v>
      </c>
      <c r="AI59" s="55">
        <f t="shared" si="3"/>
        <v>10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15</v>
      </c>
      <c r="S60" s="78">
        <v>15</v>
      </c>
      <c r="T60" s="78">
        <v>15</v>
      </c>
      <c r="U60" s="78">
        <v>15</v>
      </c>
      <c r="V60" s="78">
        <v>15</v>
      </c>
      <c r="W60" s="78">
        <v>15</v>
      </c>
      <c r="X60" s="78">
        <v>0</v>
      </c>
      <c r="Y60" s="78">
        <v>0</v>
      </c>
      <c r="Z60" s="78">
        <v>0</v>
      </c>
      <c r="AA60" s="78">
        <v>23.2</v>
      </c>
      <c r="AB60" s="78">
        <v>22.8</v>
      </c>
      <c r="AC60" s="78">
        <v>22.8</v>
      </c>
      <c r="AD60" s="78">
        <v>22.8</v>
      </c>
      <c r="AE60" s="78">
        <v>22.8</v>
      </c>
      <c r="AF60" s="78">
        <v>25.3</v>
      </c>
      <c r="AG60" s="77"/>
      <c r="AH60" s="54">
        <f t="shared" si="2"/>
        <v>25.3</v>
      </c>
      <c r="AI60" s="55">
        <f t="shared" si="3"/>
        <v>0</v>
      </c>
      <c r="AK60" s="56"/>
    </row>
    <row r="61" spans="1:37" x14ac:dyDescent="0.25">
      <c r="A61" s="62" t="s">
        <v>69</v>
      </c>
      <c r="B61" s="78">
        <v>0</v>
      </c>
      <c r="C61" s="78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8">
        <v>0</v>
      </c>
      <c r="C62" s="78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8">
        <v>0</v>
      </c>
      <c r="C63" s="78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78">
        <v>0</v>
      </c>
      <c r="C66" s="78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78">
        <v>0</v>
      </c>
      <c r="C67" s="78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9">SUM(B57:B67)</f>
        <v>50</v>
      </c>
      <c r="C68" s="69">
        <f t="shared" si="9"/>
        <v>147</v>
      </c>
      <c r="D68" s="69">
        <f t="shared" si="9"/>
        <v>149.4</v>
      </c>
      <c r="E68" s="69">
        <f t="shared" si="9"/>
        <v>160.1</v>
      </c>
      <c r="F68" s="69">
        <f t="shared" si="9"/>
        <v>125.9</v>
      </c>
      <c r="G68" s="69">
        <f t="shared" si="9"/>
        <v>139</v>
      </c>
      <c r="H68" s="69">
        <f t="shared" si="9"/>
        <v>155.69999999999999</v>
      </c>
      <c r="I68" s="69">
        <f t="shared" si="9"/>
        <v>192</v>
      </c>
      <c r="J68" s="69">
        <f t="shared" si="9"/>
        <v>189</v>
      </c>
      <c r="K68" s="69">
        <f t="shared" si="9"/>
        <v>201.1</v>
      </c>
      <c r="L68" s="69">
        <f t="shared" si="9"/>
        <v>259</v>
      </c>
      <c r="M68" s="69">
        <f t="shared" si="9"/>
        <v>251.1</v>
      </c>
      <c r="N68" s="69">
        <f t="shared" si="9"/>
        <v>267</v>
      </c>
      <c r="O68" s="69">
        <f t="shared" si="9"/>
        <v>263.7</v>
      </c>
      <c r="P68" s="69">
        <f t="shared" si="9"/>
        <v>288.5</v>
      </c>
      <c r="Q68" s="69">
        <f t="shared" si="9"/>
        <v>262.60000000000002</v>
      </c>
      <c r="R68" s="69">
        <f t="shared" si="9"/>
        <v>311.10000000000002</v>
      </c>
      <c r="S68" s="69">
        <f t="shared" si="9"/>
        <v>313.60000000000002</v>
      </c>
      <c r="T68" s="69">
        <f t="shared" si="9"/>
        <v>298.60000000000002</v>
      </c>
      <c r="U68" s="69">
        <f t="shared" si="9"/>
        <v>289.10000000000002</v>
      </c>
      <c r="V68" s="69">
        <f>SUM(V57:V67)</f>
        <v>284</v>
      </c>
      <c r="W68" s="69">
        <f t="shared" si="9"/>
        <v>283.3</v>
      </c>
      <c r="X68" s="69">
        <f t="shared" si="9"/>
        <v>296.3</v>
      </c>
      <c r="Y68" s="69">
        <f t="shared" si="9"/>
        <v>267</v>
      </c>
      <c r="Z68" s="69">
        <f t="shared" si="9"/>
        <v>111.8</v>
      </c>
      <c r="AA68" s="69">
        <f t="shared" si="9"/>
        <v>144.5</v>
      </c>
      <c r="AB68" s="69">
        <f t="shared" si="9"/>
        <v>143.4</v>
      </c>
      <c r="AC68" s="69">
        <f t="shared" si="9"/>
        <v>143.30000000000001</v>
      </c>
      <c r="AD68" s="69">
        <f t="shared" si="9"/>
        <v>148.20000000000002</v>
      </c>
      <c r="AE68" s="69">
        <f t="shared" si="9"/>
        <v>143</v>
      </c>
      <c r="AF68" s="69">
        <f t="shared" si="9"/>
        <v>156.70000000000002</v>
      </c>
      <c r="AG68" s="74">
        <f>SUM(AG57:AG67)</f>
        <v>0</v>
      </c>
      <c r="AH68" s="54">
        <f t="shared" si="2"/>
        <v>313.60000000000002</v>
      </c>
      <c r="AI68" s="55">
        <f t="shared" si="3"/>
        <v>50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0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1">B72+B68+B56+B52+B38+B74</f>
        <v>1228.8400000000001</v>
      </c>
      <c r="C75" s="84">
        <f t="shared" si="11"/>
        <v>1220.24</v>
      </c>
      <c r="D75" s="84">
        <f t="shared" si="11"/>
        <v>1206.1399999999999</v>
      </c>
      <c r="E75" s="84">
        <f t="shared" si="11"/>
        <v>1199.8399999999999</v>
      </c>
      <c r="F75" s="84">
        <f t="shared" si="11"/>
        <v>1164.6399999999999</v>
      </c>
      <c r="G75" s="84">
        <f t="shared" si="11"/>
        <v>1156.74</v>
      </c>
      <c r="H75" s="84">
        <f t="shared" si="11"/>
        <v>1175.24</v>
      </c>
      <c r="I75" s="84">
        <f t="shared" si="11"/>
        <v>1218.54</v>
      </c>
      <c r="J75" s="84">
        <f t="shared" si="11"/>
        <v>1240.54</v>
      </c>
      <c r="K75" s="84">
        <f t="shared" si="11"/>
        <v>1280.8399999999999</v>
      </c>
      <c r="L75" s="84">
        <f t="shared" si="11"/>
        <v>1347.6399999999999</v>
      </c>
      <c r="M75" s="84">
        <f t="shared" si="11"/>
        <v>1363.2400000000002</v>
      </c>
      <c r="N75" s="84">
        <f t="shared" si="11"/>
        <v>1358.54</v>
      </c>
      <c r="O75" s="84">
        <f t="shared" si="11"/>
        <v>1431.3400000000001</v>
      </c>
      <c r="P75" s="84">
        <f t="shared" si="11"/>
        <v>1453.1399999999999</v>
      </c>
      <c r="Q75" s="84">
        <f t="shared" si="11"/>
        <v>1442.1399999999999</v>
      </c>
      <c r="R75" s="84">
        <f t="shared" si="11"/>
        <v>1497.14</v>
      </c>
      <c r="S75" s="84">
        <f t="shared" si="11"/>
        <v>1482.04</v>
      </c>
      <c r="T75" s="84">
        <f t="shared" si="11"/>
        <v>1418.94</v>
      </c>
      <c r="U75" s="84">
        <f t="shared" si="11"/>
        <v>1424.54</v>
      </c>
      <c r="V75" s="84">
        <f t="shared" si="11"/>
        <v>1367.44</v>
      </c>
      <c r="W75" s="84">
        <f t="shared" si="11"/>
        <v>1347.1399999999999</v>
      </c>
      <c r="X75" s="84">
        <f t="shared" si="11"/>
        <v>1336.44</v>
      </c>
      <c r="Y75" s="84">
        <f t="shared" si="11"/>
        <v>1377.24</v>
      </c>
      <c r="Z75" s="84">
        <f t="shared" si="11"/>
        <v>1437.2400000000002</v>
      </c>
      <c r="AA75" s="84">
        <f t="shared" si="11"/>
        <v>1555.94</v>
      </c>
      <c r="AB75" s="84">
        <f t="shared" si="11"/>
        <v>1531.44</v>
      </c>
      <c r="AC75" s="84">
        <f t="shared" si="11"/>
        <v>1506.44</v>
      </c>
      <c r="AD75" s="84">
        <f t="shared" si="11"/>
        <v>1484.94</v>
      </c>
      <c r="AE75" s="84">
        <f t="shared" si="11"/>
        <v>1399.74</v>
      </c>
      <c r="AF75" s="84">
        <f t="shared" si="11"/>
        <v>1377.04</v>
      </c>
      <c r="AG75" s="74">
        <f>AG72+AG68+AG56+AG52+AG38+AG74</f>
        <v>2144.14</v>
      </c>
      <c r="AH75" s="54">
        <f t="shared" si="2"/>
        <v>1555.94</v>
      </c>
      <c r="AI75" s="55">
        <f t="shared" si="3"/>
        <v>1156.74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2">MAX(B76:AF76)</f>
        <v>0</v>
      </c>
      <c r="AI76" s="55">
        <f t="shared" ref="AI76:AI91" si="1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2"/>
        <v>0</v>
      </c>
      <c r="AI77" s="55">
        <f t="shared" si="1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2"/>
        <v>0</v>
      </c>
      <c r="AI78" s="55">
        <f t="shared" si="1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2"/>
        <v>0</v>
      </c>
      <c r="AI79" s="55">
        <f t="shared" si="1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2"/>
        <v>0</v>
      </c>
      <c r="AI80" s="55">
        <f t="shared" si="1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2"/>
        <v>0</v>
      </c>
      <c r="AI81" s="55">
        <f t="shared" si="1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4">SUM(AG76:AG81)</f>
        <v>0</v>
      </c>
      <c r="AH82" s="54">
        <f t="shared" si="12"/>
        <v>0</v>
      </c>
      <c r="AI82" s="55">
        <f t="shared" si="13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5">SUM(B70:B82)</f>
        <v>2430.73</v>
      </c>
      <c r="C83" s="69">
        <f t="shared" si="15"/>
        <v>2422.13</v>
      </c>
      <c r="D83" s="69">
        <f t="shared" si="15"/>
        <v>2408.0299999999997</v>
      </c>
      <c r="E83" s="69">
        <f t="shared" si="15"/>
        <v>2401.7299999999996</v>
      </c>
      <c r="F83" s="69">
        <f t="shared" si="15"/>
        <v>2366.5299999999997</v>
      </c>
      <c r="G83" s="69">
        <f t="shared" si="15"/>
        <v>2358.63</v>
      </c>
      <c r="H83" s="69">
        <f t="shared" si="15"/>
        <v>2377.13</v>
      </c>
      <c r="I83" s="69">
        <f t="shared" si="15"/>
        <v>2420.4299999999998</v>
      </c>
      <c r="J83" s="69">
        <f t="shared" si="15"/>
        <v>2442.4299999999998</v>
      </c>
      <c r="K83" s="69">
        <f t="shared" si="15"/>
        <v>2482.7299999999996</v>
      </c>
      <c r="L83" s="69">
        <f t="shared" si="15"/>
        <v>2549.5299999999997</v>
      </c>
      <c r="M83" s="69">
        <f t="shared" si="15"/>
        <v>2565.13</v>
      </c>
      <c r="N83" s="69">
        <f t="shared" si="15"/>
        <v>2560.4299999999998</v>
      </c>
      <c r="O83" s="69">
        <f t="shared" si="15"/>
        <v>2633.23</v>
      </c>
      <c r="P83" s="69">
        <f t="shared" si="15"/>
        <v>2655.0299999999997</v>
      </c>
      <c r="Q83" s="69">
        <f t="shared" si="15"/>
        <v>2644.0299999999997</v>
      </c>
      <c r="R83" s="69">
        <f t="shared" si="15"/>
        <v>2699.0299999999997</v>
      </c>
      <c r="S83" s="69">
        <f t="shared" si="15"/>
        <v>2683.93</v>
      </c>
      <c r="T83" s="69">
        <f t="shared" si="15"/>
        <v>2620.83</v>
      </c>
      <c r="U83" s="69">
        <f t="shared" si="15"/>
        <v>2626.43</v>
      </c>
      <c r="V83" s="69">
        <f t="shared" si="15"/>
        <v>2569.33</v>
      </c>
      <c r="W83" s="69">
        <f t="shared" si="15"/>
        <v>2549.0299999999997</v>
      </c>
      <c r="X83" s="69">
        <f t="shared" si="15"/>
        <v>2538.33</v>
      </c>
      <c r="Y83" s="69">
        <f t="shared" si="15"/>
        <v>2579.13</v>
      </c>
      <c r="Z83" s="69">
        <f t="shared" si="15"/>
        <v>2639.13</v>
      </c>
      <c r="AA83" s="69">
        <f t="shared" si="15"/>
        <v>2757.83</v>
      </c>
      <c r="AB83" s="69">
        <f t="shared" si="15"/>
        <v>2733.33</v>
      </c>
      <c r="AC83" s="69">
        <f t="shared" si="15"/>
        <v>2708.33</v>
      </c>
      <c r="AD83" s="69">
        <f t="shared" si="15"/>
        <v>2686.83</v>
      </c>
      <c r="AE83" s="69">
        <f t="shared" si="15"/>
        <v>2601.63</v>
      </c>
      <c r="AF83" s="69">
        <f t="shared" si="15"/>
        <v>2578.9299999999998</v>
      </c>
      <c r="AG83" s="74">
        <f t="shared" si="15"/>
        <v>4360.08</v>
      </c>
      <c r="AH83" s="54">
        <f t="shared" si="12"/>
        <v>2757.83</v>
      </c>
      <c r="AI83" s="55">
        <f t="shared" si="13"/>
        <v>2358.63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</v>
      </c>
      <c r="C84" s="90">
        <v>49.99</v>
      </c>
      <c r="D84" s="90">
        <v>49.936999999999998</v>
      </c>
      <c r="E84" s="90">
        <v>50.036999999999999</v>
      </c>
      <c r="F84" s="90">
        <v>50.023000000000003</v>
      </c>
      <c r="G84" s="90">
        <v>50</v>
      </c>
      <c r="H84" s="90">
        <v>49.911999999999999</v>
      </c>
      <c r="I84" s="90">
        <v>49.991</v>
      </c>
      <c r="J84" s="90">
        <v>49.981000000000002</v>
      </c>
      <c r="K84" s="90">
        <v>49.991</v>
      </c>
      <c r="L84" s="90">
        <v>50.03</v>
      </c>
      <c r="M84" s="90">
        <v>50.234000000000002</v>
      </c>
      <c r="N84" s="90">
        <v>50.003999999999998</v>
      </c>
      <c r="O84" s="90">
        <v>50.042000000000002</v>
      </c>
      <c r="P84" s="90">
        <v>50.005000000000003</v>
      </c>
      <c r="Q84" s="90">
        <v>50.006999999999998</v>
      </c>
      <c r="R84" s="90">
        <v>50.104999999999997</v>
      </c>
      <c r="S84" s="90">
        <v>50.05</v>
      </c>
      <c r="T84" s="90">
        <v>49.98</v>
      </c>
      <c r="U84" s="90">
        <v>49.99</v>
      </c>
      <c r="V84" s="90">
        <v>50.09</v>
      </c>
      <c r="W84" s="90">
        <v>50.03</v>
      </c>
      <c r="X84" s="90">
        <v>50.1</v>
      </c>
      <c r="Y84" s="90">
        <v>50.055999999999997</v>
      </c>
      <c r="Z84" s="90">
        <v>50.02</v>
      </c>
      <c r="AA84" s="90">
        <v>49.96</v>
      </c>
      <c r="AB84" s="90">
        <v>50.051000000000002</v>
      </c>
      <c r="AC84" s="90">
        <v>50.005000000000003</v>
      </c>
      <c r="AD84" s="90">
        <v>49.987000000000002</v>
      </c>
      <c r="AE84" s="90">
        <v>49.914999999999999</v>
      </c>
      <c r="AF84" s="90">
        <v>50.027000000000001</v>
      </c>
      <c r="AG84" s="91"/>
      <c r="AH84" s="54">
        <f t="shared" si="12"/>
        <v>50.234000000000002</v>
      </c>
      <c r="AI84" s="55">
        <f t="shared" si="13"/>
        <v>49.9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123</v>
      </c>
      <c r="C85" s="70">
        <v>123.9</v>
      </c>
      <c r="D85" s="70">
        <v>124.5</v>
      </c>
      <c r="E85" s="70">
        <v>125</v>
      </c>
      <c r="F85" s="70">
        <v>125</v>
      </c>
      <c r="G85" s="70">
        <v>125</v>
      </c>
      <c r="H85" s="70">
        <v>124.8</v>
      </c>
      <c r="I85" s="70">
        <v>123.9</v>
      </c>
      <c r="J85" s="70">
        <v>122</v>
      </c>
      <c r="K85" s="70">
        <v>123.9</v>
      </c>
      <c r="L85" s="70">
        <v>120</v>
      </c>
      <c r="M85" s="70">
        <v>122.9</v>
      </c>
      <c r="N85" s="70">
        <v>122.2</v>
      </c>
      <c r="O85" s="70">
        <v>120.1</v>
      </c>
      <c r="P85" s="70">
        <v>120.3</v>
      </c>
      <c r="Q85" s="70">
        <v>120.6</v>
      </c>
      <c r="R85" s="70">
        <v>118.1</v>
      </c>
      <c r="S85" s="70">
        <v>121.2</v>
      </c>
      <c r="T85" s="70">
        <v>121.5</v>
      </c>
      <c r="U85" s="70">
        <v>122.7</v>
      </c>
      <c r="V85" s="70">
        <v>126.2</v>
      </c>
      <c r="W85" s="70">
        <v>126.2</v>
      </c>
      <c r="X85" s="70">
        <v>124.8</v>
      </c>
      <c r="Y85" s="70">
        <v>124.8</v>
      </c>
      <c r="Z85" s="70">
        <v>124.8</v>
      </c>
      <c r="AA85" s="70">
        <v>124.9</v>
      </c>
      <c r="AB85" s="70">
        <v>125.3</v>
      </c>
      <c r="AC85" s="70">
        <v>124.9</v>
      </c>
      <c r="AD85" s="70">
        <v>123.4</v>
      </c>
      <c r="AE85" s="70">
        <v>124.1</v>
      </c>
      <c r="AF85" s="70">
        <v>122.6</v>
      </c>
      <c r="AG85" s="93"/>
      <c r="AH85" s="54">
        <f t="shared" si="12"/>
        <v>126.2</v>
      </c>
      <c r="AI85" s="55">
        <f t="shared" si="13"/>
        <v>118.1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</v>
      </c>
      <c r="C86" s="70">
        <v>129</v>
      </c>
      <c r="D86" s="70">
        <v>129.5</v>
      </c>
      <c r="E86" s="70">
        <v>129.69999999999999</v>
      </c>
      <c r="F86" s="70">
        <v>129.69999999999999</v>
      </c>
      <c r="G86" s="70">
        <v>129.69999999999999</v>
      </c>
      <c r="H86" s="70">
        <v>129.69999999999999</v>
      </c>
      <c r="I86" s="70">
        <v>127.6</v>
      </c>
      <c r="J86" s="70">
        <v>125.6</v>
      </c>
      <c r="K86" s="70">
        <v>127.6</v>
      </c>
      <c r="L86" s="70">
        <v>125</v>
      </c>
      <c r="M86" s="70">
        <v>127</v>
      </c>
      <c r="N86" s="70">
        <v>126.7</v>
      </c>
      <c r="O86" s="70">
        <v>125.3</v>
      </c>
      <c r="P86" s="70">
        <v>125.4</v>
      </c>
      <c r="Q86" s="70">
        <v>124.9</v>
      </c>
      <c r="R86" s="70">
        <v>123.7</v>
      </c>
      <c r="S86" s="70">
        <v>125.6</v>
      </c>
      <c r="T86" s="70">
        <v>125.5</v>
      </c>
      <c r="U86" s="70">
        <v>127</v>
      </c>
      <c r="V86" s="70">
        <v>129.69999999999999</v>
      </c>
      <c r="W86" s="70">
        <v>129.6</v>
      </c>
      <c r="X86" s="70">
        <v>128.4</v>
      </c>
      <c r="Y86" s="70">
        <v>128.4</v>
      </c>
      <c r="Z86" s="70">
        <v>128</v>
      </c>
      <c r="AA86" s="70">
        <v>127.9</v>
      </c>
      <c r="AB86" s="70">
        <v>128.9</v>
      </c>
      <c r="AC86" s="70">
        <v>129</v>
      </c>
      <c r="AD86" s="70">
        <v>127.8</v>
      </c>
      <c r="AE86" s="70">
        <v>128.80000000000001</v>
      </c>
      <c r="AF86" s="70">
        <v>127.6</v>
      </c>
      <c r="AG86" s="93"/>
      <c r="AH86" s="54">
        <f t="shared" si="12"/>
        <v>129.69999999999999</v>
      </c>
      <c r="AI86" s="55">
        <f t="shared" si="13"/>
        <v>123.7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</v>
      </c>
      <c r="C87" s="70">
        <v>129</v>
      </c>
      <c r="D87" s="70">
        <v>127</v>
      </c>
      <c r="E87" s="70">
        <v>130.6</v>
      </c>
      <c r="F87" s="70">
        <v>130.6</v>
      </c>
      <c r="G87" s="70">
        <v>130.6</v>
      </c>
      <c r="H87" s="70">
        <v>130.6</v>
      </c>
      <c r="I87" s="70">
        <v>128.30000000000001</v>
      </c>
      <c r="J87" s="70">
        <v>126.7</v>
      </c>
      <c r="K87" s="70">
        <v>128.30000000000001</v>
      </c>
      <c r="L87" s="70">
        <v>126</v>
      </c>
      <c r="M87" s="70">
        <v>126.3</v>
      </c>
      <c r="N87" s="70">
        <v>121.3</v>
      </c>
      <c r="O87" s="70">
        <v>125.9</v>
      </c>
      <c r="P87" s="70">
        <v>124.4</v>
      </c>
      <c r="Q87" s="70">
        <v>126.1</v>
      </c>
      <c r="R87" s="70">
        <v>123.7</v>
      </c>
      <c r="S87" s="70">
        <v>121.9</v>
      </c>
      <c r="T87" s="70">
        <v>124.7</v>
      </c>
      <c r="U87" s="70">
        <v>130</v>
      </c>
      <c r="V87" s="70">
        <v>128.30000000000001</v>
      </c>
      <c r="W87" s="70">
        <v>127.1</v>
      </c>
      <c r="X87" s="70">
        <v>129</v>
      </c>
      <c r="Y87" s="70">
        <v>129</v>
      </c>
      <c r="Z87" s="70">
        <v>125.8</v>
      </c>
      <c r="AA87" s="70">
        <v>125.9</v>
      </c>
      <c r="AB87" s="70">
        <v>127.8</v>
      </c>
      <c r="AC87" s="70">
        <v>125.1</v>
      </c>
      <c r="AD87" s="70">
        <v>124.5</v>
      </c>
      <c r="AE87" s="70">
        <v>127.1</v>
      </c>
      <c r="AF87" s="70">
        <v>127.5</v>
      </c>
      <c r="AG87" s="93"/>
      <c r="AH87" s="54">
        <f t="shared" si="12"/>
        <v>130.6</v>
      </c>
      <c r="AI87" s="55">
        <f t="shared" si="13"/>
        <v>121.3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</v>
      </c>
      <c r="C88" s="70">
        <v>133</v>
      </c>
      <c r="D88" s="70">
        <v>130.6</v>
      </c>
      <c r="E88" s="70">
        <v>133.5</v>
      </c>
      <c r="F88" s="70">
        <v>133.5</v>
      </c>
      <c r="G88" s="70">
        <v>133.5</v>
      </c>
      <c r="H88" s="70">
        <v>133.5</v>
      </c>
      <c r="I88" s="70">
        <v>131.1</v>
      </c>
      <c r="J88" s="70">
        <v>130</v>
      </c>
      <c r="K88" s="70">
        <v>131.1</v>
      </c>
      <c r="L88" s="70">
        <v>129</v>
      </c>
      <c r="M88" s="70">
        <v>127.7</v>
      </c>
      <c r="N88" s="70">
        <v>122.7</v>
      </c>
      <c r="O88" s="70">
        <v>127.3</v>
      </c>
      <c r="P88" s="70">
        <v>126</v>
      </c>
      <c r="Q88" s="70">
        <v>127.7</v>
      </c>
      <c r="R88" s="70">
        <v>125.7</v>
      </c>
      <c r="S88" s="70">
        <v>122.9</v>
      </c>
      <c r="T88" s="70">
        <v>125.9</v>
      </c>
      <c r="U88" s="70">
        <v>125.9</v>
      </c>
      <c r="V88" s="70">
        <v>130.80000000000001</v>
      </c>
      <c r="W88" s="70">
        <v>128.5</v>
      </c>
      <c r="X88" s="70">
        <v>130.5</v>
      </c>
      <c r="Y88" s="70">
        <v>130.5</v>
      </c>
      <c r="Z88" s="70">
        <v>127.3</v>
      </c>
      <c r="AA88" s="70">
        <v>127.4</v>
      </c>
      <c r="AB88" s="70">
        <v>130.1</v>
      </c>
      <c r="AC88" s="70">
        <v>128</v>
      </c>
      <c r="AD88" s="70">
        <v>127.6</v>
      </c>
      <c r="AE88" s="70">
        <v>130.9</v>
      </c>
      <c r="AF88" s="70">
        <v>131.5</v>
      </c>
      <c r="AG88" s="93"/>
      <c r="AH88" s="54">
        <f t="shared" si="12"/>
        <v>133.5</v>
      </c>
      <c r="AI88" s="55">
        <f t="shared" si="13"/>
        <v>122.7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135</v>
      </c>
      <c r="C89" s="95">
        <v>131.4</v>
      </c>
      <c r="D89" s="95">
        <v>132.6</v>
      </c>
      <c r="E89" s="95">
        <v>130.5</v>
      </c>
      <c r="F89" s="95">
        <v>130.5</v>
      </c>
      <c r="G89" s="95">
        <v>130.5</v>
      </c>
      <c r="H89" s="95">
        <v>130.5</v>
      </c>
      <c r="I89" s="95">
        <v>129.19999999999999</v>
      </c>
      <c r="J89" s="95">
        <v>133.5</v>
      </c>
      <c r="K89" s="95">
        <v>129.19999999999999</v>
      </c>
      <c r="L89" s="95">
        <v>130</v>
      </c>
      <c r="M89" s="95">
        <v>126.9</v>
      </c>
      <c r="N89" s="95">
        <v>134.30000000000001</v>
      </c>
      <c r="O89" s="95">
        <v>134.9</v>
      </c>
      <c r="P89" s="95">
        <v>131.4</v>
      </c>
      <c r="Q89" s="95">
        <v>129</v>
      </c>
      <c r="R89" s="95">
        <v>131.4</v>
      </c>
      <c r="S89" s="95">
        <v>133.19999999999999</v>
      </c>
      <c r="T89" s="95">
        <v>130.69999999999999</v>
      </c>
      <c r="U89" s="95">
        <v>130.69999999999999</v>
      </c>
      <c r="V89" s="95">
        <v>130.80000000000001</v>
      </c>
      <c r="W89" s="95">
        <v>132.5</v>
      </c>
      <c r="X89" s="95">
        <v>135.1</v>
      </c>
      <c r="Y89" s="95">
        <v>135.1</v>
      </c>
      <c r="Z89" s="95">
        <v>133.5</v>
      </c>
      <c r="AA89" s="95">
        <v>134.30000000000001</v>
      </c>
      <c r="AB89" s="95">
        <v>133.6</v>
      </c>
      <c r="AC89" s="95">
        <v>132.9</v>
      </c>
      <c r="AD89" s="95">
        <v>128.69999999999999</v>
      </c>
      <c r="AE89" s="95">
        <v>132.19999999999999</v>
      </c>
      <c r="AF89" s="95">
        <v>132.1</v>
      </c>
      <c r="AG89" s="96"/>
      <c r="AH89" s="54">
        <f t="shared" si="12"/>
        <v>135.1</v>
      </c>
      <c r="AI89" s="55">
        <f t="shared" si="13"/>
        <v>126.9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133</v>
      </c>
      <c r="C90" s="70">
        <v>129</v>
      </c>
      <c r="D90" s="70">
        <v>126.1</v>
      </c>
      <c r="E90" s="70">
        <v>124</v>
      </c>
      <c r="F90" s="70">
        <v>124</v>
      </c>
      <c r="G90" s="70">
        <v>124</v>
      </c>
      <c r="H90" s="70">
        <v>124</v>
      </c>
      <c r="I90" s="70">
        <v>127</v>
      </c>
      <c r="J90" s="70">
        <v>131</v>
      </c>
      <c r="K90" s="70">
        <v>127</v>
      </c>
      <c r="L90" s="70">
        <v>127</v>
      </c>
      <c r="M90" s="70">
        <v>129.5</v>
      </c>
      <c r="N90" s="70">
        <v>133</v>
      </c>
      <c r="O90" s="70">
        <v>129.6</v>
      </c>
      <c r="P90" s="70">
        <v>131.5</v>
      </c>
      <c r="Q90" s="70">
        <v>127.5</v>
      </c>
      <c r="R90" s="70">
        <v>130.69999999999999</v>
      </c>
      <c r="S90" s="70">
        <v>125.4</v>
      </c>
      <c r="T90" s="70">
        <v>125.4</v>
      </c>
      <c r="U90" s="70">
        <v>125.4</v>
      </c>
      <c r="V90" s="70">
        <v>125.6</v>
      </c>
      <c r="W90" s="70">
        <v>128.9</v>
      </c>
      <c r="X90" s="70">
        <v>128.5</v>
      </c>
      <c r="Y90" s="70">
        <v>128.5</v>
      </c>
      <c r="Z90" s="70">
        <v>129.5</v>
      </c>
      <c r="AA90" s="70">
        <v>130.80000000000001</v>
      </c>
      <c r="AB90" s="70">
        <v>131.69999999999999</v>
      </c>
      <c r="AC90" s="70">
        <v>131.4</v>
      </c>
      <c r="AD90" s="70">
        <v>131.30000000000001</v>
      </c>
      <c r="AE90" s="70">
        <v>132.5</v>
      </c>
      <c r="AF90" s="70">
        <v>133.1</v>
      </c>
      <c r="AG90" s="93"/>
      <c r="AH90" s="54">
        <f t="shared" si="12"/>
        <v>133.1</v>
      </c>
      <c r="AI90" s="55">
        <f t="shared" si="13"/>
        <v>124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64.8</v>
      </c>
      <c r="C91" s="97">
        <v>64.900000000000006</v>
      </c>
      <c r="D91" s="97">
        <v>65.3</v>
      </c>
      <c r="E91" s="97">
        <v>65.7</v>
      </c>
      <c r="F91" s="97">
        <v>65.7</v>
      </c>
      <c r="G91" s="97">
        <v>65.7</v>
      </c>
      <c r="H91" s="97">
        <v>64.8</v>
      </c>
      <c r="I91" s="97">
        <v>64.400000000000006</v>
      </c>
      <c r="J91" s="97">
        <v>63.1</v>
      </c>
      <c r="K91" s="97">
        <v>64.400000000000006</v>
      </c>
      <c r="L91" s="97">
        <v>64.400000000000006</v>
      </c>
      <c r="M91" s="97">
        <v>64</v>
      </c>
      <c r="N91" s="97">
        <v>63.7</v>
      </c>
      <c r="O91" s="97">
        <v>62.9</v>
      </c>
      <c r="P91" s="97">
        <v>62.6</v>
      </c>
      <c r="Q91" s="97">
        <v>62.7</v>
      </c>
      <c r="R91" s="97">
        <v>61.9</v>
      </c>
      <c r="S91" s="97">
        <v>63</v>
      </c>
      <c r="T91" s="97">
        <v>63.3</v>
      </c>
      <c r="U91" s="97">
        <v>63.3</v>
      </c>
      <c r="V91" s="97">
        <v>65.400000000000006</v>
      </c>
      <c r="W91" s="97">
        <v>65.400000000000006</v>
      </c>
      <c r="X91" s="97">
        <v>65.099999999999994</v>
      </c>
      <c r="Y91" s="97">
        <v>65.099999999999994</v>
      </c>
      <c r="Z91" s="97">
        <v>65</v>
      </c>
      <c r="AA91" s="97">
        <v>64.7</v>
      </c>
      <c r="AB91" s="97">
        <v>65.5</v>
      </c>
      <c r="AC91" s="97">
        <v>65.7</v>
      </c>
      <c r="AD91" s="97">
        <v>65.2</v>
      </c>
      <c r="AE91" s="97">
        <v>65.400000000000006</v>
      </c>
      <c r="AF91" s="97">
        <v>64.7</v>
      </c>
      <c r="AG91" s="98"/>
      <c r="AH91" s="54">
        <f t="shared" si="12"/>
        <v>65.7</v>
      </c>
      <c r="AI91" s="55">
        <f t="shared" si="13"/>
        <v>61.9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6">SUM(B15,B18,B21:B22,B42,B44:B45,B47,B49,B94:B97,B103,B109,B115,B124,B126,B138,B145,B148:B149,B156,B158,B160,B164:B166,B168:B170,B175,B181:B182,B184:B186,B194,B199)</f>
        <v>131.73999999999998</v>
      </c>
      <c r="C93" s="103">
        <f t="shared" si="16"/>
        <v>130.04</v>
      </c>
      <c r="D93" s="103">
        <f t="shared" si="16"/>
        <v>122.74</v>
      </c>
      <c r="E93" s="103">
        <f t="shared" si="16"/>
        <v>129.23999999999998</v>
      </c>
      <c r="F93" s="103">
        <f t="shared" si="16"/>
        <v>133.53999999999996</v>
      </c>
      <c r="G93" s="103">
        <f t="shared" si="16"/>
        <v>155.43999999999997</v>
      </c>
      <c r="H93" s="103">
        <f t="shared" si="16"/>
        <v>184.73999999999998</v>
      </c>
      <c r="I93" s="103">
        <f t="shared" si="16"/>
        <v>228.34000000000003</v>
      </c>
      <c r="J93" s="103">
        <f t="shared" si="16"/>
        <v>273.14000000000004</v>
      </c>
      <c r="K93" s="103">
        <f t="shared" si="16"/>
        <v>273.04000000000002</v>
      </c>
      <c r="L93" s="103">
        <f t="shared" si="16"/>
        <v>296.14</v>
      </c>
      <c r="M93" s="103">
        <f t="shared" si="16"/>
        <v>290.24</v>
      </c>
      <c r="N93" s="103">
        <f t="shared" si="16"/>
        <v>281.24000000000007</v>
      </c>
      <c r="O93" s="103">
        <f t="shared" si="16"/>
        <v>291.54000000000008</v>
      </c>
      <c r="P93" s="103">
        <f t="shared" si="16"/>
        <v>303.84000000000003</v>
      </c>
      <c r="Q93" s="103">
        <f t="shared" si="16"/>
        <v>264.64000000000004</v>
      </c>
      <c r="R93" s="103">
        <f t="shared" si="16"/>
        <v>299.44</v>
      </c>
      <c r="S93" s="103">
        <f t="shared" si="16"/>
        <v>295.34000000000003</v>
      </c>
      <c r="T93" s="103">
        <f t="shared" si="16"/>
        <v>290.44</v>
      </c>
      <c r="U93" s="103">
        <f t="shared" si="16"/>
        <v>278.04000000000002</v>
      </c>
      <c r="V93" s="103">
        <f t="shared" si="16"/>
        <v>278.04000000000002</v>
      </c>
      <c r="W93" s="103">
        <f>SUM(W15,W18,W21:W22,W42,W44:W45,W47,W49,W94:W97,W103,W109,W115,W124,W126,W138,W145,W148:W149,W156,W158,W160,W164:W166,W168:W170,W175,W181:W182,W184:W186,W194,W199)</f>
        <v>302.14000000000004</v>
      </c>
      <c r="X93" s="103">
        <f>SUM(X15,X18,X21:X22,X42,X44:X45,X47,X49,X94:X97,X103,X109,X115,X124,X126,X138,X145,X148:X149,X156,X158,X160,X164:X166,X168:X170,X175,X181:X182,X184:X186,X194,X199)</f>
        <v>301.14000000000004</v>
      </c>
      <c r="Y93" s="103">
        <f t="shared" si="16"/>
        <v>311.34000000000003</v>
      </c>
      <c r="Z93" s="103">
        <f t="shared" si="16"/>
        <v>327.24</v>
      </c>
      <c r="AA93" s="103">
        <f t="shared" si="16"/>
        <v>345.94</v>
      </c>
      <c r="AB93" s="103">
        <f t="shared" si="16"/>
        <v>303.34000000000003</v>
      </c>
      <c r="AC93" s="103">
        <f t="shared" si="16"/>
        <v>287.84000000000003</v>
      </c>
      <c r="AD93" s="103">
        <f t="shared" si="16"/>
        <v>261.34000000000003</v>
      </c>
      <c r="AE93" s="103">
        <f t="shared" si="16"/>
        <v>199.43999999999994</v>
      </c>
      <c r="AF93" s="103">
        <f t="shared" si="16"/>
        <v>152.83999999999995</v>
      </c>
      <c r="AG93" s="104"/>
      <c r="AH93" s="54">
        <f>MAX(C93:AF93)</f>
        <v>345.94</v>
      </c>
      <c r="AI93" s="55">
        <f>MIN(C93:AF93)</f>
        <v>122.74</v>
      </c>
    </row>
    <row r="94" spans="1:88" x14ac:dyDescent="0.25">
      <c r="A94" s="105" t="s">
        <v>99</v>
      </c>
      <c r="B94" s="106">
        <v>40</v>
      </c>
      <c r="C94" s="106">
        <v>38</v>
      </c>
      <c r="D94" s="106">
        <v>30.1</v>
      </c>
      <c r="E94" s="106">
        <v>29.5</v>
      </c>
      <c r="F94" s="106">
        <v>36.799999999999997</v>
      </c>
      <c r="G94" s="106">
        <v>36.799999999999997</v>
      </c>
      <c r="H94" s="106">
        <v>40.1</v>
      </c>
      <c r="I94" s="106">
        <v>38.200000000000003</v>
      </c>
      <c r="J94" s="106">
        <v>37.299999999999997</v>
      </c>
      <c r="K94" s="106">
        <v>37.299999999999997</v>
      </c>
      <c r="L94" s="106">
        <v>39.299999999999997</v>
      </c>
      <c r="M94" s="106">
        <v>42.5</v>
      </c>
      <c r="N94" s="106">
        <v>38</v>
      </c>
      <c r="O94" s="106">
        <v>32</v>
      </c>
      <c r="P94" s="106">
        <v>36.5</v>
      </c>
      <c r="Q94" s="106">
        <v>35.299999999999997</v>
      </c>
      <c r="R94" s="106">
        <v>47.2</v>
      </c>
      <c r="S94" s="106">
        <v>30</v>
      </c>
      <c r="T94" s="106">
        <v>36.9</v>
      </c>
      <c r="U94" s="106">
        <v>18.2</v>
      </c>
      <c r="V94" s="106">
        <v>18.2</v>
      </c>
      <c r="W94" s="106">
        <v>33.5</v>
      </c>
      <c r="X94" s="106">
        <v>49.3</v>
      </c>
      <c r="Y94" s="106">
        <v>45.8</v>
      </c>
      <c r="Z94" s="106">
        <v>51.6</v>
      </c>
      <c r="AA94" s="106">
        <v>33.6</v>
      </c>
      <c r="AB94" s="106">
        <v>40</v>
      </c>
      <c r="AC94" s="106">
        <v>38.799999999999997</v>
      </c>
      <c r="AD94" s="106">
        <v>35.799999999999997</v>
      </c>
      <c r="AE94" s="106">
        <v>44.3</v>
      </c>
      <c r="AF94" s="106">
        <v>44.9</v>
      </c>
      <c r="AG94" s="107">
        <v>75</v>
      </c>
      <c r="AH94" s="54">
        <f t="shared" ref="AH94:AH100" si="17">IF(ABS(MAX(C94:AF94))&gt;ABS(MIN(C94:AF94)),MAX(C94:AF94),MIN(C94:AF94))</f>
        <v>51.6</v>
      </c>
      <c r="AI94" s="108">
        <f t="shared" ref="AI94:AI100" si="18">INDEX($C$9:$AF$9,1,MATCH(AH94,C94:AF94,0))</f>
        <v>0.79166666666666663</v>
      </c>
    </row>
    <row r="95" spans="1:88" x14ac:dyDescent="0.25">
      <c r="A95" s="109" t="s">
        <v>100</v>
      </c>
      <c r="B95" s="110">
        <v>-60</v>
      </c>
      <c r="C95" s="110">
        <v>-104</v>
      </c>
      <c r="D95" s="110">
        <v>-103.7</v>
      </c>
      <c r="E95" s="110">
        <v>-98</v>
      </c>
      <c r="F95" s="110">
        <v>-100.1</v>
      </c>
      <c r="G95" s="110">
        <v>-80</v>
      </c>
      <c r="H95" s="110">
        <v>-60</v>
      </c>
      <c r="I95" s="110">
        <v>-26</v>
      </c>
      <c r="J95" s="110">
        <v>-52</v>
      </c>
      <c r="K95" s="110">
        <v>-52</v>
      </c>
      <c r="L95" s="110">
        <v>-44</v>
      </c>
      <c r="M95" s="110">
        <v>-49.4</v>
      </c>
      <c r="N95" s="110">
        <v>-53.5</v>
      </c>
      <c r="O95" s="110">
        <v>-54.8</v>
      </c>
      <c r="P95" s="110">
        <v>-50.4</v>
      </c>
      <c r="Q95" s="110">
        <v>-53.9</v>
      </c>
      <c r="R95" s="110">
        <v>-58</v>
      </c>
      <c r="S95" s="110">
        <f>-24.8-32.4</f>
        <v>-57.2</v>
      </c>
      <c r="T95" s="110">
        <f>-24-28</f>
        <v>-52</v>
      </c>
      <c r="U95" s="110">
        <f>-17.6-26.9</f>
        <v>-44.5</v>
      </c>
      <c r="V95" s="110">
        <f>-17.6-26.9</f>
        <v>-44.5</v>
      </c>
      <c r="W95" s="110">
        <f>-18.3-14.3</f>
        <v>-32.6</v>
      </c>
      <c r="X95" s="110">
        <f>-20.7-24.4</f>
        <v>-45.099999999999994</v>
      </c>
      <c r="Y95" s="110">
        <v>-40</v>
      </c>
      <c r="Z95" s="110">
        <f>-18.3-26.4</f>
        <v>-44.7</v>
      </c>
      <c r="AA95" s="110">
        <v>-37.200000000000003</v>
      </c>
      <c r="AB95" s="110">
        <f>-21.4-29.8</f>
        <v>-51.2</v>
      </c>
      <c r="AC95" s="110">
        <f>-25.7-32.5</f>
        <v>-58.2</v>
      </c>
      <c r="AD95" s="110">
        <f>-32.4-37</f>
        <v>-69.400000000000006</v>
      </c>
      <c r="AE95" s="110">
        <f>-45.2-51</f>
        <v>-96.2</v>
      </c>
      <c r="AF95" s="110">
        <f>-24.8-27</f>
        <v>-51.8</v>
      </c>
      <c r="AG95" s="107">
        <v>240</v>
      </c>
      <c r="AH95" s="54">
        <f t="shared" si="17"/>
        <v>-104</v>
      </c>
      <c r="AI95" s="108">
        <f t="shared" si="18"/>
        <v>4.1666666666666664E-2</v>
      </c>
    </row>
    <row r="96" spans="1:88" x14ac:dyDescent="0.25">
      <c r="A96" s="109" t="s">
        <v>101</v>
      </c>
      <c r="B96" s="110">
        <v>8</v>
      </c>
      <c r="C96" s="110">
        <v>3.3</v>
      </c>
      <c r="D96" s="110">
        <v>3.6</v>
      </c>
      <c r="E96" s="110">
        <v>5</v>
      </c>
      <c r="F96" s="110">
        <v>4.0999999999999996</v>
      </c>
      <c r="G96" s="110">
        <v>5.9</v>
      </c>
      <c r="H96" s="110">
        <v>11.9</v>
      </c>
      <c r="I96" s="110">
        <v>17.8</v>
      </c>
      <c r="J96" s="110">
        <v>17</v>
      </c>
      <c r="K96" s="110">
        <v>17</v>
      </c>
      <c r="L96" s="110">
        <v>19.2</v>
      </c>
      <c r="M96" s="110">
        <v>23.6</v>
      </c>
      <c r="N96" s="110">
        <v>24.9</v>
      </c>
      <c r="O96" s="110">
        <v>21.9</v>
      </c>
      <c r="P96" s="110">
        <v>26.4</v>
      </c>
      <c r="Q96" s="110">
        <v>24.7</v>
      </c>
      <c r="R96" s="110">
        <v>14.4</v>
      </c>
      <c r="S96" s="110">
        <v>37.1</v>
      </c>
      <c r="T96" s="110">
        <v>24.7</v>
      </c>
      <c r="U96" s="110">
        <v>48</v>
      </c>
      <c r="V96" s="110">
        <v>48</v>
      </c>
      <c r="W96" s="110">
        <v>44.6</v>
      </c>
      <c r="X96" s="110">
        <v>31.6</v>
      </c>
      <c r="Y96" s="110">
        <v>44</v>
      </c>
      <c r="Z96" s="110">
        <v>48.4</v>
      </c>
      <c r="AA96" s="110">
        <v>54.7</v>
      </c>
      <c r="AB96" s="110">
        <v>45.3</v>
      </c>
      <c r="AC96" s="110">
        <v>33.799999999999997</v>
      </c>
      <c r="AD96" s="110">
        <v>22.8</v>
      </c>
      <c r="AE96" s="110">
        <v>11</v>
      </c>
      <c r="AF96" s="110">
        <v>2.6</v>
      </c>
      <c r="AG96" s="107">
        <v>60</v>
      </c>
      <c r="AH96" s="54">
        <f t="shared" si="17"/>
        <v>54.7</v>
      </c>
      <c r="AI96" s="108">
        <f t="shared" si="18"/>
        <v>0.8125</v>
      </c>
    </row>
    <row r="97" spans="1:37" x14ac:dyDescent="0.25">
      <c r="A97" s="111" t="s">
        <v>102</v>
      </c>
      <c r="B97" s="112">
        <v>-49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72.5</v>
      </c>
      <c r="K97" s="112">
        <v>72.5</v>
      </c>
      <c r="L97" s="112">
        <v>83.4</v>
      </c>
      <c r="M97" s="112">
        <v>70.599999999999994</v>
      </c>
      <c r="N97" s="112">
        <v>66.3</v>
      </c>
      <c r="O97" s="112">
        <v>85.9</v>
      </c>
      <c r="P97" s="112">
        <v>84.2</v>
      </c>
      <c r="Q97" s="112">
        <v>51.4</v>
      </c>
      <c r="R97" s="112">
        <v>89.8</v>
      </c>
      <c r="S97" s="112">
        <v>79.2</v>
      </c>
      <c r="T97" s="112">
        <v>74.599999999999994</v>
      </c>
      <c r="U97" s="112">
        <v>50.1</v>
      </c>
      <c r="V97" s="112">
        <v>50.1</v>
      </c>
      <c r="W97" s="112">
        <v>51.1</v>
      </c>
      <c r="X97" s="112">
        <v>59.8</v>
      </c>
      <c r="Y97" s="112">
        <v>56</v>
      </c>
      <c r="Z97" s="112">
        <v>66.400000000000006</v>
      </c>
      <c r="AA97" s="112">
        <v>88.5</v>
      </c>
      <c r="AB97" s="112">
        <v>70.900000000000006</v>
      </c>
      <c r="AC97" s="112">
        <v>75.099999999999994</v>
      </c>
      <c r="AD97" s="112">
        <v>73.8</v>
      </c>
      <c r="AE97" s="112">
        <v>41.4</v>
      </c>
      <c r="AF97" s="112">
        <v>-41.8</v>
      </c>
      <c r="AG97" s="113">
        <v>120</v>
      </c>
      <c r="AH97" s="54">
        <f t="shared" si="17"/>
        <v>89.8</v>
      </c>
      <c r="AI97" s="108">
        <f t="shared" si="18"/>
        <v>0.54166666666666696</v>
      </c>
    </row>
    <row r="98" spans="1:37" x14ac:dyDescent="0.25">
      <c r="A98" s="111" t="s">
        <v>103</v>
      </c>
      <c r="B98" s="112">
        <v>80</v>
      </c>
      <c r="C98" s="112">
        <v>54</v>
      </c>
      <c r="D98" s="112">
        <v>56.1</v>
      </c>
      <c r="E98" s="112">
        <v>50.3</v>
      </c>
      <c r="F98" s="112">
        <v>46.6</v>
      </c>
      <c r="G98" s="112">
        <v>46.6</v>
      </c>
      <c r="H98" s="112">
        <v>59.4</v>
      </c>
      <c r="I98" s="112">
        <v>87</v>
      </c>
      <c r="J98" s="112">
        <v>83.6</v>
      </c>
      <c r="K98" s="112">
        <v>83.6</v>
      </c>
      <c r="L98" s="112">
        <v>92.5</v>
      </c>
      <c r="M98" s="112">
        <v>81</v>
      </c>
      <c r="N98" s="112">
        <v>75.5</v>
      </c>
      <c r="O98" s="112">
        <v>94.9</v>
      </c>
      <c r="P98" s="112">
        <v>95.3</v>
      </c>
      <c r="Q98" s="112">
        <v>90.7</v>
      </c>
      <c r="R98" s="112">
        <v>98.9</v>
      </c>
      <c r="S98" s="112">
        <v>90.5</v>
      </c>
      <c r="T98" s="112">
        <v>90.4</v>
      </c>
      <c r="U98" s="112">
        <v>68.7</v>
      </c>
      <c r="V98" s="112">
        <v>68.7</v>
      </c>
      <c r="W98" s="112">
        <v>57.5</v>
      </c>
      <c r="X98" s="112">
        <v>70.400000000000006</v>
      </c>
      <c r="Y98" s="112">
        <v>63.8</v>
      </c>
      <c r="Z98" s="112">
        <v>62.2</v>
      </c>
      <c r="AA98" s="112">
        <v>82.3</v>
      </c>
      <c r="AB98" s="112">
        <v>74</v>
      </c>
      <c r="AC98" s="112">
        <v>73</v>
      </c>
      <c r="AD98" s="112">
        <v>79.400000000000006</v>
      </c>
      <c r="AE98" s="112">
        <v>61.4</v>
      </c>
      <c r="AF98" s="112">
        <v>96.7</v>
      </c>
      <c r="AG98" s="113"/>
      <c r="AH98" s="54">
        <f t="shared" si="17"/>
        <v>98.9</v>
      </c>
      <c r="AI98" s="108">
        <f t="shared" si="18"/>
        <v>0.54166666666666696</v>
      </c>
    </row>
    <row r="99" spans="1:37" x14ac:dyDescent="0.25">
      <c r="A99" s="111" t="s">
        <v>104</v>
      </c>
      <c r="B99" s="112">
        <v>75</v>
      </c>
      <c r="C99" s="112">
        <v>62</v>
      </c>
      <c r="D99" s="112">
        <v>58</v>
      </c>
      <c r="E99" s="112">
        <v>62.5</v>
      </c>
      <c r="F99" s="112">
        <v>45.4</v>
      </c>
      <c r="G99" s="112">
        <v>45.4</v>
      </c>
      <c r="H99" s="112">
        <v>38.799999999999997</v>
      </c>
      <c r="I99" s="112">
        <v>56.7</v>
      </c>
      <c r="J99" s="112">
        <v>33.4</v>
      </c>
      <c r="K99" s="112">
        <v>33.4</v>
      </c>
      <c r="L99" s="112">
        <v>58.4</v>
      </c>
      <c r="M99" s="112">
        <v>52.1</v>
      </c>
      <c r="N99" s="112">
        <v>42.5</v>
      </c>
      <c r="O99" s="112">
        <v>58</v>
      </c>
      <c r="P99" s="112">
        <v>68.5</v>
      </c>
      <c r="Q99" s="112">
        <v>79.099999999999994</v>
      </c>
      <c r="R99" s="112">
        <v>66.7</v>
      </c>
      <c r="S99" s="112">
        <v>63.6</v>
      </c>
      <c r="T99" s="112">
        <v>64.2</v>
      </c>
      <c r="U99" s="112">
        <v>70.900000000000006</v>
      </c>
      <c r="V99" s="112">
        <v>70.900000000000006</v>
      </c>
      <c r="W99" s="112">
        <v>55.8</v>
      </c>
      <c r="X99" s="112">
        <v>63.2</v>
      </c>
      <c r="Y99" s="112">
        <v>69.599999999999994</v>
      </c>
      <c r="Z99" s="112">
        <v>53.5</v>
      </c>
      <c r="AA99" s="112">
        <v>75.900000000000006</v>
      </c>
      <c r="AB99" s="112">
        <v>73.5</v>
      </c>
      <c r="AC99" s="112">
        <v>71.5</v>
      </c>
      <c r="AD99" s="112">
        <v>67.2</v>
      </c>
      <c r="AE99" s="112">
        <v>61.1</v>
      </c>
      <c r="AF99" s="112">
        <v>68.400000000000006</v>
      </c>
      <c r="AG99" s="114"/>
      <c r="AH99" s="54">
        <f t="shared" si="17"/>
        <v>79.099999999999994</v>
      </c>
      <c r="AI99" s="108">
        <f t="shared" si="18"/>
        <v>0.5</v>
      </c>
    </row>
    <row r="100" spans="1:37" ht="15.75" thickBot="1" x14ac:dyDescent="0.3">
      <c r="A100" s="115" t="s">
        <v>105</v>
      </c>
      <c r="B100" s="95">
        <v>90</v>
      </c>
      <c r="C100" s="95">
        <v>81</v>
      </c>
      <c r="D100" s="95">
        <v>80.3</v>
      </c>
      <c r="E100" s="95">
        <v>74.5</v>
      </c>
      <c r="F100" s="95">
        <v>65.900000000000006</v>
      </c>
      <c r="G100" s="95">
        <v>65.900000000000006</v>
      </c>
      <c r="H100" s="95">
        <v>61.3</v>
      </c>
      <c r="I100" s="95">
        <v>64</v>
      </c>
      <c r="J100" s="95">
        <v>64.599999999999994</v>
      </c>
      <c r="K100" s="95">
        <v>64.599999999999994</v>
      </c>
      <c r="L100" s="95">
        <v>73.3</v>
      </c>
      <c r="M100" s="95">
        <v>77.400000000000006</v>
      </c>
      <c r="N100" s="95">
        <v>83.1</v>
      </c>
      <c r="O100" s="95">
        <v>94.8</v>
      </c>
      <c r="P100" s="95">
        <v>81.400000000000006</v>
      </c>
      <c r="Q100" s="95">
        <v>77.2</v>
      </c>
      <c r="R100" s="95">
        <v>83.4</v>
      </c>
      <c r="S100" s="95">
        <v>87.4</v>
      </c>
      <c r="T100" s="95">
        <v>61.6</v>
      </c>
      <c r="U100" s="95">
        <v>59.9</v>
      </c>
      <c r="V100" s="95">
        <v>59.9</v>
      </c>
      <c r="W100" s="95">
        <v>68.3</v>
      </c>
      <c r="X100" s="95">
        <v>59.7</v>
      </c>
      <c r="Y100" s="95">
        <v>68.3</v>
      </c>
      <c r="Z100" s="95">
        <v>77.400000000000006</v>
      </c>
      <c r="AA100" s="95">
        <v>81.400000000000006</v>
      </c>
      <c r="AB100" s="95">
        <v>82</v>
      </c>
      <c r="AC100" s="95">
        <v>82</v>
      </c>
      <c r="AD100" s="95">
        <v>84</v>
      </c>
      <c r="AE100" s="95">
        <v>81</v>
      </c>
      <c r="AF100" s="95">
        <v>84</v>
      </c>
      <c r="AG100" s="114"/>
      <c r="AH100" s="54">
        <f t="shared" si="17"/>
        <v>94.8</v>
      </c>
      <c r="AI100" s="108">
        <f t="shared" si="18"/>
        <v>0.41666666666666702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9">AF102</f>
        <v>9.9</v>
      </c>
      <c r="C102" s="53">
        <v>9.9</v>
      </c>
      <c r="D102" s="121">
        <f t="shared" ref="D102:S107" si="20">C102</f>
        <v>9.9</v>
      </c>
      <c r="E102" s="121">
        <f t="shared" si="20"/>
        <v>9.9</v>
      </c>
      <c r="F102" s="121">
        <f t="shared" si="20"/>
        <v>9.9</v>
      </c>
      <c r="G102" s="121">
        <f t="shared" si="20"/>
        <v>9.9</v>
      </c>
      <c r="H102" s="121">
        <f t="shared" si="20"/>
        <v>9.9</v>
      </c>
      <c r="I102" s="121">
        <f t="shared" si="20"/>
        <v>9.9</v>
      </c>
      <c r="J102" s="121">
        <f t="shared" si="20"/>
        <v>9.9</v>
      </c>
      <c r="K102" s="121">
        <f t="shared" si="20"/>
        <v>9.9</v>
      </c>
      <c r="L102" s="121">
        <f t="shared" si="20"/>
        <v>9.9</v>
      </c>
      <c r="M102" s="121">
        <f t="shared" si="20"/>
        <v>9.9</v>
      </c>
      <c r="N102" s="121">
        <f t="shared" si="20"/>
        <v>9.9</v>
      </c>
      <c r="O102" s="121">
        <f t="shared" si="20"/>
        <v>9.9</v>
      </c>
      <c r="P102" s="121">
        <f t="shared" si="20"/>
        <v>9.9</v>
      </c>
      <c r="Q102" s="121">
        <f t="shared" si="20"/>
        <v>9.9</v>
      </c>
      <c r="R102" s="121">
        <f t="shared" si="20"/>
        <v>9.9</v>
      </c>
      <c r="S102" s="121">
        <f t="shared" si="20"/>
        <v>9.9</v>
      </c>
      <c r="T102" s="121">
        <f t="shared" ref="T102:AF107" si="21">S102</f>
        <v>9.9</v>
      </c>
      <c r="U102" s="121">
        <f t="shared" si="21"/>
        <v>9.9</v>
      </c>
      <c r="V102" s="121">
        <f t="shared" si="21"/>
        <v>9.9</v>
      </c>
      <c r="W102" s="121">
        <f t="shared" si="21"/>
        <v>9.9</v>
      </c>
      <c r="X102" s="121">
        <f t="shared" si="21"/>
        <v>9.9</v>
      </c>
      <c r="Y102" s="121">
        <f t="shared" si="21"/>
        <v>9.9</v>
      </c>
      <c r="Z102" s="121">
        <f t="shared" si="21"/>
        <v>9.9</v>
      </c>
      <c r="AA102" s="121">
        <f t="shared" si="21"/>
        <v>9.9</v>
      </c>
      <c r="AB102" s="121">
        <f t="shared" si="21"/>
        <v>9.9</v>
      </c>
      <c r="AC102" s="121">
        <f t="shared" si="21"/>
        <v>9.9</v>
      </c>
      <c r="AD102" s="121">
        <f t="shared" si="21"/>
        <v>9.9</v>
      </c>
      <c r="AE102" s="121">
        <f t="shared" si="21"/>
        <v>9.9</v>
      </c>
      <c r="AF102" s="121">
        <f t="shared" si="21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9"/>
        <v>9.6</v>
      </c>
      <c r="C103" s="124">
        <v>9.6</v>
      </c>
      <c r="D103" s="123">
        <f t="shared" si="20"/>
        <v>9.6</v>
      </c>
      <c r="E103" s="123">
        <f t="shared" si="20"/>
        <v>9.6</v>
      </c>
      <c r="F103" s="123">
        <f t="shared" si="20"/>
        <v>9.6</v>
      </c>
      <c r="G103" s="123">
        <f t="shared" si="20"/>
        <v>9.6</v>
      </c>
      <c r="H103" s="123">
        <f t="shared" si="20"/>
        <v>9.6</v>
      </c>
      <c r="I103" s="123">
        <f t="shared" si="20"/>
        <v>9.6</v>
      </c>
      <c r="J103" s="123">
        <f t="shared" si="20"/>
        <v>9.6</v>
      </c>
      <c r="K103" s="123">
        <f t="shared" si="20"/>
        <v>9.6</v>
      </c>
      <c r="L103" s="123">
        <f t="shared" si="20"/>
        <v>9.6</v>
      </c>
      <c r="M103" s="123">
        <f t="shared" si="20"/>
        <v>9.6</v>
      </c>
      <c r="N103" s="123">
        <f t="shared" si="20"/>
        <v>9.6</v>
      </c>
      <c r="O103" s="123">
        <f t="shared" si="20"/>
        <v>9.6</v>
      </c>
      <c r="P103" s="123">
        <f t="shared" si="20"/>
        <v>9.6</v>
      </c>
      <c r="Q103" s="123">
        <f t="shared" si="20"/>
        <v>9.6</v>
      </c>
      <c r="R103" s="123">
        <f t="shared" si="20"/>
        <v>9.6</v>
      </c>
      <c r="S103" s="123">
        <f t="shared" si="20"/>
        <v>9.6</v>
      </c>
      <c r="T103" s="123">
        <f t="shared" si="21"/>
        <v>9.6</v>
      </c>
      <c r="U103" s="123">
        <f t="shared" si="21"/>
        <v>9.6</v>
      </c>
      <c r="V103" s="123">
        <f t="shared" si="21"/>
        <v>9.6</v>
      </c>
      <c r="W103" s="123">
        <f t="shared" si="21"/>
        <v>9.6</v>
      </c>
      <c r="X103" s="123">
        <f t="shared" si="21"/>
        <v>9.6</v>
      </c>
      <c r="Y103" s="123">
        <f t="shared" si="21"/>
        <v>9.6</v>
      </c>
      <c r="Z103" s="123">
        <f t="shared" si="21"/>
        <v>9.6</v>
      </c>
      <c r="AA103" s="123">
        <f t="shared" si="21"/>
        <v>9.6</v>
      </c>
      <c r="AB103" s="123">
        <f t="shared" si="21"/>
        <v>9.6</v>
      </c>
      <c r="AC103" s="123">
        <f t="shared" si="21"/>
        <v>9.6</v>
      </c>
      <c r="AD103" s="123">
        <f t="shared" si="21"/>
        <v>9.6</v>
      </c>
      <c r="AE103" s="123">
        <f t="shared" si="21"/>
        <v>9.6</v>
      </c>
      <c r="AF103" s="123">
        <f t="shared" si="21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9"/>
        <v>9.98</v>
      </c>
      <c r="C104" s="124">
        <v>9.98</v>
      </c>
      <c r="D104" s="123">
        <f t="shared" si="20"/>
        <v>9.98</v>
      </c>
      <c r="E104" s="123">
        <f t="shared" si="20"/>
        <v>9.98</v>
      </c>
      <c r="F104" s="123">
        <f t="shared" si="20"/>
        <v>9.98</v>
      </c>
      <c r="G104" s="123">
        <f t="shared" si="20"/>
        <v>9.98</v>
      </c>
      <c r="H104" s="123">
        <f t="shared" si="20"/>
        <v>9.98</v>
      </c>
      <c r="I104" s="123">
        <f t="shared" si="20"/>
        <v>9.98</v>
      </c>
      <c r="J104" s="123">
        <f t="shared" si="20"/>
        <v>9.98</v>
      </c>
      <c r="K104" s="123">
        <f t="shared" si="20"/>
        <v>9.98</v>
      </c>
      <c r="L104" s="123">
        <f t="shared" si="20"/>
        <v>9.98</v>
      </c>
      <c r="M104" s="123">
        <f t="shared" si="20"/>
        <v>9.98</v>
      </c>
      <c r="N104" s="123">
        <f t="shared" si="20"/>
        <v>9.98</v>
      </c>
      <c r="O104" s="123">
        <f t="shared" si="20"/>
        <v>9.98</v>
      </c>
      <c r="P104" s="123">
        <f t="shared" si="20"/>
        <v>9.98</v>
      </c>
      <c r="Q104" s="123">
        <f t="shared" si="20"/>
        <v>9.98</v>
      </c>
      <c r="R104" s="123">
        <f t="shared" si="20"/>
        <v>9.98</v>
      </c>
      <c r="S104" s="123">
        <f t="shared" si="20"/>
        <v>9.98</v>
      </c>
      <c r="T104" s="123">
        <f t="shared" si="21"/>
        <v>9.98</v>
      </c>
      <c r="U104" s="123">
        <f t="shared" si="21"/>
        <v>9.98</v>
      </c>
      <c r="V104" s="123">
        <f t="shared" si="21"/>
        <v>9.98</v>
      </c>
      <c r="W104" s="123">
        <f t="shared" si="21"/>
        <v>9.98</v>
      </c>
      <c r="X104" s="123">
        <f t="shared" si="21"/>
        <v>9.98</v>
      </c>
      <c r="Y104" s="123">
        <f t="shared" si="21"/>
        <v>9.98</v>
      </c>
      <c r="Z104" s="123">
        <f t="shared" si="21"/>
        <v>9.98</v>
      </c>
      <c r="AA104" s="123">
        <f t="shared" si="21"/>
        <v>9.98</v>
      </c>
      <c r="AB104" s="123">
        <f t="shared" si="21"/>
        <v>9.98</v>
      </c>
      <c r="AC104" s="123">
        <f t="shared" si="21"/>
        <v>9.98</v>
      </c>
      <c r="AD104" s="123">
        <f t="shared" si="21"/>
        <v>9.98</v>
      </c>
      <c r="AE104" s="123">
        <f t="shared" si="21"/>
        <v>9.98</v>
      </c>
      <c r="AF104" s="123">
        <f t="shared" si="21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9"/>
        <v>9.1</v>
      </c>
      <c r="C105" s="124">
        <v>9.1</v>
      </c>
      <c r="D105" s="123">
        <f t="shared" si="20"/>
        <v>9.1</v>
      </c>
      <c r="E105" s="123">
        <f t="shared" si="20"/>
        <v>9.1</v>
      </c>
      <c r="F105" s="123">
        <f t="shared" si="20"/>
        <v>9.1</v>
      </c>
      <c r="G105" s="123">
        <f t="shared" si="20"/>
        <v>9.1</v>
      </c>
      <c r="H105" s="123">
        <f t="shared" si="20"/>
        <v>9.1</v>
      </c>
      <c r="I105" s="123">
        <f t="shared" si="20"/>
        <v>9.1</v>
      </c>
      <c r="J105" s="123">
        <f t="shared" si="20"/>
        <v>9.1</v>
      </c>
      <c r="K105" s="123">
        <f t="shared" si="20"/>
        <v>9.1</v>
      </c>
      <c r="L105" s="123">
        <f t="shared" si="20"/>
        <v>9.1</v>
      </c>
      <c r="M105" s="123">
        <f t="shared" si="20"/>
        <v>9.1</v>
      </c>
      <c r="N105" s="123">
        <f t="shared" si="20"/>
        <v>9.1</v>
      </c>
      <c r="O105" s="123">
        <f t="shared" si="20"/>
        <v>9.1</v>
      </c>
      <c r="P105" s="123">
        <f t="shared" si="20"/>
        <v>9.1</v>
      </c>
      <c r="Q105" s="123">
        <f t="shared" si="20"/>
        <v>9.1</v>
      </c>
      <c r="R105" s="123">
        <f t="shared" si="20"/>
        <v>9.1</v>
      </c>
      <c r="S105" s="123">
        <f t="shared" si="20"/>
        <v>9.1</v>
      </c>
      <c r="T105" s="123">
        <f t="shared" si="21"/>
        <v>9.1</v>
      </c>
      <c r="U105" s="123">
        <f t="shared" si="21"/>
        <v>9.1</v>
      </c>
      <c r="V105" s="123">
        <f t="shared" si="21"/>
        <v>9.1</v>
      </c>
      <c r="W105" s="123">
        <f t="shared" si="21"/>
        <v>9.1</v>
      </c>
      <c r="X105" s="123">
        <f t="shared" si="21"/>
        <v>9.1</v>
      </c>
      <c r="Y105" s="123">
        <f t="shared" si="21"/>
        <v>9.1</v>
      </c>
      <c r="Z105" s="123">
        <f t="shared" si="21"/>
        <v>9.1</v>
      </c>
      <c r="AA105" s="123">
        <f t="shared" si="21"/>
        <v>9.1</v>
      </c>
      <c r="AB105" s="123">
        <f t="shared" si="21"/>
        <v>9.1</v>
      </c>
      <c r="AC105" s="123">
        <f t="shared" si="21"/>
        <v>9.1</v>
      </c>
      <c r="AD105" s="123">
        <f t="shared" si="21"/>
        <v>9.1</v>
      </c>
      <c r="AE105" s="123">
        <f t="shared" si="21"/>
        <v>9.1</v>
      </c>
      <c r="AF105" s="123">
        <f t="shared" si="21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9"/>
        <v>9.18</v>
      </c>
      <c r="C106" s="124">
        <v>9.18</v>
      </c>
      <c r="D106" s="123">
        <f t="shared" si="20"/>
        <v>9.18</v>
      </c>
      <c r="E106" s="123">
        <f t="shared" si="20"/>
        <v>9.18</v>
      </c>
      <c r="F106" s="123">
        <f t="shared" si="20"/>
        <v>9.18</v>
      </c>
      <c r="G106" s="123">
        <f t="shared" si="20"/>
        <v>9.18</v>
      </c>
      <c r="H106" s="123">
        <f t="shared" si="20"/>
        <v>9.18</v>
      </c>
      <c r="I106" s="123">
        <f t="shared" si="20"/>
        <v>9.18</v>
      </c>
      <c r="J106" s="123">
        <f t="shared" si="20"/>
        <v>9.18</v>
      </c>
      <c r="K106" s="123">
        <f t="shared" si="20"/>
        <v>9.18</v>
      </c>
      <c r="L106" s="123">
        <f t="shared" si="20"/>
        <v>9.18</v>
      </c>
      <c r="M106" s="123">
        <f t="shared" si="20"/>
        <v>9.18</v>
      </c>
      <c r="N106" s="123">
        <f t="shared" si="20"/>
        <v>9.18</v>
      </c>
      <c r="O106" s="123">
        <f t="shared" si="20"/>
        <v>9.18</v>
      </c>
      <c r="P106" s="123">
        <f t="shared" si="20"/>
        <v>9.18</v>
      </c>
      <c r="Q106" s="123">
        <f t="shared" si="20"/>
        <v>9.18</v>
      </c>
      <c r="R106" s="123">
        <f t="shared" si="20"/>
        <v>9.18</v>
      </c>
      <c r="S106" s="123">
        <f t="shared" si="20"/>
        <v>9.18</v>
      </c>
      <c r="T106" s="123">
        <f t="shared" si="21"/>
        <v>9.18</v>
      </c>
      <c r="U106" s="123">
        <f t="shared" si="21"/>
        <v>9.18</v>
      </c>
      <c r="V106" s="123">
        <f t="shared" si="21"/>
        <v>9.18</v>
      </c>
      <c r="W106" s="123">
        <f t="shared" si="21"/>
        <v>9.18</v>
      </c>
      <c r="X106" s="123">
        <f t="shared" si="21"/>
        <v>9.18</v>
      </c>
      <c r="Y106" s="123">
        <f t="shared" si="21"/>
        <v>9.18</v>
      </c>
      <c r="Z106" s="123">
        <f t="shared" si="21"/>
        <v>9.18</v>
      </c>
      <c r="AA106" s="123">
        <f t="shared" si="21"/>
        <v>9.18</v>
      </c>
      <c r="AB106" s="123">
        <f t="shared" si="21"/>
        <v>9.18</v>
      </c>
      <c r="AC106" s="123">
        <f t="shared" si="21"/>
        <v>9.18</v>
      </c>
      <c r="AD106" s="123">
        <f t="shared" si="21"/>
        <v>9.18</v>
      </c>
      <c r="AE106" s="123">
        <f t="shared" si="21"/>
        <v>9.18</v>
      </c>
      <c r="AF106" s="123">
        <f t="shared" si="21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9"/>
        <v>7</v>
      </c>
      <c r="C107" s="124">
        <v>7</v>
      </c>
      <c r="D107" s="123">
        <f t="shared" si="20"/>
        <v>7</v>
      </c>
      <c r="E107" s="123">
        <f t="shared" si="20"/>
        <v>7</v>
      </c>
      <c r="F107" s="123">
        <f t="shared" si="20"/>
        <v>7</v>
      </c>
      <c r="G107" s="123">
        <f t="shared" si="20"/>
        <v>7</v>
      </c>
      <c r="H107" s="123">
        <f t="shared" si="20"/>
        <v>7</v>
      </c>
      <c r="I107" s="123">
        <f t="shared" si="20"/>
        <v>7</v>
      </c>
      <c r="J107" s="123">
        <f t="shared" si="20"/>
        <v>7</v>
      </c>
      <c r="K107" s="123">
        <f t="shared" si="20"/>
        <v>7</v>
      </c>
      <c r="L107" s="123">
        <f t="shared" si="20"/>
        <v>7</v>
      </c>
      <c r="M107" s="123">
        <f t="shared" si="20"/>
        <v>7</v>
      </c>
      <c r="N107" s="123">
        <f t="shared" si="20"/>
        <v>7</v>
      </c>
      <c r="O107" s="123">
        <f t="shared" si="20"/>
        <v>7</v>
      </c>
      <c r="P107" s="123">
        <f t="shared" si="20"/>
        <v>7</v>
      </c>
      <c r="Q107" s="123">
        <f t="shared" si="20"/>
        <v>7</v>
      </c>
      <c r="R107" s="123">
        <f t="shared" si="20"/>
        <v>7</v>
      </c>
      <c r="S107" s="123">
        <f t="shared" si="20"/>
        <v>7</v>
      </c>
      <c r="T107" s="123">
        <f t="shared" si="21"/>
        <v>7</v>
      </c>
      <c r="U107" s="123">
        <f t="shared" si="21"/>
        <v>7</v>
      </c>
      <c r="V107" s="123">
        <f t="shared" si="21"/>
        <v>7</v>
      </c>
      <c r="W107" s="123">
        <f t="shared" si="21"/>
        <v>7</v>
      </c>
      <c r="X107" s="123">
        <f t="shared" si="21"/>
        <v>7</v>
      </c>
      <c r="Y107" s="123">
        <f t="shared" si="21"/>
        <v>7</v>
      </c>
      <c r="Z107" s="123">
        <f t="shared" si="21"/>
        <v>7</v>
      </c>
      <c r="AA107" s="123">
        <f t="shared" si="21"/>
        <v>7</v>
      </c>
      <c r="AB107" s="123">
        <f t="shared" si="21"/>
        <v>7</v>
      </c>
      <c r="AC107" s="123">
        <f t="shared" si="21"/>
        <v>7</v>
      </c>
      <c r="AD107" s="123">
        <f t="shared" si="21"/>
        <v>7</v>
      </c>
      <c r="AE107" s="123">
        <f t="shared" si="21"/>
        <v>7</v>
      </c>
      <c r="AF107" s="123">
        <f t="shared" si="21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2">C109</f>
        <v>2.25</v>
      </c>
      <c r="E109" s="123">
        <f t="shared" si="22"/>
        <v>2.25</v>
      </c>
      <c r="F109" s="123">
        <f t="shared" si="22"/>
        <v>2.25</v>
      </c>
      <c r="G109" s="123">
        <f t="shared" si="22"/>
        <v>2.25</v>
      </c>
      <c r="H109" s="123">
        <f t="shared" si="22"/>
        <v>2.25</v>
      </c>
      <c r="I109" s="123">
        <f t="shared" si="22"/>
        <v>2.25</v>
      </c>
      <c r="J109" s="123">
        <f t="shared" si="22"/>
        <v>2.25</v>
      </c>
      <c r="K109" s="123">
        <f t="shared" si="22"/>
        <v>2.25</v>
      </c>
      <c r="L109" s="123">
        <f t="shared" si="22"/>
        <v>2.25</v>
      </c>
      <c r="M109" s="123">
        <f t="shared" si="22"/>
        <v>2.25</v>
      </c>
      <c r="N109" s="123">
        <f t="shared" si="22"/>
        <v>2.25</v>
      </c>
      <c r="O109" s="123">
        <f t="shared" si="22"/>
        <v>2.25</v>
      </c>
      <c r="P109" s="123">
        <f t="shared" si="22"/>
        <v>2.25</v>
      </c>
      <c r="Q109" s="123">
        <f t="shared" si="22"/>
        <v>2.25</v>
      </c>
      <c r="R109" s="123">
        <f t="shared" si="22"/>
        <v>2.25</v>
      </c>
      <c r="S109" s="123">
        <f t="shared" si="22"/>
        <v>2.25</v>
      </c>
      <c r="T109" s="123">
        <f t="shared" ref="T109:AF110" si="23">S109</f>
        <v>2.25</v>
      </c>
      <c r="U109" s="123">
        <f t="shared" si="23"/>
        <v>2.25</v>
      </c>
      <c r="V109" s="123">
        <f t="shared" si="23"/>
        <v>2.25</v>
      </c>
      <c r="W109" s="123">
        <f t="shared" si="23"/>
        <v>2.25</v>
      </c>
      <c r="X109" s="123">
        <f t="shared" si="23"/>
        <v>2.25</v>
      </c>
      <c r="Y109" s="123">
        <f t="shared" si="23"/>
        <v>2.25</v>
      </c>
      <c r="Z109" s="123">
        <f t="shared" si="23"/>
        <v>2.25</v>
      </c>
      <c r="AA109" s="123">
        <f t="shared" si="23"/>
        <v>2.25</v>
      </c>
      <c r="AB109" s="123">
        <f t="shared" si="23"/>
        <v>2.25</v>
      </c>
      <c r="AC109" s="123">
        <f t="shared" si="23"/>
        <v>2.25</v>
      </c>
      <c r="AD109" s="123">
        <f t="shared" si="23"/>
        <v>2.25</v>
      </c>
      <c r="AE109" s="123">
        <f t="shared" si="23"/>
        <v>2.25</v>
      </c>
      <c r="AF109" s="123">
        <f t="shared" si="23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2"/>
        <v>1.64</v>
      </c>
      <c r="E110" s="123">
        <f t="shared" si="22"/>
        <v>1.64</v>
      </c>
      <c r="F110" s="123">
        <f t="shared" si="22"/>
        <v>1.64</v>
      </c>
      <c r="G110" s="123">
        <f t="shared" si="22"/>
        <v>1.64</v>
      </c>
      <c r="H110" s="123">
        <f t="shared" si="22"/>
        <v>1.64</v>
      </c>
      <c r="I110" s="123">
        <f t="shared" si="22"/>
        <v>1.64</v>
      </c>
      <c r="J110" s="123">
        <f t="shared" si="22"/>
        <v>1.64</v>
      </c>
      <c r="K110" s="123">
        <f t="shared" si="22"/>
        <v>1.64</v>
      </c>
      <c r="L110" s="123">
        <f t="shared" si="22"/>
        <v>1.64</v>
      </c>
      <c r="M110" s="123">
        <f t="shared" si="22"/>
        <v>1.64</v>
      </c>
      <c r="N110" s="123">
        <f t="shared" si="22"/>
        <v>1.64</v>
      </c>
      <c r="O110" s="123">
        <f t="shared" si="22"/>
        <v>1.64</v>
      </c>
      <c r="P110" s="123">
        <f t="shared" si="22"/>
        <v>1.64</v>
      </c>
      <c r="Q110" s="123">
        <f t="shared" si="22"/>
        <v>1.64</v>
      </c>
      <c r="R110" s="123">
        <f t="shared" si="22"/>
        <v>1.64</v>
      </c>
      <c r="S110" s="123">
        <f t="shared" si="22"/>
        <v>1.64</v>
      </c>
      <c r="T110" s="123">
        <f t="shared" si="23"/>
        <v>1.64</v>
      </c>
      <c r="U110" s="123">
        <f t="shared" si="23"/>
        <v>1.64</v>
      </c>
      <c r="V110" s="123">
        <f t="shared" si="23"/>
        <v>1.64</v>
      </c>
      <c r="W110" s="123">
        <f t="shared" si="23"/>
        <v>1.64</v>
      </c>
      <c r="X110" s="123">
        <f t="shared" si="23"/>
        <v>1.64</v>
      </c>
      <c r="Y110" s="123">
        <f t="shared" si="23"/>
        <v>1.64</v>
      </c>
      <c r="Z110" s="123">
        <f t="shared" si="23"/>
        <v>1.64</v>
      </c>
      <c r="AA110" s="123">
        <f t="shared" si="23"/>
        <v>1.64</v>
      </c>
      <c r="AB110" s="123">
        <f t="shared" si="23"/>
        <v>1.64</v>
      </c>
      <c r="AC110" s="123">
        <f t="shared" si="23"/>
        <v>1.64</v>
      </c>
      <c r="AD110" s="123">
        <f t="shared" si="23"/>
        <v>1.64</v>
      </c>
      <c r="AE110" s="123">
        <f t="shared" si="23"/>
        <v>1.64</v>
      </c>
      <c r="AF110" s="123">
        <f t="shared" si="23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4">AF112</f>
        <v>1.62</v>
      </c>
      <c r="C112" s="124">
        <v>1.62</v>
      </c>
      <c r="D112" s="123">
        <f t="shared" ref="D112:S119" si="25">C112</f>
        <v>1.62</v>
      </c>
      <c r="E112" s="123">
        <f t="shared" si="25"/>
        <v>1.62</v>
      </c>
      <c r="F112" s="123">
        <f t="shared" si="25"/>
        <v>1.62</v>
      </c>
      <c r="G112" s="123">
        <f t="shared" si="25"/>
        <v>1.62</v>
      </c>
      <c r="H112" s="123">
        <f t="shared" si="25"/>
        <v>1.62</v>
      </c>
      <c r="I112" s="123">
        <f t="shared" si="25"/>
        <v>1.62</v>
      </c>
      <c r="J112" s="123">
        <f t="shared" si="25"/>
        <v>1.62</v>
      </c>
      <c r="K112" s="123">
        <f t="shared" si="25"/>
        <v>1.62</v>
      </c>
      <c r="L112" s="123">
        <f t="shared" si="25"/>
        <v>1.62</v>
      </c>
      <c r="M112" s="123">
        <f t="shared" si="25"/>
        <v>1.62</v>
      </c>
      <c r="N112" s="123">
        <f t="shared" si="25"/>
        <v>1.62</v>
      </c>
      <c r="O112" s="123">
        <f t="shared" si="25"/>
        <v>1.62</v>
      </c>
      <c r="P112" s="123">
        <f t="shared" si="25"/>
        <v>1.62</v>
      </c>
      <c r="Q112" s="123">
        <f t="shared" si="25"/>
        <v>1.62</v>
      </c>
      <c r="R112" s="123">
        <f t="shared" si="25"/>
        <v>1.62</v>
      </c>
      <c r="S112" s="123">
        <f t="shared" si="25"/>
        <v>1.62</v>
      </c>
      <c r="T112" s="123">
        <f t="shared" ref="T112:AF127" si="26">S112</f>
        <v>1.62</v>
      </c>
      <c r="U112" s="123">
        <f t="shared" si="26"/>
        <v>1.62</v>
      </c>
      <c r="V112" s="123">
        <f t="shared" si="26"/>
        <v>1.62</v>
      </c>
      <c r="W112" s="123">
        <f t="shared" si="26"/>
        <v>1.62</v>
      </c>
      <c r="X112" s="123">
        <f t="shared" si="26"/>
        <v>1.62</v>
      </c>
      <c r="Y112" s="123">
        <f t="shared" si="26"/>
        <v>1.62</v>
      </c>
      <c r="Z112" s="123">
        <f t="shared" si="26"/>
        <v>1.62</v>
      </c>
      <c r="AA112" s="123">
        <f t="shared" si="26"/>
        <v>1.62</v>
      </c>
      <c r="AB112" s="123">
        <f t="shared" si="26"/>
        <v>1.62</v>
      </c>
      <c r="AC112" s="123">
        <f t="shared" si="26"/>
        <v>1.62</v>
      </c>
      <c r="AD112" s="123">
        <f t="shared" si="26"/>
        <v>1.62</v>
      </c>
      <c r="AE112" s="123">
        <f t="shared" si="26"/>
        <v>1.62</v>
      </c>
      <c r="AF112" s="123">
        <f t="shared" si="26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4"/>
        <v>8.36</v>
      </c>
      <c r="C113" s="124">
        <v>8.36</v>
      </c>
      <c r="D113" s="123">
        <f t="shared" si="25"/>
        <v>8.36</v>
      </c>
      <c r="E113" s="123">
        <f t="shared" si="25"/>
        <v>8.36</v>
      </c>
      <c r="F113" s="123">
        <f t="shared" si="25"/>
        <v>8.36</v>
      </c>
      <c r="G113" s="123">
        <f t="shared" si="25"/>
        <v>8.36</v>
      </c>
      <c r="H113" s="123">
        <f t="shared" si="25"/>
        <v>8.36</v>
      </c>
      <c r="I113" s="123">
        <f t="shared" si="25"/>
        <v>8.36</v>
      </c>
      <c r="J113" s="123">
        <f t="shared" si="25"/>
        <v>8.36</v>
      </c>
      <c r="K113" s="123">
        <f t="shared" si="25"/>
        <v>8.36</v>
      </c>
      <c r="L113" s="123">
        <f t="shared" si="25"/>
        <v>8.36</v>
      </c>
      <c r="M113" s="123">
        <f t="shared" si="25"/>
        <v>8.36</v>
      </c>
      <c r="N113" s="123">
        <f t="shared" si="25"/>
        <v>8.36</v>
      </c>
      <c r="O113" s="123">
        <f t="shared" si="25"/>
        <v>8.36</v>
      </c>
      <c r="P113" s="123">
        <f t="shared" si="25"/>
        <v>8.36</v>
      </c>
      <c r="Q113" s="123">
        <f t="shared" si="25"/>
        <v>8.36</v>
      </c>
      <c r="R113" s="123">
        <f t="shared" si="25"/>
        <v>8.36</v>
      </c>
      <c r="S113" s="123">
        <f t="shared" si="25"/>
        <v>8.36</v>
      </c>
      <c r="T113" s="123">
        <f t="shared" si="26"/>
        <v>8.36</v>
      </c>
      <c r="U113" s="123">
        <f t="shared" si="26"/>
        <v>8.36</v>
      </c>
      <c r="V113" s="123">
        <f t="shared" si="26"/>
        <v>8.36</v>
      </c>
      <c r="W113" s="123">
        <f t="shared" si="26"/>
        <v>8.36</v>
      </c>
      <c r="X113" s="123">
        <f t="shared" si="26"/>
        <v>8.36</v>
      </c>
      <c r="Y113" s="123">
        <f t="shared" si="26"/>
        <v>8.36</v>
      </c>
      <c r="Z113" s="123">
        <f t="shared" si="26"/>
        <v>8.36</v>
      </c>
      <c r="AA113" s="123">
        <f t="shared" si="26"/>
        <v>8.36</v>
      </c>
      <c r="AB113" s="123">
        <f t="shared" si="26"/>
        <v>8.36</v>
      </c>
      <c r="AC113" s="123">
        <f t="shared" si="26"/>
        <v>8.36</v>
      </c>
      <c r="AD113" s="123">
        <f t="shared" si="26"/>
        <v>8.36</v>
      </c>
      <c r="AE113" s="123">
        <f t="shared" si="26"/>
        <v>8.36</v>
      </c>
      <c r="AF113" s="123">
        <f t="shared" si="26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4"/>
        <v>5.4</v>
      </c>
      <c r="C114" s="124">
        <v>8</v>
      </c>
      <c r="D114" s="123">
        <f t="shared" si="25"/>
        <v>8</v>
      </c>
      <c r="E114" s="123">
        <f t="shared" si="25"/>
        <v>8</v>
      </c>
      <c r="F114" s="123">
        <f t="shared" si="25"/>
        <v>8</v>
      </c>
      <c r="G114" s="123">
        <f t="shared" si="25"/>
        <v>8</v>
      </c>
      <c r="H114" s="123">
        <f t="shared" si="25"/>
        <v>8</v>
      </c>
      <c r="I114" s="123">
        <f t="shared" si="25"/>
        <v>8</v>
      </c>
      <c r="J114" s="123">
        <v>5.4</v>
      </c>
      <c r="K114" s="123">
        <f t="shared" si="25"/>
        <v>5.4</v>
      </c>
      <c r="L114" s="123">
        <f t="shared" si="25"/>
        <v>5.4</v>
      </c>
      <c r="M114" s="123">
        <f t="shared" si="25"/>
        <v>5.4</v>
      </c>
      <c r="N114" s="123">
        <f t="shared" si="25"/>
        <v>5.4</v>
      </c>
      <c r="O114" s="123">
        <f t="shared" si="25"/>
        <v>5.4</v>
      </c>
      <c r="P114" s="123">
        <f t="shared" si="25"/>
        <v>5.4</v>
      </c>
      <c r="Q114" s="123">
        <f t="shared" si="25"/>
        <v>5.4</v>
      </c>
      <c r="R114" s="123">
        <f t="shared" si="25"/>
        <v>5.4</v>
      </c>
      <c r="S114" s="123">
        <f t="shared" si="25"/>
        <v>5.4</v>
      </c>
      <c r="T114" s="123">
        <f t="shared" si="26"/>
        <v>5.4</v>
      </c>
      <c r="U114" s="123">
        <f t="shared" si="26"/>
        <v>5.4</v>
      </c>
      <c r="V114" s="123">
        <f t="shared" si="26"/>
        <v>5.4</v>
      </c>
      <c r="W114" s="123">
        <f t="shared" si="26"/>
        <v>5.4</v>
      </c>
      <c r="X114" s="123">
        <f t="shared" si="26"/>
        <v>5.4</v>
      </c>
      <c r="Y114" s="123">
        <f t="shared" si="26"/>
        <v>5.4</v>
      </c>
      <c r="Z114" s="123">
        <f t="shared" si="26"/>
        <v>5.4</v>
      </c>
      <c r="AA114" s="123">
        <f t="shared" si="26"/>
        <v>5.4</v>
      </c>
      <c r="AB114" s="123">
        <f t="shared" si="26"/>
        <v>5.4</v>
      </c>
      <c r="AC114" s="123">
        <f t="shared" si="26"/>
        <v>5.4</v>
      </c>
      <c r="AD114" s="123">
        <f t="shared" si="26"/>
        <v>5.4</v>
      </c>
      <c r="AE114" s="123">
        <f t="shared" si="26"/>
        <v>5.4</v>
      </c>
      <c r="AF114" s="123">
        <f t="shared" si="26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4"/>
        <v>6.57</v>
      </c>
      <c r="C115" s="124">
        <v>6.57</v>
      </c>
      <c r="D115" s="123">
        <f t="shared" si="25"/>
        <v>6.57</v>
      </c>
      <c r="E115" s="123">
        <f t="shared" si="25"/>
        <v>6.57</v>
      </c>
      <c r="F115" s="123">
        <f t="shared" si="25"/>
        <v>6.57</v>
      </c>
      <c r="G115" s="123">
        <f t="shared" si="25"/>
        <v>6.57</v>
      </c>
      <c r="H115" s="123">
        <f t="shared" si="25"/>
        <v>6.57</v>
      </c>
      <c r="I115" s="123">
        <f t="shared" si="25"/>
        <v>6.57</v>
      </c>
      <c r="J115" s="123">
        <f t="shared" si="25"/>
        <v>6.57</v>
      </c>
      <c r="K115" s="123">
        <f t="shared" si="25"/>
        <v>6.57</v>
      </c>
      <c r="L115" s="123">
        <f t="shared" si="25"/>
        <v>6.57</v>
      </c>
      <c r="M115" s="123">
        <f t="shared" si="25"/>
        <v>6.57</v>
      </c>
      <c r="N115" s="123">
        <f t="shared" si="25"/>
        <v>6.57</v>
      </c>
      <c r="O115" s="123">
        <f t="shared" si="25"/>
        <v>6.57</v>
      </c>
      <c r="P115" s="123">
        <f t="shared" si="25"/>
        <v>6.57</v>
      </c>
      <c r="Q115" s="123">
        <f t="shared" si="25"/>
        <v>6.57</v>
      </c>
      <c r="R115" s="123">
        <f t="shared" si="25"/>
        <v>6.57</v>
      </c>
      <c r="S115" s="123">
        <f t="shared" si="25"/>
        <v>6.57</v>
      </c>
      <c r="T115" s="123">
        <f t="shared" si="26"/>
        <v>6.57</v>
      </c>
      <c r="U115" s="123">
        <f t="shared" si="26"/>
        <v>6.57</v>
      </c>
      <c r="V115" s="123">
        <f t="shared" si="26"/>
        <v>6.57</v>
      </c>
      <c r="W115" s="123">
        <f t="shared" si="26"/>
        <v>6.57</v>
      </c>
      <c r="X115" s="123">
        <f t="shared" si="26"/>
        <v>6.57</v>
      </c>
      <c r="Y115" s="123">
        <f t="shared" si="26"/>
        <v>6.57</v>
      </c>
      <c r="Z115" s="123">
        <f t="shared" si="26"/>
        <v>6.57</v>
      </c>
      <c r="AA115" s="123">
        <f t="shared" si="26"/>
        <v>6.57</v>
      </c>
      <c r="AB115" s="123">
        <f t="shared" si="26"/>
        <v>6.57</v>
      </c>
      <c r="AC115" s="123">
        <f t="shared" si="26"/>
        <v>6.57</v>
      </c>
      <c r="AD115" s="123">
        <f t="shared" si="26"/>
        <v>6.57</v>
      </c>
      <c r="AE115" s="123">
        <f t="shared" si="26"/>
        <v>6.57</v>
      </c>
      <c r="AF115" s="123">
        <f t="shared" si="26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4"/>
        <v>3.43</v>
      </c>
      <c r="C116" s="124">
        <v>3.43</v>
      </c>
      <c r="D116" s="123">
        <f t="shared" si="25"/>
        <v>3.43</v>
      </c>
      <c r="E116" s="123">
        <f t="shared" si="25"/>
        <v>3.43</v>
      </c>
      <c r="F116" s="123">
        <f t="shared" si="25"/>
        <v>3.43</v>
      </c>
      <c r="G116" s="123">
        <f t="shared" si="25"/>
        <v>3.43</v>
      </c>
      <c r="H116" s="123">
        <f t="shared" si="25"/>
        <v>3.43</v>
      </c>
      <c r="I116" s="123">
        <f t="shared" si="25"/>
        <v>3.43</v>
      </c>
      <c r="J116" s="123">
        <f t="shared" si="25"/>
        <v>3.43</v>
      </c>
      <c r="K116" s="123">
        <f t="shared" si="25"/>
        <v>3.43</v>
      </c>
      <c r="L116" s="123">
        <f t="shared" si="25"/>
        <v>3.43</v>
      </c>
      <c r="M116" s="123">
        <f t="shared" si="25"/>
        <v>3.43</v>
      </c>
      <c r="N116" s="123">
        <f t="shared" si="25"/>
        <v>3.43</v>
      </c>
      <c r="O116" s="123">
        <f t="shared" si="25"/>
        <v>3.43</v>
      </c>
      <c r="P116" s="123">
        <f t="shared" si="25"/>
        <v>3.43</v>
      </c>
      <c r="Q116" s="123">
        <f t="shared" si="25"/>
        <v>3.43</v>
      </c>
      <c r="R116" s="123">
        <f t="shared" si="25"/>
        <v>3.43</v>
      </c>
      <c r="S116" s="123">
        <f t="shared" si="25"/>
        <v>3.43</v>
      </c>
      <c r="T116" s="123">
        <f t="shared" si="26"/>
        <v>3.43</v>
      </c>
      <c r="U116" s="123">
        <f t="shared" si="26"/>
        <v>3.43</v>
      </c>
      <c r="V116" s="123">
        <f t="shared" si="26"/>
        <v>3.43</v>
      </c>
      <c r="W116" s="123">
        <f t="shared" si="26"/>
        <v>3.43</v>
      </c>
      <c r="X116" s="123">
        <f t="shared" si="26"/>
        <v>3.43</v>
      </c>
      <c r="Y116" s="123">
        <f t="shared" si="26"/>
        <v>3.43</v>
      </c>
      <c r="Z116" s="123">
        <f t="shared" si="26"/>
        <v>3.43</v>
      </c>
      <c r="AA116" s="123">
        <f t="shared" si="26"/>
        <v>3.43</v>
      </c>
      <c r="AB116" s="123">
        <f t="shared" si="26"/>
        <v>3.43</v>
      </c>
      <c r="AC116" s="123">
        <f t="shared" si="26"/>
        <v>3.43</v>
      </c>
      <c r="AD116" s="123">
        <f t="shared" si="26"/>
        <v>3.43</v>
      </c>
      <c r="AE116" s="123">
        <f t="shared" si="26"/>
        <v>3.43</v>
      </c>
      <c r="AF116" s="123">
        <f t="shared" si="26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4"/>
        <v>2.96</v>
      </c>
      <c r="C117" s="124">
        <v>2.96</v>
      </c>
      <c r="D117" s="123">
        <f t="shared" si="25"/>
        <v>2.96</v>
      </c>
      <c r="E117" s="123">
        <f t="shared" si="25"/>
        <v>2.96</v>
      </c>
      <c r="F117" s="123">
        <f t="shared" si="25"/>
        <v>2.96</v>
      </c>
      <c r="G117" s="123">
        <f t="shared" si="25"/>
        <v>2.96</v>
      </c>
      <c r="H117" s="123">
        <f t="shared" si="25"/>
        <v>2.96</v>
      </c>
      <c r="I117" s="123">
        <f t="shared" si="25"/>
        <v>2.96</v>
      </c>
      <c r="J117" s="123">
        <f t="shared" si="25"/>
        <v>2.96</v>
      </c>
      <c r="K117" s="123">
        <f t="shared" si="25"/>
        <v>2.96</v>
      </c>
      <c r="L117" s="123">
        <f t="shared" si="25"/>
        <v>2.96</v>
      </c>
      <c r="M117" s="123">
        <f t="shared" si="25"/>
        <v>2.96</v>
      </c>
      <c r="N117" s="123">
        <f t="shared" si="25"/>
        <v>2.96</v>
      </c>
      <c r="O117" s="123">
        <f t="shared" si="25"/>
        <v>2.96</v>
      </c>
      <c r="P117" s="123">
        <f t="shared" si="25"/>
        <v>2.96</v>
      </c>
      <c r="Q117" s="123">
        <f t="shared" si="25"/>
        <v>2.96</v>
      </c>
      <c r="R117" s="123">
        <f t="shared" si="25"/>
        <v>2.96</v>
      </c>
      <c r="S117" s="123">
        <f t="shared" si="25"/>
        <v>2.96</v>
      </c>
      <c r="T117" s="123">
        <f t="shared" si="26"/>
        <v>2.96</v>
      </c>
      <c r="U117" s="123">
        <f t="shared" si="26"/>
        <v>2.96</v>
      </c>
      <c r="V117" s="123">
        <f t="shared" si="26"/>
        <v>2.96</v>
      </c>
      <c r="W117" s="123">
        <f t="shared" si="26"/>
        <v>2.96</v>
      </c>
      <c r="X117" s="123">
        <f t="shared" si="26"/>
        <v>2.96</v>
      </c>
      <c r="Y117" s="123">
        <f t="shared" si="26"/>
        <v>2.96</v>
      </c>
      <c r="Z117" s="123">
        <f t="shared" si="26"/>
        <v>2.96</v>
      </c>
      <c r="AA117" s="123">
        <f t="shared" si="26"/>
        <v>2.96</v>
      </c>
      <c r="AB117" s="123">
        <f t="shared" si="26"/>
        <v>2.96</v>
      </c>
      <c r="AC117" s="123">
        <f t="shared" si="26"/>
        <v>2.96</v>
      </c>
      <c r="AD117" s="123">
        <f t="shared" si="26"/>
        <v>2.96</v>
      </c>
      <c r="AE117" s="123">
        <f t="shared" si="26"/>
        <v>2.96</v>
      </c>
      <c r="AF117" s="123">
        <f t="shared" si="26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4"/>
        <v>8</v>
      </c>
      <c r="C118" s="124">
        <v>8</v>
      </c>
      <c r="D118" s="123">
        <f t="shared" si="25"/>
        <v>8</v>
      </c>
      <c r="E118" s="123">
        <f t="shared" si="25"/>
        <v>8</v>
      </c>
      <c r="F118" s="123">
        <f t="shared" si="25"/>
        <v>8</v>
      </c>
      <c r="G118" s="123">
        <f t="shared" si="25"/>
        <v>8</v>
      </c>
      <c r="H118" s="123">
        <f t="shared" si="25"/>
        <v>8</v>
      </c>
      <c r="I118" s="123">
        <f t="shared" si="25"/>
        <v>8</v>
      </c>
      <c r="J118" s="123">
        <f t="shared" si="25"/>
        <v>8</v>
      </c>
      <c r="K118" s="123">
        <f t="shared" si="25"/>
        <v>8</v>
      </c>
      <c r="L118" s="123">
        <f t="shared" si="25"/>
        <v>8</v>
      </c>
      <c r="M118" s="123">
        <f t="shared" si="25"/>
        <v>8</v>
      </c>
      <c r="N118" s="123">
        <f t="shared" si="25"/>
        <v>8</v>
      </c>
      <c r="O118" s="123">
        <f t="shared" si="25"/>
        <v>8</v>
      </c>
      <c r="P118" s="123">
        <f t="shared" si="25"/>
        <v>8</v>
      </c>
      <c r="Q118" s="123">
        <f t="shared" si="25"/>
        <v>8</v>
      </c>
      <c r="R118" s="123">
        <f t="shared" si="25"/>
        <v>8</v>
      </c>
      <c r="S118" s="123">
        <f t="shared" si="25"/>
        <v>8</v>
      </c>
      <c r="T118" s="123">
        <f t="shared" si="26"/>
        <v>8</v>
      </c>
      <c r="U118" s="123">
        <f t="shared" si="26"/>
        <v>8</v>
      </c>
      <c r="V118" s="123">
        <f t="shared" si="26"/>
        <v>8</v>
      </c>
      <c r="W118" s="123">
        <f t="shared" si="26"/>
        <v>8</v>
      </c>
      <c r="X118" s="123">
        <f t="shared" si="26"/>
        <v>8</v>
      </c>
      <c r="Y118" s="123">
        <f t="shared" si="26"/>
        <v>8</v>
      </c>
      <c r="Z118" s="123">
        <f t="shared" si="26"/>
        <v>8</v>
      </c>
      <c r="AA118" s="123">
        <f t="shared" si="26"/>
        <v>8</v>
      </c>
      <c r="AB118" s="123">
        <f t="shared" si="26"/>
        <v>8</v>
      </c>
      <c r="AC118" s="123">
        <f t="shared" si="26"/>
        <v>8</v>
      </c>
      <c r="AD118" s="123">
        <f t="shared" si="26"/>
        <v>8</v>
      </c>
      <c r="AE118" s="123">
        <f t="shared" si="26"/>
        <v>8</v>
      </c>
      <c r="AF118" s="123">
        <f t="shared" si="26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4"/>
        <v>7</v>
      </c>
      <c r="C119" s="124">
        <v>7</v>
      </c>
      <c r="D119" s="123">
        <f>C119</f>
        <v>7</v>
      </c>
      <c r="E119" s="123">
        <f t="shared" si="25"/>
        <v>7</v>
      </c>
      <c r="F119" s="123">
        <f t="shared" si="25"/>
        <v>7</v>
      </c>
      <c r="G119" s="123">
        <f t="shared" si="25"/>
        <v>7</v>
      </c>
      <c r="H119" s="123">
        <f t="shared" si="25"/>
        <v>7</v>
      </c>
      <c r="I119" s="123">
        <f t="shared" si="25"/>
        <v>7</v>
      </c>
      <c r="J119" s="123">
        <f t="shared" si="25"/>
        <v>7</v>
      </c>
      <c r="K119" s="123">
        <f t="shared" si="25"/>
        <v>7</v>
      </c>
      <c r="L119" s="123">
        <f t="shared" si="25"/>
        <v>7</v>
      </c>
      <c r="M119" s="123">
        <f t="shared" si="25"/>
        <v>7</v>
      </c>
      <c r="N119" s="123">
        <f t="shared" si="25"/>
        <v>7</v>
      </c>
      <c r="O119" s="123">
        <f t="shared" si="25"/>
        <v>7</v>
      </c>
      <c r="P119" s="123">
        <f t="shared" si="25"/>
        <v>7</v>
      </c>
      <c r="Q119" s="123">
        <f t="shared" si="25"/>
        <v>7</v>
      </c>
      <c r="R119" s="123">
        <f t="shared" si="25"/>
        <v>7</v>
      </c>
      <c r="S119" s="123">
        <f t="shared" si="25"/>
        <v>7</v>
      </c>
      <c r="T119" s="123">
        <f t="shared" si="26"/>
        <v>7</v>
      </c>
      <c r="U119" s="123">
        <f t="shared" si="26"/>
        <v>7</v>
      </c>
      <c r="V119" s="123">
        <f t="shared" si="26"/>
        <v>7</v>
      </c>
      <c r="W119" s="123">
        <f t="shared" si="26"/>
        <v>7</v>
      </c>
      <c r="X119" s="123">
        <f t="shared" si="26"/>
        <v>7</v>
      </c>
      <c r="Y119" s="123">
        <f t="shared" si="26"/>
        <v>7</v>
      </c>
      <c r="Z119" s="123">
        <f t="shared" si="26"/>
        <v>7</v>
      </c>
      <c r="AA119" s="123">
        <f t="shared" si="26"/>
        <v>7</v>
      </c>
      <c r="AB119" s="123">
        <f t="shared" si="26"/>
        <v>7</v>
      </c>
      <c r="AC119" s="123">
        <f t="shared" si="26"/>
        <v>7</v>
      </c>
      <c r="AD119" s="123">
        <f t="shared" si="26"/>
        <v>7</v>
      </c>
      <c r="AE119" s="123">
        <f t="shared" si="26"/>
        <v>7</v>
      </c>
      <c r="AF119" s="123">
        <f t="shared" si="26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4"/>
        <v>3.47</v>
      </c>
      <c r="C120" s="124">
        <v>3.47</v>
      </c>
      <c r="D120" s="123">
        <f t="shared" ref="D120:S129" si="27">C120</f>
        <v>3.47</v>
      </c>
      <c r="E120" s="123">
        <f t="shared" si="27"/>
        <v>3.47</v>
      </c>
      <c r="F120" s="123">
        <f t="shared" si="27"/>
        <v>3.47</v>
      </c>
      <c r="G120" s="123">
        <f t="shared" si="27"/>
        <v>3.47</v>
      </c>
      <c r="H120" s="123">
        <f t="shared" si="27"/>
        <v>3.47</v>
      </c>
      <c r="I120" s="123">
        <f t="shared" si="27"/>
        <v>3.47</v>
      </c>
      <c r="J120" s="123">
        <f t="shared" si="27"/>
        <v>3.47</v>
      </c>
      <c r="K120" s="123">
        <f t="shared" si="27"/>
        <v>3.47</v>
      </c>
      <c r="L120" s="123">
        <f t="shared" si="27"/>
        <v>3.47</v>
      </c>
      <c r="M120" s="123">
        <f t="shared" si="27"/>
        <v>3.47</v>
      </c>
      <c r="N120" s="123">
        <f t="shared" si="27"/>
        <v>3.47</v>
      </c>
      <c r="O120" s="123">
        <f t="shared" si="27"/>
        <v>3.47</v>
      </c>
      <c r="P120" s="123">
        <f t="shared" si="27"/>
        <v>3.47</v>
      </c>
      <c r="Q120" s="123">
        <f t="shared" si="27"/>
        <v>3.47</v>
      </c>
      <c r="R120" s="123">
        <f t="shared" si="27"/>
        <v>3.47</v>
      </c>
      <c r="S120" s="123">
        <f t="shared" si="27"/>
        <v>3.47</v>
      </c>
      <c r="T120" s="123">
        <f t="shared" si="26"/>
        <v>3.47</v>
      </c>
      <c r="U120" s="123">
        <f t="shared" si="26"/>
        <v>3.47</v>
      </c>
      <c r="V120" s="123">
        <f t="shared" si="26"/>
        <v>3.47</v>
      </c>
      <c r="W120" s="123">
        <f t="shared" si="26"/>
        <v>3.47</v>
      </c>
      <c r="X120" s="123">
        <f t="shared" si="26"/>
        <v>3.47</v>
      </c>
      <c r="Y120" s="123">
        <f t="shared" si="26"/>
        <v>3.47</v>
      </c>
      <c r="Z120" s="123">
        <f t="shared" si="26"/>
        <v>3.47</v>
      </c>
      <c r="AA120" s="123">
        <f t="shared" si="26"/>
        <v>3.47</v>
      </c>
      <c r="AB120" s="123">
        <f t="shared" si="26"/>
        <v>3.47</v>
      </c>
      <c r="AC120" s="123">
        <f t="shared" si="26"/>
        <v>3.47</v>
      </c>
      <c r="AD120" s="123">
        <f t="shared" si="26"/>
        <v>3.47</v>
      </c>
      <c r="AE120" s="123">
        <f t="shared" si="26"/>
        <v>3.47</v>
      </c>
      <c r="AF120" s="123">
        <f t="shared" si="26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4"/>
        <v>2.1</v>
      </c>
      <c r="C121" s="124">
        <v>2.1</v>
      </c>
      <c r="D121" s="123">
        <f t="shared" si="27"/>
        <v>2.1</v>
      </c>
      <c r="E121" s="123">
        <f t="shared" si="27"/>
        <v>2.1</v>
      </c>
      <c r="F121" s="123">
        <f t="shared" si="27"/>
        <v>2.1</v>
      </c>
      <c r="G121" s="123">
        <f t="shared" si="27"/>
        <v>2.1</v>
      </c>
      <c r="H121" s="123">
        <f t="shared" si="27"/>
        <v>2.1</v>
      </c>
      <c r="I121" s="123">
        <f t="shared" si="27"/>
        <v>2.1</v>
      </c>
      <c r="J121" s="123">
        <f t="shared" si="27"/>
        <v>2.1</v>
      </c>
      <c r="K121" s="123">
        <f t="shared" si="27"/>
        <v>2.1</v>
      </c>
      <c r="L121" s="123">
        <f t="shared" si="27"/>
        <v>2.1</v>
      </c>
      <c r="M121" s="123">
        <f t="shared" si="27"/>
        <v>2.1</v>
      </c>
      <c r="N121" s="123">
        <f t="shared" si="27"/>
        <v>2.1</v>
      </c>
      <c r="O121" s="123">
        <f t="shared" si="27"/>
        <v>2.1</v>
      </c>
      <c r="P121" s="123">
        <f t="shared" si="27"/>
        <v>2.1</v>
      </c>
      <c r="Q121" s="123">
        <f t="shared" si="27"/>
        <v>2.1</v>
      </c>
      <c r="R121" s="123">
        <f t="shared" si="27"/>
        <v>2.1</v>
      </c>
      <c r="S121" s="123">
        <f t="shared" si="27"/>
        <v>2.1</v>
      </c>
      <c r="T121" s="123">
        <f t="shared" si="26"/>
        <v>2.1</v>
      </c>
      <c r="U121" s="123">
        <f t="shared" si="26"/>
        <v>2.1</v>
      </c>
      <c r="V121" s="123">
        <f t="shared" si="26"/>
        <v>2.1</v>
      </c>
      <c r="W121" s="123">
        <f t="shared" si="26"/>
        <v>2.1</v>
      </c>
      <c r="X121" s="123">
        <f t="shared" si="26"/>
        <v>2.1</v>
      </c>
      <c r="Y121" s="123">
        <f t="shared" si="26"/>
        <v>2.1</v>
      </c>
      <c r="Z121" s="123">
        <f t="shared" si="26"/>
        <v>2.1</v>
      </c>
      <c r="AA121" s="123">
        <f t="shared" si="26"/>
        <v>2.1</v>
      </c>
      <c r="AB121" s="123">
        <f t="shared" si="26"/>
        <v>2.1</v>
      </c>
      <c r="AC121" s="123">
        <f t="shared" si="26"/>
        <v>2.1</v>
      </c>
      <c r="AD121" s="123">
        <f t="shared" si="26"/>
        <v>2.1</v>
      </c>
      <c r="AE121" s="123">
        <f t="shared" si="26"/>
        <v>2.1</v>
      </c>
      <c r="AF121" s="123">
        <f t="shared" si="26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4"/>
        <v>9.3000000000000007</v>
      </c>
      <c r="C122" s="124">
        <v>9.3000000000000007</v>
      </c>
      <c r="D122" s="123">
        <f t="shared" si="27"/>
        <v>9.3000000000000007</v>
      </c>
      <c r="E122" s="123">
        <f t="shared" si="27"/>
        <v>9.3000000000000007</v>
      </c>
      <c r="F122" s="123">
        <f t="shared" si="27"/>
        <v>9.3000000000000007</v>
      </c>
      <c r="G122" s="123">
        <f t="shared" si="27"/>
        <v>9.3000000000000007</v>
      </c>
      <c r="H122" s="123">
        <f t="shared" si="27"/>
        <v>9.3000000000000007</v>
      </c>
      <c r="I122" s="123">
        <f t="shared" si="27"/>
        <v>9.3000000000000007</v>
      </c>
      <c r="J122" s="123">
        <f t="shared" si="27"/>
        <v>9.3000000000000007</v>
      </c>
      <c r="K122" s="123">
        <f t="shared" si="27"/>
        <v>9.3000000000000007</v>
      </c>
      <c r="L122" s="123">
        <f t="shared" si="27"/>
        <v>9.3000000000000007</v>
      </c>
      <c r="M122" s="123">
        <f t="shared" si="27"/>
        <v>9.3000000000000007</v>
      </c>
      <c r="N122" s="123">
        <f t="shared" si="27"/>
        <v>9.3000000000000007</v>
      </c>
      <c r="O122" s="123">
        <f t="shared" si="27"/>
        <v>9.3000000000000007</v>
      </c>
      <c r="P122" s="123">
        <f t="shared" si="27"/>
        <v>9.3000000000000007</v>
      </c>
      <c r="Q122" s="123">
        <f t="shared" si="27"/>
        <v>9.3000000000000007</v>
      </c>
      <c r="R122" s="123">
        <f t="shared" si="27"/>
        <v>9.3000000000000007</v>
      </c>
      <c r="S122" s="123">
        <f t="shared" si="27"/>
        <v>9.3000000000000007</v>
      </c>
      <c r="T122" s="123">
        <f t="shared" si="26"/>
        <v>9.3000000000000007</v>
      </c>
      <c r="U122" s="123">
        <f t="shared" si="26"/>
        <v>9.3000000000000007</v>
      </c>
      <c r="V122" s="123">
        <f t="shared" si="26"/>
        <v>9.3000000000000007</v>
      </c>
      <c r="W122" s="123">
        <f t="shared" si="26"/>
        <v>9.3000000000000007</v>
      </c>
      <c r="X122" s="123">
        <f t="shared" si="26"/>
        <v>9.3000000000000007</v>
      </c>
      <c r="Y122" s="123">
        <f t="shared" si="26"/>
        <v>9.3000000000000007</v>
      </c>
      <c r="Z122" s="123">
        <f t="shared" si="26"/>
        <v>9.3000000000000007</v>
      </c>
      <c r="AA122" s="123">
        <f t="shared" si="26"/>
        <v>9.3000000000000007</v>
      </c>
      <c r="AB122" s="123">
        <f t="shared" si="26"/>
        <v>9.3000000000000007</v>
      </c>
      <c r="AC122" s="123">
        <f t="shared" si="26"/>
        <v>9.3000000000000007</v>
      </c>
      <c r="AD122" s="123">
        <f t="shared" si="26"/>
        <v>9.3000000000000007</v>
      </c>
      <c r="AE122" s="123">
        <f t="shared" si="26"/>
        <v>9.3000000000000007</v>
      </c>
      <c r="AF122" s="123">
        <f t="shared" si="26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4"/>
        <v>0</v>
      </c>
      <c r="C123" s="124">
        <v>0</v>
      </c>
      <c r="D123" s="123">
        <f t="shared" si="27"/>
        <v>0</v>
      </c>
      <c r="E123" s="123">
        <f t="shared" si="27"/>
        <v>0</v>
      </c>
      <c r="F123" s="123">
        <f t="shared" si="27"/>
        <v>0</v>
      </c>
      <c r="G123" s="123">
        <f t="shared" si="27"/>
        <v>0</v>
      </c>
      <c r="H123" s="123">
        <f t="shared" si="27"/>
        <v>0</v>
      </c>
      <c r="I123" s="123">
        <f t="shared" si="27"/>
        <v>0</v>
      </c>
      <c r="J123" s="123">
        <f t="shared" si="27"/>
        <v>0</v>
      </c>
      <c r="K123" s="123">
        <f t="shared" si="27"/>
        <v>0</v>
      </c>
      <c r="L123" s="123">
        <f t="shared" si="27"/>
        <v>0</v>
      </c>
      <c r="M123" s="123">
        <f t="shared" si="27"/>
        <v>0</v>
      </c>
      <c r="N123" s="123">
        <f t="shared" si="27"/>
        <v>0</v>
      </c>
      <c r="O123" s="123">
        <f t="shared" si="27"/>
        <v>0</v>
      </c>
      <c r="P123" s="123">
        <f t="shared" si="27"/>
        <v>0</v>
      </c>
      <c r="Q123" s="123">
        <f t="shared" si="27"/>
        <v>0</v>
      </c>
      <c r="R123" s="123">
        <f t="shared" si="27"/>
        <v>0</v>
      </c>
      <c r="S123" s="123">
        <f t="shared" si="27"/>
        <v>0</v>
      </c>
      <c r="T123" s="123">
        <f t="shared" si="26"/>
        <v>0</v>
      </c>
      <c r="U123" s="123">
        <f t="shared" si="26"/>
        <v>0</v>
      </c>
      <c r="V123" s="123">
        <f t="shared" si="26"/>
        <v>0</v>
      </c>
      <c r="W123" s="123">
        <f t="shared" si="26"/>
        <v>0</v>
      </c>
      <c r="X123" s="123">
        <f t="shared" si="26"/>
        <v>0</v>
      </c>
      <c r="Y123" s="123">
        <f t="shared" si="26"/>
        <v>0</v>
      </c>
      <c r="Z123" s="123">
        <f t="shared" si="26"/>
        <v>0</v>
      </c>
      <c r="AA123" s="123">
        <f t="shared" si="26"/>
        <v>0</v>
      </c>
      <c r="AB123" s="123">
        <f t="shared" si="26"/>
        <v>0</v>
      </c>
      <c r="AC123" s="123">
        <f t="shared" si="26"/>
        <v>0</v>
      </c>
      <c r="AD123" s="123">
        <f t="shared" si="26"/>
        <v>0</v>
      </c>
      <c r="AE123" s="123">
        <f t="shared" si="26"/>
        <v>0</v>
      </c>
      <c r="AF123" s="123">
        <f t="shared" si="26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4"/>
        <v>0</v>
      </c>
      <c r="C124" s="124">
        <v>0</v>
      </c>
      <c r="D124" s="123">
        <f t="shared" si="27"/>
        <v>0</v>
      </c>
      <c r="E124" s="123">
        <f t="shared" si="27"/>
        <v>0</v>
      </c>
      <c r="F124" s="123">
        <f t="shared" si="27"/>
        <v>0</v>
      </c>
      <c r="G124" s="123">
        <f t="shared" si="27"/>
        <v>0</v>
      </c>
      <c r="H124" s="123">
        <f t="shared" si="27"/>
        <v>0</v>
      </c>
      <c r="I124" s="123">
        <f t="shared" si="27"/>
        <v>0</v>
      </c>
      <c r="J124" s="123">
        <f t="shared" si="27"/>
        <v>0</v>
      </c>
      <c r="K124" s="123">
        <f t="shared" si="27"/>
        <v>0</v>
      </c>
      <c r="L124" s="123">
        <f t="shared" si="27"/>
        <v>0</v>
      </c>
      <c r="M124" s="123">
        <f t="shared" si="27"/>
        <v>0</v>
      </c>
      <c r="N124" s="123">
        <f t="shared" si="27"/>
        <v>0</v>
      </c>
      <c r="O124" s="123">
        <f t="shared" si="27"/>
        <v>0</v>
      </c>
      <c r="P124" s="123">
        <f t="shared" si="27"/>
        <v>0</v>
      </c>
      <c r="Q124" s="123">
        <f t="shared" si="27"/>
        <v>0</v>
      </c>
      <c r="R124" s="123">
        <f t="shared" si="27"/>
        <v>0</v>
      </c>
      <c r="S124" s="123">
        <f t="shared" si="27"/>
        <v>0</v>
      </c>
      <c r="T124" s="123">
        <f t="shared" si="26"/>
        <v>0</v>
      </c>
      <c r="U124" s="123">
        <f t="shared" si="26"/>
        <v>0</v>
      </c>
      <c r="V124" s="123">
        <f t="shared" si="26"/>
        <v>0</v>
      </c>
      <c r="W124" s="123">
        <f t="shared" si="26"/>
        <v>0</v>
      </c>
      <c r="X124" s="123">
        <f t="shared" si="26"/>
        <v>0</v>
      </c>
      <c r="Y124" s="123">
        <f t="shared" si="26"/>
        <v>0</v>
      </c>
      <c r="Z124" s="123">
        <f t="shared" si="26"/>
        <v>0</v>
      </c>
      <c r="AA124" s="123">
        <f t="shared" si="26"/>
        <v>0</v>
      </c>
      <c r="AB124" s="123">
        <f t="shared" si="26"/>
        <v>0</v>
      </c>
      <c r="AC124" s="123">
        <f t="shared" si="26"/>
        <v>0</v>
      </c>
      <c r="AD124" s="123">
        <f t="shared" si="26"/>
        <v>0</v>
      </c>
      <c r="AE124" s="123">
        <f t="shared" si="26"/>
        <v>0</v>
      </c>
      <c r="AF124" s="123">
        <f t="shared" si="26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4"/>
        <v>;/</v>
      </c>
      <c r="C125" s="124">
        <v>5</v>
      </c>
      <c r="D125" s="123">
        <f t="shared" si="27"/>
        <v>5</v>
      </c>
      <c r="E125" s="123">
        <f t="shared" si="27"/>
        <v>5</v>
      </c>
      <c r="F125" s="123">
        <f t="shared" si="27"/>
        <v>5</v>
      </c>
      <c r="G125" s="123">
        <f t="shared" si="27"/>
        <v>5</v>
      </c>
      <c r="H125" s="123">
        <f t="shared" si="27"/>
        <v>5</v>
      </c>
      <c r="I125" s="123" t="s">
        <v>131</v>
      </c>
      <c r="J125" s="123" t="str">
        <f t="shared" si="27"/>
        <v>;/</v>
      </c>
      <c r="K125" s="123" t="str">
        <f t="shared" si="27"/>
        <v>;/</v>
      </c>
      <c r="L125" s="123" t="str">
        <f t="shared" si="27"/>
        <v>;/</v>
      </c>
      <c r="M125" s="123" t="str">
        <f t="shared" si="27"/>
        <v>;/</v>
      </c>
      <c r="N125" s="123" t="str">
        <f t="shared" si="27"/>
        <v>;/</v>
      </c>
      <c r="O125" s="123" t="str">
        <f t="shared" si="27"/>
        <v>;/</v>
      </c>
      <c r="P125" s="123" t="str">
        <f t="shared" si="27"/>
        <v>;/</v>
      </c>
      <c r="Q125" s="123" t="str">
        <f t="shared" si="27"/>
        <v>;/</v>
      </c>
      <c r="R125" s="123" t="str">
        <f t="shared" si="27"/>
        <v>;/</v>
      </c>
      <c r="S125" s="123" t="str">
        <f t="shared" si="27"/>
        <v>;/</v>
      </c>
      <c r="T125" s="123" t="str">
        <f t="shared" si="26"/>
        <v>;/</v>
      </c>
      <c r="U125" s="123" t="str">
        <f t="shared" si="26"/>
        <v>;/</v>
      </c>
      <c r="V125" s="123" t="str">
        <f t="shared" si="26"/>
        <v>;/</v>
      </c>
      <c r="W125" s="123" t="str">
        <f t="shared" si="26"/>
        <v>;/</v>
      </c>
      <c r="X125" s="123" t="str">
        <f t="shared" si="26"/>
        <v>;/</v>
      </c>
      <c r="Y125" s="123" t="str">
        <f t="shared" si="26"/>
        <v>;/</v>
      </c>
      <c r="Z125" s="123" t="str">
        <f t="shared" si="26"/>
        <v>;/</v>
      </c>
      <c r="AA125" s="123" t="str">
        <f t="shared" si="26"/>
        <v>;/</v>
      </c>
      <c r="AB125" s="123" t="str">
        <f t="shared" si="26"/>
        <v>;/</v>
      </c>
      <c r="AC125" s="123" t="str">
        <f t="shared" si="26"/>
        <v>;/</v>
      </c>
      <c r="AD125" s="123" t="str">
        <f t="shared" si="26"/>
        <v>;/</v>
      </c>
      <c r="AE125" s="123" t="str">
        <f t="shared" si="26"/>
        <v>;/</v>
      </c>
      <c r="AF125" s="123" t="str">
        <f t="shared" si="26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4"/>
        <v>1</v>
      </c>
      <c r="C126" s="124">
        <v>1</v>
      </c>
      <c r="D126" s="123">
        <f t="shared" si="27"/>
        <v>1</v>
      </c>
      <c r="E126" s="123">
        <f t="shared" si="27"/>
        <v>1</v>
      </c>
      <c r="F126" s="123">
        <f t="shared" si="27"/>
        <v>1</v>
      </c>
      <c r="G126" s="123">
        <f t="shared" si="27"/>
        <v>1</v>
      </c>
      <c r="H126" s="123">
        <f t="shared" si="27"/>
        <v>1</v>
      </c>
      <c r="I126" s="123">
        <f t="shared" si="27"/>
        <v>1</v>
      </c>
      <c r="J126" s="123">
        <f t="shared" si="27"/>
        <v>1</v>
      </c>
      <c r="K126" s="123">
        <f t="shared" si="27"/>
        <v>1</v>
      </c>
      <c r="L126" s="123">
        <f t="shared" si="27"/>
        <v>1</v>
      </c>
      <c r="M126" s="123">
        <f t="shared" si="27"/>
        <v>1</v>
      </c>
      <c r="N126" s="123">
        <f t="shared" si="27"/>
        <v>1</v>
      </c>
      <c r="O126" s="123">
        <f t="shared" si="27"/>
        <v>1</v>
      </c>
      <c r="P126" s="123">
        <f t="shared" si="27"/>
        <v>1</v>
      </c>
      <c r="Q126" s="123">
        <f t="shared" si="27"/>
        <v>1</v>
      </c>
      <c r="R126" s="123">
        <f t="shared" si="27"/>
        <v>1</v>
      </c>
      <c r="S126" s="123">
        <f t="shared" si="27"/>
        <v>1</v>
      </c>
      <c r="T126" s="123">
        <f t="shared" si="26"/>
        <v>1</v>
      </c>
      <c r="U126" s="123">
        <f t="shared" si="26"/>
        <v>1</v>
      </c>
      <c r="V126" s="123">
        <f t="shared" si="26"/>
        <v>1</v>
      </c>
      <c r="W126" s="123">
        <f t="shared" si="26"/>
        <v>1</v>
      </c>
      <c r="X126" s="123">
        <f t="shared" si="26"/>
        <v>1</v>
      </c>
      <c r="Y126" s="123">
        <f t="shared" si="26"/>
        <v>1</v>
      </c>
      <c r="Z126" s="123">
        <f t="shared" si="26"/>
        <v>1</v>
      </c>
      <c r="AA126" s="123">
        <f t="shared" si="26"/>
        <v>1</v>
      </c>
      <c r="AB126" s="123">
        <f t="shared" si="26"/>
        <v>1</v>
      </c>
      <c r="AC126" s="123">
        <f t="shared" si="26"/>
        <v>1</v>
      </c>
      <c r="AD126" s="123">
        <f t="shared" si="26"/>
        <v>1</v>
      </c>
      <c r="AE126" s="123">
        <f t="shared" si="26"/>
        <v>1</v>
      </c>
      <c r="AF126" s="123">
        <f t="shared" si="26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4"/>
        <v>1.58</v>
      </c>
      <c r="C127" s="124">
        <v>1.58</v>
      </c>
      <c r="D127" s="123">
        <f t="shared" si="27"/>
        <v>1.58</v>
      </c>
      <c r="E127" s="123">
        <f t="shared" si="27"/>
        <v>1.58</v>
      </c>
      <c r="F127" s="123">
        <f t="shared" si="27"/>
        <v>1.58</v>
      </c>
      <c r="G127" s="123">
        <f t="shared" si="27"/>
        <v>1.58</v>
      </c>
      <c r="H127" s="123">
        <f t="shared" si="27"/>
        <v>1.58</v>
      </c>
      <c r="I127" s="123">
        <f t="shared" si="27"/>
        <v>1.58</v>
      </c>
      <c r="J127" s="123">
        <f t="shared" si="27"/>
        <v>1.58</v>
      </c>
      <c r="K127" s="123">
        <f t="shared" si="27"/>
        <v>1.58</v>
      </c>
      <c r="L127" s="123">
        <f t="shared" si="27"/>
        <v>1.58</v>
      </c>
      <c r="M127" s="123">
        <f t="shared" si="27"/>
        <v>1.58</v>
      </c>
      <c r="N127" s="123">
        <f t="shared" si="27"/>
        <v>1.58</v>
      </c>
      <c r="O127" s="123">
        <f t="shared" si="27"/>
        <v>1.58</v>
      </c>
      <c r="P127" s="123">
        <f t="shared" si="27"/>
        <v>1.58</v>
      </c>
      <c r="Q127" s="123">
        <f t="shared" si="27"/>
        <v>1.58</v>
      </c>
      <c r="R127" s="123">
        <f t="shared" si="27"/>
        <v>1.58</v>
      </c>
      <c r="S127" s="123">
        <f t="shared" si="27"/>
        <v>1.58</v>
      </c>
      <c r="T127" s="123">
        <f t="shared" si="26"/>
        <v>1.58</v>
      </c>
      <c r="U127" s="123">
        <f t="shared" si="26"/>
        <v>1.58</v>
      </c>
      <c r="V127" s="123">
        <f t="shared" si="26"/>
        <v>1.58</v>
      </c>
      <c r="W127" s="123">
        <f t="shared" si="26"/>
        <v>1.58</v>
      </c>
      <c r="X127" s="123">
        <f t="shared" si="26"/>
        <v>1.58</v>
      </c>
      <c r="Y127" s="123">
        <f t="shared" si="26"/>
        <v>1.58</v>
      </c>
      <c r="Z127" s="123">
        <f t="shared" si="26"/>
        <v>1.58</v>
      </c>
      <c r="AA127" s="123">
        <f t="shared" si="26"/>
        <v>1.58</v>
      </c>
      <c r="AB127" s="123">
        <f t="shared" si="26"/>
        <v>1.58</v>
      </c>
      <c r="AC127" s="123">
        <f t="shared" si="26"/>
        <v>1.58</v>
      </c>
      <c r="AD127" s="123">
        <f t="shared" si="26"/>
        <v>1.58</v>
      </c>
      <c r="AE127" s="123">
        <f t="shared" si="26"/>
        <v>1.58</v>
      </c>
      <c r="AF127" s="123">
        <f t="shared" si="26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4"/>
        <v>1.46</v>
      </c>
      <c r="C128" s="124">
        <v>1.46</v>
      </c>
      <c r="D128" s="123">
        <f t="shared" si="27"/>
        <v>1.46</v>
      </c>
      <c r="E128" s="123">
        <f t="shared" si="27"/>
        <v>1.46</v>
      </c>
      <c r="F128" s="123">
        <f t="shared" si="27"/>
        <v>1.46</v>
      </c>
      <c r="G128" s="123">
        <f t="shared" si="27"/>
        <v>1.46</v>
      </c>
      <c r="H128" s="123">
        <f t="shared" si="27"/>
        <v>1.46</v>
      </c>
      <c r="I128" s="123">
        <f t="shared" si="27"/>
        <v>1.46</v>
      </c>
      <c r="J128" s="123">
        <f t="shared" si="27"/>
        <v>1.46</v>
      </c>
      <c r="K128" s="123">
        <f t="shared" si="27"/>
        <v>1.46</v>
      </c>
      <c r="L128" s="123">
        <f t="shared" si="27"/>
        <v>1.46</v>
      </c>
      <c r="M128" s="123">
        <f t="shared" si="27"/>
        <v>1.46</v>
      </c>
      <c r="N128" s="123">
        <f t="shared" si="27"/>
        <v>1.46</v>
      </c>
      <c r="O128" s="123">
        <f t="shared" si="27"/>
        <v>1.46</v>
      </c>
      <c r="P128" s="123">
        <f t="shared" si="27"/>
        <v>1.46</v>
      </c>
      <c r="Q128" s="123">
        <f t="shared" si="27"/>
        <v>1.46</v>
      </c>
      <c r="R128" s="123">
        <f t="shared" si="27"/>
        <v>1.46</v>
      </c>
      <c r="S128" s="123">
        <f t="shared" si="27"/>
        <v>1.46</v>
      </c>
      <c r="T128" s="123">
        <f t="shared" ref="T128:AF129" si="28">S128</f>
        <v>1.46</v>
      </c>
      <c r="U128" s="123">
        <f t="shared" si="28"/>
        <v>1.46</v>
      </c>
      <c r="V128" s="123">
        <f t="shared" si="28"/>
        <v>1.46</v>
      </c>
      <c r="W128" s="123">
        <f t="shared" si="28"/>
        <v>1.46</v>
      </c>
      <c r="X128" s="123">
        <f t="shared" si="28"/>
        <v>1.46</v>
      </c>
      <c r="Y128" s="123">
        <f t="shared" si="28"/>
        <v>1.46</v>
      </c>
      <c r="Z128" s="123">
        <f t="shared" si="28"/>
        <v>1.46</v>
      </c>
      <c r="AA128" s="123">
        <f t="shared" si="28"/>
        <v>1.46</v>
      </c>
      <c r="AB128" s="123">
        <f t="shared" si="28"/>
        <v>1.46</v>
      </c>
      <c r="AC128" s="123">
        <f t="shared" si="28"/>
        <v>1.46</v>
      </c>
      <c r="AD128" s="123">
        <f t="shared" si="28"/>
        <v>1.46</v>
      </c>
      <c r="AE128" s="123">
        <f t="shared" si="28"/>
        <v>1.46</v>
      </c>
      <c r="AF128" s="123">
        <f t="shared" si="28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4"/>
        <v>1.48</v>
      </c>
      <c r="C129" s="124">
        <v>1.48</v>
      </c>
      <c r="D129" s="123">
        <f t="shared" si="27"/>
        <v>1.48</v>
      </c>
      <c r="E129" s="123">
        <f t="shared" si="27"/>
        <v>1.48</v>
      </c>
      <c r="F129" s="123">
        <f t="shared" si="27"/>
        <v>1.48</v>
      </c>
      <c r="G129" s="123">
        <f t="shared" si="27"/>
        <v>1.48</v>
      </c>
      <c r="H129" s="123">
        <f t="shared" si="27"/>
        <v>1.48</v>
      </c>
      <c r="I129" s="123">
        <f t="shared" si="27"/>
        <v>1.48</v>
      </c>
      <c r="J129" s="123">
        <f t="shared" si="27"/>
        <v>1.48</v>
      </c>
      <c r="K129" s="123">
        <f t="shared" si="27"/>
        <v>1.48</v>
      </c>
      <c r="L129" s="123">
        <f t="shared" si="27"/>
        <v>1.48</v>
      </c>
      <c r="M129" s="123">
        <f t="shared" si="27"/>
        <v>1.48</v>
      </c>
      <c r="N129" s="123">
        <f t="shared" si="27"/>
        <v>1.48</v>
      </c>
      <c r="O129" s="123">
        <f t="shared" si="27"/>
        <v>1.48</v>
      </c>
      <c r="P129" s="123">
        <f t="shared" si="27"/>
        <v>1.48</v>
      </c>
      <c r="Q129" s="123">
        <f t="shared" si="27"/>
        <v>1.48</v>
      </c>
      <c r="R129" s="123">
        <f t="shared" si="27"/>
        <v>1.48</v>
      </c>
      <c r="S129" s="123">
        <f t="shared" si="27"/>
        <v>1.48</v>
      </c>
      <c r="T129" s="123">
        <f t="shared" si="28"/>
        <v>1.48</v>
      </c>
      <c r="U129" s="123">
        <f t="shared" si="28"/>
        <v>1.48</v>
      </c>
      <c r="V129" s="123">
        <f t="shared" si="28"/>
        <v>1.48</v>
      </c>
      <c r="W129" s="123">
        <f t="shared" si="28"/>
        <v>1.48</v>
      </c>
      <c r="X129" s="123">
        <f t="shared" si="28"/>
        <v>1.48</v>
      </c>
      <c r="Y129" s="123">
        <f t="shared" si="28"/>
        <v>1.48</v>
      </c>
      <c r="Z129" s="123">
        <f t="shared" si="28"/>
        <v>1.48</v>
      </c>
      <c r="AA129" s="123">
        <f t="shared" si="28"/>
        <v>1.48</v>
      </c>
      <c r="AB129" s="123">
        <f t="shared" si="28"/>
        <v>1.48</v>
      </c>
      <c r="AC129" s="123">
        <f t="shared" si="28"/>
        <v>1.48</v>
      </c>
      <c r="AD129" s="123">
        <f t="shared" si="28"/>
        <v>1.48</v>
      </c>
      <c r="AE129" s="123">
        <f t="shared" si="28"/>
        <v>1.48</v>
      </c>
      <c r="AF129" s="123">
        <f t="shared" si="28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9">AF131</f>
        <v>2.2000000000000002</v>
      </c>
      <c r="C131" s="124">
        <v>2.2000000000000002</v>
      </c>
      <c r="D131" s="123">
        <f t="shared" ref="D131:S138" si="30">C131</f>
        <v>2.2000000000000002</v>
      </c>
      <c r="E131" s="123">
        <f t="shared" si="30"/>
        <v>2.2000000000000002</v>
      </c>
      <c r="F131" s="123">
        <f t="shared" si="30"/>
        <v>2.2000000000000002</v>
      </c>
      <c r="G131" s="123">
        <f t="shared" si="30"/>
        <v>2.2000000000000002</v>
      </c>
      <c r="H131" s="123">
        <f t="shared" si="30"/>
        <v>2.2000000000000002</v>
      </c>
      <c r="I131" s="123">
        <f t="shared" si="30"/>
        <v>2.2000000000000002</v>
      </c>
      <c r="J131" s="123">
        <f t="shared" si="30"/>
        <v>2.2000000000000002</v>
      </c>
      <c r="K131" s="123">
        <f t="shared" si="30"/>
        <v>2.2000000000000002</v>
      </c>
      <c r="L131" s="123">
        <f t="shared" si="30"/>
        <v>2.2000000000000002</v>
      </c>
      <c r="M131" s="123">
        <f t="shared" si="30"/>
        <v>2.2000000000000002</v>
      </c>
      <c r="N131" s="123">
        <f t="shared" si="30"/>
        <v>2.2000000000000002</v>
      </c>
      <c r="O131" s="123">
        <f t="shared" si="30"/>
        <v>2.2000000000000002</v>
      </c>
      <c r="P131" s="123">
        <f t="shared" si="30"/>
        <v>2.2000000000000002</v>
      </c>
      <c r="Q131" s="123">
        <f t="shared" si="30"/>
        <v>2.2000000000000002</v>
      </c>
      <c r="R131" s="123">
        <f t="shared" si="30"/>
        <v>2.2000000000000002</v>
      </c>
      <c r="S131" s="123">
        <f t="shared" si="30"/>
        <v>2.2000000000000002</v>
      </c>
      <c r="T131" s="123">
        <f t="shared" ref="T131:AF138" si="31">S131</f>
        <v>2.2000000000000002</v>
      </c>
      <c r="U131" s="123">
        <f t="shared" si="31"/>
        <v>2.2000000000000002</v>
      </c>
      <c r="V131" s="123">
        <f t="shared" si="31"/>
        <v>2.2000000000000002</v>
      </c>
      <c r="W131" s="123">
        <f t="shared" si="31"/>
        <v>2.2000000000000002</v>
      </c>
      <c r="X131" s="123">
        <f t="shared" si="31"/>
        <v>2.2000000000000002</v>
      </c>
      <c r="Y131" s="123">
        <f t="shared" si="31"/>
        <v>2.2000000000000002</v>
      </c>
      <c r="Z131" s="123">
        <f t="shared" si="31"/>
        <v>2.2000000000000002</v>
      </c>
      <c r="AA131" s="123">
        <f t="shared" si="31"/>
        <v>2.2000000000000002</v>
      </c>
      <c r="AB131" s="123">
        <f t="shared" si="31"/>
        <v>2.2000000000000002</v>
      </c>
      <c r="AC131" s="123">
        <f t="shared" si="31"/>
        <v>2.2000000000000002</v>
      </c>
      <c r="AD131" s="123">
        <f t="shared" si="31"/>
        <v>2.2000000000000002</v>
      </c>
      <c r="AE131" s="123">
        <f t="shared" si="31"/>
        <v>2.2000000000000002</v>
      </c>
      <c r="AF131" s="123">
        <f t="shared" si="31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9"/>
        <v>2</v>
      </c>
      <c r="C132" s="124">
        <v>2</v>
      </c>
      <c r="D132" s="123">
        <f t="shared" si="30"/>
        <v>2</v>
      </c>
      <c r="E132" s="123">
        <f t="shared" si="30"/>
        <v>2</v>
      </c>
      <c r="F132" s="123">
        <f t="shared" si="30"/>
        <v>2</v>
      </c>
      <c r="G132" s="123">
        <f t="shared" si="30"/>
        <v>2</v>
      </c>
      <c r="H132" s="123">
        <f t="shared" si="30"/>
        <v>2</v>
      </c>
      <c r="I132" s="123">
        <f t="shared" si="30"/>
        <v>2</v>
      </c>
      <c r="J132" s="123">
        <f t="shared" si="30"/>
        <v>2</v>
      </c>
      <c r="K132" s="123">
        <f t="shared" si="30"/>
        <v>2</v>
      </c>
      <c r="L132" s="123">
        <f t="shared" si="30"/>
        <v>2</v>
      </c>
      <c r="M132" s="123">
        <f t="shared" si="30"/>
        <v>2</v>
      </c>
      <c r="N132" s="123">
        <f t="shared" si="30"/>
        <v>2</v>
      </c>
      <c r="O132" s="123">
        <f t="shared" si="30"/>
        <v>2</v>
      </c>
      <c r="P132" s="123">
        <f t="shared" si="30"/>
        <v>2</v>
      </c>
      <c r="Q132" s="123">
        <f t="shared" si="30"/>
        <v>2</v>
      </c>
      <c r="R132" s="123">
        <f t="shared" si="30"/>
        <v>2</v>
      </c>
      <c r="S132" s="123">
        <f t="shared" si="30"/>
        <v>2</v>
      </c>
      <c r="T132" s="123">
        <f t="shared" si="31"/>
        <v>2</v>
      </c>
      <c r="U132" s="123">
        <f t="shared" si="31"/>
        <v>2</v>
      </c>
      <c r="V132" s="123">
        <f t="shared" si="31"/>
        <v>2</v>
      </c>
      <c r="W132" s="123">
        <f t="shared" si="31"/>
        <v>2</v>
      </c>
      <c r="X132" s="123">
        <f t="shared" si="31"/>
        <v>2</v>
      </c>
      <c r="Y132" s="123">
        <f t="shared" si="31"/>
        <v>2</v>
      </c>
      <c r="Z132" s="123">
        <f t="shared" si="31"/>
        <v>2</v>
      </c>
      <c r="AA132" s="123">
        <f t="shared" si="31"/>
        <v>2</v>
      </c>
      <c r="AB132" s="123">
        <f t="shared" si="31"/>
        <v>2</v>
      </c>
      <c r="AC132" s="123">
        <f t="shared" si="31"/>
        <v>2</v>
      </c>
      <c r="AD132" s="123">
        <f t="shared" si="31"/>
        <v>2</v>
      </c>
      <c r="AE132" s="123">
        <f t="shared" si="31"/>
        <v>2</v>
      </c>
      <c r="AF132" s="123">
        <f t="shared" si="31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9"/>
        <v>1.25</v>
      </c>
      <c r="C133" s="124">
        <v>1.25</v>
      </c>
      <c r="D133" s="123">
        <f t="shared" si="30"/>
        <v>1.25</v>
      </c>
      <c r="E133" s="123">
        <f t="shared" si="30"/>
        <v>1.25</v>
      </c>
      <c r="F133" s="123">
        <f t="shared" si="30"/>
        <v>1.25</v>
      </c>
      <c r="G133" s="123">
        <f t="shared" si="30"/>
        <v>1.25</v>
      </c>
      <c r="H133" s="123">
        <f t="shared" si="30"/>
        <v>1.25</v>
      </c>
      <c r="I133" s="123">
        <f t="shared" si="30"/>
        <v>1.25</v>
      </c>
      <c r="J133" s="123">
        <f t="shared" si="30"/>
        <v>1.25</v>
      </c>
      <c r="K133" s="123">
        <f t="shared" si="30"/>
        <v>1.25</v>
      </c>
      <c r="L133" s="123">
        <f t="shared" si="30"/>
        <v>1.25</v>
      </c>
      <c r="M133" s="123">
        <f t="shared" si="30"/>
        <v>1.25</v>
      </c>
      <c r="N133" s="123">
        <f t="shared" si="30"/>
        <v>1.25</v>
      </c>
      <c r="O133" s="123">
        <f t="shared" si="30"/>
        <v>1.25</v>
      </c>
      <c r="P133" s="123">
        <f t="shared" si="30"/>
        <v>1.25</v>
      </c>
      <c r="Q133" s="123">
        <f t="shared" si="30"/>
        <v>1.25</v>
      </c>
      <c r="R133" s="123">
        <f t="shared" si="30"/>
        <v>1.25</v>
      </c>
      <c r="S133" s="123">
        <f t="shared" si="30"/>
        <v>1.25</v>
      </c>
      <c r="T133" s="123">
        <f t="shared" si="31"/>
        <v>1.25</v>
      </c>
      <c r="U133" s="123">
        <f t="shared" si="31"/>
        <v>1.25</v>
      </c>
      <c r="V133" s="123">
        <f t="shared" si="31"/>
        <v>1.25</v>
      </c>
      <c r="W133" s="123">
        <f t="shared" si="31"/>
        <v>1.25</v>
      </c>
      <c r="X133" s="123">
        <f t="shared" si="31"/>
        <v>1.25</v>
      </c>
      <c r="Y133" s="123">
        <f t="shared" si="31"/>
        <v>1.25</v>
      </c>
      <c r="Z133" s="123">
        <f t="shared" si="31"/>
        <v>1.25</v>
      </c>
      <c r="AA133" s="123">
        <f t="shared" si="31"/>
        <v>1.25</v>
      </c>
      <c r="AB133" s="123">
        <f t="shared" si="31"/>
        <v>1.25</v>
      </c>
      <c r="AC133" s="123">
        <f t="shared" si="31"/>
        <v>1.25</v>
      </c>
      <c r="AD133" s="123">
        <f t="shared" si="31"/>
        <v>1.25</v>
      </c>
      <c r="AE133" s="123">
        <f t="shared" si="31"/>
        <v>1.25</v>
      </c>
      <c r="AF133" s="123">
        <f t="shared" si="31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9"/>
        <v>1.1499999999999999</v>
      </c>
      <c r="C134" s="124">
        <v>1.1499999999999999</v>
      </c>
      <c r="D134" s="123">
        <f t="shared" si="30"/>
        <v>1.1499999999999999</v>
      </c>
      <c r="E134" s="123">
        <f t="shared" si="30"/>
        <v>1.1499999999999999</v>
      </c>
      <c r="F134" s="123">
        <f t="shared" si="30"/>
        <v>1.1499999999999999</v>
      </c>
      <c r="G134" s="123">
        <f t="shared" si="30"/>
        <v>1.1499999999999999</v>
      </c>
      <c r="H134" s="123">
        <f t="shared" si="30"/>
        <v>1.1499999999999999</v>
      </c>
      <c r="I134" s="123">
        <f t="shared" si="30"/>
        <v>1.1499999999999999</v>
      </c>
      <c r="J134" s="123">
        <f t="shared" si="30"/>
        <v>1.1499999999999999</v>
      </c>
      <c r="K134" s="123">
        <f t="shared" si="30"/>
        <v>1.1499999999999999</v>
      </c>
      <c r="L134" s="123">
        <f t="shared" si="30"/>
        <v>1.1499999999999999</v>
      </c>
      <c r="M134" s="123">
        <f t="shared" si="30"/>
        <v>1.1499999999999999</v>
      </c>
      <c r="N134" s="123">
        <f t="shared" si="30"/>
        <v>1.1499999999999999</v>
      </c>
      <c r="O134" s="123">
        <f t="shared" si="30"/>
        <v>1.1499999999999999</v>
      </c>
      <c r="P134" s="123">
        <f t="shared" si="30"/>
        <v>1.1499999999999999</v>
      </c>
      <c r="Q134" s="123">
        <f t="shared" si="30"/>
        <v>1.1499999999999999</v>
      </c>
      <c r="R134" s="123">
        <f t="shared" si="30"/>
        <v>1.1499999999999999</v>
      </c>
      <c r="S134" s="123">
        <f t="shared" si="30"/>
        <v>1.1499999999999999</v>
      </c>
      <c r="T134" s="123">
        <f t="shared" si="31"/>
        <v>1.1499999999999999</v>
      </c>
      <c r="U134" s="123">
        <f t="shared" si="31"/>
        <v>1.1499999999999999</v>
      </c>
      <c r="V134" s="123">
        <f t="shared" si="31"/>
        <v>1.1499999999999999</v>
      </c>
      <c r="W134" s="123">
        <f t="shared" si="31"/>
        <v>1.1499999999999999</v>
      </c>
      <c r="X134" s="123">
        <f t="shared" si="31"/>
        <v>1.1499999999999999</v>
      </c>
      <c r="Y134" s="123">
        <f t="shared" si="31"/>
        <v>1.1499999999999999</v>
      </c>
      <c r="Z134" s="123">
        <f t="shared" si="31"/>
        <v>1.1499999999999999</v>
      </c>
      <c r="AA134" s="123">
        <f t="shared" si="31"/>
        <v>1.1499999999999999</v>
      </c>
      <c r="AB134" s="123">
        <f t="shared" si="31"/>
        <v>1.1499999999999999</v>
      </c>
      <c r="AC134" s="123">
        <f t="shared" si="31"/>
        <v>1.1499999999999999</v>
      </c>
      <c r="AD134" s="123">
        <f t="shared" si="31"/>
        <v>1.1499999999999999</v>
      </c>
      <c r="AE134" s="123">
        <f t="shared" si="31"/>
        <v>1.1499999999999999</v>
      </c>
      <c r="AF134" s="123">
        <f t="shared" si="31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9"/>
        <v>2.133</v>
      </c>
      <c r="C135" s="124">
        <v>2.133</v>
      </c>
      <c r="D135" s="123">
        <f t="shared" si="30"/>
        <v>2.133</v>
      </c>
      <c r="E135" s="123">
        <f t="shared" si="30"/>
        <v>2.133</v>
      </c>
      <c r="F135" s="123">
        <f t="shared" si="30"/>
        <v>2.133</v>
      </c>
      <c r="G135" s="123">
        <f t="shared" si="30"/>
        <v>2.133</v>
      </c>
      <c r="H135" s="123">
        <f t="shared" si="30"/>
        <v>2.133</v>
      </c>
      <c r="I135" s="123">
        <f t="shared" si="30"/>
        <v>2.133</v>
      </c>
      <c r="J135" s="123">
        <f t="shared" si="30"/>
        <v>2.133</v>
      </c>
      <c r="K135" s="123">
        <f t="shared" si="30"/>
        <v>2.133</v>
      </c>
      <c r="L135" s="123">
        <f t="shared" si="30"/>
        <v>2.133</v>
      </c>
      <c r="M135" s="123">
        <f t="shared" si="30"/>
        <v>2.133</v>
      </c>
      <c r="N135" s="123">
        <f t="shared" si="30"/>
        <v>2.133</v>
      </c>
      <c r="O135" s="123">
        <f t="shared" si="30"/>
        <v>2.133</v>
      </c>
      <c r="P135" s="123">
        <f t="shared" si="30"/>
        <v>2.133</v>
      </c>
      <c r="Q135" s="123">
        <f t="shared" si="30"/>
        <v>2.133</v>
      </c>
      <c r="R135" s="123">
        <f t="shared" si="30"/>
        <v>2.133</v>
      </c>
      <c r="S135" s="123">
        <f t="shared" si="30"/>
        <v>2.133</v>
      </c>
      <c r="T135" s="123">
        <f t="shared" si="31"/>
        <v>2.133</v>
      </c>
      <c r="U135" s="123">
        <f t="shared" si="31"/>
        <v>2.133</v>
      </c>
      <c r="V135" s="123">
        <f t="shared" si="31"/>
        <v>2.133</v>
      </c>
      <c r="W135" s="123">
        <f t="shared" si="31"/>
        <v>2.133</v>
      </c>
      <c r="X135" s="123">
        <f t="shared" si="31"/>
        <v>2.133</v>
      </c>
      <c r="Y135" s="123">
        <f t="shared" si="31"/>
        <v>2.133</v>
      </c>
      <c r="Z135" s="123">
        <f t="shared" si="31"/>
        <v>2.133</v>
      </c>
      <c r="AA135" s="123">
        <f t="shared" si="31"/>
        <v>2.133</v>
      </c>
      <c r="AB135" s="123">
        <f t="shared" si="31"/>
        <v>2.133</v>
      </c>
      <c r="AC135" s="123">
        <f t="shared" si="31"/>
        <v>2.133</v>
      </c>
      <c r="AD135" s="123">
        <f t="shared" si="31"/>
        <v>2.133</v>
      </c>
      <c r="AE135" s="123">
        <f t="shared" si="31"/>
        <v>2.133</v>
      </c>
      <c r="AF135" s="123">
        <f t="shared" si="31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9"/>
        <v>2.09</v>
      </c>
      <c r="C136" s="124">
        <v>2.09</v>
      </c>
      <c r="D136" s="123">
        <f t="shared" si="30"/>
        <v>2.09</v>
      </c>
      <c r="E136" s="123">
        <f t="shared" si="30"/>
        <v>2.09</v>
      </c>
      <c r="F136" s="123">
        <f t="shared" si="30"/>
        <v>2.09</v>
      </c>
      <c r="G136" s="123">
        <f t="shared" si="30"/>
        <v>2.09</v>
      </c>
      <c r="H136" s="123">
        <f t="shared" si="30"/>
        <v>2.09</v>
      </c>
      <c r="I136" s="123">
        <f t="shared" si="30"/>
        <v>2.09</v>
      </c>
      <c r="J136" s="123">
        <f t="shared" si="30"/>
        <v>2.09</v>
      </c>
      <c r="K136" s="123">
        <f t="shared" si="30"/>
        <v>2.09</v>
      </c>
      <c r="L136" s="123">
        <f t="shared" si="30"/>
        <v>2.09</v>
      </c>
      <c r="M136" s="123">
        <f t="shared" si="30"/>
        <v>2.09</v>
      </c>
      <c r="N136" s="123">
        <f t="shared" si="30"/>
        <v>2.09</v>
      </c>
      <c r="O136" s="123">
        <f t="shared" si="30"/>
        <v>2.09</v>
      </c>
      <c r="P136" s="123">
        <f t="shared" si="30"/>
        <v>2.09</v>
      </c>
      <c r="Q136" s="123">
        <f t="shared" si="30"/>
        <v>2.09</v>
      </c>
      <c r="R136" s="123">
        <f t="shared" si="30"/>
        <v>2.09</v>
      </c>
      <c r="S136" s="123">
        <f t="shared" si="30"/>
        <v>2.09</v>
      </c>
      <c r="T136" s="123">
        <f t="shared" si="31"/>
        <v>2.09</v>
      </c>
      <c r="U136" s="123">
        <f t="shared" si="31"/>
        <v>2.09</v>
      </c>
      <c r="V136" s="123">
        <f t="shared" si="31"/>
        <v>2.09</v>
      </c>
      <c r="W136" s="123">
        <f t="shared" si="31"/>
        <v>2.09</v>
      </c>
      <c r="X136" s="123">
        <f t="shared" si="31"/>
        <v>2.09</v>
      </c>
      <c r="Y136" s="123">
        <f t="shared" si="31"/>
        <v>2.09</v>
      </c>
      <c r="Z136" s="123">
        <f t="shared" si="31"/>
        <v>2.09</v>
      </c>
      <c r="AA136" s="123">
        <f t="shared" si="31"/>
        <v>2.09</v>
      </c>
      <c r="AB136" s="123">
        <f t="shared" si="31"/>
        <v>2.09</v>
      </c>
      <c r="AC136" s="123">
        <f t="shared" si="31"/>
        <v>2.09</v>
      </c>
      <c r="AD136" s="123">
        <f t="shared" si="31"/>
        <v>2.09</v>
      </c>
      <c r="AE136" s="123">
        <f t="shared" si="31"/>
        <v>2.09</v>
      </c>
      <c r="AF136" s="123">
        <f t="shared" si="31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9"/>
        <v>1.1399999999999999</v>
      </c>
      <c r="C137" s="124">
        <v>1.1399999999999999</v>
      </c>
      <c r="D137" s="123">
        <f t="shared" si="30"/>
        <v>1.1399999999999999</v>
      </c>
      <c r="E137" s="123">
        <f t="shared" si="30"/>
        <v>1.1399999999999999</v>
      </c>
      <c r="F137" s="123">
        <f t="shared" si="30"/>
        <v>1.1399999999999999</v>
      </c>
      <c r="G137" s="123">
        <f t="shared" si="30"/>
        <v>1.1399999999999999</v>
      </c>
      <c r="H137" s="123">
        <f t="shared" si="30"/>
        <v>1.1399999999999999</v>
      </c>
      <c r="I137" s="123">
        <f t="shared" si="30"/>
        <v>1.1399999999999999</v>
      </c>
      <c r="J137" s="123">
        <f t="shared" si="30"/>
        <v>1.1399999999999999</v>
      </c>
      <c r="K137" s="123">
        <f t="shared" si="30"/>
        <v>1.1399999999999999</v>
      </c>
      <c r="L137" s="123">
        <f t="shared" si="30"/>
        <v>1.1399999999999999</v>
      </c>
      <c r="M137" s="123">
        <f t="shared" si="30"/>
        <v>1.1399999999999999</v>
      </c>
      <c r="N137" s="123">
        <f t="shared" si="30"/>
        <v>1.1399999999999999</v>
      </c>
      <c r="O137" s="123">
        <f t="shared" si="30"/>
        <v>1.1399999999999999</v>
      </c>
      <c r="P137" s="123">
        <f t="shared" si="30"/>
        <v>1.1399999999999999</v>
      </c>
      <c r="Q137" s="123">
        <f t="shared" si="30"/>
        <v>1.1399999999999999</v>
      </c>
      <c r="R137" s="123">
        <f t="shared" si="30"/>
        <v>1.1399999999999999</v>
      </c>
      <c r="S137" s="123">
        <f t="shared" si="30"/>
        <v>1.1399999999999999</v>
      </c>
      <c r="T137" s="123">
        <f t="shared" si="31"/>
        <v>1.1399999999999999</v>
      </c>
      <c r="U137" s="123">
        <f t="shared" si="31"/>
        <v>1.1399999999999999</v>
      </c>
      <c r="V137" s="123">
        <f t="shared" si="31"/>
        <v>1.1399999999999999</v>
      </c>
      <c r="W137" s="123">
        <f t="shared" si="31"/>
        <v>1.1399999999999999</v>
      </c>
      <c r="X137" s="123">
        <f t="shared" si="31"/>
        <v>1.1399999999999999</v>
      </c>
      <c r="Y137" s="123">
        <f t="shared" si="31"/>
        <v>1.1399999999999999</v>
      </c>
      <c r="Z137" s="123">
        <f t="shared" si="31"/>
        <v>1.1399999999999999</v>
      </c>
      <c r="AA137" s="123">
        <f t="shared" si="31"/>
        <v>1.1399999999999999</v>
      </c>
      <c r="AB137" s="123">
        <f t="shared" si="31"/>
        <v>1.1399999999999999</v>
      </c>
      <c r="AC137" s="123">
        <f t="shared" si="31"/>
        <v>1.1399999999999999</v>
      </c>
      <c r="AD137" s="123">
        <f t="shared" si="31"/>
        <v>1.1399999999999999</v>
      </c>
      <c r="AE137" s="123">
        <f t="shared" si="31"/>
        <v>1.1399999999999999</v>
      </c>
      <c r="AF137" s="123">
        <f t="shared" si="31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9"/>
        <v>0.82</v>
      </c>
      <c r="C138" s="124">
        <v>0.82</v>
      </c>
      <c r="D138" s="123">
        <f t="shared" si="30"/>
        <v>0.82</v>
      </c>
      <c r="E138" s="123">
        <f t="shared" si="30"/>
        <v>0.82</v>
      </c>
      <c r="F138" s="123">
        <f t="shared" si="30"/>
        <v>0.82</v>
      </c>
      <c r="G138" s="123">
        <f t="shared" si="30"/>
        <v>0.82</v>
      </c>
      <c r="H138" s="123">
        <f t="shared" si="30"/>
        <v>0.82</v>
      </c>
      <c r="I138" s="123">
        <f t="shared" si="30"/>
        <v>0.82</v>
      </c>
      <c r="J138" s="123">
        <f t="shared" si="30"/>
        <v>0.82</v>
      </c>
      <c r="K138" s="123">
        <f t="shared" si="30"/>
        <v>0.82</v>
      </c>
      <c r="L138" s="123">
        <f t="shared" si="30"/>
        <v>0.82</v>
      </c>
      <c r="M138" s="123">
        <f t="shared" si="30"/>
        <v>0.82</v>
      </c>
      <c r="N138" s="123">
        <f t="shared" si="30"/>
        <v>0.82</v>
      </c>
      <c r="O138" s="123">
        <f t="shared" si="30"/>
        <v>0.82</v>
      </c>
      <c r="P138" s="123">
        <f t="shared" si="30"/>
        <v>0.82</v>
      </c>
      <c r="Q138" s="123">
        <f t="shared" si="30"/>
        <v>0.82</v>
      </c>
      <c r="R138" s="123">
        <f t="shared" si="30"/>
        <v>0.82</v>
      </c>
      <c r="S138" s="123">
        <f t="shared" si="30"/>
        <v>0.82</v>
      </c>
      <c r="T138" s="123">
        <f t="shared" si="31"/>
        <v>0.82</v>
      </c>
      <c r="U138" s="123">
        <f t="shared" si="31"/>
        <v>0.82</v>
      </c>
      <c r="V138" s="123">
        <f t="shared" si="31"/>
        <v>0.82</v>
      </c>
      <c r="W138" s="123">
        <f t="shared" si="31"/>
        <v>0.82</v>
      </c>
      <c r="X138" s="123">
        <f t="shared" si="31"/>
        <v>0.82</v>
      </c>
      <c r="Y138" s="123">
        <f t="shared" si="31"/>
        <v>0.82</v>
      </c>
      <c r="Z138" s="123">
        <f t="shared" si="31"/>
        <v>0.82</v>
      </c>
      <c r="AA138" s="123">
        <f t="shared" si="31"/>
        <v>0.82</v>
      </c>
      <c r="AB138" s="123">
        <f t="shared" si="31"/>
        <v>0.82</v>
      </c>
      <c r="AC138" s="123">
        <f t="shared" si="31"/>
        <v>0.82</v>
      </c>
      <c r="AD138" s="123">
        <f t="shared" si="31"/>
        <v>0.82</v>
      </c>
      <c r="AE138" s="123">
        <f t="shared" si="31"/>
        <v>0.82</v>
      </c>
      <c r="AF138" s="123">
        <f t="shared" si="31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2">AF140</f>
        <v>2</v>
      </c>
      <c r="C140" s="124">
        <v>2</v>
      </c>
      <c r="D140" s="123">
        <f t="shared" ref="D140:S146" si="33">C140</f>
        <v>2</v>
      </c>
      <c r="E140" s="123">
        <f t="shared" si="33"/>
        <v>2</v>
      </c>
      <c r="F140" s="123">
        <f t="shared" si="33"/>
        <v>2</v>
      </c>
      <c r="G140" s="123">
        <f t="shared" si="33"/>
        <v>2</v>
      </c>
      <c r="H140" s="123">
        <f t="shared" si="33"/>
        <v>2</v>
      </c>
      <c r="I140" s="123">
        <f t="shared" si="33"/>
        <v>2</v>
      </c>
      <c r="J140" s="123">
        <f t="shared" si="33"/>
        <v>2</v>
      </c>
      <c r="K140" s="123">
        <f t="shared" si="33"/>
        <v>2</v>
      </c>
      <c r="L140" s="123">
        <f t="shared" si="33"/>
        <v>2</v>
      </c>
      <c r="M140" s="123">
        <f t="shared" si="33"/>
        <v>2</v>
      </c>
      <c r="N140" s="123">
        <f t="shared" si="33"/>
        <v>2</v>
      </c>
      <c r="O140" s="123">
        <f t="shared" si="33"/>
        <v>2</v>
      </c>
      <c r="P140" s="123">
        <f t="shared" si="33"/>
        <v>2</v>
      </c>
      <c r="Q140" s="123">
        <f t="shared" si="33"/>
        <v>2</v>
      </c>
      <c r="R140" s="123">
        <f t="shared" si="33"/>
        <v>2</v>
      </c>
      <c r="S140" s="123">
        <f t="shared" si="33"/>
        <v>2</v>
      </c>
      <c r="T140" s="123">
        <f t="shared" ref="T140:AF146" si="34">S140</f>
        <v>2</v>
      </c>
      <c r="U140" s="123">
        <f t="shared" si="34"/>
        <v>2</v>
      </c>
      <c r="V140" s="123">
        <f t="shared" si="34"/>
        <v>2</v>
      </c>
      <c r="W140" s="123">
        <f t="shared" si="34"/>
        <v>2</v>
      </c>
      <c r="X140" s="123">
        <f t="shared" si="34"/>
        <v>2</v>
      </c>
      <c r="Y140" s="123">
        <f t="shared" si="34"/>
        <v>2</v>
      </c>
      <c r="Z140" s="123">
        <f t="shared" si="34"/>
        <v>2</v>
      </c>
      <c r="AA140" s="123">
        <f t="shared" si="34"/>
        <v>2</v>
      </c>
      <c r="AB140" s="123">
        <f t="shared" si="34"/>
        <v>2</v>
      </c>
      <c r="AC140" s="123">
        <f t="shared" si="34"/>
        <v>2</v>
      </c>
      <c r="AD140" s="123">
        <f t="shared" si="34"/>
        <v>2</v>
      </c>
      <c r="AE140" s="123">
        <f t="shared" si="34"/>
        <v>2</v>
      </c>
      <c r="AF140" s="123">
        <f t="shared" si="34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2"/>
        <v>5.61</v>
      </c>
      <c r="C141" s="124">
        <v>5.61</v>
      </c>
      <c r="D141" s="123">
        <f t="shared" si="33"/>
        <v>5.61</v>
      </c>
      <c r="E141" s="123">
        <f t="shared" si="33"/>
        <v>5.61</v>
      </c>
      <c r="F141" s="123">
        <f t="shared" si="33"/>
        <v>5.61</v>
      </c>
      <c r="G141" s="123">
        <f t="shared" si="33"/>
        <v>5.61</v>
      </c>
      <c r="H141" s="123">
        <f t="shared" si="33"/>
        <v>5.61</v>
      </c>
      <c r="I141" s="123">
        <f t="shared" si="33"/>
        <v>5.61</v>
      </c>
      <c r="J141" s="123">
        <f t="shared" si="33"/>
        <v>5.61</v>
      </c>
      <c r="K141" s="123">
        <f t="shared" si="33"/>
        <v>5.61</v>
      </c>
      <c r="L141" s="123">
        <f t="shared" si="33"/>
        <v>5.61</v>
      </c>
      <c r="M141" s="123">
        <f t="shared" si="33"/>
        <v>5.61</v>
      </c>
      <c r="N141" s="123">
        <f t="shared" si="33"/>
        <v>5.61</v>
      </c>
      <c r="O141" s="123">
        <f t="shared" si="33"/>
        <v>5.61</v>
      </c>
      <c r="P141" s="123">
        <f t="shared" si="33"/>
        <v>5.61</v>
      </c>
      <c r="Q141" s="123">
        <f t="shared" si="33"/>
        <v>5.61</v>
      </c>
      <c r="R141" s="123">
        <f t="shared" si="33"/>
        <v>5.61</v>
      </c>
      <c r="S141" s="123">
        <f t="shared" si="33"/>
        <v>5.61</v>
      </c>
      <c r="T141" s="123">
        <f t="shared" si="34"/>
        <v>5.61</v>
      </c>
      <c r="U141" s="123">
        <f t="shared" si="34"/>
        <v>5.61</v>
      </c>
      <c r="V141" s="123">
        <f t="shared" si="34"/>
        <v>5.61</v>
      </c>
      <c r="W141" s="123">
        <f t="shared" si="34"/>
        <v>5.61</v>
      </c>
      <c r="X141" s="123">
        <f t="shared" si="34"/>
        <v>5.61</v>
      </c>
      <c r="Y141" s="123">
        <f t="shared" si="34"/>
        <v>5.61</v>
      </c>
      <c r="Z141" s="123">
        <f t="shared" si="34"/>
        <v>5.61</v>
      </c>
      <c r="AA141" s="123">
        <f t="shared" si="34"/>
        <v>5.61</v>
      </c>
      <c r="AB141" s="123">
        <f t="shared" si="34"/>
        <v>5.61</v>
      </c>
      <c r="AC141" s="123">
        <f t="shared" si="34"/>
        <v>5.61</v>
      </c>
      <c r="AD141" s="123">
        <f t="shared" si="34"/>
        <v>5.61</v>
      </c>
      <c r="AE141" s="123">
        <f t="shared" si="34"/>
        <v>5.61</v>
      </c>
      <c r="AF141" s="123">
        <f t="shared" si="34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2"/>
        <v>1.25</v>
      </c>
      <c r="C142" s="124">
        <v>1.25</v>
      </c>
      <c r="D142" s="123">
        <f t="shared" si="33"/>
        <v>1.25</v>
      </c>
      <c r="E142" s="123">
        <f t="shared" si="33"/>
        <v>1.25</v>
      </c>
      <c r="F142" s="123">
        <f t="shared" si="33"/>
        <v>1.25</v>
      </c>
      <c r="G142" s="123">
        <f t="shared" si="33"/>
        <v>1.25</v>
      </c>
      <c r="H142" s="123">
        <f t="shared" si="33"/>
        <v>1.25</v>
      </c>
      <c r="I142" s="123">
        <f t="shared" si="33"/>
        <v>1.25</v>
      </c>
      <c r="J142" s="123">
        <f t="shared" si="33"/>
        <v>1.25</v>
      </c>
      <c r="K142" s="123">
        <f t="shared" si="33"/>
        <v>1.25</v>
      </c>
      <c r="L142" s="123">
        <f t="shared" si="33"/>
        <v>1.25</v>
      </c>
      <c r="M142" s="123">
        <f t="shared" si="33"/>
        <v>1.25</v>
      </c>
      <c r="N142" s="123">
        <f t="shared" si="33"/>
        <v>1.25</v>
      </c>
      <c r="O142" s="123">
        <f t="shared" si="33"/>
        <v>1.25</v>
      </c>
      <c r="P142" s="123">
        <f t="shared" si="33"/>
        <v>1.25</v>
      </c>
      <c r="Q142" s="123">
        <f t="shared" si="33"/>
        <v>1.25</v>
      </c>
      <c r="R142" s="123">
        <f t="shared" si="33"/>
        <v>1.25</v>
      </c>
      <c r="S142" s="123">
        <f t="shared" si="33"/>
        <v>1.25</v>
      </c>
      <c r="T142" s="123">
        <f t="shared" si="34"/>
        <v>1.25</v>
      </c>
      <c r="U142" s="123">
        <f t="shared" si="34"/>
        <v>1.25</v>
      </c>
      <c r="V142" s="123">
        <f t="shared" si="34"/>
        <v>1.25</v>
      </c>
      <c r="W142" s="123">
        <f t="shared" si="34"/>
        <v>1.25</v>
      </c>
      <c r="X142" s="123">
        <f t="shared" si="34"/>
        <v>1.25</v>
      </c>
      <c r="Y142" s="123">
        <f t="shared" si="34"/>
        <v>1.25</v>
      </c>
      <c r="Z142" s="123">
        <f t="shared" si="34"/>
        <v>1.25</v>
      </c>
      <c r="AA142" s="123">
        <f t="shared" si="34"/>
        <v>1.25</v>
      </c>
      <c r="AB142" s="123">
        <f t="shared" si="34"/>
        <v>1.25</v>
      </c>
      <c r="AC142" s="123">
        <f t="shared" si="34"/>
        <v>1.25</v>
      </c>
      <c r="AD142" s="123">
        <f t="shared" si="34"/>
        <v>1.25</v>
      </c>
      <c r="AE142" s="123">
        <f t="shared" si="34"/>
        <v>1.25</v>
      </c>
      <c r="AF142" s="123">
        <f t="shared" si="34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2"/>
        <v>1.25</v>
      </c>
      <c r="C143" s="124">
        <v>1.25</v>
      </c>
      <c r="D143" s="123">
        <f t="shared" si="33"/>
        <v>1.25</v>
      </c>
      <c r="E143" s="123">
        <f t="shared" si="33"/>
        <v>1.25</v>
      </c>
      <c r="F143" s="123">
        <f t="shared" si="33"/>
        <v>1.25</v>
      </c>
      <c r="G143" s="123">
        <f t="shared" si="33"/>
        <v>1.25</v>
      </c>
      <c r="H143" s="123">
        <f t="shared" si="33"/>
        <v>1.25</v>
      </c>
      <c r="I143" s="123">
        <f t="shared" si="33"/>
        <v>1.25</v>
      </c>
      <c r="J143" s="123">
        <f t="shared" si="33"/>
        <v>1.25</v>
      </c>
      <c r="K143" s="123">
        <f t="shared" si="33"/>
        <v>1.25</v>
      </c>
      <c r="L143" s="123">
        <f t="shared" si="33"/>
        <v>1.25</v>
      </c>
      <c r="M143" s="123">
        <f t="shared" si="33"/>
        <v>1.25</v>
      </c>
      <c r="N143" s="123">
        <f t="shared" si="33"/>
        <v>1.25</v>
      </c>
      <c r="O143" s="123">
        <f t="shared" si="33"/>
        <v>1.25</v>
      </c>
      <c r="P143" s="123">
        <f t="shared" si="33"/>
        <v>1.25</v>
      </c>
      <c r="Q143" s="123">
        <f t="shared" si="33"/>
        <v>1.25</v>
      </c>
      <c r="R143" s="123">
        <f t="shared" si="33"/>
        <v>1.25</v>
      </c>
      <c r="S143" s="123">
        <f t="shared" si="33"/>
        <v>1.25</v>
      </c>
      <c r="T143" s="123">
        <f t="shared" si="34"/>
        <v>1.25</v>
      </c>
      <c r="U143" s="123">
        <f t="shared" si="34"/>
        <v>1.25</v>
      </c>
      <c r="V143" s="123">
        <f t="shared" si="34"/>
        <v>1.25</v>
      </c>
      <c r="W143" s="123">
        <f t="shared" si="34"/>
        <v>1.25</v>
      </c>
      <c r="X143" s="123">
        <f t="shared" si="34"/>
        <v>1.25</v>
      </c>
      <c r="Y143" s="123">
        <f t="shared" si="34"/>
        <v>1.25</v>
      </c>
      <c r="Z143" s="123">
        <f t="shared" si="34"/>
        <v>1.25</v>
      </c>
      <c r="AA143" s="123">
        <f t="shared" si="34"/>
        <v>1.25</v>
      </c>
      <c r="AB143" s="123">
        <f t="shared" si="34"/>
        <v>1.25</v>
      </c>
      <c r="AC143" s="123">
        <f t="shared" si="34"/>
        <v>1.25</v>
      </c>
      <c r="AD143" s="123">
        <f t="shared" si="34"/>
        <v>1.25</v>
      </c>
      <c r="AE143" s="123">
        <f t="shared" si="34"/>
        <v>1.25</v>
      </c>
      <c r="AF143" s="123">
        <f t="shared" si="34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2"/>
        <v>1.46</v>
      </c>
      <c r="C144" s="124">
        <v>1.46</v>
      </c>
      <c r="D144" s="123">
        <f t="shared" si="33"/>
        <v>1.46</v>
      </c>
      <c r="E144" s="123">
        <f t="shared" si="33"/>
        <v>1.46</v>
      </c>
      <c r="F144" s="123">
        <f t="shared" si="33"/>
        <v>1.46</v>
      </c>
      <c r="G144" s="123">
        <f t="shared" si="33"/>
        <v>1.46</v>
      </c>
      <c r="H144" s="123">
        <f t="shared" si="33"/>
        <v>1.46</v>
      </c>
      <c r="I144" s="123">
        <f t="shared" si="33"/>
        <v>1.46</v>
      </c>
      <c r="J144" s="123">
        <f t="shared" si="33"/>
        <v>1.46</v>
      </c>
      <c r="K144" s="123">
        <f t="shared" si="33"/>
        <v>1.46</v>
      </c>
      <c r="L144" s="123">
        <f t="shared" si="33"/>
        <v>1.46</v>
      </c>
      <c r="M144" s="123">
        <f t="shared" si="33"/>
        <v>1.46</v>
      </c>
      <c r="N144" s="123">
        <f t="shared" si="33"/>
        <v>1.46</v>
      </c>
      <c r="O144" s="123">
        <f t="shared" si="33"/>
        <v>1.46</v>
      </c>
      <c r="P144" s="123">
        <f t="shared" si="33"/>
        <v>1.46</v>
      </c>
      <c r="Q144" s="123">
        <f t="shared" si="33"/>
        <v>1.46</v>
      </c>
      <c r="R144" s="123">
        <f t="shared" si="33"/>
        <v>1.46</v>
      </c>
      <c r="S144" s="123">
        <f t="shared" si="33"/>
        <v>1.46</v>
      </c>
      <c r="T144" s="123">
        <f t="shared" si="34"/>
        <v>1.46</v>
      </c>
      <c r="U144" s="123">
        <f t="shared" si="34"/>
        <v>1.46</v>
      </c>
      <c r="V144" s="123">
        <f t="shared" si="34"/>
        <v>1.46</v>
      </c>
      <c r="W144" s="123">
        <f t="shared" si="34"/>
        <v>1.46</v>
      </c>
      <c r="X144" s="123">
        <f t="shared" si="34"/>
        <v>1.46</v>
      </c>
      <c r="Y144" s="123">
        <f t="shared" si="34"/>
        <v>1.46</v>
      </c>
      <c r="Z144" s="123">
        <f t="shared" si="34"/>
        <v>1.46</v>
      </c>
      <c r="AA144" s="123">
        <f t="shared" si="34"/>
        <v>1.46</v>
      </c>
      <c r="AB144" s="123">
        <f t="shared" si="34"/>
        <v>1.46</v>
      </c>
      <c r="AC144" s="123">
        <f t="shared" si="34"/>
        <v>1.46</v>
      </c>
      <c r="AD144" s="123">
        <f t="shared" si="34"/>
        <v>1.46</v>
      </c>
      <c r="AE144" s="123">
        <f t="shared" si="34"/>
        <v>1.46</v>
      </c>
      <c r="AF144" s="123">
        <f t="shared" si="34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2"/>
        <v>3</v>
      </c>
      <c r="C145" s="124">
        <v>3</v>
      </c>
      <c r="D145" s="123">
        <f t="shared" si="33"/>
        <v>3</v>
      </c>
      <c r="E145" s="123">
        <f t="shared" si="33"/>
        <v>3</v>
      </c>
      <c r="F145" s="123">
        <f t="shared" si="33"/>
        <v>3</v>
      </c>
      <c r="G145" s="123">
        <f t="shared" si="33"/>
        <v>3</v>
      </c>
      <c r="H145" s="123">
        <f t="shared" si="33"/>
        <v>3</v>
      </c>
      <c r="I145" s="123">
        <f t="shared" si="33"/>
        <v>3</v>
      </c>
      <c r="J145" s="123">
        <f t="shared" si="33"/>
        <v>3</v>
      </c>
      <c r="K145" s="123">
        <f t="shared" si="33"/>
        <v>3</v>
      </c>
      <c r="L145" s="123">
        <f t="shared" si="33"/>
        <v>3</v>
      </c>
      <c r="M145" s="123">
        <f t="shared" si="33"/>
        <v>3</v>
      </c>
      <c r="N145" s="123">
        <f t="shared" si="33"/>
        <v>3</v>
      </c>
      <c r="O145" s="123">
        <f t="shared" si="33"/>
        <v>3</v>
      </c>
      <c r="P145" s="123">
        <f t="shared" si="33"/>
        <v>3</v>
      </c>
      <c r="Q145" s="123">
        <f t="shared" si="33"/>
        <v>3</v>
      </c>
      <c r="R145" s="123">
        <f t="shared" si="33"/>
        <v>3</v>
      </c>
      <c r="S145" s="123">
        <f t="shared" si="33"/>
        <v>3</v>
      </c>
      <c r="T145" s="123">
        <f t="shared" si="34"/>
        <v>3</v>
      </c>
      <c r="U145" s="123">
        <f t="shared" si="34"/>
        <v>3</v>
      </c>
      <c r="V145" s="123">
        <f t="shared" si="34"/>
        <v>3</v>
      </c>
      <c r="W145" s="123">
        <f t="shared" si="34"/>
        <v>3</v>
      </c>
      <c r="X145" s="123">
        <f t="shared" si="34"/>
        <v>3</v>
      </c>
      <c r="Y145" s="123">
        <f t="shared" si="34"/>
        <v>3</v>
      </c>
      <c r="Z145" s="123">
        <f t="shared" si="34"/>
        <v>3</v>
      </c>
      <c r="AA145" s="123">
        <f t="shared" si="34"/>
        <v>3</v>
      </c>
      <c r="AB145" s="123">
        <f t="shared" si="34"/>
        <v>3</v>
      </c>
      <c r="AC145" s="123">
        <f t="shared" si="34"/>
        <v>3</v>
      </c>
      <c r="AD145" s="123">
        <f t="shared" si="34"/>
        <v>3</v>
      </c>
      <c r="AE145" s="123">
        <f t="shared" si="34"/>
        <v>3</v>
      </c>
      <c r="AF145" s="123">
        <f t="shared" si="34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2"/>
        <v>3.3</v>
      </c>
      <c r="C146" s="124">
        <v>3.3</v>
      </c>
      <c r="D146" s="123">
        <f t="shared" si="33"/>
        <v>3.3</v>
      </c>
      <c r="E146" s="123">
        <f t="shared" si="33"/>
        <v>3.3</v>
      </c>
      <c r="F146" s="123">
        <f t="shared" si="33"/>
        <v>3.3</v>
      </c>
      <c r="G146" s="123">
        <f t="shared" si="33"/>
        <v>3.3</v>
      </c>
      <c r="H146" s="123">
        <f t="shared" si="33"/>
        <v>3.3</v>
      </c>
      <c r="I146" s="123">
        <f t="shared" si="33"/>
        <v>3.3</v>
      </c>
      <c r="J146" s="123">
        <f t="shared" si="33"/>
        <v>3.3</v>
      </c>
      <c r="K146" s="123">
        <f t="shared" si="33"/>
        <v>3.3</v>
      </c>
      <c r="L146" s="123">
        <f t="shared" si="33"/>
        <v>3.3</v>
      </c>
      <c r="M146" s="123">
        <f t="shared" si="33"/>
        <v>3.3</v>
      </c>
      <c r="N146" s="123">
        <f t="shared" si="33"/>
        <v>3.3</v>
      </c>
      <c r="O146" s="123">
        <f t="shared" si="33"/>
        <v>3.3</v>
      </c>
      <c r="P146" s="123">
        <f t="shared" si="33"/>
        <v>3.3</v>
      </c>
      <c r="Q146" s="123">
        <f t="shared" si="33"/>
        <v>3.3</v>
      </c>
      <c r="R146" s="123">
        <f t="shared" si="33"/>
        <v>3.3</v>
      </c>
      <c r="S146" s="123">
        <f t="shared" si="33"/>
        <v>3.3</v>
      </c>
      <c r="T146" s="123">
        <f t="shared" si="34"/>
        <v>3.3</v>
      </c>
      <c r="U146" s="123">
        <f t="shared" si="34"/>
        <v>3.3</v>
      </c>
      <c r="V146" s="123">
        <f t="shared" si="34"/>
        <v>3.3</v>
      </c>
      <c r="W146" s="123">
        <f t="shared" si="34"/>
        <v>3.3</v>
      </c>
      <c r="X146" s="123">
        <f t="shared" si="34"/>
        <v>3.3</v>
      </c>
      <c r="Y146" s="123">
        <f t="shared" si="34"/>
        <v>3.3</v>
      </c>
      <c r="Z146" s="123">
        <f t="shared" si="34"/>
        <v>3.3</v>
      </c>
      <c r="AA146" s="123">
        <f t="shared" si="34"/>
        <v>3.3</v>
      </c>
      <c r="AB146" s="123">
        <f t="shared" si="34"/>
        <v>3.3</v>
      </c>
      <c r="AC146" s="123">
        <f t="shared" si="34"/>
        <v>3.3</v>
      </c>
      <c r="AD146" s="123">
        <f t="shared" si="34"/>
        <v>3.3</v>
      </c>
      <c r="AE146" s="123">
        <f t="shared" si="34"/>
        <v>3.3</v>
      </c>
      <c r="AF146" s="123">
        <f t="shared" si="34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5">C148</f>
        <v>1.76</v>
      </c>
      <c r="E148" s="123">
        <f t="shared" si="35"/>
        <v>1.76</v>
      </c>
      <c r="F148" s="123">
        <f t="shared" si="35"/>
        <v>1.76</v>
      </c>
      <c r="G148" s="123">
        <f t="shared" si="35"/>
        <v>1.76</v>
      </c>
      <c r="H148" s="123">
        <f t="shared" si="35"/>
        <v>1.76</v>
      </c>
      <c r="I148" s="123">
        <f t="shared" si="35"/>
        <v>1.76</v>
      </c>
      <c r="J148" s="123">
        <f t="shared" si="35"/>
        <v>1.76</v>
      </c>
      <c r="K148" s="123">
        <f t="shared" si="35"/>
        <v>1.76</v>
      </c>
      <c r="L148" s="123">
        <f t="shared" si="35"/>
        <v>1.76</v>
      </c>
      <c r="M148" s="123">
        <f t="shared" si="35"/>
        <v>1.76</v>
      </c>
      <c r="N148" s="123">
        <f t="shared" si="35"/>
        <v>1.76</v>
      </c>
      <c r="O148" s="123">
        <f t="shared" si="35"/>
        <v>1.76</v>
      </c>
      <c r="P148" s="123">
        <f t="shared" si="35"/>
        <v>1.76</v>
      </c>
      <c r="Q148" s="123">
        <f t="shared" si="35"/>
        <v>1.76</v>
      </c>
      <c r="R148" s="123">
        <f t="shared" si="35"/>
        <v>1.76</v>
      </c>
      <c r="S148" s="123">
        <f t="shared" si="35"/>
        <v>1.76</v>
      </c>
      <c r="T148" s="123">
        <f t="shared" ref="T148:AF149" si="36">S148</f>
        <v>1.76</v>
      </c>
      <c r="U148" s="123">
        <f t="shared" si="36"/>
        <v>1.76</v>
      </c>
      <c r="V148" s="123">
        <f t="shared" si="36"/>
        <v>1.76</v>
      </c>
      <c r="W148" s="123">
        <f t="shared" si="36"/>
        <v>1.76</v>
      </c>
      <c r="X148" s="123">
        <f t="shared" si="36"/>
        <v>1.76</v>
      </c>
      <c r="Y148" s="123">
        <f t="shared" si="36"/>
        <v>1.76</v>
      </c>
      <c r="Z148" s="123">
        <f t="shared" si="36"/>
        <v>1.76</v>
      </c>
      <c r="AA148" s="123">
        <f t="shared" si="36"/>
        <v>1.76</v>
      </c>
      <c r="AB148" s="123">
        <f t="shared" si="36"/>
        <v>1.76</v>
      </c>
      <c r="AC148" s="123">
        <f t="shared" si="36"/>
        <v>1.76</v>
      </c>
      <c r="AD148" s="123">
        <f t="shared" si="36"/>
        <v>1.76</v>
      </c>
      <c r="AE148" s="123">
        <f t="shared" si="36"/>
        <v>1.76</v>
      </c>
      <c r="AF148" s="123">
        <f t="shared" si="36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5"/>
        <v>0</v>
      </c>
      <c r="E149" s="123">
        <f t="shared" si="35"/>
        <v>0</v>
      </c>
      <c r="F149" s="123">
        <f t="shared" si="35"/>
        <v>0</v>
      </c>
      <c r="G149" s="123">
        <f t="shared" si="35"/>
        <v>0</v>
      </c>
      <c r="H149" s="123">
        <f t="shared" si="35"/>
        <v>0</v>
      </c>
      <c r="I149" s="123">
        <f t="shared" si="35"/>
        <v>0</v>
      </c>
      <c r="J149" s="123">
        <f t="shared" si="35"/>
        <v>0</v>
      </c>
      <c r="K149" s="123">
        <f t="shared" si="35"/>
        <v>0</v>
      </c>
      <c r="L149" s="123">
        <f t="shared" si="35"/>
        <v>0</v>
      </c>
      <c r="M149" s="123">
        <f t="shared" si="35"/>
        <v>0</v>
      </c>
      <c r="N149" s="123">
        <f t="shared" si="35"/>
        <v>0</v>
      </c>
      <c r="O149" s="123">
        <f t="shared" si="35"/>
        <v>0</v>
      </c>
      <c r="P149" s="123">
        <f t="shared" si="35"/>
        <v>0</v>
      </c>
      <c r="Q149" s="123">
        <f t="shared" si="35"/>
        <v>0</v>
      </c>
      <c r="R149" s="123">
        <f t="shared" si="35"/>
        <v>0</v>
      </c>
      <c r="S149" s="123">
        <f t="shared" si="35"/>
        <v>0</v>
      </c>
      <c r="T149" s="123">
        <f t="shared" si="36"/>
        <v>0</v>
      </c>
      <c r="U149" s="123">
        <f t="shared" si="36"/>
        <v>0</v>
      </c>
      <c r="V149" s="123">
        <f t="shared" si="36"/>
        <v>0</v>
      </c>
      <c r="W149" s="123">
        <f t="shared" si="36"/>
        <v>0</v>
      </c>
      <c r="X149" s="123">
        <f t="shared" si="36"/>
        <v>0</v>
      </c>
      <c r="Y149" s="123">
        <f t="shared" si="36"/>
        <v>0</v>
      </c>
      <c r="Z149" s="123">
        <f t="shared" si="36"/>
        <v>0</v>
      </c>
      <c r="AA149" s="123">
        <f t="shared" si="36"/>
        <v>0</v>
      </c>
      <c r="AB149" s="123">
        <f t="shared" si="36"/>
        <v>0</v>
      </c>
      <c r="AC149" s="123">
        <f t="shared" si="36"/>
        <v>0</v>
      </c>
      <c r="AD149" s="123">
        <f t="shared" si="36"/>
        <v>0</v>
      </c>
      <c r="AE149" s="123">
        <f t="shared" si="36"/>
        <v>0</v>
      </c>
      <c r="AF149" s="123">
        <f t="shared" si="36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7">C151</f>
        <v>0.1</v>
      </c>
      <c r="E151" s="123">
        <f t="shared" si="37"/>
        <v>0.1</v>
      </c>
      <c r="F151" s="123">
        <f t="shared" si="37"/>
        <v>0.1</v>
      </c>
      <c r="G151" s="123">
        <f t="shared" si="37"/>
        <v>0.1</v>
      </c>
      <c r="H151" s="123">
        <f t="shared" si="37"/>
        <v>0.1</v>
      </c>
      <c r="I151" s="123">
        <f t="shared" si="37"/>
        <v>0.1</v>
      </c>
      <c r="J151" s="123">
        <f t="shared" si="37"/>
        <v>0.1</v>
      </c>
      <c r="K151" s="123">
        <f t="shared" si="37"/>
        <v>0.1</v>
      </c>
      <c r="L151" s="123">
        <f t="shared" si="37"/>
        <v>0.1</v>
      </c>
      <c r="M151" s="123">
        <f t="shared" si="37"/>
        <v>0.1</v>
      </c>
      <c r="N151" s="123">
        <f t="shared" si="37"/>
        <v>0.1</v>
      </c>
      <c r="O151" s="123">
        <f t="shared" si="37"/>
        <v>0.1</v>
      </c>
      <c r="P151" s="123">
        <f t="shared" si="37"/>
        <v>0.1</v>
      </c>
      <c r="Q151" s="123">
        <f t="shared" si="37"/>
        <v>0.1</v>
      </c>
      <c r="R151" s="123">
        <f t="shared" si="37"/>
        <v>0.1</v>
      </c>
      <c r="S151" s="123">
        <f t="shared" si="37"/>
        <v>0.1</v>
      </c>
      <c r="T151" s="123">
        <f t="shared" ref="T151:AF154" si="38">S151</f>
        <v>0.1</v>
      </c>
      <c r="U151" s="123">
        <f t="shared" si="38"/>
        <v>0.1</v>
      </c>
      <c r="V151" s="123">
        <f t="shared" si="38"/>
        <v>0.1</v>
      </c>
      <c r="W151" s="123">
        <f t="shared" si="38"/>
        <v>0.1</v>
      </c>
      <c r="X151" s="123">
        <f t="shared" si="38"/>
        <v>0.1</v>
      </c>
      <c r="Y151" s="123">
        <f t="shared" si="38"/>
        <v>0.1</v>
      </c>
      <c r="Z151" s="123">
        <f t="shared" si="38"/>
        <v>0.1</v>
      </c>
      <c r="AA151" s="123">
        <f t="shared" si="38"/>
        <v>0.1</v>
      </c>
      <c r="AB151" s="123">
        <f t="shared" si="38"/>
        <v>0.1</v>
      </c>
      <c r="AC151" s="123">
        <f t="shared" si="38"/>
        <v>0.1</v>
      </c>
      <c r="AD151" s="123">
        <f t="shared" si="38"/>
        <v>0.1</v>
      </c>
      <c r="AE151" s="123">
        <f t="shared" si="38"/>
        <v>0.1</v>
      </c>
      <c r="AF151" s="123">
        <f t="shared" si="38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7"/>
        <v>2.0499999999999998</v>
      </c>
      <c r="E152" s="123">
        <f t="shared" si="37"/>
        <v>2.0499999999999998</v>
      </c>
      <c r="F152" s="123">
        <f t="shared" si="37"/>
        <v>2.0499999999999998</v>
      </c>
      <c r="G152" s="123">
        <f t="shared" si="37"/>
        <v>2.0499999999999998</v>
      </c>
      <c r="H152" s="123">
        <f t="shared" si="37"/>
        <v>2.0499999999999998</v>
      </c>
      <c r="I152" s="123">
        <f t="shared" si="37"/>
        <v>2.0499999999999998</v>
      </c>
      <c r="J152" s="123">
        <f t="shared" si="37"/>
        <v>2.0499999999999998</v>
      </c>
      <c r="K152" s="123">
        <f t="shared" si="37"/>
        <v>2.0499999999999998</v>
      </c>
      <c r="L152" s="123">
        <f t="shared" si="37"/>
        <v>2.0499999999999998</v>
      </c>
      <c r="M152" s="123">
        <f t="shared" si="37"/>
        <v>2.0499999999999998</v>
      </c>
      <c r="N152" s="123">
        <f t="shared" si="37"/>
        <v>2.0499999999999998</v>
      </c>
      <c r="O152" s="123">
        <f t="shared" si="37"/>
        <v>2.0499999999999998</v>
      </c>
      <c r="P152" s="123">
        <f t="shared" si="37"/>
        <v>2.0499999999999998</v>
      </c>
      <c r="Q152" s="123">
        <f t="shared" si="37"/>
        <v>2.0499999999999998</v>
      </c>
      <c r="R152" s="123">
        <f t="shared" si="37"/>
        <v>2.0499999999999998</v>
      </c>
      <c r="S152" s="123">
        <f t="shared" si="37"/>
        <v>2.0499999999999998</v>
      </c>
      <c r="T152" s="123">
        <f t="shared" si="38"/>
        <v>2.0499999999999998</v>
      </c>
      <c r="U152" s="123">
        <f t="shared" si="38"/>
        <v>2.0499999999999998</v>
      </c>
      <c r="V152" s="123">
        <f t="shared" si="38"/>
        <v>2.0499999999999998</v>
      </c>
      <c r="W152" s="123">
        <f t="shared" si="38"/>
        <v>2.0499999999999998</v>
      </c>
      <c r="X152" s="123">
        <f t="shared" si="38"/>
        <v>2.0499999999999998</v>
      </c>
      <c r="Y152" s="123">
        <f t="shared" si="38"/>
        <v>2.0499999999999998</v>
      </c>
      <c r="Z152" s="123">
        <f t="shared" si="38"/>
        <v>2.0499999999999998</v>
      </c>
      <c r="AA152" s="123">
        <f t="shared" si="38"/>
        <v>2.0499999999999998</v>
      </c>
      <c r="AB152" s="123">
        <f t="shared" si="38"/>
        <v>2.0499999999999998</v>
      </c>
      <c r="AC152" s="123">
        <f t="shared" si="38"/>
        <v>2.0499999999999998</v>
      </c>
      <c r="AD152" s="123">
        <f t="shared" si="38"/>
        <v>2.0499999999999998</v>
      </c>
      <c r="AE152" s="123">
        <f t="shared" si="38"/>
        <v>2.0499999999999998</v>
      </c>
      <c r="AF152" s="123">
        <f t="shared" si="38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7"/>
        <v>2.7</v>
      </c>
      <c r="E153" s="123">
        <f t="shared" si="37"/>
        <v>2.7</v>
      </c>
      <c r="F153" s="123">
        <f t="shared" si="37"/>
        <v>2.7</v>
      </c>
      <c r="G153" s="123">
        <f t="shared" si="37"/>
        <v>2.7</v>
      </c>
      <c r="H153" s="123">
        <f t="shared" si="37"/>
        <v>2.7</v>
      </c>
      <c r="I153" s="123">
        <f t="shared" si="37"/>
        <v>2.7</v>
      </c>
      <c r="J153" s="123">
        <f t="shared" si="37"/>
        <v>2.7</v>
      </c>
      <c r="K153" s="123">
        <f t="shared" si="37"/>
        <v>2.7</v>
      </c>
      <c r="L153" s="123">
        <f t="shared" si="37"/>
        <v>2.7</v>
      </c>
      <c r="M153" s="123">
        <f t="shared" si="37"/>
        <v>2.7</v>
      </c>
      <c r="N153" s="123">
        <f t="shared" si="37"/>
        <v>2.7</v>
      </c>
      <c r="O153" s="123">
        <f t="shared" si="37"/>
        <v>2.7</v>
      </c>
      <c r="P153" s="123">
        <f t="shared" si="37"/>
        <v>2.7</v>
      </c>
      <c r="Q153" s="123">
        <f t="shared" si="37"/>
        <v>2.7</v>
      </c>
      <c r="R153" s="123">
        <f t="shared" si="37"/>
        <v>2.7</v>
      </c>
      <c r="S153" s="123">
        <f t="shared" si="37"/>
        <v>2.7</v>
      </c>
      <c r="T153" s="123">
        <f t="shared" si="38"/>
        <v>2.7</v>
      </c>
      <c r="U153" s="123">
        <f t="shared" si="38"/>
        <v>2.7</v>
      </c>
      <c r="V153" s="123">
        <f t="shared" si="38"/>
        <v>2.7</v>
      </c>
      <c r="W153" s="123">
        <f t="shared" si="38"/>
        <v>2.7</v>
      </c>
      <c r="X153" s="123">
        <f t="shared" si="38"/>
        <v>2.7</v>
      </c>
      <c r="Y153" s="123">
        <f t="shared" si="38"/>
        <v>2.7</v>
      </c>
      <c r="Z153" s="123">
        <f t="shared" si="38"/>
        <v>2.7</v>
      </c>
      <c r="AA153" s="123">
        <f t="shared" si="38"/>
        <v>2.7</v>
      </c>
      <c r="AB153" s="123">
        <f t="shared" si="38"/>
        <v>2.7</v>
      </c>
      <c r="AC153" s="123">
        <f t="shared" si="38"/>
        <v>2.7</v>
      </c>
      <c r="AD153" s="123">
        <f t="shared" si="38"/>
        <v>2.7</v>
      </c>
      <c r="AE153" s="123">
        <f t="shared" si="38"/>
        <v>2.7</v>
      </c>
      <c r="AF153" s="123">
        <f t="shared" si="38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7"/>
        <v>2.15</v>
      </c>
      <c r="E154" s="123">
        <f t="shared" si="37"/>
        <v>2.15</v>
      </c>
      <c r="F154" s="123">
        <f t="shared" si="37"/>
        <v>2.15</v>
      </c>
      <c r="G154" s="123">
        <f t="shared" si="37"/>
        <v>2.15</v>
      </c>
      <c r="H154" s="123">
        <f t="shared" si="37"/>
        <v>2.15</v>
      </c>
      <c r="I154" s="123">
        <f t="shared" si="37"/>
        <v>2.15</v>
      </c>
      <c r="J154" s="123">
        <f t="shared" si="37"/>
        <v>2.15</v>
      </c>
      <c r="K154" s="123">
        <f t="shared" si="37"/>
        <v>2.15</v>
      </c>
      <c r="L154" s="123">
        <f t="shared" si="37"/>
        <v>2.15</v>
      </c>
      <c r="M154" s="123">
        <f t="shared" si="37"/>
        <v>2.15</v>
      </c>
      <c r="N154" s="123">
        <f t="shared" si="37"/>
        <v>2.15</v>
      </c>
      <c r="O154" s="123">
        <f t="shared" si="37"/>
        <v>2.15</v>
      </c>
      <c r="P154" s="123">
        <f t="shared" si="37"/>
        <v>2.15</v>
      </c>
      <c r="Q154" s="123">
        <f t="shared" si="37"/>
        <v>2.15</v>
      </c>
      <c r="R154" s="123">
        <f t="shared" si="37"/>
        <v>2.15</v>
      </c>
      <c r="S154" s="123">
        <f t="shared" si="37"/>
        <v>2.15</v>
      </c>
      <c r="T154" s="123">
        <f t="shared" si="38"/>
        <v>2.15</v>
      </c>
      <c r="U154" s="123">
        <f t="shared" si="38"/>
        <v>2.15</v>
      </c>
      <c r="V154" s="123">
        <f t="shared" si="38"/>
        <v>2.15</v>
      </c>
      <c r="W154" s="123">
        <f t="shared" si="38"/>
        <v>2.15</v>
      </c>
      <c r="X154" s="123">
        <f t="shared" si="38"/>
        <v>2.15</v>
      </c>
      <c r="Y154" s="123">
        <f t="shared" si="38"/>
        <v>2.15</v>
      </c>
      <c r="Z154" s="123">
        <f t="shared" si="38"/>
        <v>2.15</v>
      </c>
      <c r="AA154" s="123">
        <f t="shared" si="38"/>
        <v>2.15</v>
      </c>
      <c r="AB154" s="123">
        <f t="shared" si="38"/>
        <v>2.15</v>
      </c>
      <c r="AC154" s="123">
        <f t="shared" si="38"/>
        <v>2.15</v>
      </c>
      <c r="AD154" s="123">
        <f t="shared" si="38"/>
        <v>2.15</v>
      </c>
      <c r="AE154" s="123">
        <f t="shared" si="38"/>
        <v>2.15</v>
      </c>
      <c r="AF154" s="123">
        <f t="shared" si="38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9">AF156</f>
        <v>0.9</v>
      </c>
      <c r="C156" s="124">
        <v>0.9</v>
      </c>
      <c r="D156" s="123">
        <f t="shared" ref="D156:S168" si="40">C156</f>
        <v>0.9</v>
      </c>
      <c r="E156" s="123">
        <f t="shared" si="40"/>
        <v>0.9</v>
      </c>
      <c r="F156" s="123">
        <f t="shared" si="40"/>
        <v>0.9</v>
      </c>
      <c r="G156" s="123">
        <f t="shared" si="40"/>
        <v>0.9</v>
      </c>
      <c r="H156" s="123">
        <f t="shared" si="40"/>
        <v>0.9</v>
      </c>
      <c r="I156" s="123">
        <f t="shared" si="40"/>
        <v>0.9</v>
      </c>
      <c r="J156" s="123">
        <f t="shared" si="40"/>
        <v>0.9</v>
      </c>
      <c r="K156" s="123">
        <f t="shared" si="40"/>
        <v>0.9</v>
      </c>
      <c r="L156" s="123">
        <f t="shared" si="40"/>
        <v>0.9</v>
      </c>
      <c r="M156" s="123">
        <f t="shared" si="40"/>
        <v>0.9</v>
      </c>
      <c r="N156" s="123">
        <f t="shared" si="40"/>
        <v>0.9</v>
      </c>
      <c r="O156" s="123">
        <f t="shared" si="40"/>
        <v>0.9</v>
      </c>
      <c r="P156" s="123">
        <f t="shared" si="40"/>
        <v>0.9</v>
      </c>
      <c r="Q156" s="123">
        <f t="shared" si="40"/>
        <v>0.9</v>
      </c>
      <c r="R156" s="123">
        <f t="shared" si="40"/>
        <v>0.9</v>
      </c>
      <c r="S156" s="123">
        <f t="shared" si="40"/>
        <v>0.9</v>
      </c>
      <c r="T156" s="123">
        <f t="shared" ref="S156:AF168" si="41">S156</f>
        <v>0.9</v>
      </c>
      <c r="U156" s="123">
        <f t="shared" si="41"/>
        <v>0.9</v>
      </c>
      <c r="V156" s="123">
        <f t="shared" si="41"/>
        <v>0.9</v>
      </c>
      <c r="W156" s="123">
        <f t="shared" si="41"/>
        <v>0.9</v>
      </c>
      <c r="X156" s="123">
        <f t="shared" si="41"/>
        <v>0.9</v>
      </c>
      <c r="Y156" s="123">
        <f t="shared" si="41"/>
        <v>0.9</v>
      </c>
      <c r="Z156" s="123">
        <f t="shared" si="41"/>
        <v>0.9</v>
      </c>
      <c r="AA156" s="123">
        <f t="shared" si="41"/>
        <v>0.9</v>
      </c>
      <c r="AB156" s="123">
        <f t="shared" si="41"/>
        <v>0.9</v>
      </c>
      <c r="AC156" s="123">
        <f t="shared" si="41"/>
        <v>0.9</v>
      </c>
      <c r="AD156" s="123">
        <f t="shared" si="41"/>
        <v>0.9</v>
      </c>
      <c r="AE156" s="123">
        <f t="shared" si="41"/>
        <v>0.9</v>
      </c>
      <c r="AF156" s="123">
        <f t="shared" si="41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9"/>
        <v>1.08</v>
      </c>
      <c r="C157" s="124">
        <v>1.08</v>
      </c>
      <c r="D157" s="123">
        <f t="shared" si="40"/>
        <v>1.08</v>
      </c>
      <c r="E157" s="123">
        <f t="shared" si="40"/>
        <v>1.08</v>
      </c>
      <c r="F157" s="123">
        <f t="shared" si="40"/>
        <v>1.08</v>
      </c>
      <c r="G157" s="123">
        <f t="shared" si="40"/>
        <v>1.08</v>
      </c>
      <c r="H157" s="123">
        <f t="shared" si="40"/>
        <v>1.08</v>
      </c>
      <c r="I157" s="123">
        <f t="shared" si="40"/>
        <v>1.08</v>
      </c>
      <c r="J157" s="123">
        <f t="shared" si="40"/>
        <v>1.08</v>
      </c>
      <c r="K157" s="123">
        <f t="shared" si="40"/>
        <v>1.08</v>
      </c>
      <c r="L157" s="123">
        <f t="shared" si="40"/>
        <v>1.08</v>
      </c>
      <c r="M157" s="123">
        <f t="shared" si="40"/>
        <v>1.08</v>
      </c>
      <c r="N157" s="123">
        <f t="shared" si="40"/>
        <v>1.08</v>
      </c>
      <c r="O157" s="123">
        <f t="shared" si="40"/>
        <v>1.08</v>
      </c>
      <c r="P157" s="123">
        <f t="shared" si="40"/>
        <v>1.08</v>
      </c>
      <c r="Q157" s="123">
        <f t="shared" si="40"/>
        <v>1.08</v>
      </c>
      <c r="R157" s="123">
        <f t="shared" si="40"/>
        <v>1.08</v>
      </c>
      <c r="S157" s="123">
        <f t="shared" si="40"/>
        <v>1.08</v>
      </c>
      <c r="T157" s="123">
        <f t="shared" si="41"/>
        <v>1.08</v>
      </c>
      <c r="U157" s="123">
        <f t="shared" si="41"/>
        <v>1.08</v>
      </c>
      <c r="V157" s="123">
        <f t="shared" si="41"/>
        <v>1.08</v>
      </c>
      <c r="W157" s="123">
        <f t="shared" si="41"/>
        <v>1.08</v>
      </c>
      <c r="X157" s="123">
        <f t="shared" si="41"/>
        <v>1.08</v>
      </c>
      <c r="Y157" s="123">
        <f t="shared" si="41"/>
        <v>1.08</v>
      </c>
      <c r="Z157" s="123">
        <f t="shared" si="41"/>
        <v>1.08</v>
      </c>
      <c r="AA157" s="123">
        <f t="shared" si="41"/>
        <v>1.08</v>
      </c>
      <c r="AB157" s="123">
        <f t="shared" si="41"/>
        <v>1.08</v>
      </c>
      <c r="AC157" s="123">
        <f t="shared" si="41"/>
        <v>1.08</v>
      </c>
      <c r="AD157" s="123">
        <f t="shared" si="41"/>
        <v>1.08</v>
      </c>
      <c r="AE157" s="123">
        <f t="shared" si="41"/>
        <v>1.08</v>
      </c>
      <c r="AF157" s="123">
        <f t="shared" si="41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9"/>
        <v>2.37</v>
      </c>
      <c r="C158" s="124">
        <v>2.37</v>
      </c>
      <c r="D158" s="123">
        <f t="shared" si="40"/>
        <v>2.37</v>
      </c>
      <c r="E158" s="123">
        <f t="shared" si="40"/>
        <v>2.37</v>
      </c>
      <c r="F158" s="123">
        <f t="shared" si="40"/>
        <v>2.37</v>
      </c>
      <c r="G158" s="123">
        <f t="shared" si="40"/>
        <v>2.37</v>
      </c>
      <c r="H158" s="123">
        <f t="shared" si="40"/>
        <v>2.37</v>
      </c>
      <c r="I158" s="123">
        <f t="shared" si="40"/>
        <v>2.37</v>
      </c>
      <c r="J158" s="123">
        <f t="shared" si="40"/>
        <v>2.37</v>
      </c>
      <c r="K158" s="123">
        <f t="shared" si="40"/>
        <v>2.37</v>
      </c>
      <c r="L158" s="123">
        <f t="shared" si="40"/>
        <v>2.37</v>
      </c>
      <c r="M158" s="123">
        <f t="shared" si="40"/>
        <v>2.37</v>
      </c>
      <c r="N158" s="123">
        <f t="shared" si="40"/>
        <v>2.37</v>
      </c>
      <c r="O158" s="123">
        <f t="shared" si="40"/>
        <v>2.37</v>
      </c>
      <c r="P158" s="123">
        <f t="shared" si="40"/>
        <v>2.37</v>
      </c>
      <c r="Q158" s="123">
        <f t="shared" si="40"/>
        <v>2.37</v>
      </c>
      <c r="R158" s="123">
        <f t="shared" si="40"/>
        <v>2.37</v>
      </c>
      <c r="S158" s="123">
        <f t="shared" si="40"/>
        <v>2.37</v>
      </c>
      <c r="T158" s="123">
        <f t="shared" si="41"/>
        <v>2.37</v>
      </c>
      <c r="U158" s="123">
        <f t="shared" si="41"/>
        <v>2.37</v>
      </c>
      <c r="V158" s="123">
        <f t="shared" si="41"/>
        <v>2.37</v>
      </c>
      <c r="W158" s="123">
        <f t="shared" si="41"/>
        <v>2.37</v>
      </c>
      <c r="X158" s="123">
        <f t="shared" si="41"/>
        <v>2.37</v>
      </c>
      <c r="Y158" s="123">
        <f t="shared" si="41"/>
        <v>2.37</v>
      </c>
      <c r="Z158" s="123">
        <f t="shared" si="41"/>
        <v>2.37</v>
      </c>
      <c r="AA158" s="123">
        <f t="shared" si="41"/>
        <v>2.37</v>
      </c>
      <c r="AB158" s="123">
        <f t="shared" si="41"/>
        <v>2.37</v>
      </c>
      <c r="AC158" s="123">
        <f t="shared" si="41"/>
        <v>2.37</v>
      </c>
      <c r="AD158" s="123">
        <f t="shared" si="41"/>
        <v>2.37</v>
      </c>
      <c r="AE158" s="123">
        <f t="shared" si="41"/>
        <v>2.37</v>
      </c>
      <c r="AF158" s="123">
        <f t="shared" si="41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9"/>
        <v>1.81</v>
      </c>
      <c r="C159" s="124">
        <v>1.81</v>
      </c>
      <c r="D159" s="123">
        <f t="shared" si="40"/>
        <v>1.81</v>
      </c>
      <c r="E159" s="123">
        <f t="shared" si="40"/>
        <v>1.81</v>
      </c>
      <c r="F159" s="123">
        <f t="shared" si="40"/>
        <v>1.81</v>
      </c>
      <c r="G159" s="123">
        <f t="shared" si="40"/>
        <v>1.81</v>
      </c>
      <c r="H159" s="123">
        <f t="shared" si="40"/>
        <v>1.81</v>
      </c>
      <c r="I159" s="123">
        <f t="shared" si="40"/>
        <v>1.81</v>
      </c>
      <c r="J159" s="123">
        <f t="shared" si="40"/>
        <v>1.81</v>
      </c>
      <c r="K159" s="123">
        <f t="shared" si="40"/>
        <v>1.81</v>
      </c>
      <c r="L159" s="123">
        <f t="shared" si="40"/>
        <v>1.81</v>
      </c>
      <c r="M159" s="123">
        <f t="shared" si="40"/>
        <v>1.81</v>
      </c>
      <c r="N159" s="123">
        <f t="shared" si="40"/>
        <v>1.81</v>
      </c>
      <c r="O159" s="123">
        <f t="shared" si="40"/>
        <v>1.81</v>
      </c>
      <c r="P159" s="123">
        <f t="shared" si="40"/>
        <v>1.81</v>
      </c>
      <c r="Q159" s="123">
        <f t="shared" si="40"/>
        <v>1.81</v>
      </c>
      <c r="R159" s="123">
        <f t="shared" si="40"/>
        <v>1.81</v>
      </c>
      <c r="S159" s="123">
        <f t="shared" si="40"/>
        <v>1.81</v>
      </c>
      <c r="T159" s="123">
        <f t="shared" si="41"/>
        <v>1.81</v>
      </c>
      <c r="U159" s="123">
        <f t="shared" si="41"/>
        <v>1.81</v>
      </c>
      <c r="V159" s="123">
        <f t="shared" si="41"/>
        <v>1.81</v>
      </c>
      <c r="W159" s="123">
        <f t="shared" si="41"/>
        <v>1.81</v>
      </c>
      <c r="X159" s="123">
        <f t="shared" si="41"/>
        <v>1.81</v>
      </c>
      <c r="Y159" s="123">
        <f t="shared" si="41"/>
        <v>1.81</v>
      </c>
      <c r="Z159" s="123">
        <f t="shared" si="41"/>
        <v>1.81</v>
      </c>
      <c r="AA159" s="123">
        <f t="shared" si="41"/>
        <v>1.81</v>
      </c>
      <c r="AB159" s="123">
        <f t="shared" si="41"/>
        <v>1.81</v>
      </c>
      <c r="AC159" s="123">
        <f t="shared" si="41"/>
        <v>1.81</v>
      </c>
      <c r="AD159" s="123">
        <f t="shared" si="41"/>
        <v>1.81</v>
      </c>
      <c r="AE159" s="123">
        <f t="shared" si="41"/>
        <v>1.81</v>
      </c>
      <c r="AF159" s="123">
        <f t="shared" si="41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9"/>
        <v>1.0900000000000001</v>
      </c>
      <c r="C160" s="124">
        <v>1.0900000000000001</v>
      </c>
      <c r="D160" s="123">
        <f t="shared" si="40"/>
        <v>1.0900000000000001</v>
      </c>
      <c r="E160" s="123">
        <f t="shared" si="40"/>
        <v>1.0900000000000001</v>
      </c>
      <c r="F160" s="123">
        <f t="shared" si="40"/>
        <v>1.0900000000000001</v>
      </c>
      <c r="G160" s="123">
        <f t="shared" si="40"/>
        <v>1.0900000000000001</v>
      </c>
      <c r="H160" s="123">
        <f t="shared" si="40"/>
        <v>1.0900000000000001</v>
      </c>
      <c r="I160" s="123">
        <f t="shared" si="40"/>
        <v>1.0900000000000001</v>
      </c>
      <c r="J160" s="123">
        <f t="shared" si="40"/>
        <v>1.0900000000000001</v>
      </c>
      <c r="K160" s="123">
        <f t="shared" si="40"/>
        <v>1.0900000000000001</v>
      </c>
      <c r="L160" s="123">
        <f t="shared" si="40"/>
        <v>1.0900000000000001</v>
      </c>
      <c r="M160" s="123">
        <f t="shared" si="40"/>
        <v>1.0900000000000001</v>
      </c>
      <c r="N160" s="123">
        <f t="shared" si="40"/>
        <v>1.0900000000000001</v>
      </c>
      <c r="O160" s="123">
        <f t="shared" si="40"/>
        <v>1.0900000000000001</v>
      </c>
      <c r="P160" s="123">
        <f t="shared" si="40"/>
        <v>1.0900000000000001</v>
      </c>
      <c r="Q160" s="123">
        <f t="shared" si="40"/>
        <v>1.0900000000000001</v>
      </c>
      <c r="R160" s="123">
        <f t="shared" si="40"/>
        <v>1.0900000000000001</v>
      </c>
      <c r="S160" s="123">
        <f t="shared" si="40"/>
        <v>1.0900000000000001</v>
      </c>
      <c r="T160" s="123">
        <f t="shared" si="41"/>
        <v>1.0900000000000001</v>
      </c>
      <c r="U160" s="123">
        <f t="shared" si="41"/>
        <v>1.0900000000000001</v>
      </c>
      <c r="V160" s="123">
        <f t="shared" si="41"/>
        <v>1.0900000000000001</v>
      </c>
      <c r="W160" s="123">
        <f t="shared" si="41"/>
        <v>1.0900000000000001</v>
      </c>
      <c r="X160" s="123">
        <f t="shared" si="41"/>
        <v>1.0900000000000001</v>
      </c>
      <c r="Y160" s="123">
        <f t="shared" si="41"/>
        <v>1.0900000000000001</v>
      </c>
      <c r="Z160" s="123">
        <f t="shared" si="41"/>
        <v>1.0900000000000001</v>
      </c>
      <c r="AA160" s="123">
        <f t="shared" si="41"/>
        <v>1.0900000000000001</v>
      </c>
      <c r="AB160" s="123">
        <f t="shared" si="41"/>
        <v>1.0900000000000001</v>
      </c>
      <c r="AC160" s="123">
        <f t="shared" si="41"/>
        <v>1.0900000000000001</v>
      </c>
      <c r="AD160" s="123">
        <f t="shared" si="41"/>
        <v>1.0900000000000001</v>
      </c>
      <c r="AE160" s="123">
        <f t="shared" si="41"/>
        <v>1.0900000000000001</v>
      </c>
      <c r="AF160" s="123">
        <f t="shared" si="41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9"/>
        <v>1.58</v>
      </c>
      <c r="C161" s="124">
        <v>1.58</v>
      </c>
      <c r="D161" s="123">
        <f t="shared" si="40"/>
        <v>1.58</v>
      </c>
      <c r="E161" s="123">
        <f t="shared" si="40"/>
        <v>1.58</v>
      </c>
      <c r="F161" s="123">
        <f t="shared" si="40"/>
        <v>1.58</v>
      </c>
      <c r="G161" s="123">
        <f t="shared" si="40"/>
        <v>1.58</v>
      </c>
      <c r="H161" s="123">
        <f t="shared" si="40"/>
        <v>1.58</v>
      </c>
      <c r="I161" s="123">
        <f t="shared" si="40"/>
        <v>1.58</v>
      </c>
      <c r="J161" s="123">
        <f t="shared" si="40"/>
        <v>1.58</v>
      </c>
      <c r="K161" s="123">
        <f t="shared" si="40"/>
        <v>1.58</v>
      </c>
      <c r="L161" s="123">
        <f t="shared" si="40"/>
        <v>1.58</v>
      </c>
      <c r="M161" s="123">
        <f t="shared" si="40"/>
        <v>1.58</v>
      </c>
      <c r="N161" s="123">
        <f t="shared" si="40"/>
        <v>1.58</v>
      </c>
      <c r="O161" s="123">
        <f t="shared" si="40"/>
        <v>1.58</v>
      </c>
      <c r="P161" s="123">
        <f t="shared" si="40"/>
        <v>1.58</v>
      </c>
      <c r="Q161" s="123">
        <f t="shared" si="40"/>
        <v>1.58</v>
      </c>
      <c r="R161" s="123">
        <f t="shared" si="40"/>
        <v>1.58</v>
      </c>
      <c r="S161" s="123">
        <f t="shared" si="40"/>
        <v>1.58</v>
      </c>
      <c r="T161" s="123">
        <f t="shared" si="41"/>
        <v>1.58</v>
      </c>
      <c r="U161" s="123">
        <f t="shared" si="41"/>
        <v>1.58</v>
      </c>
      <c r="V161" s="123">
        <f t="shared" si="41"/>
        <v>1.58</v>
      </c>
      <c r="W161" s="123">
        <f t="shared" si="41"/>
        <v>1.58</v>
      </c>
      <c r="X161" s="123">
        <f t="shared" si="41"/>
        <v>1.58</v>
      </c>
      <c r="Y161" s="123">
        <f t="shared" si="41"/>
        <v>1.58</v>
      </c>
      <c r="Z161" s="123">
        <f t="shared" si="41"/>
        <v>1.58</v>
      </c>
      <c r="AA161" s="123">
        <f t="shared" si="41"/>
        <v>1.58</v>
      </c>
      <c r="AB161" s="123">
        <f t="shared" si="41"/>
        <v>1.58</v>
      </c>
      <c r="AC161" s="123">
        <f t="shared" si="41"/>
        <v>1.58</v>
      </c>
      <c r="AD161" s="123">
        <f t="shared" si="41"/>
        <v>1.58</v>
      </c>
      <c r="AE161" s="123">
        <f t="shared" si="41"/>
        <v>1.58</v>
      </c>
      <c r="AF161" s="123">
        <f t="shared" si="41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9"/>
        <v>2</v>
      </c>
      <c r="C162" s="124">
        <v>2</v>
      </c>
      <c r="D162" s="123">
        <f t="shared" si="40"/>
        <v>2</v>
      </c>
      <c r="E162" s="123">
        <f t="shared" si="40"/>
        <v>2</v>
      </c>
      <c r="F162" s="123">
        <f t="shared" si="40"/>
        <v>2</v>
      </c>
      <c r="G162" s="123">
        <f t="shared" si="40"/>
        <v>2</v>
      </c>
      <c r="H162" s="123">
        <f t="shared" si="40"/>
        <v>2</v>
      </c>
      <c r="I162" s="123">
        <f t="shared" si="40"/>
        <v>2</v>
      </c>
      <c r="J162" s="123">
        <f t="shared" si="40"/>
        <v>2</v>
      </c>
      <c r="K162" s="123">
        <f t="shared" si="40"/>
        <v>2</v>
      </c>
      <c r="L162" s="123">
        <f t="shared" si="40"/>
        <v>2</v>
      </c>
      <c r="M162" s="123">
        <f t="shared" si="40"/>
        <v>2</v>
      </c>
      <c r="N162" s="123">
        <f t="shared" si="40"/>
        <v>2</v>
      </c>
      <c r="O162" s="123">
        <f t="shared" si="40"/>
        <v>2</v>
      </c>
      <c r="P162" s="123">
        <f t="shared" si="40"/>
        <v>2</v>
      </c>
      <c r="Q162" s="123">
        <f t="shared" si="40"/>
        <v>2</v>
      </c>
      <c r="R162" s="123">
        <f t="shared" si="40"/>
        <v>2</v>
      </c>
      <c r="S162" s="123">
        <f t="shared" si="40"/>
        <v>2</v>
      </c>
      <c r="T162" s="123">
        <f t="shared" si="41"/>
        <v>2</v>
      </c>
      <c r="U162" s="123">
        <f t="shared" si="41"/>
        <v>2</v>
      </c>
      <c r="V162" s="123">
        <f t="shared" si="41"/>
        <v>2</v>
      </c>
      <c r="W162" s="123">
        <f t="shared" si="41"/>
        <v>2</v>
      </c>
      <c r="X162" s="123">
        <f t="shared" si="41"/>
        <v>2</v>
      </c>
      <c r="Y162" s="123">
        <f t="shared" si="41"/>
        <v>2</v>
      </c>
      <c r="Z162" s="123">
        <f t="shared" si="41"/>
        <v>2</v>
      </c>
      <c r="AA162" s="123">
        <f t="shared" si="41"/>
        <v>2</v>
      </c>
      <c r="AB162" s="123">
        <f t="shared" si="41"/>
        <v>2</v>
      </c>
      <c r="AC162" s="123">
        <f t="shared" si="41"/>
        <v>2</v>
      </c>
      <c r="AD162" s="123">
        <f t="shared" si="41"/>
        <v>2</v>
      </c>
      <c r="AE162" s="123">
        <f t="shared" si="41"/>
        <v>2</v>
      </c>
      <c r="AF162" s="123">
        <f t="shared" si="41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9"/>
        <v>0.47</v>
      </c>
      <c r="C163" s="124">
        <v>0.47</v>
      </c>
      <c r="D163" s="123">
        <f t="shared" si="40"/>
        <v>0.47</v>
      </c>
      <c r="E163" s="123">
        <f t="shared" si="40"/>
        <v>0.47</v>
      </c>
      <c r="F163" s="123">
        <f t="shared" si="40"/>
        <v>0.47</v>
      </c>
      <c r="G163" s="123">
        <f t="shared" si="40"/>
        <v>0.47</v>
      </c>
      <c r="H163" s="123">
        <f t="shared" si="40"/>
        <v>0.47</v>
      </c>
      <c r="I163" s="123">
        <f t="shared" si="40"/>
        <v>0.47</v>
      </c>
      <c r="J163" s="123">
        <f t="shared" si="40"/>
        <v>0.47</v>
      </c>
      <c r="K163" s="123">
        <f t="shared" si="40"/>
        <v>0.47</v>
      </c>
      <c r="L163" s="123">
        <f t="shared" si="40"/>
        <v>0.47</v>
      </c>
      <c r="M163" s="123">
        <f t="shared" si="40"/>
        <v>0.47</v>
      </c>
      <c r="N163" s="123">
        <f t="shared" si="40"/>
        <v>0.47</v>
      </c>
      <c r="O163" s="123">
        <f t="shared" si="40"/>
        <v>0.47</v>
      </c>
      <c r="P163" s="123">
        <f t="shared" si="40"/>
        <v>0.47</v>
      </c>
      <c r="Q163" s="123">
        <f t="shared" si="40"/>
        <v>0.47</v>
      </c>
      <c r="R163" s="123">
        <f t="shared" si="40"/>
        <v>0.47</v>
      </c>
      <c r="S163" s="123">
        <f t="shared" si="40"/>
        <v>0.47</v>
      </c>
      <c r="T163" s="123">
        <f t="shared" si="41"/>
        <v>0.47</v>
      </c>
      <c r="U163" s="123">
        <f t="shared" si="41"/>
        <v>0.47</v>
      </c>
      <c r="V163" s="123">
        <f t="shared" si="41"/>
        <v>0.47</v>
      </c>
      <c r="W163" s="123">
        <f t="shared" si="41"/>
        <v>0.47</v>
      </c>
      <c r="X163" s="123">
        <f t="shared" si="41"/>
        <v>0.47</v>
      </c>
      <c r="Y163" s="123">
        <f t="shared" si="41"/>
        <v>0.47</v>
      </c>
      <c r="Z163" s="123">
        <f t="shared" si="41"/>
        <v>0.47</v>
      </c>
      <c r="AA163" s="123">
        <f t="shared" si="41"/>
        <v>0.47</v>
      </c>
      <c r="AB163" s="123">
        <f t="shared" si="41"/>
        <v>0.47</v>
      </c>
      <c r="AC163" s="123">
        <f t="shared" si="41"/>
        <v>0.47</v>
      </c>
      <c r="AD163" s="123">
        <f t="shared" si="41"/>
        <v>0.47</v>
      </c>
      <c r="AE163" s="123">
        <f t="shared" si="41"/>
        <v>0.47</v>
      </c>
      <c r="AF163" s="123">
        <f t="shared" si="41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9"/>
        <v>0</v>
      </c>
      <c r="C164" s="124">
        <v>0</v>
      </c>
      <c r="D164" s="123">
        <f t="shared" si="40"/>
        <v>0</v>
      </c>
      <c r="E164" s="123">
        <f t="shared" si="40"/>
        <v>0</v>
      </c>
      <c r="F164" s="123">
        <f t="shared" si="40"/>
        <v>0</v>
      </c>
      <c r="G164" s="123">
        <f t="shared" si="40"/>
        <v>0</v>
      </c>
      <c r="H164" s="123">
        <f t="shared" si="40"/>
        <v>0</v>
      </c>
      <c r="I164" s="123">
        <f t="shared" si="40"/>
        <v>0</v>
      </c>
      <c r="J164" s="123">
        <f t="shared" si="40"/>
        <v>0</v>
      </c>
      <c r="K164" s="123">
        <f t="shared" si="40"/>
        <v>0</v>
      </c>
      <c r="L164" s="123">
        <f t="shared" si="40"/>
        <v>0</v>
      </c>
      <c r="M164" s="123">
        <f t="shared" si="40"/>
        <v>0</v>
      </c>
      <c r="N164" s="123">
        <f t="shared" si="40"/>
        <v>0</v>
      </c>
      <c r="O164" s="123">
        <f t="shared" si="40"/>
        <v>0</v>
      </c>
      <c r="P164" s="123">
        <f t="shared" si="40"/>
        <v>0</v>
      </c>
      <c r="Q164" s="123">
        <f t="shared" si="40"/>
        <v>0</v>
      </c>
      <c r="R164" s="123">
        <f t="shared" si="40"/>
        <v>0</v>
      </c>
      <c r="S164" s="123">
        <f t="shared" si="40"/>
        <v>0</v>
      </c>
      <c r="T164" s="123">
        <f t="shared" si="41"/>
        <v>0</v>
      </c>
      <c r="U164" s="123">
        <f t="shared" si="41"/>
        <v>0</v>
      </c>
      <c r="V164" s="123">
        <f t="shared" si="41"/>
        <v>0</v>
      </c>
      <c r="W164" s="123">
        <f t="shared" si="41"/>
        <v>0</v>
      </c>
      <c r="X164" s="123">
        <f t="shared" si="41"/>
        <v>0</v>
      </c>
      <c r="Y164" s="123">
        <f t="shared" si="41"/>
        <v>0</v>
      </c>
      <c r="Z164" s="123">
        <f t="shared" si="41"/>
        <v>0</v>
      </c>
      <c r="AA164" s="123">
        <f t="shared" si="41"/>
        <v>0</v>
      </c>
      <c r="AB164" s="123">
        <f t="shared" si="41"/>
        <v>0</v>
      </c>
      <c r="AC164" s="123">
        <f t="shared" si="41"/>
        <v>0</v>
      </c>
      <c r="AD164" s="123">
        <f t="shared" si="41"/>
        <v>0</v>
      </c>
      <c r="AE164" s="123">
        <f t="shared" si="41"/>
        <v>0</v>
      </c>
      <c r="AF164" s="123">
        <f t="shared" si="41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9"/>
        <v>0</v>
      </c>
      <c r="C165" s="124">
        <v>0</v>
      </c>
      <c r="D165" s="123">
        <f t="shared" si="40"/>
        <v>0</v>
      </c>
      <c r="E165" s="123">
        <f t="shared" si="40"/>
        <v>0</v>
      </c>
      <c r="F165" s="123">
        <f t="shared" si="40"/>
        <v>0</v>
      </c>
      <c r="G165" s="123">
        <f t="shared" si="40"/>
        <v>0</v>
      </c>
      <c r="H165" s="123">
        <f t="shared" si="40"/>
        <v>0</v>
      </c>
      <c r="I165" s="123">
        <f t="shared" si="40"/>
        <v>0</v>
      </c>
      <c r="J165" s="123">
        <f t="shared" si="40"/>
        <v>0</v>
      </c>
      <c r="K165" s="123">
        <f t="shared" si="40"/>
        <v>0</v>
      </c>
      <c r="L165" s="123">
        <f t="shared" si="40"/>
        <v>0</v>
      </c>
      <c r="M165" s="123">
        <f t="shared" si="40"/>
        <v>0</v>
      </c>
      <c r="N165" s="123">
        <f t="shared" si="40"/>
        <v>0</v>
      </c>
      <c r="O165" s="123">
        <f t="shared" si="40"/>
        <v>0</v>
      </c>
      <c r="P165" s="123">
        <f t="shared" si="40"/>
        <v>0</v>
      </c>
      <c r="Q165" s="123">
        <f t="shared" si="40"/>
        <v>0</v>
      </c>
      <c r="R165" s="123">
        <f t="shared" si="40"/>
        <v>0</v>
      </c>
      <c r="S165" s="123">
        <f t="shared" si="41"/>
        <v>0</v>
      </c>
      <c r="T165" s="123">
        <f t="shared" si="41"/>
        <v>0</v>
      </c>
      <c r="U165" s="123">
        <f t="shared" si="41"/>
        <v>0</v>
      </c>
      <c r="V165" s="123">
        <f t="shared" si="41"/>
        <v>0</v>
      </c>
      <c r="W165" s="123">
        <f t="shared" si="41"/>
        <v>0</v>
      </c>
      <c r="X165" s="123">
        <f t="shared" si="41"/>
        <v>0</v>
      </c>
      <c r="Y165" s="123">
        <f t="shared" si="41"/>
        <v>0</v>
      </c>
      <c r="Z165" s="123">
        <f t="shared" si="41"/>
        <v>0</v>
      </c>
      <c r="AA165" s="123">
        <f t="shared" si="41"/>
        <v>0</v>
      </c>
      <c r="AB165" s="123">
        <f t="shared" si="41"/>
        <v>0</v>
      </c>
      <c r="AC165" s="123">
        <f t="shared" si="41"/>
        <v>0</v>
      </c>
      <c r="AD165" s="123">
        <f t="shared" si="41"/>
        <v>0</v>
      </c>
      <c r="AE165" s="123">
        <f t="shared" si="41"/>
        <v>0</v>
      </c>
      <c r="AF165" s="123">
        <f t="shared" si="41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9"/>
        <v>0.8</v>
      </c>
      <c r="C166" s="124">
        <v>0.8</v>
      </c>
      <c r="D166" s="123">
        <f t="shared" si="40"/>
        <v>0.8</v>
      </c>
      <c r="E166" s="123">
        <f t="shared" si="40"/>
        <v>0.8</v>
      </c>
      <c r="F166" s="123">
        <f t="shared" si="40"/>
        <v>0.8</v>
      </c>
      <c r="G166" s="123">
        <f t="shared" si="40"/>
        <v>0.8</v>
      </c>
      <c r="H166" s="123">
        <f t="shared" si="40"/>
        <v>0.8</v>
      </c>
      <c r="I166" s="123">
        <f t="shared" si="40"/>
        <v>0.8</v>
      </c>
      <c r="J166" s="123">
        <f t="shared" si="40"/>
        <v>0.8</v>
      </c>
      <c r="K166" s="123">
        <f t="shared" si="40"/>
        <v>0.8</v>
      </c>
      <c r="L166" s="123">
        <f t="shared" si="40"/>
        <v>0.8</v>
      </c>
      <c r="M166" s="123">
        <f t="shared" si="40"/>
        <v>0.8</v>
      </c>
      <c r="N166" s="123">
        <f t="shared" si="40"/>
        <v>0.8</v>
      </c>
      <c r="O166" s="123">
        <f t="shared" si="40"/>
        <v>0.8</v>
      </c>
      <c r="P166" s="123">
        <f t="shared" si="40"/>
        <v>0.8</v>
      </c>
      <c r="Q166" s="123">
        <f t="shared" si="40"/>
        <v>0.8</v>
      </c>
      <c r="R166" s="123">
        <f t="shared" si="40"/>
        <v>0.8</v>
      </c>
      <c r="S166" s="123">
        <f t="shared" si="41"/>
        <v>0.8</v>
      </c>
      <c r="T166" s="123">
        <f t="shared" si="41"/>
        <v>0.8</v>
      </c>
      <c r="U166" s="123">
        <f t="shared" si="41"/>
        <v>0.8</v>
      </c>
      <c r="V166" s="123">
        <f t="shared" si="41"/>
        <v>0.8</v>
      </c>
      <c r="W166" s="123">
        <f t="shared" si="41"/>
        <v>0.8</v>
      </c>
      <c r="X166" s="123">
        <f t="shared" si="41"/>
        <v>0.8</v>
      </c>
      <c r="Y166" s="123">
        <f t="shared" si="41"/>
        <v>0.8</v>
      </c>
      <c r="Z166" s="123">
        <f t="shared" si="41"/>
        <v>0.8</v>
      </c>
      <c r="AA166" s="123">
        <f t="shared" si="41"/>
        <v>0.8</v>
      </c>
      <c r="AB166" s="123">
        <f t="shared" si="41"/>
        <v>0.8</v>
      </c>
      <c r="AC166" s="123">
        <f t="shared" si="41"/>
        <v>0.8</v>
      </c>
      <c r="AD166" s="123">
        <f t="shared" si="41"/>
        <v>0.8</v>
      </c>
      <c r="AE166" s="123">
        <f t="shared" si="41"/>
        <v>0.8</v>
      </c>
      <c r="AF166" s="123">
        <f t="shared" si="41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9"/>
        <v>1.5</v>
      </c>
      <c r="C167" s="124">
        <v>1.5</v>
      </c>
      <c r="D167" s="123">
        <f t="shared" si="40"/>
        <v>1.5</v>
      </c>
      <c r="E167" s="123">
        <f t="shared" si="40"/>
        <v>1.5</v>
      </c>
      <c r="F167" s="123">
        <f t="shared" si="40"/>
        <v>1.5</v>
      </c>
      <c r="G167" s="123">
        <f t="shared" si="40"/>
        <v>1.5</v>
      </c>
      <c r="H167" s="123">
        <f t="shared" si="40"/>
        <v>1.5</v>
      </c>
      <c r="I167" s="123">
        <f t="shared" si="40"/>
        <v>1.5</v>
      </c>
      <c r="J167" s="123">
        <f t="shared" si="40"/>
        <v>1.5</v>
      </c>
      <c r="K167" s="123">
        <f t="shared" si="40"/>
        <v>1.5</v>
      </c>
      <c r="L167" s="123">
        <f t="shared" si="40"/>
        <v>1.5</v>
      </c>
      <c r="M167" s="123">
        <f t="shared" si="40"/>
        <v>1.5</v>
      </c>
      <c r="N167" s="123">
        <f t="shared" si="40"/>
        <v>1.5</v>
      </c>
      <c r="O167" s="123">
        <f t="shared" si="40"/>
        <v>1.5</v>
      </c>
      <c r="P167" s="123">
        <f t="shared" si="40"/>
        <v>1.5</v>
      </c>
      <c r="Q167" s="123">
        <f t="shared" si="40"/>
        <v>1.5</v>
      </c>
      <c r="R167" s="123">
        <f t="shared" si="40"/>
        <v>1.5</v>
      </c>
      <c r="S167" s="123">
        <f t="shared" si="41"/>
        <v>1.5</v>
      </c>
      <c r="T167" s="123">
        <f t="shared" si="41"/>
        <v>1.5</v>
      </c>
      <c r="U167" s="123">
        <f t="shared" si="41"/>
        <v>1.5</v>
      </c>
      <c r="V167" s="123">
        <f t="shared" si="41"/>
        <v>1.5</v>
      </c>
      <c r="W167" s="123">
        <f t="shared" si="41"/>
        <v>1.5</v>
      </c>
      <c r="X167" s="123">
        <f t="shared" si="41"/>
        <v>1.5</v>
      </c>
      <c r="Y167" s="123">
        <f t="shared" si="41"/>
        <v>1.5</v>
      </c>
      <c r="Z167" s="123">
        <f t="shared" si="41"/>
        <v>1.5</v>
      </c>
      <c r="AA167" s="123">
        <f t="shared" si="41"/>
        <v>1.5</v>
      </c>
      <c r="AB167" s="123">
        <f t="shared" si="41"/>
        <v>1.5</v>
      </c>
      <c r="AC167" s="123">
        <f t="shared" si="41"/>
        <v>1.5</v>
      </c>
      <c r="AD167" s="123">
        <f t="shared" si="41"/>
        <v>1.5</v>
      </c>
      <c r="AE167" s="123">
        <f t="shared" si="41"/>
        <v>1.5</v>
      </c>
      <c r="AF167" s="123">
        <f t="shared" si="41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9"/>
        <v>1</v>
      </c>
      <c r="C168" s="124">
        <v>1</v>
      </c>
      <c r="D168" s="123">
        <f t="shared" si="40"/>
        <v>1</v>
      </c>
      <c r="E168" s="123">
        <f t="shared" si="40"/>
        <v>1</v>
      </c>
      <c r="F168" s="123">
        <f t="shared" si="40"/>
        <v>1</v>
      </c>
      <c r="G168" s="123">
        <f t="shared" si="40"/>
        <v>1</v>
      </c>
      <c r="H168" s="123">
        <f t="shared" si="40"/>
        <v>1</v>
      </c>
      <c r="I168" s="123">
        <f t="shared" si="40"/>
        <v>1</v>
      </c>
      <c r="J168" s="123">
        <f t="shared" si="40"/>
        <v>1</v>
      </c>
      <c r="K168" s="123">
        <f t="shared" si="40"/>
        <v>1</v>
      </c>
      <c r="L168" s="123">
        <f t="shared" si="40"/>
        <v>1</v>
      </c>
      <c r="M168" s="123">
        <f t="shared" si="40"/>
        <v>1</v>
      </c>
      <c r="N168" s="123">
        <f t="shared" si="40"/>
        <v>1</v>
      </c>
      <c r="O168" s="123">
        <f t="shared" si="40"/>
        <v>1</v>
      </c>
      <c r="P168" s="123">
        <f t="shared" si="40"/>
        <v>1</v>
      </c>
      <c r="Q168" s="123">
        <f t="shared" si="40"/>
        <v>1</v>
      </c>
      <c r="R168" s="123">
        <f t="shared" si="40"/>
        <v>1</v>
      </c>
      <c r="S168" s="123">
        <f t="shared" si="41"/>
        <v>1</v>
      </c>
      <c r="T168" s="123">
        <f t="shared" si="41"/>
        <v>1</v>
      </c>
      <c r="U168" s="123">
        <f t="shared" si="41"/>
        <v>1</v>
      </c>
      <c r="V168" s="123">
        <f t="shared" si="41"/>
        <v>1</v>
      </c>
      <c r="W168" s="123">
        <f t="shared" si="41"/>
        <v>1</v>
      </c>
      <c r="X168" s="123">
        <f t="shared" si="41"/>
        <v>1</v>
      </c>
      <c r="Y168" s="123">
        <f t="shared" si="41"/>
        <v>1</v>
      </c>
      <c r="Z168" s="123">
        <f t="shared" si="41"/>
        <v>1</v>
      </c>
      <c r="AA168" s="123">
        <f t="shared" si="41"/>
        <v>1</v>
      </c>
      <c r="AB168" s="123">
        <f t="shared" si="41"/>
        <v>1</v>
      </c>
      <c r="AC168" s="123">
        <f t="shared" si="41"/>
        <v>1</v>
      </c>
      <c r="AD168" s="123">
        <f t="shared" si="41"/>
        <v>1</v>
      </c>
      <c r="AE168" s="123">
        <f t="shared" si="41"/>
        <v>1</v>
      </c>
      <c r="AF168" s="123">
        <f t="shared" si="41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2">AF170</f>
        <v>1</v>
      </c>
      <c r="C170" s="124">
        <v>1</v>
      </c>
      <c r="D170" s="123">
        <f t="shared" ref="D170:S177" si="43">C170</f>
        <v>1</v>
      </c>
      <c r="E170" s="123">
        <f t="shared" si="43"/>
        <v>1</v>
      </c>
      <c r="F170" s="123">
        <f t="shared" si="43"/>
        <v>1</v>
      </c>
      <c r="G170" s="123">
        <f t="shared" si="43"/>
        <v>1</v>
      </c>
      <c r="H170" s="123">
        <f t="shared" si="43"/>
        <v>1</v>
      </c>
      <c r="I170" s="123">
        <f t="shared" si="43"/>
        <v>1</v>
      </c>
      <c r="J170" s="123">
        <f t="shared" si="43"/>
        <v>1</v>
      </c>
      <c r="K170" s="123">
        <f t="shared" si="43"/>
        <v>1</v>
      </c>
      <c r="L170" s="123">
        <f t="shared" si="43"/>
        <v>1</v>
      </c>
      <c r="M170" s="123">
        <f t="shared" si="43"/>
        <v>1</v>
      </c>
      <c r="N170" s="123">
        <f t="shared" si="43"/>
        <v>1</v>
      </c>
      <c r="O170" s="123">
        <f t="shared" si="43"/>
        <v>1</v>
      </c>
      <c r="P170" s="123">
        <f t="shared" si="43"/>
        <v>1</v>
      </c>
      <c r="Q170" s="123">
        <f t="shared" si="43"/>
        <v>1</v>
      </c>
      <c r="R170" s="123">
        <f t="shared" si="43"/>
        <v>1</v>
      </c>
      <c r="S170" s="123">
        <f t="shared" si="43"/>
        <v>1</v>
      </c>
      <c r="T170" s="123">
        <f t="shared" ref="S170:AF177" si="44">S170</f>
        <v>1</v>
      </c>
      <c r="U170" s="123">
        <f t="shared" si="44"/>
        <v>1</v>
      </c>
      <c r="V170" s="123">
        <f t="shared" si="44"/>
        <v>1</v>
      </c>
      <c r="W170" s="123">
        <f t="shared" si="44"/>
        <v>1</v>
      </c>
      <c r="X170" s="123">
        <f t="shared" si="44"/>
        <v>1</v>
      </c>
      <c r="Y170" s="123">
        <f t="shared" si="44"/>
        <v>1</v>
      </c>
      <c r="Z170" s="123">
        <f t="shared" si="44"/>
        <v>1</v>
      </c>
      <c r="AA170" s="123">
        <f t="shared" si="44"/>
        <v>1</v>
      </c>
      <c r="AB170" s="123">
        <f t="shared" si="44"/>
        <v>1</v>
      </c>
      <c r="AC170" s="123">
        <f t="shared" si="44"/>
        <v>1</v>
      </c>
      <c r="AD170" s="123">
        <f t="shared" si="44"/>
        <v>1</v>
      </c>
      <c r="AE170" s="123">
        <f t="shared" si="44"/>
        <v>1</v>
      </c>
      <c r="AF170" s="123">
        <f t="shared" si="44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2"/>
        <v>0.42</v>
      </c>
      <c r="C171" s="124">
        <v>0.42</v>
      </c>
      <c r="D171" s="123">
        <f t="shared" si="43"/>
        <v>0.42</v>
      </c>
      <c r="E171" s="123">
        <f t="shared" si="43"/>
        <v>0.42</v>
      </c>
      <c r="F171" s="123">
        <f t="shared" si="43"/>
        <v>0.42</v>
      </c>
      <c r="G171" s="123">
        <f t="shared" si="43"/>
        <v>0.42</v>
      </c>
      <c r="H171" s="123">
        <f t="shared" si="43"/>
        <v>0.42</v>
      </c>
      <c r="I171" s="123">
        <f t="shared" si="43"/>
        <v>0.42</v>
      </c>
      <c r="J171" s="123">
        <f t="shared" si="43"/>
        <v>0.42</v>
      </c>
      <c r="K171" s="123">
        <f t="shared" si="43"/>
        <v>0.42</v>
      </c>
      <c r="L171" s="123">
        <f t="shared" si="43"/>
        <v>0.42</v>
      </c>
      <c r="M171" s="123">
        <f t="shared" si="43"/>
        <v>0.42</v>
      </c>
      <c r="N171" s="123">
        <f t="shared" si="43"/>
        <v>0.42</v>
      </c>
      <c r="O171" s="123">
        <f t="shared" si="43"/>
        <v>0.42</v>
      </c>
      <c r="P171" s="123">
        <f t="shared" si="43"/>
        <v>0.42</v>
      </c>
      <c r="Q171" s="123">
        <f t="shared" si="43"/>
        <v>0.42</v>
      </c>
      <c r="R171" s="123">
        <f t="shared" si="43"/>
        <v>0.42</v>
      </c>
      <c r="S171" s="123">
        <f t="shared" si="44"/>
        <v>0.42</v>
      </c>
      <c r="T171" s="123">
        <f t="shared" si="44"/>
        <v>0.42</v>
      </c>
      <c r="U171" s="123">
        <f t="shared" si="44"/>
        <v>0.42</v>
      </c>
      <c r="V171" s="123">
        <f t="shared" si="44"/>
        <v>0.42</v>
      </c>
      <c r="W171" s="123">
        <f t="shared" si="44"/>
        <v>0.42</v>
      </c>
      <c r="X171" s="123">
        <f t="shared" si="44"/>
        <v>0.42</v>
      </c>
      <c r="Y171" s="123">
        <f t="shared" si="44"/>
        <v>0.42</v>
      </c>
      <c r="Z171" s="123">
        <f t="shared" si="44"/>
        <v>0.42</v>
      </c>
      <c r="AA171" s="123">
        <f t="shared" si="44"/>
        <v>0.42</v>
      </c>
      <c r="AB171" s="123">
        <f t="shared" si="44"/>
        <v>0.42</v>
      </c>
      <c r="AC171" s="123">
        <f t="shared" si="44"/>
        <v>0.42</v>
      </c>
      <c r="AD171" s="123">
        <f t="shared" si="44"/>
        <v>0.42</v>
      </c>
      <c r="AE171" s="123">
        <f t="shared" si="44"/>
        <v>0.42</v>
      </c>
      <c r="AF171" s="123">
        <f t="shared" si="44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2"/>
        <v>0.46</v>
      </c>
      <c r="C172" s="124">
        <v>0.46</v>
      </c>
      <c r="D172" s="123">
        <f t="shared" si="43"/>
        <v>0.46</v>
      </c>
      <c r="E172" s="123">
        <f t="shared" si="43"/>
        <v>0.46</v>
      </c>
      <c r="F172" s="123">
        <f t="shared" si="43"/>
        <v>0.46</v>
      </c>
      <c r="G172" s="123">
        <f t="shared" si="43"/>
        <v>0.46</v>
      </c>
      <c r="H172" s="123">
        <f t="shared" si="43"/>
        <v>0.46</v>
      </c>
      <c r="I172" s="123">
        <f t="shared" si="43"/>
        <v>0.46</v>
      </c>
      <c r="J172" s="123">
        <f t="shared" si="43"/>
        <v>0.46</v>
      </c>
      <c r="K172" s="123">
        <f t="shared" si="43"/>
        <v>0.46</v>
      </c>
      <c r="L172" s="123">
        <f t="shared" si="43"/>
        <v>0.46</v>
      </c>
      <c r="M172" s="123">
        <f t="shared" si="43"/>
        <v>0.46</v>
      </c>
      <c r="N172" s="123">
        <f t="shared" si="43"/>
        <v>0.46</v>
      </c>
      <c r="O172" s="123">
        <f t="shared" si="43"/>
        <v>0.46</v>
      </c>
      <c r="P172" s="123">
        <f t="shared" si="43"/>
        <v>0.46</v>
      </c>
      <c r="Q172" s="123">
        <f t="shared" si="43"/>
        <v>0.46</v>
      </c>
      <c r="R172" s="123">
        <f t="shared" si="43"/>
        <v>0.46</v>
      </c>
      <c r="S172" s="123">
        <f t="shared" si="44"/>
        <v>0.46</v>
      </c>
      <c r="T172" s="123">
        <f t="shared" si="44"/>
        <v>0.46</v>
      </c>
      <c r="U172" s="123">
        <f t="shared" si="44"/>
        <v>0.46</v>
      </c>
      <c r="V172" s="123">
        <f t="shared" si="44"/>
        <v>0.46</v>
      </c>
      <c r="W172" s="123">
        <f t="shared" si="44"/>
        <v>0.46</v>
      </c>
      <c r="X172" s="123">
        <f t="shared" si="44"/>
        <v>0.46</v>
      </c>
      <c r="Y172" s="123">
        <f t="shared" si="44"/>
        <v>0.46</v>
      </c>
      <c r="Z172" s="123">
        <f t="shared" si="44"/>
        <v>0.46</v>
      </c>
      <c r="AA172" s="123">
        <f t="shared" si="44"/>
        <v>0.46</v>
      </c>
      <c r="AB172" s="123">
        <f t="shared" si="44"/>
        <v>0.46</v>
      </c>
      <c r="AC172" s="123">
        <f t="shared" si="44"/>
        <v>0.46</v>
      </c>
      <c r="AD172" s="123">
        <f t="shared" si="44"/>
        <v>0.46</v>
      </c>
      <c r="AE172" s="123">
        <f t="shared" si="44"/>
        <v>0.46</v>
      </c>
      <c r="AF172" s="123">
        <f t="shared" si="44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2"/>
        <v>0.85</v>
      </c>
      <c r="C173" s="124">
        <v>0.85</v>
      </c>
      <c r="D173" s="123">
        <f t="shared" si="43"/>
        <v>0.85</v>
      </c>
      <c r="E173" s="123">
        <f t="shared" si="43"/>
        <v>0.85</v>
      </c>
      <c r="F173" s="123">
        <f t="shared" si="43"/>
        <v>0.85</v>
      </c>
      <c r="G173" s="123">
        <f t="shared" si="43"/>
        <v>0.85</v>
      </c>
      <c r="H173" s="123">
        <f t="shared" si="43"/>
        <v>0.85</v>
      </c>
      <c r="I173" s="123">
        <f t="shared" si="43"/>
        <v>0.85</v>
      </c>
      <c r="J173" s="123">
        <f t="shared" si="43"/>
        <v>0.85</v>
      </c>
      <c r="K173" s="123">
        <f t="shared" si="43"/>
        <v>0.85</v>
      </c>
      <c r="L173" s="123">
        <f t="shared" si="43"/>
        <v>0.85</v>
      </c>
      <c r="M173" s="123">
        <f t="shared" si="43"/>
        <v>0.85</v>
      </c>
      <c r="N173" s="123">
        <f t="shared" si="43"/>
        <v>0.85</v>
      </c>
      <c r="O173" s="123">
        <f t="shared" si="43"/>
        <v>0.85</v>
      </c>
      <c r="P173" s="123">
        <f t="shared" si="43"/>
        <v>0.85</v>
      </c>
      <c r="Q173" s="123">
        <f t="shared" si="43"/>
        <v>0.85</v>
      </c>
      <c r="R173" s="123">
        <f t="shared" si="43"/>
        <v>0.85</v>
      </c>
      <c r="S173" s="123">
        <f t="shared" si="44"/>
        <v>0.85</v>
      </c>
      <c r="T173" s="123">
        <f t="shared" si="44"/>
        <v>0.85</v>
      </c>
      <c r="U173" s="123">
        <f t="shared" si="44"/>
        <v>0.85</v>
      </c>
      <c r="V173" s="123">
        <f t="shared" si="44"/>
        <v>0.85</v>
      </c>
      <c r="W173" s="123">
        <f t="shared" si="44"/>
        <v>0.85</v>
      </c>
      <c r="X173" s="123">
        <f t="shared" si="44"/>
        <v>0.85</v>
      </c>
      <c r="Y173" s="123">
        <f t="shared" si="44"/>
        <v>0.85</v>
      </c>
      <c r="Z173" s="123">
        <f t="shared" si="44"/>
        <v>0.85</v>
      </c>
      <c r="AA173" s="123">
        <f t="shared" si="44"/>
        <v>0.85</v>
      </c>
      <c r="AB173" s="123">
        <f t="shared" si="44"/>
        <v>0.85</v>
      </c>
      <c r="AC173" s="123">
        <f t="shared" si="44"/>
        <v>0.85</v>
      </c>
      <c r="AD173" s="123">
        <f t="shared" si="44"/>
        <v>0.85</v>
      </c>
      <c r="AE173" s="123">
        <f t="shared" si="44"/>
        <v>0.85</v>
      </c>
      <c r="AF173" s="123">
        <f t="shared" si="44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2"/>
        <v>0.9</v>
      </c>
      <c r="C174" s="124">
        <v>0.9</v>
      </c>
      <c r="D174" s="123">
        <f t="shared" si="43"/>
        <v>0.9</v>
      </c>
      <c r="E174" s="123">
        <f t="shared" si="43"/>
        <v>0.9</v>
      </c>
      <c r="F174" s="123">
        <f t="shared" si="43"/>
        <v>0.9</v>
      </c>
      <c r="G174" s="123">
        <f t="shared" si="43"/>
        <v>0.9</v>
      </c>
      <c r="H174" s="123">
        <f t="shared" si="43"/>
        <v>0.9</v>
      </c>
      <c r="I174" s="123">
        <f t="shared" si="43"/>
        <v>0.9</v>
      </c>
      <c r="J174" s="123">
        <f t="shared" si="43"/>
        <v>0.9</v>
      </c>
      <c r="K174" s="123">
        <f t="shared" si="43"/>
        <v>0.9</v>
      </c>
      <c r="L174" s="123">
        <f t="shared" si="43"/>
        <v>0.9</v>
      </c>
      <c r="M174" s="123">
        <f t="shared" si="43"/>
        <v>0.9</v>
      </c>
      <c r="N174" s="123">
        <f t="shared" si="43"/>
        <v>0.9</v>
      </c>
      <c r="O174" s="123">
        <f t="shared" si="43"/>
        <v>0.9</v>
      </c>
      <c r="P174" s="123">
        <f t="shared" si="43"/>
        <v>0.9</v>
      </c>
      <c r="Q174" s="123">
        <f t="shared" si="43"/>
        <v>0.9</v>
      </c>
      <c r="R174" s="123">
        <f t="shared" si="43"/>
        <v>0.9</v>
      </c>
      <c r="S174" s="123">
        <f t="shared" si="44"/>
        <v>0.9</v>
      </c>
      <c r="T174" s="123">
        <f t="shared" si="44"/>
        <v>0.9</v>
      </c>
      <c r="U174" s="123">
        <f t="shared" si="44"/>
        <v>0.9</v>
      </c>
      <c r="V174" s="123">
        <f t="shared" si="44"/>
        <v>0.9</v>
      </c>
      <c r="W174" s="123">
        <f t="shared" si="44"/>
        <v>0.9</v>
      </c>
      <c r="X174" s="123">
        <f t="shared" si="44"/>
        <v>0.9</v>
      </c>
      <c r="Y174" s="123">
        <f t="shared" si="44"/>
        <v>0.9</v>
      </c>
      <c r="Z174" s="123">
        <f t="shared" si="44"/>
        <v>0.9</v>
      </c>
      <c r="AA174" s="123">
        <f t="shared" si="44"/>
        <v>0.9</v>
      </c>
      <c r="AB174" s="123">
        <f t="shared" si="44"/>
        <v>0.9</v>
      </c>
      <c r="AC174" s="123">
        <f t="shared" si="44"/>
        <v>0.9</v>
      </c>
      <c r="AD174" s="123">
        <f t="shared" si="44"/>
        <v>0.9</v>
      </c>
      <c r="AE174" s="123">
        <f t="shared" si="44"/>
        <v>0.9</v>
      </c>
      <c r="AF174" s="123">
        <f t="shared" si="44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2"/>
        <v>0.44</v>
      </c>
      <c r="C175" s="124">
        <v>0.44</v>
      </c>
      <c r="D175" s="123">
        <f t="shared" si="43"/>
        <v>0.44</v>
      </c>
      <c r="E175" s="123">
        <f t="shared" si="43"/>
        <v>0.44</v>
      </c>
      <c r="F175" s="123">
        <f t="shared" si="43"/>
        <v>0.44</v>
      </c>
      <c r="G175" s="123">
        <f t="shared" si="43"/>
        <v>0.44</v>
      </c>
      <c r="H175" s="123">
        <f t="shared" si="43"/>
        <v>0.44</v>
      </c>
      <c r="I175" s="123">
        <f t="shared" si="43"/>
        <v>0.44</v>
      </c>
      <c r="J175" s="123">
        <f t="shared" si="43"/>
        <v>0.44</v>
      </c>
      <c r="K175" s="123">
        <f t="shared" si="43"/>
        <v>0.44</v>
      </c>
      <c r="L175" s="123">
        <f t="shared" si="43"/>
        <v>0.44</v>
      </c>
      <c r="M175" s="123">
        <f t="shared" si="43"/>
        <v>0.44</v>
      </c>
      <c r="N175" s="123">
        <f t="shared" si="43"/>
        <v>0.44</v>
      </c>
      <c r="O175" s="123">
        <f t="shared" si="43"/>
        <v>0.44</v>
      </c>
      <c r="P175" s="123">
        <f t="shared" si="43"/>
        <v>0.44</v>
      </c>
      <c r="Q175" s="123">
        <f t="shared" si="43"/>
        <v>0.44</v>
      </c>
      <c r="R175" s="123">
        <f t="shared" si="43"/>
        <v>0.44</v>
      </c>
      <c r="S175" s="123">
        <f t="shared" si="44"/>
        <v>0.44</v>
      </c>
      <c r="T175" s="123">
        <f t="shared" si="44"/>
        <v>0.44</v>
      </c>
      <c r="U175" s="123">
        <f t="shared" si="44"/>
        <v>0.44</v>
      </c>
      <c r="V175" s="123">
        <f t="shared" si="44"/>
        <v>0.44</v>
      </c>
      <c r="W175" s="123">
        <f t="shared" si="44"/>
        <v>0.44</v>
      </c>
      <c r="X175" s="123">
        <f t="shared" si="44"/>
        <v>0.44</v>
      </c>
      <c r="Y175" s="123">
        <f t="shared" si="44"/>
        <v>0.44</v>
      </c>
      <c r="Z175" s="123">
        <f t="shared" si="44"/>
        <v>0.44</v>
      </c>
      <c r="AA175" s="123">
        <f t="shared" si="44"/>
        <v>0.44</v>
      </c>
      <c r="AB175" s="123">
        <f t="shared" si="44"/>
        <v>0.44</v>
      </c>
      <c r="AC175" s="123">
        <f t="shared" si="44"/>
        <v>0.44</v>
      </c>
      <c r="AD175" s="123">
        <f t="shared" si="44"/>
        <v>0.44</v>
      </c>
      <c r="AE175" s="123">
        <f t="shared" si="44"/>
        <v>0.44</v>
      </c>
      <c r="AF175" s="123">
        <f t="shared" si="44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2"/>
        <v>2.1</v>
      </c>
      <c r="C176" s="124">
        <v>2.1</v>
      </c>
      <c r="D176" s="123">
        <f t="shared" si="43"/>
        <v>2.1</v>
      </c>
      <c r="E176" s="123">
        <f t="shared" si="43"/>
        <v>2.1</v>
      </c>
      <c r="F176" s="123">
        <f t="shared" si="43"/>
        <v>2.1</v>
      </c>
      <c r="G176" s="123">
        <f t="shared" si="43"/>
        <v>2.1</v>
      </c>
      <c r="H176" s="123">
        <f t="shared" si="43"/>
        <v>2.1</v>
      </c>
      <c r="I176" s="123">
        <f t="shared" si="43"/>
        <v>2.1</v>
      </c>
      <c r="J176" s="123">
        <f t="shared" si="43"/>
        <v>2.1</v>
      </c>
      <c r="K176" s="123">
        <f t="shared" si="43"/>
        <v>2.1</v>
      </c>
      <c r="L176" s="123">
        <f t="shared" si="43"/>
        <v>2.1</v>
      </c>
      <c r="M176" s="123">
        <f t="shared" si="43"/>
        <v>2.1</v>
      </c>
      <c r="N176" s="123">
        <f t="shared" si="43"/>
        <v>2.1</v>
      </c>
      <c r="O176" s="123">
        <f t="shared" si="43"/>
        <v>2.1</v>
      </c>
      <c r="P176" s="123">
        <f t="shared" si="43"/>
        <v>2.1</v>
      </c>
      <c r="Q176" s="123">
        <f t="shared" si="43"/>
        <v>2.1</v>
      </c>
      <c r="R176" s="123">
        <f t="shared" si="43"/>
        <v>2.1</v>
      </c>
      <c r="S176" s="123">
        <f t="shared" si="44"/>
        <v>2.1</v>
      </c>
      <c r="T176" s="123">
        <f t="shared" si="44"/>
        <v>2.1</v>
      </c>
      <c r="U176" s="123">
        <f t="shared" si="44"/>
        <v>2.1</v>
      </c>
      <c r="V176" s="123">
        <f t="shared" si="44"/>
        <v>2.1</v>
      </c>
      <c r="W176" s="123">
        <f t="shared" si="44"/>
        <v>2.1</v>
      </c>
      <c r="X176" s="123">
        <f t="shared" si="44"/>
        <v>2.1</v>
      </c>
      <c r="Y176" s="123">
        <f t="shared" si="44"/>
        <v>2.1</v>
      </c>
      <c r="Z176" s="123">
        <f t="shared" si="44"/>
        <v>2.1</v>
      </c>
      <c r="AA176" s="123">
        <f t="shared" si="44"/>
        <v>2.1</v>
      </c>
      <c r="AB176" s="123">
        <f t="shared" si="44"/>
        <v>2.1</v>
      </c>
      <c r="AC176" s="123">
        <f t="shared" si="44"/>
        <v>2.1</v>
      </c>
      <c r="AD176" s="123">
        <f t="shared" si="44"/>
        <v>2.1</v>
      </c>
      <c r="AE176" s="123">
        <f t="shared" si="44"/>
        <v>2.1</v>
      </c>
      <c r="AF176" s="123">
        <f t="shared" si="44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2"/>
        <v>0.9</v>
      </c>
      <c r="C177" s="124">
        <v>0.9</v>
      </c>
      <c r="D177" s="123">
        <f t="shared" si="43"/>
        <v>0.9</v>
      </c>
      <c r="E177" s="123">
        <f t="shared" si="43"/>
        <v>0.9</v>
      </c>
      <c r="F177" s="123">
        <f t="shared" si="43"/>
        <v>0.9</v>
      </c>
      <c r="G177" s="123">
        <f t="shared" si="43"/>
        <v>0.9</v>
      </c>
      <c r="H177" s="123">
        <f t="shared" si="43"/>
        <v>0.9</v>
      </c>
      <c r="I177" s="123">
        <f t="shared" si="43"/>
        <v>0.9</v>
      </c>
      <c r="J177" s="123">
        <f t="shared" si="43"/>
        <v>0.9</v>
      </c>
      <c r="K177" s="123">
        <f t="shared" si="43"/>
        <v>0.9</v>
      </c>
      <c r="L177" s="123">
        <f t="shared" si="43"/>
        <v>0.9</v>
      </c>
      <c r="M177" s="123">
        <f t="shared" si="43"/>
        <v>0.9</v>
      </c>
      <c r="N177" s="123">
        <f t="shared" si="43"/>
        <v>0.9</v>
      </c>
      <c r="O177" s="123">
        <f t="shared" si="43"/>
        <v>0.9</v>
      </c>
      <c r="P177" s="123">
        <f t="shared" si="43"/>
        <v>0.9</v>
      </c>
      <c r="Q177" s="123">
        <f t="shared" si="43"/>
        <v>0.9</v>
      </c>
      <c r="R177" s="123">
        <f t="shared" si="43"/>
        <v>0.9</v>
      </c>
      <c r="S177" s="123">
        <f t="shared" si="44"/>
        <v>0.9</v>
      </c>
      <c r="T177" s="123">
        <f t="shared" si="44"/>
        <v>0.9</v>
      </c>
      <c r="U177" s="123">
        <f t="shared" si="44"/>
        <v>0.9</v>
      </c>
      <c r="V177" s="123">
        <f t="shared" si="44"/>
        <v>0.9</v>
      </c>
      <c r="W177" s="123">
        <f t="shared" si="44"/>
        <v>0.9</v>
      </c>
      <c r="X177" s="123">
        <f t="shared" si="44"/>
        <v>0.9</v>
      </c>
      <c r="Y177" s="123">
        <f t="shared" si="44"/>
        <v>0.9</v>
      </c>
      <c r="Z177" s="123">
        <f t="shared" si="44"/>
        <v>0.9</v>
      </c>
      <c r="AA177" s="123">
        <f t="shared" si="44"/>
        <v>0.9</v>
      </c>
      <c r="AB177" s="123">
        <f t="shared" si="44"/>
        <v>0.9</v>
      </c>
      <c r="AC177" s="123">
        <f t="shared" si="44"/>
        <v>0.9</v>
      </c>
      <c r="AD177" s="123">
        <f t="shared" si="44"/>
        <v>0.9</v>
      </c>
      <c r="AE177" s="123">
        <f t="shared" si="44"/>
        <v>0.9</v>
      </c>
      <c r="AF177" s="123">
        <f t="shared" si="44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5">AF179</f>
        <v>0.57999999999999996</v>
      </c>
      <c r="C179" s="124">
        <v>0.57999999999999996</v>
      </c>
      <c r="D179" s="123">
        <f t="shared" ref="D179:S191" si="46">C179</f>
        <v>0.57999999999999996</v>
      </c>
      <c r="E179" s="123">
        <f t="shared" si="46"/>
        <v>0.57999999999999996</v>
      </c>
      <c r="F179" s="123">
        <f t="shared" si="46"/>
        <v>0.57999999999999996</v>
      </c>
      <c r="G179" s="123">
        <f t="shared" si="46"/>
        <v>0.57999999999999996</v>
      </c>
      <c r="H179" s="123">
        <f t="shared" si="46"/>
        <v>0.57999999999999996</v>
      </c>
      <c r="I179" s="123">
        <f t="shared" si="46"/>
        <v>0.57999999999999996</v>
      </c>
      <c r="J179" s="123">
        <f t="shared" si="46"/>
        <v>0.57999999999999996</v>
      </c>
      <c r="K179" s="123">
        <f t="shared" si="46"/>
        <v>0.57999999999999996</v>
      </c>
      <c r="L179" s="123">
        <f t="shared" si="46"/>
        <v>0.57999999999999996</v>
      </c>
      <c r="M179" s="123">
        <f t="shared" si="46"/>
        <v>0.57999999999999996</v>
      </c>
      <c r="N179" s="123">
        <f t="shared" si="46"/>
        <v>0.57999999999999996</v>
      </c>
      <c r="O179" s="123">
        <f t="shared" si="46"/>
        <v>0.57999999999999996</v>
      </c>
      <c r="P179" s="123">
        <f t="shared" si="46"/>
        <v>0.57999999999999996</v>
      </c>
      <c r="Q179" s="123">
        <f t="shared" si="46"/>
        <v>0.57999999999999996</v>
      </c>
      <c r="R179" s="123">
        <f t="shared" si="46"/>
        <v>0.57999999999999996</v>
      </c>
      <c r="S179" s="123">
        <f t="shared" si="46"/>
        <v>0.57999999999999996</v>
      </c>
      <c r="T179" s="123">
        <f t="shared" ref="S179:AF191" si="47">S179</f>
        <v>0.57999999999999996</v>
      </c>
      <c r="U179" s="123">
        <f t="shared" si="47"/>
        <v>0.57999999999999996</v>
      </c>
      <c r="V179" s="123">
        <f t="shared" si="47"/>
        <v>0.57999999999999996</v>
      </c>
      <c r="W179" s="123">
        <f t="shared" si="47"/>
        <v>0.57999999999999996</v>
      </c>
      <c r="X179" s="123">
        <f t="shared" si="47"/>
        <v>0.57999999999999996</v>
      </c>
      <c r="Y179" s="123">
        <f t="shared" si="47"/>
        <v>0.57999999999999996</v>
      </c>
      <c r="Z179" s="123">
        <f t="shared" si="47"/>
        <v>0.57999999999999996</v>
      </c>
      <c r="AA179" s="123">
        <f t="shared" si="47"/>
        <v>0.57999999999999996</v>
      </c>
      <c r="AB179" s="123">
        <f t="shared" si="47"/>
        <v>0.57999999999999996</v>
      </c>
      <c r="AC179" s="123">
        <f t="shared" si="47"/>
        <v>0.57999999999999996</v>
      </c>
      <c r="AD179" s="123">
        <f t="shared" si="47"/>
        <v>0.57999999999999996</v>
      </c>
      <c r="AE179" s="123">
        <f t="shared" si="47"/>
        <v>0.57999999999999996</v>
      </c>
      <c r="AF179" s="123">
        <f t="shared" si="47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5"/>
        <v>0.8</v>
      </c>
      <c r="C180" s="124">
        <v>0.8</v>
      </c>
      <c r="D180" s="123">
        <f t="shared" si="46"/>
        <v>0.8</v>
      </c>
      <c r="E180" s="123">
        <f t="shared" si="46"/>
        <v>0.8</v>
      </c>
      <c r="F180" s="123">
        <f t="shared" si="46"/>
        <v>0.8</v>
      </c>
      <c r="G180" s="123">
        <f t="shared" si="46"/>
        <v>0.8</v>
      </c>
      <c r="H180" s="123">
        <f t="shared" si="46"/>
        <v>0.8</v>
      </c>
      <c r="I180" s="123">
        <f t="shared" si="46"/>
        <v>0.8</v>
      </c>
      <c r="J180" s="123">
        <f t="shared" si="46"/>
        <v>0.8</v>
      </c>
      <c r="K180" s="123">
        <f t="shared" si="46"/>
        <v>0.8</v>
      </c>
      <c r="L180" s="123">
        <f t="shared" si="46"/>
        <v>0.8</v>
      </c>
      <c r="M180" s="123">
        <f t="shared" si="46"/>
        <v>0.8</v>
      </c>
      <c r="N180" s="123">
        <f t="shared" si="46"/>
        <v>0.8</v>
      </c>
      <c r="O180" s="123">
        <f t="shared" si="46"/>
        <v>0.8</v>
      </c>
      <c r="P180" s="123">
        <f t="shared" si="46"/>
        <v>0.8</v>
      </c>
      <c r="Q180" s="123">
        <f t="shared" si="46"/>
        <v>0.8</v>
      </c>
      <c r="R180" s="123">
        <f t="shared" si="46"/>
        <v>0.8</v>
      </c>
      <c r="S180" s="123">
        <f t="shared" si="46"/>
        <v>0.8</v>
      </c>
      <c r="T180" s="123">
        <f t="shared" si="47"/>
        <v>0.8</v>
      </c>
      <c r="U180" s="123">
        <f t="shared" si="47"/>
        <v>0.8</v>
      </c>
      <c r="V180" s="123">
        <f t="shared" si="47"/>
        <v>0.8</v>
      </c>
      <c r="W180" s="123">
        <f t="shared" si="47"/>
        <v>0.8</v>
      </c>
      <c r="X180" s="123">
        <f t="shared" si="47"/>
        <v>0.8</v>
      </c>
      <c r="Y180" s="123">
        <f t="shared" si="47"/>
        <v>0.8</v>
      </c>
      <c r="Z180" s="123">
        <f t="shared" si="47"/>
        <v>0.8</v>
      </c>
      <c r="AA180" s="123">
        <f t="shared" si="47"/>
        <v>0.8</v>
      </c>
      <c r="AB180" s="123">
        <f t="shared" si="47"/>
        <v>0.8</v>
      </c>
      <c r="AC180" s="123">
        <f t="shared" si="47"/>
        <v>0.8</v>
      </c>
      <c r="AD180" s="123">
        <f t="shared" si="47"/>
        <v>0.8</v>
      </c>
      <c r="AE180" s="123">
        <f t="shared" si="47"/>
        <v>0.8</v>
      </c>
      <c r="AF180" s="123">
        <f t="shared" si="47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5"/>
        <v>0</v>
      </c>
      <c r="C181" s="124">
        <v>0</v>
      </c>
      <c r="D181" s="123">
        <f t="shared" si="46"/>
        <v>0</v>
      </c>
      <c r="E181" s="123">
        <f t="shared" si="46"/>
        <v>0</v>
      </c>
      <c r="F181" s="123">
        <f t="shared" si="46"/>
        <v>0</v>
      </c>
      <c r="G181" s="123">
        <f t="shared" si="46"/>
        <v>0</v>
      </c>
      <c r="H181" s="123">
        <f t="shared" si="46"/>
        <v>0</v>
      </c>
      <c r="I181" s="123">
        <f t="shared" si="46"/>
        <v>0</v>
      </c>
      <c r="J181" s="123">
        <f t="shared" si="46"/>
        <v>0</v>
      </c>
      <c r="K181" s="123">
        <f t="shared" si="46"/>
        <v>0</v>
      </c>
      <c r="L181" s="123">
        <f t="shared" si="46"/>
        <v>0</v>
      </c>
      <c r="M181" s="123">
        <f t="shared" si="46"/>
        <v>0</v>
      </c>
      <c r="N181" s="123">
        <f t="shared" si="46"/>
        <v>0</v>
      </c>
      <c r="O181" s="123">
        <f t="shared" si="46"/>
        <v>0</v>
      </c>
      <c r="P181" s="123">
        <f t="shared" si="46"/>
        <v>0</v>
      </c>
      <c r="Q181" s="123">
        <f t="shared" si="46"/>
        <v>0</v>
      </c>
      <c r="R181" s="123">
        <f t="shared" si="46"/>
        <v>0</v>
      </c>
      <c r="S181" s="123">
        <f t="shared" si="46"/>
        <v>0</v>
      </c>
      <c r="T181" s="123">
        <f t="shared" si="47"/>
        <v>0</v>
      </c>
      <c r="U181" s="123">
        <f t="shared" si="47"/>
        <v>0</v>
      </c>
      <c r="V181" s="123">
        <f t="shared" si="47"/>
        <v>0</v>
      </c>
      <c r="W181" s="123">
        <f t="shared" si="47"/>
        <v>0</v>
      </c>
      <c r="X181" s="123">
        <f t="shared" si="47"/>
        <v>0</v>
      </c>
      <c r="Y181" s="123">
        <f t="shared" si="47"/>
        <v>0</v>
      </c>
      <c r="Z181" s="123">
        <f t="shared" si="47"/>
        <v>0</v>
      </c>
      <c r="AA181" s="123">
        <f t="shared" si="47"/>
        <v>0</v>
      </c>
      <c r="AB181" s="123">
        <f t="shared" si="47"/>
        <v>0</v>
      </c>
      <c r="AC181" s="123">
        <f t="shared" si="47"/>
        <v>0</v>
      </c>
      <c r="AD181" s="123">
        <f t="shared" si="47"/>
        <v>0</v>
      </c>
      <c r="AE181" s="123">
        <f t="shared" si="47"/>
        <v>0</v>
      </c>
      <c r="AF181" s="123">
        <f t="shared" si="47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5"/>
        <v>0.6</v>
      </c>
      <c r="C182" s="124">
        <v>0.6</v>
      </c>
      <c r="D182" s="123">
        <f t="shared" si="46"/>
        <v>0.6</v>
      </c>
      <c r="E182" s="123">
        <f t="shared" si="46"/>
        <v>0.6</v>
      </c>
      <c r="F182" s="123">
        <f t="shared" si="46"/>
        <v>0.6</v>
      </c>
      <c r="G182" s="123">
        <f t="shared" si="46"/>
        <v>0.6</v>
      </c>
      <c r="H182" s="123">
        <f t="shared" si="46"/>
        <v>0.6</v>
      </c>
      <c r="I182" s="123">
        <f t="shared" si="46"/>
        <v>0.6</v>
      </c>
      <c r="J182" s="123">
        <f t="shared" si="46"/>
        <v>0.6</v>
      </c>
      <c r="K182" s="123">
        <f t="shared" si="46"/>
        <v>0.6</v>
      </c>
      <c r="L182" s="123">
        <f t="shared" si="46"/>
        <v>0.6</v>
      </c>
      <c r="M182" s="123">
        <f t="shared" si="46"/>
        <v>0.6</v>
      </c>
      <c r="N182" s="123">
        <f t="shared" si="46"/>
        <v>0.6</v>
      </c>
      <c r="O182" s="123">
        <f t="shared" si="46"/>
        <v>0.6</v>
      </c>
      <c r="P182" s="123">
        <f t="shared" si="46"/>
        <v>0.6</v>
      </c>
      <c r="Q182" s="123">
        <f t="shared" si="46"/>
        <v>0.6</v>
      </c>
      <c r="R182" s="123">
        <f t="shared" si="46"/>
        <v>0.6</v>
      </c>
      <c r="S182" s="123">
        <f t="shared" si="46"/>
        <v>0.6</v>
      </c>
      <c r="T182" s="123">
        <f t="shared" si="47"/>
        <v>0.6</v>
      </c>
      <c r="U182" s="123">
        <f t="shared" si="47"/>
        <v>0.6</v>
      </c>
      <c r="V182" s="123">
        <f t="shared" si="47"/>
        <v>0.6</v>
      </c>
      <c r="W182" s="123">
        <f t="shared" si="47"/>
        <v>0.6</v>
      </c>
      <c r="X182" s="123">
        <f t="shared" si="47"/>
        <v>0.6</v>
      </c>
      <c r="Y182" s="123">
        <f t="shared" si="47"/>
        <v>0.6</v>
      </c>
      <c r="Z182" s="123">
        <f t="shared" si="47"/>
        <v>0.6</v>
      </c>
      <c r="AA182" s="123">
        <f t="shared" si="47"/>
        <v>0.6</v>
      </c>
      <c r="AB182" s="123">
        <f t="shared" si="47"/>
        <v>0.6</v>
      </c>
      <c r="AC182" s="123">
        <f t="shared" si="47"/>
        <v>0.6</v>
      </c>
      <c r="AD182" s="123">
        <f t="shared" si="47"/>
        <v>0.6</v>
      </c>
      <c r="AE182" s="123">
        <f t="shared" si="47"/>
        <v>0.6</v>
      </c>
      <c r="AF182" s="123">
        <f t="shared" si="47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5"/>
        <v>0.6</v>
      </c>
      <c r="C183" s="124">
        <v>0.6</v>
      </c>
      <c r="D183" s="123">
        <f t="shared" si="46"/>
        <v>0.6</v>
      </c>
      <c r="E183" s="123">
        <f t="shared" si="46"/>
        <v>0.6</v>
      </c>
      <c r="F183" s="123">
        <f t="shared" si="46"/>
        <v>0.6</v>
      </c>
      <c r="G183" s="123">
        <f t="shared" si="46"/>
        <v>0.6</v>
      </c>
      <c r="H183" s="123">
        <f t="shared" si="46"/>
        <v>0.6</v>
      </c>
      <c r="I183" s="123">
        <f t="shared" si="46"/>
        <v>0.6</v>
      </c>
      <c r="J183" s="123">
        <f t="shared" si="46"/>
        <v>0.6</v>
      </c>
      <c r="K183" s="123">
        <f t="shared" si="46"/>
        <v>0.6</v>
      </c>
      <c r="L183" s="123">
        <f t="shared" si="46"/>
        <v>0.6</v>
      </c>
      <c r="M183" s="123">
        <f t="shared" si="46"/>
        <v>0.6</v>
      </c>
      <c r="N183" s="123">
        <f t="shared" si="46"/>
        <v>0.6</v>
      </c>
      <c r="O183" s="123">
        <f t="shared" si="46"/>
        <v>0.6</v>
      </c>
      <c r="P183" s="123">
        <f t="shared" si="46"/>
        <v>0.6</v>
      </c>
      <c r="Q183" s="123">
        <f t="shared" si="46"/>
        <v>0.6</v>
      </c>
      <c r="R183" s="123">
        <f t="shared" si="46"/>
        <v>0.6</v>
      </c>
      <c r="S183" s="123">
        <f t="shared" si="46"/>
        <v>0.6</v>
      </c>
      <c r="T183" s="123">
        <f t="shared" si="47"/>
        <v>0.6</v>
      </c>
      <c r="U183" s="123">
        <f t="shared" si="47"/>
        <v>0.6</v>
      </c>
      <c r="V183" s="123">
        <f t="shared" si="47"/>
        <v>0.6</v>
      </c>
      <c r="W183" s="123">
        <f t="shared" si="47"/>
        <v>0.6</v>
      </c>
      <c r="X183" s="123">
        <f t="shared" si="47"/>
        <v>0.6</v>
      </c>
      <c r="Y183" s="123">
        <f t="shared" si="47"/>
        <v>0.6</v>
      </c>
      <c r="Z183" s="123">
        <f t="shared" si="47"/>
        <v>0.6</v>
      </c>
      <c r="AA183" s="123">
        <f t="shared" si="47"/>
        <v>0.6</v>
      </c>
      <c r="AB183" s="123">
        <f t="shared" si="47"/>
        <v>0.6</v>
      </c>
      <c r="AC183" s="123">
        <f t="shared" si="47"/>
        <v>0.6</v>
      </c>
      <c r="AD183" s="123">
        <f t="shared" si="47"/>
        <v>0.6</v>
      </c>
      <c r="AE183" s="123">
        <f t="shared" si="47"/>
        <v>0.6</v>
      </c>
      <c r="AF183" s="123">
        <f t="shared" si="47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5"/>
        <v>0.35</v>
      </c>
      <c r="C184" s="124">
        <v>0.35</v>
      </c>
      <c r="D184" s="123">
        <f t="shared" si="46"/>
        <v>0.35</v>
      </c>
      <c r="E184" s="123">
        <f t="shared" si="46"/>
        <v>0.35</v>
      </c>
      <c r="F184" s="123">
        <f t="shared" si="46"/>
        <v>0.35</v>
      </c>
      <c r="G184" s="123">
        <f t="shared" si="46"/>
        <v>0.35</v>
      </c>
      <c r="H184" s="123">
        <f t="shared" si="46"/>
        <v>0.35</v>
      </c>
      <c r="I184" s="123">
        <f t="shared" si="46"/>
        <v>0.35</v>
      </c>
      <c r="J184" s="123">
        <f t="shared" si="46"/>
        <v>0.35</v>
      </c>
      <c r="K184" s="123">
        <f t="shared" si="46"/>
        <v>0.35</v>
      </c>
      <c r="L184" s="123">
        <f t="shared" si="46"/>
        <v>0.35</v>
      </c>
      <c r="M184" s="123">
        <f t="shared" si="46"/>
        <v>0.35</v>
      </c>
      <c r="N184" s="123">
        <f t="shared" si="46"/>
        <v>0.35</v>
      </c>
      <c r="O184" s="123">
        <f t="shared" si="46"/>
        <v>0.35</v>
      </c>
      <c r="P184" s="123">
        <f t="shared" si="46"/>
        <v>0.35</v>
      </c>
      <c r="Q184" s="123">
        <f t="shared" si="46"/>
        <v>0.35</v>
      </c>
      <c r="R184" s="123">
        <f t="shared" si="46"/>
        <v>0.35</v>
      </c>
      <c r="S184" s="123">
        <f t="shared" si="46"/>
        <v>0.35</v>
      </c>
      <c r="T184" s="123">
        <f t="shared" si="47"/>
        <v>0.35</v>
      </c>
      <c r="U184" s="123">
        <f t="shared" si="47"/>
        <v>0.35</v>
      </c>
      <c r="V184" s="123">
        <f t="shared" si="47"/>
        <v>0.35</v>
      </c>
      <c r="W184" s="123">
        <f t="shared" si="47"/>
        <v>0.35</v>
      </c>
      <c r="X184" s="123">
        <f t="shared" si="47"/>
        <v>0.35</v>
      </c>
      <c r="Y184" s="123">
        <f t="shared" si="47"/>
        <v>0.35</v>
      </c>
      <c r="Z184" s="123">
        <f t="shared" si="47"/>
        <v>0.35</v>
      </c>
      <c r="AA184" s="123">
        <f t="shared" si="47"/>
        <v>0.35</v>
      </c>
      <c r="AB184" s="123">
        <f t="shared" si="47"/>
        <v>0.35</v>
      </c>
      <c r="AC184" s="123">
        <f t="shared" si="47"/>
        <v>0.35</v>
      </c>
      <c r="AD184" s="123">
        <f t="shared" si="47"/>
        <v>0.35</v>
      </c>
      <c r="AE184" s="123">
        <f t="shared" si="47"/>
        <v>0.35</v>
      </c>
      <c r="AF184" s="123">
        <f t="shared" si="47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5"/>
        <v>0.28999999999999998</v>
      </c>
      <c r="C185" s="124">
        <v>0.28999999999999998</v>
      </c>
      <c r="D185" s="123">
        <f t="shared" si="46"/>
        <v>0.28999999999999998</v>
      </c>
      <c r="E185" s="123">
        <f t="shared" si="46"/>
        <v>0.28999999999999998</v>
      </c>
      <c r="F185" s="123">
        <f t="shared" si="46"/>
        <v>0.28999999999999998</v>
      </c>
      <c r="G185" s="123">
        <f t="shared" si="46"/>
        <v>0.28999999999999998</v>
      </c>
      <c r="H185" s="123">
        <f t="shared" si="46"/>
        <v>0.28999999999999998</v>
      </c>
      <c r="I185" s="123">
        <f t="shared" si="46"/>
        <v>0.28999999999999998</v>
      </c>
      <c r="J185" s="123">
        <f t="shared" si="46"/>
        <v>0.28999999999999998</v>
      </c>
      <c r="K185" s="123">
        <f t="shared" si="46"/>
        <v>0.28999999999999998</v>
      </c>
      <c r="L185" s="123">
        <f t="shared" si="46"/>
        <v>0.28999999999999998</v>
      </c>
      <c r="M185" s="123">
        <f t="shared" si="46"/>
        <v>0.28999999999999998</v>
      </c>
      <c r="N185" s="123">
        <f t="shared" si="46"/>
        <v>0.28999999999999998</v>
      </c>
      <c r="O185" s="123">
        <f t="shared" si="46"/>
        <v>0.28999999999999998</v>
      </c>
      <c r="P185" s="123">
        <f t="shared" si="46"/>
        <v>0.28999999999999998</v>
      </c>
      <c r="Q185" s="123">
        <f t="shared" si="46"/>
        <v>0.28999999999999998</v>
      </c>
      <c r="R185" s="123">
        <f t="shared" si="46"/>
        <v>0.28999999999999998</v>
      </c>
      <c r="S185" s="123">
        <f t="shared" si="46"/>
        <v>0.28999999999999998</v>
      </c>
      <c r="T185" s="123">
        <f t="shared" si="47"/>
        <v>0.28999999999999998</v>
      </c>
      <c r="U185" s="123">
        <f t="shared" si="47"/>
        <v>0.28999999999999998</v>
      </c>
      <c r="V185" s="123">
        <f t="shared" si="47"/>
        <v>0.28999999999999998</v>
      </c>
      <c r="W185" s="123">
        <f t="shared" si="47"/>
        <v>0.28999999999999998</v>
      </c>
      <c r="X185" s="123">
        <f t="shared" si="47"/>
        <v>0.28999999999999998</v>
      </c>
      <c r="Y185" s="123">
        <f t="shared" si="47"/>
        <v>0.28999999999999998</v>
      </c>
      <c r="Z185" s="123">
        <f t="shared" si="47"/>
        <v>0.28999999999999998</v>
      </c>
      <c r="AA185" s="123">
        <f t="shared" si="47"/>
        <v>0.28999999999999998</v>
      </c>
      <c r="AB185" s="123">
        <f t="shared" si="47"/>
        <v>0.28999999999999998</v>
      </c>
      <c r="AC185" s="123">
        <f t="shared" si="47"/>
        <v>0.28999999999999998</v>
      </c>
      <c r="AD185" s="123">
        <f t="shared" si="47"/>
        <v>0.28999999999999998</v>
      </c>
      <c r="AE185" s="123">
        <f t="shared" si="47"/>
        <v>0.28999999999999998</v>
      </c>
      <c r="AF185" s="123">
        <f t="shared" si="47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5"/>
        <v>0.06</v>
      </c>
      <c r="C186" s="124">
        <v>0.06</v>
      </c>
      <c r="D186" s="123">
        <f t="shared" si="46"/>
        <v>0.06</v>
      </c>
      <c r="E186" s="123">
        <f t="shared" si="46"/>
        <v>0.06</v>
      </c>
      <c r="F186" s="123">
        <f t="shared" si="46"/>
        <v>0.06</v>
      </c>
      <c r="G186" s="123">
        <f t="shared" si="46"/>
        <v>0.06</v>
      </c>
      <c r="H186" s="123">
        <f t="shared" si="46"/>
        <v>0.06</v>
      </c>
      <c r="I186" s="123">
        <f t="shared" si="46"/>
        <v>0.06</v>
      </c>
      <c r="J186" s="123">
        <f t="shared" si="46"/>
        <v>0.06</v>
      </c>
      <c r="K186" s="123">
        <f t="shared" si="46"/>
        <v>0.06</v>
      </c>
      <c r="L186" s="123">
        <f t="shared" si="46"/>
        <v>0.06</v>
      </c>
      <c r="M186" s="123">
        <f t="shared" si="46"/>
        <v>0.06</v>
      </c>
      <c r="N186" s="123">
        <f t="shared" si="46"/>
        <v>0.06</v>
      </c>
      <c r="O186" s="123">
        <f t="shared" si="46"/>
        <v>0.06</v>
      </c>
      <c r="P186" s="123">
        <f t="shared" si="46"/>
        <v>0.06</v>
      </c>
      <c r="Q186" s="123">
        <f t="shared" si="46"/>
        <v>0.06</v>
      </c>
      <c r="R186" s="123">
        <f t="shared" si="46"/>
        <v>0.06</v>
      </c>
      <c r="S186" s="123">
        <f t="shared" si="46"/>
        <v>0.06</v>
      </c>
      <c r="T186" s="123">
        <f t="shared" si="47"/>
        <v>0.06</v>
      </c>
      <c r="U186" s="123">
        <f t="shared" si="47"/>
        <v>0.06</v>
      </c>
      <c r="V186" s="123">
        <f t="shared" si="47"/>
        <v>0.06</v>
      </c>
      <c r="W186" s="123">
        <f t="shared" si="47"/>
        <v>0.06</v>
      </c>
      <c r="X186" s="123">
        <f t="shared" si="47"/>
        <v>0.06</v>
      </c>
      <c r="Y186" s="123">
        <f t="shared" si="47"/>
        <v>0.06</v>
      </c>
      <c r="Z186" s="123">
        <f t="shared" si="47"/>
        <v>0.06</v>
      </c>
      <c r="AA186" s="123">
        <f t="shared" si="47"/>
        <v>0.06</v>
      </c>
      <c r="AB186" s="123">
        <f t="shared" si="47"/>
        <v>0.06</v>
      </c>
      <c r="AC186" s="123">
        <f t="shared" si="47"/>
        <v>0.06</v>
      </c>
      <c r="AD186" s="123">
        <f t="shared" si="47"/>
        <v>0.06</v>
      </c>
      <c r="AE186" s="123">
        <f t="shared" si="47"/>
        <v>0.06</v>
      </c>
      <c r="AF186" s="123">
        <f t="shared" si="47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5"/>
        <v>0.11</v>
      </c>
      <c r="C187" s="124">
        <v>0.11</v>
      </c>
      <c r="D187" s="123">
        <f t="shared" si="46"/>
        <v>0.11</v>
      </c>
      <c r="E187" s="123">
        <f t="shared" si="46"/>
        <v>0.11</v>
      </c>
      <c r="F187" s="123">
        <f t="shared" si="46"/>
        <v>0.11</v>
      </c>
      <c r="G187" s="123">
        <f t="shared" si="46"/>
        <v>0.11</v>
      </c>
      <c r="H187" s="123">
        <f t="shared" si="46"/>
        <v>0.11</v>
      </c>
      <c r="I187" s="123">
        <f t="shared" si="46"/>
        <v>0.11</v>
      </c>
      <c r="J187" s="123">
        <f t="shared" si="46"/>
        <v>0.11</v>
      </c>
      <c r="K187" s="123">
        <f t="shared" si="46"/>
        <v>0.11</v>
      </c>
      <c r="L187" s="123">
        <f t="shared" si="46"/>
        <v>0.11</v>
      </c>
      <c r="M187" s="123">
        <f t="shared" si="46"/>
        <v>0.11</v>
      </c>
      <c r="N187" s="123">
        <f t="shared" si="46"/>
        <v>0.11</v>
      </c>
      <c r="O187" s="123">
        <f t="shared" si="46"/>
        <v>0.11</v>
      </c>
      <c r="P187" s="123">
        <f t="shared" si="46"/>
        <v>0.11</v>
      </c>
      <c r="Q187" s="123">
        <f t="shared" si="46"/>
        <v>0.11</v>
      </c>
      <c r="R187" s="123">
        <f t="shared" si="46"/>
        <v>0.11</v>
      </c>
      <c r="S187" s="123">
        <f t="shared" si="46"/>
        <v>0.11</v>
      </c>
      <c r="T187" s="123">
        <f t="shared" si="47"/>
        <v>0.11</v>
      </c>
      <c r="U187" s="123">
        <f t="shared" si="47"/>
        <v>0.11</v>
      </c>
      <c r="V187" s="123">
        <f t="shared" si="47"/>
        <v>0.11</v>
      </c>
      <c r="W187" s="123">
        <f t="shared" si="47"/>
        <v>0.11</v>
      </c>
      <c r="X187" s="123">
        <f t="shared" si="47"/>
        <v>0.11</v>
      </c>
      <c r="Y187" s="123">
        <f t="shared" si="47"/>
        <v>0.11</v>
      </c>
      <c r="Z187" s="123">
        <f t="shared" si="47"/>
        <v>0.11</v>
      </c>
      <c r="AA187" s="123">
        <f t="shared" si="47"/>
        <v>0.11</v>
      </c>
      <c r="AB187" s="123">
        <f t="shared" si="47"/>
        <v>0.11</v>
      </c>
      <c r="AC187" s="123">
        <f t="shared" si="47"/>
        <v>0.11</v>
      </c>
      <c r="AD187" s="123">
        <f t="shared" si="47"/>
        <v>0.11</v>
      </c>
      <c r="AE187" s="123">
        <f t="shared" si="47"/>
        <v>0.11</v>
      </c>
      <c r="AF187" s="123">
        <f t="shared" si="47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5"/>
        <v>0.1</v>
      </c>
      <c r="C188" s="124">
        <v>0.1</v>
      </c>
      <c r="D188" s="123">
        <f t="shared" si="46"/>
        <v>0.1</v>
      </c>
      <c r="E188" s="123">
        <f t="shared" si="46"/>
        <v>0.1</v>
      </c>
      <c r="F188" s="123">
        <f t="shared" si="46"/>
        <v>0.1</v>
      </c>
      <c r="G188" s="123">
        <f t="shared" si="46"/>
        <v>0.1</v>
      </c>
      <c r="H188" s="123">
        <f t="shared" si="46"/>
        <v>0.1</v>
      </c>
      <c r="I188" s="123">
        <f t="shared" si="46"/>
        <v>0.1</v>
      </c>
      <c r="J188" s="123">
        <f t="shared" si="46"/>
        <v>0.1</v>
      </c>
      <c r="K188" s="123">
        <f t="shared" si="46"/>
        <v>0.1</v>
      </c>
      <c r="L188" s="123">
        <f t="shared" si="46"/>
        <v>0.1</v>
      </c>
      <c r="M188" s="123">
        <f t="shared" si="46"/>
        <v>0.1</v>
      </c>
      <c r="N188" s="123">
        <f t="shared" si="46"/>
        <v>0.1</v>
      </c>
      <c r="O188" s="123">
        <f t="shared" si="46"/>
        <v>0.1</v>
      </c>
      <c r="P188" s="123">
        <f t="shared" si="46"/>
        <v>0.1</v>
      </c>
      <c r="Q188" s="123">
        <f t="shared" si="46"/>
        <v>0.1</v>
      </c>
      <c r="R188" s="123">
        <f t="shared" si="46"/>
        <v>0.1</v>
      </c>
      <c r="S188" s="123">
        <f t="shared" si="47"/>
        <v>0.1</v>
      </c>
      <c r="T188" s="123">
        <f t="shared" si="47"/>
        <v>0.1</v>
      </c>
      <c r="U188" s="123">
        <f t="shared" si="47"/>
        <v>0.1</v>
      </c>
      <c r="V188" s="123">
        <f t="shared" si="47"/>
        <v>0.1</v>
      </c>
      <c r="W188" s="123">
        <f t="shared" si="47"/>
        <v>0.1</v>
      </c>
      <c r="X188" s="123">
        <f t="shared" si="47"/>
        <v>0.1</v>
      </c>
      <c r="Y188" s="123">
        <f t="shared" si="47"/>
        <v>0.1</v>
      </c>
      <c r="Z188" s="123">
        <f t="shared" si="47"/>
        <v>0.1</v>
      </c>
      <c r="AA188" s="123">
        <f t="shared" si="47"/>
        <v>0.1</v>
      </c>
      <c r="AB188" s="123">
        <f t="shared" si="47"/>
        <v>0.1</v>
      </c>
      <c r="AC188" s="123">
        <f t="shared" si="47"/>
        <v>0.1</v>
      </c>
      <c r="AD188" s="123">
        <f t="shared" si="47"/>
        <v>0.1</v>
      </c>
      <c r="AE188" s="123">
        <f t="shared" si="47"/>
        <v>0.1</v>
      </c>
      <c r="AF188" s="123">
        <f t="shared" si="47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5"/>
        <v>0.09</v>
      </c>
      <c r="C189" s="124">
        <v>0.09</v>
      </c>
      <c r="D189" s="123">
        <f t="shared" si="46"/>
        <v>0.09</v>
      </c>
      <c r="E189" s="123">
        <f t="shared" si="46"/>
        <v>0.09</v>
      </c>
      <c r="F189" s="123">
        <f t="shared" si="46"/>
        <v>0.09</v>
      </c>
      <c r="G189" s="123">
        <f t="shared" si="46"/>
        <v>0.09</v>
      </c>
      <c r="H189" s="123">
        <f t="shared" si="46"/>
        <v>0.09</v>
      </c>
      <c r="I189" s="123">
        <f t="shared" si="46"/>
        <v>0.09</v>
      </c>
      <c r="J189" s="123">
        <f t="shared" si="46"/>
        <v>0.09</v>
      </c>
      <c r="K189" s="123">
        <f t="shared" si="46"/>
        <v>0.09</v>
      </c>
      <c r="L189" s="123">
        <f t="shared" si="46"/>
        <v>0.09</v>
      </c>
      <c r="M189" s="123">
        <f t="shared" si="46"/>
        <v>0.09</v>
      </c>
      <c r="N189" s="123">
        <f t="shared" si="46"/>
        <v>0.09</v>
      </c>
      <c r="O189" s="123">
        <f t="shared" si="46"/>
        <v>0.09</v>
      </c>
      <c r="P189" s="123">
        <f t="shared" si="46"/>
        <v>0.09</v>
      </c>
      <c r="Q189" s="123">
        <f t="shared" si="46"/>
        <v>0.09</v>
      </c>
      <c r="R189" s="123">
        <f t="shared" si="46"/>
        <v>0.09</v>
      </c>
      <c r="S189" s="123">
        <f t="shared" si="47"/>
        <v>0.09</v>
      </c>
      <c r="T189" s="123">
        <f t="shared" si="47"/>
        <v>0.09</v>
      </c>
      <c r="U189" s="123">
        <f t="shared" si="47"/>
        <v>0.09</v>
      </c>
      <c r="V189" s="123">
        <f t="shared" si="47"/>
        <v>0.09</v>
      </c>
      <c r="W189" s="123">
        <f t="shared" si="47"/>
        <v>0.09</v>
      </c>
      <c r="X189" s="123">
        <f t="shared" si="47"/>
        <v>0.09</v>
      </c>
      <c r="Y189" s="123">
        <f t="shared" si="47"/>
        <v>0.09</v>
      </c>
      <c r="Z189" s="123">
        <f t="shared" si="47"/>
        <v>0.09</v>
      </c>
      <c r="AA189" s="123">
        <f t="shared" si="47"/>
        <v>0.09</v>
      </c>
      <c r="AB189" s="123">
        <f t="shared" si="47"/>
        <v>0.09</v>
      </c>
      <c r="AC189" s="123">
        <f t="shared" si="47"/>
        <v>0.09</v>
      </c>
      <c r="AD189" s="123">
        <f t="shared" si="47"/>
        <v>0.09</v>
      </c>
      <c r="AE189" s="123">
        <f t="shared" si="47"/>
        <v>0.09</v>
      </c>
      <c r="AF189" s="123">
        <f t="shared" si="47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5"/>
        <v>0.04</v>
      </c>
      <c r="C190" s="53">
        <v>0.04</v>
      </c>
      <c r="D190" s="123">
        <f t="shared" si="46"/>
        <v>0.04</v>
      </c>
      <c r="E190" s="123">
        <f t="shared" si="46"/>
        <v>0.04</v>
      </c>
      <c r="F190" s="123">
        <f t="shared" si="46"/>
        <v>0.04</v>
      </c>
      <c r="G190" s="123">
        <f t="shared" si="46"/>
        <v>0.04</v>
      </c>
      <c r="H190" s="123">
        <f t="shared" si="46"/>
        <v>0.04</v>
      </c>
      <c r="I190" s="123">
        <f t="shared" si="46"/>
        <v>0.04</v>
      </c>
      <c r="J190" s="123">
        <f t="shared" si="46"/>
        <v>0.04</v>
      </c>
      <c r="K190" s="123">
        <f t="shared" si="46"/>
        <v>0.04</v>
      </c>
      <c r="L190" s="123">
        <f t="shared" si="46"/>
        <v>0.04</v>
      </c>
      <c r="M190" s="123">
        <f t="shared" si="46"/>
        <v>0.04</v>
      </c>
      <c r="N190" s="123">
        <f t="shared" si="46"/>
        <v>0.04</v>
      </c>
      <c r="O190" s="123">
        <f t="shared" si="46"/>
        <v>0.04</v>
      </c>
      <c r="P190" s="123">
        <f t="shared" si="46"/>
        <v>0.04</v>
      </c>
      <c r="Q190" s="123">
        <f t="shared" si="46"/>
        <v>0.04</v>
      </c>
      <c r="R190" s="123">
        <f t="shared" si="46"/>
        <v>0.04</v>
      </c>
      <c r="S190" s="123">
        <f t="shared" si="47"/>
        <v>0.04</v>
      </c>
      <c r="T190" s="123">
        <f t="shared" si="47"/>
        <v>0.04</v>
      </c>
      <c r="U190" s="123">
        <f t="shared" si="47"/>
        <v>0.04</v>
      </c>
      <c r="V190" s="123">
        <f t="shared" si="47"/>
        <v>0.04</v>
      </c>
      <c r="W190" s="123">
        <f t="shared" si="47"/>
        <v>0.04</v>
      </c>
      <c r="X190" s="123">
        <f t="shared" si="47"/>
        <v>0.04</v>
      </c>
      <c r="Y190" s="123">
        <f t="shared" si="47"/>
        <v>0.04</v>
      </c>
      <c r="Z190" s="123">
        <f t="shared" si="47"/>
        <v>0.04</v>
      </c>
      <c r="AA190" s="123">
        <f t="shared" si="47"/>
        <v>0.04</v>
      </c>
      <c r="AB190" s="123">
        <f t="shared" si="47"/>
        <v>0.04</v>
      </c>
      <c r="AC190" s="123">
        <f t="shared" si="47"/>
        <v>0.04</v>
      </c>
      <c r="AD190" s="123">
        <f t="shared" si="47"/>
        <v>0.04</v>
      </c>
      <c r="AE190" s="123">
        <f t="shared" si="47"/>
        <v>0.04</v>
      </c>
      <c r="AF190" s="123">
        <f t="shared" si="47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5"/>
        <v>2.3E-2</v>
      </c>
      <c r="C191" s="53">
        <v>2.3E-2</v>
      </c>
      <c r="D191" s="123">
        <f>C191</f>
        <v>2.3E-2</v>
      </c>
      <c r="E191" s="123">
        <f t="shared" si="46"/>
        <v>2.3E-2</v>
      </c>
      <c r="F191" s="123">
        <f t="shared" si="46"/>
        <v>2.3E-2</v>
      </c>
      <c r="G191" s="123">
        <f t="shared" si="46"/>
        <v>2.3E-2</v>
      </c>
      <c r="H191" s="123">
        <f t="shared" si="46"/>
        <v>2.3E-2</v>
      </c>
      <c r="I191" s="123">
        <f t="shared" si="46"/>
        <v>2.3E-2</v>
      </c>
      <c r="J191" s="123">
        <f t="shared" si="46"/>
        <v>2.3E-2</v>
      </c>
      <c r="K191" s="123">
        <f t="shared" si="46"/>
        <v>2.3E-2</v>
      </c>
      <c r="L191" s="123">
        <f t="shared" si="46"/>
        <v>2.3E-2</v>
      </c>
      <c r="M191" s="123">
        <f t="shared" si="46"/>
        <v>2.3E-2</v>
      </c>
      <c r="N191" s="123">
        <f t="shared" si="46"/>
        <v>2.3E-2</v>
      </c>
      <c r="O191" s="123">
        <f t="shared" si="46"/>
        <v>2.3E-2</v>
      </c>
      <c r="P191" s="123">
        <f t="shared" si="46"/>
        <v>2.3E-2</v>
      </c>
      <c r="Q191" s="123">
        <f t="shared" si="46"/>
        <v>2.3E-2</v>
      </c>
      <c r="R191" s="123">
        <f t="shared" si="46"/>
        <v>2.3E-2</v>
      </c>
      <c r="S191" s="123">
        <f t="shared" si="47"/>
        <v>2.3E-2</v>
      </c>
      <c r="T191" s="123">
        <f t="shared" si="47"/>
        <v>2.3E-2</v>
      </c>
      <c r="U191" s="123">
        <f t="shared" si="47"/>
        <v>2.3E-2</v>
      </c>
      <c r="V191" s="123">
        <f t="shared" si="47"/>
        <v>2.3E-2</v>
      </c>
      <c r="W191" s="123">
        <f t="shared" si="47"/>
        <v>2.3E-2</v>
      </c>
      <c r="X191" s="123">
        <f t="shared" si="47"/>
        <v>2.3E-2</v>
      </c>
      <c r="Y191" s="123">
        <f t="shared" si="47"/>
        <v>2.3E-2</v>
      </c>
      <c r="Z191" s="123">
        <f t="shared" si="47"/>
        <v>2.3E-2</v>
      </c>
      <c r="AA191" s="123">
        <f t="shared" si="47"/>
        <v>2.3E-2</v>
      </c>
      <c r="AB191" s="123">
        <f t="shared" si="47"/>
        <v>2.3E-2</v>
      </c>
      <c r="AC191" s="123">
        <f t="shared" si="47"/>
        <v>2.3E-2</v>
      </c>
      <c r="AD191" s="123">
        <f t="shared" si="47"/>
        <v>2.3E-2</v>
      </c>
      <c r="AE191" s="123">
        <f t="shared" si="47"/>
        <v>2.3E-2</v>
      </c>
      <c r="AF191" s="123">
        <f t="shared" si="47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8">SUM(C102:C191)</f>
        <v>194.70600000000002</v>
      </c>
      <c r="D192" s="128">
        <f t="shared" si="48"/>
        <v>194.70600000000002</v>
      </c>
      <c r="E192" s="128">
        <f t="shared" si="48"/>
        <v>194.70600000000002</v>
      </c>
      <c r="F192" s="128">
        <f t="shared" si="48"/>
        <v>194.70600000000002</v>
      </c>
      <c r="G192" s="128">
        <f t="shared" si="48"/>
        <v>194.70600000000002</v>
      </c>
      <c r="H192" s="128">
        <f t="shared" si="48"/>
        <v>194.70600000000002</v>
      </c>
      <c r="I192" s="128">
        <f t="shared" si="48"/>
        <v>189.70600000000005</v>
      </c>
      <c r="J192" s="128">
        <f t="shared" si="48"/>
        <v>187.10600000000005</v>
      </c>
      <c r="K192" s="128">
        <f t="shared" si="48"/>
        <v>187.10600000000005</v>
      </c>
      <c r="L192" s="128">
        <f t="shared" si="48"/>
        <v>187.10600000000005</v>
      </c>
      <c r="M192" s="128">
        <f t="shared" si="48"/>
        <v>187.10600000000005</v>
      </c>
      <c r="N192" s="128">
        <f t="shared" si="48"/>
        <v>187.10600000000005</v>
      </c>
      <c r="O192" s="128">
        <f t="shared" si="48"/>
        <v>187.10600000000005</v>
      </c>
      <c r="P192" s="128">
        <f t="shared" si="48"/>
        <v>187.10600000000005</v>
      </c>
      <c r="Q192" s="128">
        <f t="shared" si="48"/>
        <v>187.10600000000005</v>
      </c>
      <c r="R192" s="128">
        <f t="shared" si="48"/>
        <v>187.10600000000005</v>
      </c>
      <c r="S192" s="128">
        <f t="shared" si="48"/>
        <v>187.10600000000005</v>
      </c>
      <c r="T192" s="128">
        <f t="shared" si="48"/>
        <v>187.10600000000005</v>
      </c>
      <c r="U192" s="128">
        <f t="shared" si="48"/>
        <v>187.10600000000005</v>
      </c>
      <c r="V192" s="128">
        <f t="shared" si="48"/>
        <v>187.10600000000005</v>
      </c>
      <c r="W192" s="128">
        <f t="shared" si="48"/>
        <v>187.10600000000005</v>
      </c>
      <c r="X192" s="128">
        <f t="shared" si="48"/>
        <v>187.10600000000005</v>
      </c>
      <c r="Y192" s="128">
        <f t="shared" si="48"/>
        <v>187.10600000000005</v>
      </c>
      <c r="Z192" s="128">
        <f t="shared" si="48"/>
        <v>187.10600000000005</v>
      </c>
      <c r="AA192" s="128">
        <f t="shared" si="48"/>
        <v>187.10600000000005</v>
      </c>
      <c r="AB192" s="128">
        <f t="shared" si="48"/>
        <v>187.10600000000005</v>
      </c>
      <c r="AC192" s="128">
        <f t="shared" si="48"/>
        <v>187.10600000000005</v>
      </c>
      <c r="AD192" s="128">
        <f t="shared" si="48"/>
        <v>187.10600000000005</v>
      </c>
      <c r="AE192" s="128">
        <f t="shared" si="48"/>
        <v>187.10600000000005</v>
      </c>
      <c r="AF192" s="128">
        <f t="shared" si="48"/>
        <v>187.10600000000005</v>
      </c>
      <c r="AG192" s="129">
        <f t="shared" si="4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9">AF194</f>
        <v>0.3</v>
      </c>
      <c r="C194" s="130">
        <v>0.3</v>
      </c>
      <c r="D194" s="130">
        <f t="shared" ref="D194:S199" si="50">C194</f>
        <v>0.3</v>
      </c>
      <c r="E194" s="130">
        <f t="shared" si="50"/>
        <v>0.3</v>
      </c>
      <c r="F194" s="130">
        <f t="shared" si="50"/>
        <v>0.3</v>
      </c>
      <c r="G194" s="130">
        <f t="shared" si="50"/>
        <v>0.3</v>
      </c>
      <c r="H194" s="130">
        <f t="shared" si="50"/>
        <v>0.3</v>
      </c>
      <c r="I194" s="130">
        <f t="shared" si="50"/>
        <v>0.3</v>
      </c>
      <c r="J194" s="130">
        <f t="shared" si="50"/>
        <v>0.3</v>
      </c>
      <c r="K194" s="130">
        <f t="shared" si="50"/>
        <v>0.3</v>
      </c>
      <c r="L194" s="130">
        <f t="shared" si="50"/>
        <v>0.3</v>
      </c>
      <c r="M194" s="130">
        <f t="shared" si="50"/>
        <v>0.3</v>
      </c>
      <c r="N194" s="130">
        <f t="shared" si="50"/>
        <v>0.3</v>
      </c>
      <c r="O194" s="130">
        <f t="shared" si="50"/>
        <v>0.3</v>
      </c>
      <c r="P194" s="130">
        <f t="shared" si="50"/>
        <v>0.3</v>
      </c>
      <c r="Q194" s="130">
        <f t="shared" si="50"/>
        <v>0.3</v>
      </c>
      <c r="R194" s="130">
        <f t="shared" si="50"/>
        <v>0.3</v>
      </c>
      <c r="S194" s="130">
        <f t="shared" si="50"/>
        <v>0.3</v>
      </c>
      <c r="T194" s="130">
        <f t="shared" ref="T194:AF199" si="51">S194</f>
        <v>0.3</v>
      </c>
      <c r="U194" s="130">
        <f t="shared" si="51"/>
        <v>0.3</v>
      </c>
      <c r="V194" s="130">
        <f t="shared" si="51"/>
        <v>0.3</v>
      </c>
      <c r="W194" s="130">
        <f t="shared" si="51"/>
        <v>0.3</v>
      </c>
      <c r="X194" s="130">
        <f t="shared" si="51"/>
        <v>0.3</v>
      </c>
      <c r="Y194" s="130">
        <f t="shared" si="51"/>
        <v>0.3</v>
      </c>
      <c r="Z194" s="130">
        <f t="shared" si="51"/>
        <v>0.3</v>
      </c>
      <c r="AA194" s="130">
        <f t="shared" si="51"/>
        <v>0.3</v>
      </c>
      <c r="AB194" s="130">
        <f t="shared" si="51"/>
        <v>0.3</v>
      </c>
      <c r="AC194" s="130">
        <f t="shared" si="51"/>
        <v>0.3</v>
      </c>
      <c r="AD194" s="130">
        <f t="shared" si="51"/>
        <v>0.3</v>
      </c>
      <c r="AE194" s="130">
        <f t="shared" si="51"/>
        <v>0.3</v>
      </c>
      <c r="AF194" s="130">
        <f t="shared" si="51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9"/>
        <v>0.4</v>
      </c>
      <c r="C195" s="123">
        <v>0.4</v>
      </c>
      <c r="D195" s="123">
        <f t="shared" si="50"/>
        <v>0.4</v>
      </c>
      <c r="E195" s="123">
        <f t="shared" si="50"/>
        <v>0.4</v>
      </c>
      <c r="F195" s="123">
        <f t="shared" si="50"/>
        <v>0.4</v>
      </c>
      <c r="G195" s="123">
        <f t="shared" si="50"/>
        <v>0.4</v>
      </c>
      <c r="H195" s="123">
        <f t="shared" si="50"/>
        <v>0.4</v>
      </c>
      <c r="I195" s="123">
        <f t="shared" si="50"/>
        <v>0.4</v>
      </c>
      <c r="J195" s="123">
        <f t="shared" si="50"/>
        <v>0.4</v>
      </c>
      <c r="K195" s="123">
        <f t="shared" si="50"/>
        <v>0.4</v>
      </c>
      <c r="L195" s="123">
        <f t="shared" si="50"/>
        <v>0.4</v>
      </c>
      <c r="M195" s="123">
        <f t="shared" si="50"/>
        <v>0.4</v>
      </c>
      <c r="N195" s="123">
        <f t="shared" si="50"/>
        <v>0.4</v>
      </c>
      <c r="O195" s="123">
        <f t="shared" si="50"/>
        <v>0.4</v>
      </c>
      <c r="P195" s="123">
        <f t="shared" si="50"/>
        <v>0.4</v>
      </c>
      <c r="Q195" s="123">
        <f t="shared" si="50"/>
        <v>0.4</v>
      </c>
      <c r="R195" s="123">
        <f t="shared" si="50"/>
        <v>0.4</v>
      </c>
      <c r="S195" s="123">
        <f t="shared" si="50"/>
        <v>0.4</v>
      </c>
      <c r="T195" s="123">
        <f t="shared" si="51"/>
        <v>0.4</v>
      </c>
      <c r="U195" s="123">
        <f t="shared" si="51"/>
        <v>0.4</v>
      </c>
      <c r="V195" s="123">
        <f t="shared" si="51"/>
        <v>0.4</v>
      </c>
      <c r="W195" s="123">
        <f>V195</f>
        <v>0.4</v>
      </c>
      <c r="X195" s="123">
        <f>W195</f>
        <v>0.4</v>
      </c>
      <c r="Y195" s="123">
        <f t="shared" si="51"/>
        <v>0.4</v>
      </c>
      <c r="Z195" s="123">
        <f t="shared" si="51"/>
        <v>0.4</v>
      </c>
      <c r="AA195" s="123">
        <f t="shared" si="51"/>
        <v>0.4</v>
      </c>
      <c r="AB195" s="123">
        <f t="shared" si="51"/>
        <v>0.4</v>
      </c>
      <c r="AC195" s="123">
        <f t="shared" si="51"/>
        <v>0.4</v>
      </c>
      <c r="AD195" s="123">
        <f t="shared" si="51"/>
        <v>0.4</v>
      </c>
      <c r="AE195" s="123">
        <f t="shared" si="51"/>
        <v>0.4</v>
      </c>
      <c r="AF195" s="123">
        <f t="shared" si="51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9"/>
        <v>1.5</v>
      </c>
      <c r="C196" s="123">
        <v>1.5</v>
      </c>
      <c r="D196" s="123">
        <f t="shared" si="50"/>
        <v>1.5</v>
      </c>
      <c r="E196" s="123">
        <f t="shared" si="50"/>
        <v>1.5</v>
      </c>
      <c r="F196" s="123">
        <f t="shared" si="50"/>
        <v>1.5</v>
      </c>
      <c r="G196" s="123">
        <f t="shared" si="50"/>
        <v>1.5</v>
      </c>
      <c r="H196" s="123">
        <f t="shared" si="50"/>
        <v>1.5</v>
      </c>
      <c r="I196" s="123">
        <f t="shared" si="50"/>
        <v>1.5</v>
      </c>
      <c r="J196" s="123">
        <f t="shared" si="50"/>
        <v>1.5</v>
      </c>
      <c r="K196" s="123">
        <f t="shared" si="50"/>
        <v>1.5</v>
      </c>
      <c r="L196" s="123">
        <f t="shared" si="50"/>
        <v>1.5</v>
      </c>
      <c r="M196" s="123">
        <f t="shared" si="50"/>
        <v>1.5</v>
      </c>
      <c r="N196" s="123">
        <f t="shared" si="50"/>
        <v>1.5</v>
      </c>
      <c r="O196" s="123">
        <f t="shared" si="50"/>
        <v>1.5</v>
      </c>
      <c r="P196" s="123">
        <f t="shared" si="50"/>
        <v>1.5</v>
      </c>
      <c r="Q196" s="123">
        <f t="shared" si="50"/>
        <v>1.5</v>
      </c>
      <c r="R196" s="123">
        <f t="shared" si="50"/>
        <v>1.5</v>
      </c>
      <c r="S196" s="123">
        <f t="shared" si="50"/>
        <v>1.5</v>
      </c>
      <c r="T196" s="123">
        <f t="shared" si="51"/>
        <v>1.5</v>
      </c>
      <c r="U196" s="123">
        <f t="shared" si="51"/>
        <v>1.5</v>
      </c>
      <c r="V196" s="123">
        <f t="shared" si="51"/>
        <v>1.5</v>
      </c>
      <c r="W196" s="123">
        <f t="shared" si="51"/>
        <v>1.5</v>
      </c>
      <c r="X196" s="123">
        <f t="shared" si="51"/>
        <v>1.5</v>
      </c>
      <c r="Y196" s="123">
        <f t="shared" si="51"/>
        <v>1.5</v>
      </c>
      <c r="Z196" s="123">
        <f t="shared" si="51"/>
        <v>1.5</v>
      </c>
      <c r="AA196" s="123">
        <f t="shared" si="51"/>
        <v>1.5</v>
      </c>
      <c r="AB196" s="123">
        <f t="shared" si="51"/>
        <v>1.5</v>
      </c>
      <c r="AC196" s="123">
        <f t="shared" si="51"/>
        <v>1.5</v>
      </c>
      <c r="AD196" s="123">
        <f t="shared" si="51"/>
        <v>1.5</v>
      </c>
      <c r="AE196" s="123">
        <f t="shared" si="51"/>
        <v>1.5</v>
      </c>
      <c r="AF196" s="123">
        <f t="shared" si="51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9"/>
        <v>0.3</v>
      </c>
      <c r="C197" s="123">
        <v>0.3</v>
      </c>
      <c r="D197" s="123">
        <f t="shared" si="50"/>
        <v>0.3</v>
      </c>
      <c r="E197" s="123">
        <f t="shared" si="50"/>
        <v>0.3</v>
      </c>
      <c r="F197" s="123">
        <f t="shared" si="50"/>
        <v>0.3</v>
      </c>
      <c r="G197" s="123">
        <f t="shared" si="50"/>
        <v>0.3</v>
      </c>
      <c r="H197" s="123">
        <f t="shared" si="50"/>
        <v>0.3</v>
      </c>
      <c r="I197" s="123">
        <f t="shared" si="50"/>
        <v>0.3</v>
      </c>
      <c r="J197" s="123">
        <f t="shared" si="50"/>
        <v>0.3</v>
      </c>
      <c r="K197" s="123">
        <f t="shared" si="50"/>
        <v>0.3</v>
      </c>
      <c r="L197" s="123">
        <f t="shared" si="50"/>
        <v>0.3</v>
      </c>
      <c r="M197" s="123">
        <f t="shared" si="50"/>
        <v>0.3</v>
      </c>
      <c r="N197" s="123">
        <f t="shared" si="50"/>
        <v>0.3</v>
      </c>
      <c r="O197" s="123">
        <f t="shared" si="50"/>
        <v>0.3</v>
      </c>
      <c r="P197" s="123">
        <f t="shared" si="50"/>
        <v>0.3</v>
      </c>
      <c r="Q197" s="123">
        <f t="shared" si="50"/>
        <v>0.3</v>
      </c>
      <c r="R197" s="123">
        <f t="shared" si="50"/>
        <v>0.3</v>
      </c>
      <c r="S197" s="123">
        <f t="shared" si="50"/>
        <v>0.3</v>
      </c>
      <c r="T197" s="123">
        <f t="shared" si="51"/>
        <v>0.3</v>
      </c>
      <c r="U197" s="123">
        <f t="shared" si="51"/>
        <v>0.3</v>
      </c>
      <c r="V197" s="123">
        <f t="shared" si="51"/>
        <v>0.3</v>
      </c>
      <c r="W197" s="123">
        <f t="shared" si="51"/>
        <v>0.3</v>
      </c>
      <c r="X197" s="123">
        <f t="shared" si="51"/>
        <v>0.3</v>
      </c>
      <c r="Y197" s="123">
        <f t="shared" si="51"/>
        <v>0.3</v>
      </c>
      <c r="Z197" s="123">
        <f t="shared" si="51"/>
        <v>0.3</v>
      </c>
      <c r="AA197" s="123">
        <f t="shared" si="51"/>
        <v>0.3</v>
      </c>
      <c r="AB197" s="123">
        <f t="shared" si="51"/>
        <v>0.3</v>
      </c>
      <c r="AC197" s="123">
        <f t="shared" si="51"/>
        <v>0.3</v>
      </c>
      <c r="AD197" s="123">
        <f t="shared" si="51"/>
        <v>0.3</v>
      </c>
      <c r="AE197" s="123">
        <f t="shared" si="51"/>
        <v>0.3</v>
      </c>
      <c r="AF197" s="123">
        <f t="shared" si="51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9"/>
        <v>0.4</v>
      </c>
      <c r="C198" s="123">
        <v>0.4</v>
      </c>
      <c r="D198" s="123">
        <f t="shared" si="50"/>
        <v>0.4</v>
      </c>
      <c r="E198" s="123">
        <f t="shared" si="50"/>
        <v>0.4</v>
      </c>
      <c r="F198" s="123">
        <f t="shared" si="50"/>
        <v>0.4</v>
      </c>
      <c r="G198" s="123">
        <f t="shared" si="50"/>
        <v>0.4</v>
      </c>
      <c r="H198" s="123">
        <f t="shared" si="50"/>
        <v>0.4</v>
      </c>
      <c r="I198" s="123">
        <f t="shared" si="50"/>
        <v>0.4</v>
      </c>
      <c r="J198" s="123">
        <f t="shared" si="50"/>
        <v>0.4</v>
      </c>
      <c r="K198" s="123">
        <f t="shared" si="50"/>
        <v>0.4</v>
      </c>
      <c r="L198" s="123">
        <f t="shared" si="50"/>
        <v>0.4</v>
      </c>
      <c r="M198" s="123">
        <f t="shared" si="50"/>
        <v>0.4</v>
      </c>
      <c r="N198" s="123">
        <f t="shared" si="50"/>
        <v>0.4</v>
      </c>
      <c r="O198" s="123">
        <f t="shared" si="50"/>
        <v>0.4</v>
      </c>
      <c r="P198" s="123">
        <f t="shared" si="50"/>
        <v>0.4</v>
      </c>
      <c r="Q198" s="123">
        <f t="shared" si="50"/>
        <v>0.4</v>
      </c>
      <c r="R198" s="123">
        <f t="shared" si="50"/>
        <v>0.4</v>
      </c>
      <c r="S198" s="123">
        <f t="shared" si="50"/>
        <v>0.4</v>
      </c>
      <c r="T198" s="123">
        <f t="shared" si="51"/>
        <v>0.4</v>
      </c>
      <c r="U198" s="123">
        <f t="shared" si="51"/>
        <v>0.4</v>
      </c>
      <c r="V198" s="123">
        <f t="shared" si="51"/>
        <v>0.4</v>
      </c>
      <c r="W198" s="123">
        <f t="shared" si="51"/>
        <v>0.4</v>
      </c>
      <c r="X198" s="123">
        <f t="shared" si="51"/>
        <v>0.4</v>
      </c>
      <c r="Y198" s="123">
        <f t="shared" si="51"/>
        <v>0.4</v>
      </c>
      <c r="Z198" s="123">
        <f t="shared" si="51"/>
        <v>0.4</v>
      </c>
      <c r="AA198" s="123">
        <f t="shared" si="51"/>
        <v>0.4</v>
      </c>
      <c r="AB198" s="123">
        <f t="shared" si="51"/>
        <v>0.4</v>
      </c>
      <c r="AC198" s="123">
        <f t="shared" si="51"/>
        <v>0.4</v>
      </c>
      <c r="AD198" s="123">
        <f t="shared" si="51"/>
        <v>0.4</v>
      </c>
      <c r="AE198" s="123">
        <f t="shared" si="51"/>
        <v>0.4</v>
      </c>
      <c r="AF198" s="123">
        <f t="shared" si="51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9"/>
        <v>0.64</v>
      </c>
      <c r="C199" s="133">
        <v>0.64</v>
      </c>
      <c r="D199" s="133">
        <f t="shared" si="50"/>
        <v>0.64</v>
      </c>
      <c r="E199" s="133">
        <f t="shared" si="50"/>
        <v>0.64</v>
      </c>
      <c r="F199" s="133">
        <f t="shared" si="50"/>
        <v>0.64</v>
      </c>
      <c r="G199" s="133">
        <f t="shared" si="50"/>
        <v>0.64</v>
      </c>
      <c r="H199" s="133">
        <f t="shared" si="50"/>
        <v>0.64</v>
      </c>
      <c r="I199" s="133">
        <f t="shared" si="50"/>
        <v>0.64</v>
      </c>
      <c r="J199" s="133">
        <f t="shared" si="50"/>
        <v>0.64</v>
      </c>
      <c r="K199" s="133">
        <f t="shared" si="50"/>
        <v>0.64</v>
      </c>
      <c r="L199" s="133">
        <f t="shared" si="50"/>
        <v>0.64</v>
      </c>
      <c r="M199" s="133">
        <f t="shared" si="50"/>
        <v>0.64</v>
      </c>
      <c r="N199" s="133">
        <f t="shared" si="50"/>
        <v>0.64</v>
      </c>
      <c r="O199" s="133">
        <f t="shared" si="50"/>
        <v>0.64</v>
      </c>
      <c r="P199" s="133">
        <f t="shared" si="50"/>
        <v>0.64</v>
      </c>
      <c r="Q199" s="133">
        <f t="shared" si="50"/>
        <v>0.64</v>
      </c>
      <c r="R199" s="133">
        <f t="shared" si="50"/>
        <v>0.64</v>
      </c>
      <c r="S199" s="133">
        <f t="shared" si="50"/>
        <v>0.64</v>
      </c>
      <c r="T199" s="133">
        <f t="shared" si="51"/>
        <v>0.64</v>
      </c>
      <c r="U199" s="133">
        <f t="shared" si="51"/>
        <v>0.64</v>
      </c>
      <c r="V199" s="133">
        <f t="shared" si="51"/>
        <v>0.64</v>
      </c>
      <c r="W199" s="133">
        <f t="shared" si="51"/>
        <v>0.64</v>
      </c>
      <c r="X199" s="133">
        <f t="shared" si="51"/>
        <v>0.64</v>
      </c>
      <c r="Y199" s="133">
        <f t="shared" si="51"/>
        <v>0.64</v>
      </c>
      <c r="Z199" s="133">
        <f t="shared" si="51"/>
        <v>0.64</v>
      </c>
      <c r="AA199" s="133">
        <f t="shared" si="51"/>
        <v>0.64</v>
      </c>
      <c r="AB199" s="133">
        <f t="shared" si="51"/>
        <v>0.64</v>
      </c>
      <c r="AC199" s="133">
        <f t="shared" si="51"/>
        <v>0.64</v>
      </c>
      <c r="AD199" s="133">
        <f t="shared" si="51"/>
        <v>0.64</v>
      </c>
      <c r="AE199" s="133">
        <f t="shared" si="51"/>
        <v>0.64</v>
      </c>
      <c r="AF199" s="133">
        <f t="shared" si="51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2">SUM(D194:D199)</f>
        <v>3.54</v>
      </c>
      <c r="E200" s="136">
        <f t="shared" si="52"/>
        <v>3.54</v>
      </c>
      <c r="F200" s="136">
        <f t="shared" si="52"/>
        <v>3.54</v>
      </c>
      <c r="G200" s="136">
        <f t="shared" si="52"/>
        <v>3.54</v>
      </c>
      <c r="H200" s="136">
        <f t="shared" si="52"/>
        <v>3.54</v>
      </c>
      <c r="I200" s="136">
        <f t="shared" si="52"/>
        <v>3.54</v>
      </c>
      <c r="J200" s="136">
        <f t="shared" si="52"/>
        <v>3.54</v>
      </c>
      <c r="K200" s="136">
        <f t="shared" si="52"/>
        <v>3.54</v>
      </c>
      <c r="L200" s="136">
        <f t="shared" si="52"/>
        <v>3.54</v>
      </c>
      <c r="M200" s="136">
        <f>SUM(M194:M199)</f>
        <v>3.54</v>
      </c>
      <c r="N200" s="136">
        <f t="shared" ref="N200:S200" si="53">SUM(N194:N199)</f>
        <v>3.54</v>
      </c>
      <c r="O200" s="136">
        <f t="shared" si="53"/>
        <v>3.54</v>
      </c>
      <c r="P200" s="136">
        <f t="shared" si="53"/>
        <v>3.54</v>
      </c>
      <c r="Q200" s="136">
        <f t="shared" si="53"/>
        <v>3.54</v>
      </c>
      <c r="R200" s="136">
        <f t="shared" si="53"/>
        <v>3.54</v>
      </c>
      <c r="S200" s="136">
        <f t="shared" si="53"/>
        <v>3.54</v>
      </c>
      <c r="T200" s="136">
        <f>SUM(T194:T199)</f>
        <v>3.54</v>
      </c>
      <c r="U200" s="136">
        <f t="shared" ref="U200:AG200" si="54">SUM(U194:U199)</f>
        <v>3.54</v>
      </c>
      <c r="V200" s="136">
        <f t="shared" si="54"/>
        <v>3.54</v>
      </c>
      <c r="W200" s="136">
        <f t="shared" si="54"/>
        <v>3.54</v>
      </c>
      <c r="X200" s="136">
        <f t="shared" si="54"/>
        <v>3.54</v>
      </c>
      <c r="Y200" s="136">
        <f t="shared" si="54"/>
        <v>3.54</v>
      </c>
      <c r="Z200" s="136">
        <f t="shared" si="54"/>
        <v>3.54</v>
      </c>
      <c r="AA200" s="136">
        <f t="shared" si="54"/>
        <v>3.54</v>
      </c>
      <c r="AB200" s="136">
        <f t="shared" si="54"/>
        <v>3.54</v>
      </c>
      <c r="AC200" s="136">
        <f t="shared" si="54"/>
        <v>3.54</v>
      </c>
      <c r="AD200" s="136">
        <f t="shared" si="54"/>
        <v>3.54</v>
      </c>
      <c r="AE200" s="136">
        <f t="shared" si="54"/>
        <v>3.54</v>
      </c>
      <c r="AF200" s="136">
        <f t="shared" si="54"/>
        <v>3.54</v>
      </c>
      <c r="AG200" s="137">
        <f t="shared" si="5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1363.2400000000002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12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2079/02/12)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2079/02/12)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5">B75</f>
        <v>1228.8400000000001</v>
      </c>
      <c r="U214" s="161">
        <f t="shared" si="55"/>
        <v>1220.24</v>
      </c>
      <c r="V214" s="161">
        <f t="shared" si="55"/>
        <v>1206.1399999999999</v>
      </c>
      <c r="W214" s="161">
        <f t="shared" si="55"/>
        <v>1199.8399999999999</v>
      </c>
      <c r="X214" s="161">
        <f t="shared" si="55"/>
        <v>1164.6399999999999</v>
      </c>
      <c r="Y214" s="161">
        <f t="shared" si="55"/>
        <v>1156.74</v>
      </c>
      <c r="Z214" s="161">
        <f t="shared" si="55"/>
        <v>1175.24</v>
      </c>
      <c r="AA214" s="161">
        <f t="shared" si="55"/>
        <v>1218.54</v>
      </c>
      <c r="AB214" s="161">
        <f t="shared" si="55"/>
        <v>1240.54</v>
      </c>
      <c r="AC214" s="161">
        <f t="shared" si="55"/>
        <v>1280.8399999999999</v>
      </c>
      <c r="AD214" s="161">
        <f t="shared" si="55"/>
        <v>1347.6399999999999</v>
      </c>
      <c r="AE214" s="161">
        <f t="shared" si="55"/>
        <v>1363.2400000000002</v>
      </c>
      <c r="AF214" s="161">
        <f t="shared" si="55"/>
        <v>1358.54</v>
      </c>
      <c r="AG214" s="161">
        <f t="shared" si="55"/>
        <v>1431.3400000000001</v>
      </c>
      <c r="AH214" s="161">
        <f t="shared" si="55"/>
        <v>1453.1399999999999</v>
      </c>
      <c r="AI214" s="161">
        <f t="shared" si="55"/>
        <v>1442.1399999999999</v>
      </c>
      <c r="AJ214" s="161">
        <f t="shared" si="55"/>
        <v>1497.14</v>
      </c>
      <c r="AK214" s="161">
        <f t="shared" si="55"/>
        <v>1482.04</v>
      </c>
      <c r="AL214" s="161">
        <f t="shared" si="55"/>
        <v>1418.94</v>
      </c>
      <c r="AM214" s="161">
        <f t="shared" si="55"/>
        <v>1424.54</v>
      </c>
      <c r="AN214" s="161">
        <f t="shared" si="55"/>
        <v>1367.44</v>
      </c>
      <c r="AO214" s="161">
        <f t="shared" si="55"/>
        <v>1347.1399999999999</v>
      </c>
      <c r="AP214" s="161">
        <f t="shared" si="55"/>
        <v>1336.44</v>
      </c>
      <c r="AQ214" s="161">
        <f t="shared" si="55"/>
        <v>1377.24</v>
      </c>
      <c r="AR214" s="161">
        <f t="shared" si="55"/>
        <v>1437.2400000000002</v>
      </c>
      <c r="AS214" s="161">
        <f t="shared" si="55"/>
        <v>1555.94</v>
      </c>
      <c r="AT214" s="161">
        <f t="shared" si="55"/>
        <v>1531.44</v>
      </c>
      <c r="AU214" s="161">
        <f t="shared" si="55"/>
        <v>1506.44</v>
      </c>
      <c r="AV214" s="161">
        <f t="shared" si="55"/>
        <v>1484.94</v>
      </c>
      <c r="AW214" s="161">
        <f t="shared" si="55"/>
        <v>1399.74</v>
      </c>
      <c r="AX214" s="161">
        <f t="shared" si="55"/>
        <v>1377.04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6">C199</f>
        <v>0.64</v>
      </c>
      <c r="C235" s="164">
        <f t="shared" si="56"/>
        <v>0.64</v>
      </c>
      <c r="D235" s="164">
        <f t="shared" si="56"/>
        <v>0.64</v>
      </c>
      <c r="E235" s="164">
        <f t="shared" si="56"/>
        <v>0.64</v>
      </c>
      <c r="F235" s="164">
        <f t="shared" si="56"/>
        <v>0.64</v>
      </c>
      <c r="G235" s="164">
        <f t="shared" si="56"/>
        <v>0.64</v>
      </c>
      <c r="H235" s="164">
        <f t="shared" si="56"/>
        <v>0.64</v>
      </c>
      <c r="I235" s="164">
        <f t="shared" si="56"/>
        <v>0.64</v>
      </c>
      <c r="J235" s="164">
        <f t="shared" si="56"/>
        <v>0.64</v>
      </c>
      <c r="K235" s="164">
        <f t="shared" si="56"/>
        <v>0.64</v>
      </c>
      <c r="L235" s="164">
        <f t="shared" si="56"/>
        <v>0.64</v>
      </c>
      <c r="M235" s="164">
        <f t="shared" si="56"/>
        <v>0.64</v>
      </c>
      <c r="N235" s="164">
        <f t="shared" si="56"/>
        <v>0.64</v>
      </c>
      <c r="O235" s="164">
        <f t="shared" si="56"/>
        <v>0.64</v>
      </c>
      <c r="P235" s="164">
        <f t="shared" si="56"/>
        <v>0.64</v>
      </c>
      <c r="Q235" s="164">
        <f t="shared" si="56"/>
        <v>0.64</v>
      </c>
      <c r="R235" s="164">
        <f t="shared" si="56"/>
        <v>0.64</v>
      </c>
      <c r="S235" s="164">
        <f t="shared" si="56"/>
        <v>0.64</v>
      </c>
      <c r="T235" s="164">
        <f t="shared" si="56"/>
        <v>0.64</v>
      </c>
      <c r="U235" s="164">
        <f t="shared" si="56"/>
        <v>0.64</v>
      </c>
      <c r="V235" s="164">
        <f t="shared" si="56"/>
        <v>0.64</v>
      </c>
      <c r="W235" s="164">
        <f t="shared" si="56"/>
        <v>0.64</v>
      </c>
      <c r="X235" s="164">
        <f t="shared" si="56"/>
        <v>0.64</v>
      </c>
      <c r="Y235" s="164">
        <f t="shared" si="56"/>
        <v>0.64</v>
      </c>
      <c r="Z235" s="164">
        <f t="shared" si="56"/>
        <v>0.64</v>
      </c>
      <c r="AA235" s="164">
        <f t="shared" si="56"/>
        <v>0.64</v>
      </c>
      <c r="AB235" s="164">
        <f t="shared" si="56"/>
        <v>0.64</v>
      </c>
      <c r="AC235" s="164">
        <f t="shared" si="56"/>
        <v>0.64</v>
      </c>
      <c r="AD235" s="164">
        <f t="shared" si="56"/>
        <v>0.64</v>
      </c>
      <c r="AE235" s="164">
        <f t="shared" si="56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7">IF(C203&lt;100,"",C203-520)</f>
        <v/>
      </c>
      <c r="D236" s="107" t="str">
        <f t="shared" si="57"/>
        <v/>
      </c>
      <c r="E236" s="107" t="str">
        <f t="shared" si="57"/>
        <v/>
      </c>
      <c r="F236" s="107" t="str">
        <f t="shared" si="57"/>
        <v/>
      </c>
      <c r="G236" s="107" t="str">
        <f t="shared" si="57"/>
        <v/>
      </c>
      <c r="H236" s="107" t="str">
        <f t="shared" si="57"/>
        <v/>
      </c>
      <c r="I236" s="107" t="str">
        <f t="shared" si="57"/>
        <v/>
      </c>
      <c r="J236" s="107" t="str">
        <f t="shared" si="57"/>
        <v/>
      </c>
      <c r="K236" s="107" t="str">
        <f t="shared" si="57"/>
        <v/>
      </c>
      <c r="L236" s="107" t="str">
        <f t="shared" si="57"/>
        <v/>
      </c>
      <c r="M236" s="107" t="str">
        <f t="shared" si="57"/>
        <v/>
      </c>
      <c r="N236" s="107" t="str">
        <f t="shared" si="57"/>
        <v/>
      </c>
      <c r="O236" s="107" t="str">
        <f t="shared" si="57"/>
        <v/>
      </c>
      <c r="P236" s="107" t="str">
        <f t="shared" si="57"/>
        <v/>
      </c>
      <c r="Q236" s="107" t="str">
        <f t="shared" si="57"/>
        <v/>
      </c>
      <c r="R236" s="107" t="str">
        <f t="shared" si="57"/>
        <v/>
      </c>
      <c r="S236" s="107" t="str">
        <f t="shared" si="57"/>
        <v/>
      </c>
      <c r="T236" s="107" t="str">
        <f t="shared" si="57"/>
        <v/>
      </c>
      <c r="U236" s="107" t="str">
        <f t="shared" si="57"/>
        <v/>
      </c>
      <c r="V236" s="107" t="str">
        <f t="shared" si="57"/>
        <v/>
      </c>
      <c r="W236" s="107" t="str">
        <f t="shared" si="57"/>
        <v/>
      </c>
      <c r="X236" s="107" t="str">
        <f t="shared" si="57"/>
        <v/>
      </c>
      <c r="Y236" s="107" t="str">
        <f t="shared" si="57"/>
        <v/>
      </c>
      <c r="Z236" s="107" t="str">
        <f t="shared" si="57"/>
        <v/>
      </c>
      <c r="AA236" s="107" t="str">
        <f t="shared" si="57"/>
        <v/>
      </c>
      <c r="AB236" s="107" t="str">
        <f t="shared" si="57"/>
        <v/>
      </c>
      <c r="AC236" s="107" t="str">
        <f t="shared" si="57"/>
        <v/>
      </c>
      <c r="AD236" s="107" t="str">
        <f t="shared" si="57"/>
        <v/>
      </c>
      <c r="AE236" s="107" t="str">
        <f t="shared" si="57"/>
        <v/>
      </c>
      <c r="AF236" s="107" t="str">
        <f t="shared" si="57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8">IF(B204&lt;100,"",B204-620)</f>
        <v/>
      </c>
      <c r="C237" s="107" t="str">
        <f t="shared" si="58"/>
        <v/>
      </c>
      <c r="D237" s="107" t="str">
        <f t="shared" si="58"/>
        <v/>
      </c>
      <c r="E237" s="107" t="str">
        <f t="shared" si="58"/>
        <v/>
      </c>
      <c r="F237" s="107" t="str">
        <f t="shared" si="58"/>
        <v/>
      </c>
      <c r="G237" s="107" t="str">
        <f t="shared" si="58"/>
        <v/>
      </c>
      <c r="H237" s="107" t="str">
        <f t="shared" si="58"/>
        <v/>
      </c>
      <c r="I237" s="107" t="str">
        <f t="shared" si="58"/>
        <v/>
      </c>
      <c r="J237" s="107" t="str">
        <f t="shared" si="58"/>
        <v/>
      </c>
      <c r="K237" s="107" t="str">
        <f t="shared" si="58"/>
        <v/>
      </c>
      <c r="L237" s="107" t="str">
        <f t="shared" si="58"/>
        <v/>
      </c>
      <c r="M237" s="107" t="str">
        <f t="shared" si="58"/>
        <v/>
      </c>
      <c r="N237" s="107" t="str">
        <f t="shared" si="58"/>
        <v/>
      </c>
      <c r="O237" s="107" t="str">
        <f t="shared" si="58"/>
        <v/>
      </c>
      <c r="P237" s="107" t="str">
        <f t="shared" si="58"/>
        <v/>
      </c>
      <c r="Q237" s="107" t="str">
        <f t="shared" si="58"/>
        <v/>
      </c>
      <c r="R237" s="107" t="str">
        <f t="shared" si="58"/>
        <v/>
      </c>
      <c r="S237" s="107" t="str">
        <f t="shared" si="58"/>
        <v/>
      </c>
      <c r="T237" s="107" t="str">
        <f t="shared" si="58"/>
        <v/>
      </c>
      <c r="U237" s="107" t="str">
        <f t="shared" si="58"/>
        <v/>
      </c>
      <c r="V237" s="107" t="str">
        <f t="shared" si="58"/>
        <v/>
      </c>
      <c r="W237" s="107" t="str">
        <f t="shared" si="58"/>
        <v/>
      </c>
      <c r="X237" s="107" t="str">
        <f t="shared" si="58"/>
        <v/>
      </c>
      <c r="Y237" s="107" t="str">
        <f t="shared" si="58"/>
        <v/>
      </c>
      <c r="Z237" s="107" t="str">
        <f t="shared" si="58"/>
        <v/>
      </c>
      <c r="AA237" s="107" t="str">
        <f t="shared" si="58"/>
        <v/>
      </c>
      <c r="AB237" s="107" t="str">
        <f t="shared" si="58"/>
        <v/>
      </c>
      <c r="AC237" s="107" t="str">
        <f t="shared" si="58"/>
        <v/>
      </c>
      <c r="AD237" s="107" t="str">
        <f t="shared" si="58"/>
        <v/>
      </c>
      <c r="AE237" s="107" t="str">
        <f t="shared" si="58"/>
        <v/>
      </c>
      <c r="AF237" s="107" t="str">
        <f t="shared" si="58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9">IF(B205&lt;100,"",B205-330)</f>
        <v/>
      </c>
      <c r="C238" s="107" t="str">
        <f t="shared" si="59"/>
        <v/>
      </c>
      <c r="D238" s="107" t="str">
        <f t="shared" si="59"/>
        <v/>
      </c>
      <c r="E238" s="107" t="str">
        <f t="shared" si="59"/>
        <v/>
      </c>
      <c r="F238" s="107" t="str">
        <f t="shared" si="59"/>
        <v/>
      </c>
      <c r="G238" s="107" t="str">
        <f t="shared" si="59"/>
        <v/>
      </c>
      <c r="H238" s="107" t="str">
        <f t="shared" si="59"/>
        <v/>
      </c>
      <c r="I238" s="107" t="str">
        <f t="shared" si="59"/>
        <v/>
      </c>
      <c r="J238" s="107" t="str">
        <f t="shared" si="59"/>
        <v/>
      </c>
      <c r="K238" s="107" t="str">
        <f t="shared" si="59"/>
        <v/>
      </c>
      <c r="L238" s="107" t="str">
        <f t="shared" si="59"/>
        <v/>
      </c>
      <c r="M238" s="107" t="str">
        <f t="shared" si="59"/>
        <v/>
      </c>
      <c r="N238" s="107" t="str">
        <f t="shared" si="59"/>
        <v/>
      </c>
      <c r="O238" s="107" t="str">
        <f t="shared" si="59"/>
        <v/>
      </c>
      <c r="P238" s="107" t="str">
        <f t="shared" si="59"/>
        <v/>
      </c>
      <c r="Q238" s="107" t="str">
        <f t="shared" si="59"/>
        <v/>
      </c>
      <c r="R238" s="107" t="str">
        <f t="shared" si="59"/>
        <v/>
      </c>
      <c r="S238" s="107" t="str">
        <f t="shared" si="59"/>
        <v/>
      </c>
      <c r="T238" s="107" t="str">
        <f t="shared" si="59"/>
        <v/>
      </c>
      <c r="U238" s="107" t="str">
        <f t="shared" si="59"/>
        <v/>
      </c>
      <c r="V238" s="107" t="str">
        <f t="shared" si="59"/>
        <v/>
      </c>
      <c r="W238" s="107" t="str">
        <f t="shared" si="59"/>
        <v/>
      </c>
      <c r="X238" s="107" t="str">
        <f t="shared" si="59"/>
        <v/>
      </c>
      <c r="Y238" s="107" t="str">
        <f t="shared" si="59"/>
        <v/>
      </c>
      <c r="Z238" s="107" t="str">
        <f t="shared" si="59"/>
        <v/>
      </c>
      <c r="AA238" s="107" t="str">
        <f t="shared" si="59"/>
        <v/>
      </c>
      <c r="AB238" s="107" t="str">
        <f t="shared" si="59"/>
        <v/>
      </c>
      <c r="AC238" s="107" t="str">
        <f t="shared" si="59"/>
        <v/>
      </c>
      <c r="AD238" s="107" t="str">
        <f t="shared" si="59"/>
        <v/>
      </c>
      <c r="AE238" s="107" t="str">
        <f t="shared" si="59"/>
        <v/>
      </c>
      <c r="AF238" s="107" t="str">
        <f t="shared" si="59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0">IF(C206&lt;100,"",C206-1500)</f>
        <v/>
      </c>
      <c r="D239" s="107" t="str">
        <f t="shared" si="60"/>
        <v/>
      </c>
      <c r="E239" s="107" t="str">
        <f t="shared" si="60"/>
        <v/>
      </c>
      <c r="F239" s="107" t="str">
        <f t="shared" si="60"/>
        <v/>
      </c>
      <c r="G239" s="107" t="str">
        <f t="shared" si="60"/>
        <v/>
      </c>
      <c r="H239" s="107" t="str">
        <f t="shared" si="60"/>
        <v/>
      </c>
      <c r="I239" s="107" t="str">
        <f t="shared" si="60"/>
        <v/>
      </c>
      <c r="J239" s="107" t="str">
        <f t="shared" si="60"/>
        <v/>
      </c>
      <c r="K239" s="107" t="str">
        <f t="shared" si="60"/>
        <v/>
      </c>
      <c r="L239" s="107" t="str">
        <f t="shared" si="60"/>
        <v/>
      </c>
      <c r="M239" s="107" t="str">
        <f t="shared" si="60"/>
        <v/>
      </c>
      <c r="N239" s="107" t="str">
        <f t="shared" si="60"/>
        <v/>
      </c>
      <c r="O239" s="107" t="str">
        <f t="shared" si="60"/>
        <v/>
      </c>
      <c r="P239" s="107" t="str">
        <f t="shared" si="60"/>
        <v/>
      </c>
      <c r="Q239" s="107" t="str">
        <f t="shared" si="60"/>
        <v/>
      </c>
      <c r="R239" s="107" t="str">
        <f t="shared" si="60"/>
        <v/>
      </c>
      <c r="S239" s="107" t="str">
        <f t="shared" si="60"/>
        <v/>
      </c>
      <c r="T239" s="107" t="str">
        <f t="shared" si="60"/>
        <v/>
      </c>
      <c r="U239" s="107" t="str">
        <f t="shared" si="60"/>
        <v/>
      </c>
      <c r="V239" s="107" t="str">
        <f t="shared" si="60"/>
        <v/>
      </c>
      <c r="W239" s="107" t="str">
        <f t="shared" si="60"/>
        <v/>
      </c>
      <c r="X239" s="107" t="str">
        <f t="shared" si="60"/>
        <v/>
      </c>
      <c r="Y239" s="107" t="str">
        <f t="shared" si="60"/>
        <v/>
      </c>
      <c r="Z239" s="107" t="str">
        <f t="shared" si="60"/>
        <v/>
      </c>
      <c r="AA239" s="107" t="str">
        <f t="shared" si="60"/>
        <v/>
      </c>
      <c r="AB239" s="107" t="str">
        <f t="shared" si="60"/>
        <v/>
      </c>
      <c r="AC239" s="107" t="str">
        <f t="shared" si="60"/>
        <v/>
      </c>
      <c r="AD239" s="107" t="str">
        <f t="shared" si="60"/>
        <v/>
      </c>
      <c r="AE239" s="107" t="str">
        <f t="shared" si="60"/>
        <v/>
      </c>
      <c r="AF239" s="107" t="str">
        <f t="shared" si="6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Y11:AF11">
    <cfRule type="expression" dxfId="3838" priority="202">
      <formula>B$9&gt;=20/24</formula>
    </cfRule>
    <cfRule type="expression" dxfId="3837" priority="203">
      <formula>AND(B$9&gt;=14/24,B$9&lt;20/24)</formula>
    </cfRule>
    <cfRule type="expression" dxfId="3836" priority="204">
      <formula>AND(B$9&gt;=8/24,B$9&lt;14/24)</formula>
    </cfRule>
    <cfRule type="expression" dxfId="3835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3834" priority="197">
      <formula>AA$9&gt;=20/24</formula>
    </cfRule>
    <cfRule type="expression" dxfId="3833" priority="198">
      <formula>AND(AA$9&gt;=14/24,AA$9&lt;20/24)</formula>
    </cfRule>
    <cfRule type="expression" dxfId="3832" priority="199">
      <formula>AND(AA$9&gt;=8/24,AA$9&lt;14/24)</formula>
    </cfRule>
    <cfRule type="expression" dxfId="3831" priority="200">
      <formula>AA$9&lt;8/24</formula>
    </cfRule>
  </conditionalFormatting>
  <conditionalFormatting sqref="AG51 AA37:AF37 J11:AF11">
    <cfRule type="expression" dxfId="3830" priority="196">
      <formula>J11&gt;$AG11</formula>
    </cfRule>
  </conditionalFormatting>
  <conditionalFormatting sqref="A101:A157 A84:A97 A11:A14 A16:A32 A45:A72 A80:A82 A74:A78 A35:A43 A170:A200">
    <cfRule type="expression" dxfId="3829" priority="195">
      <formula>$AH11=0</formula>
    </cfRule>
  </conditionalFormatting>
  <conditionalFormatting sqref="A98">
    <cfRule type="expression" dxfId="3828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827" priority="192">
      <formula>$AH34=0</formula>
    </cfRule>
  </conditionalFormatting>
  <conditionalFormatting sqref="A83">
    <cfRule type="expression" dxfId="3826" priority="191">
      <formula>$AH83=0</formula>
    </cfRule>
  </conditionalFormatting>
  <conditionalFormatting sqref="A15">
    <cfRule type="expression" dxfId="3825" priority="190">
      <formula>$AH15=0</formula>
    </cfRule>
  </conditionalFormatting>
  <conditionalFormatting sqref="A164:A169">
    <cfRule type="expression" dxfId="3824" priority="189">
      <formula>$AH164=0</formula>
    </cfRule>
  </conditionalFormatting>
  <conditionalFormatting sqref="A158:A163">
    <cfRule type="expression" dxfId="3823" priority="188">
      <formula>$AH158=0</formula>
    </cfRule>
  </conditionalFormatting>
  <conditionalFormatting sqref="A44">
    <cfRule type="expression" dxfId="3822" priority="187">
      <formula>$AH44=0</formula>
    </cfRule>
  </conditionalFormatting>
  <conditionalFormatting sqref="A79">
    <cfRule type="expression" dxfId="3821" priority="186">
      <formula>$AH79=0</formula>
    </cfRule>
  </conditionalFormatting>
  <conditionalFormatting sqref="A73">
    <cfRule type="expression" dxfId="3820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819" priority="181">
      <formula>C$9&gt;=20/24</formula>
    </cfRule>
    <cfRule type="expression" dxfId="3818" priority="182">
      <formula>AND(C$9&gt;=14/24,C$9&lt;20/24)</formula>
    </cfRule>
    <cfRule type="expression" dxfId="3817" priority="183">
      <formula>AND(C$9&gt;=8/24,C$9&lt;14/24)</formula>
    </cfRule>
    <cfRule type="expression" dxfId="3816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15" priority="209">
      <formula>C$9&gt;=20/24</formula>
    </cfRule>
    <cfRule type="expression" dxfId="3814" priority="210">
      <formula>AND(C$9&gt;=14/24,C$9&lt;20/24)</formula>
    </cfRule>
    <cfRule type="expression" dxfId="3813" priority="211">
      <formula>AND(C$9&gt;=8/24,C$9&lt;14/24)</formula>
    </cfRule>
    <cfRule type="expression" dxfId="3812" priority="212">
      <formula>C$9&lt;8/24</formula>
    </cfRule>
  </conditionalFormatting>
  <conditionalFormatting sqref="A201">
    <cfRule type="expression" dxfId="3811" priority="213">
      <formula>$AH201=0</formula>
    </cfRule>
  </conditionalFormatting>
  <conditionalFormatting sqref="AG213">
    <cfRule type="expression" dxfId="3810" priority="214">
      <formula>B$9&gt;=20/24</formula>
    </cfRule>
    <cfRule type="expression" dxfId="3809" priority="215">
      <formula>AND(B$9&gt;=14/24,B$9&lt;20/24)</formula>
    </cfRule>
    <cfRule type="expression" dxfId="3808" priority="216">
      <formula>AND(B$9&gt;=8/24,B$9&lt;14/24)</formula>
    </cfRule>
    <cfRule type="expression" dxfId="3807" priority="217">
      <formula>B$9&lt;8/24</formula>
    </cfRule>
  </conditionalFormatting>
  <conditionalFormatting sqref="S8">
    <cfRule type="expression" dxfId="3806" priority="175">
      <formula>U$9&gt;=20/24</formula>
    </cfRule>
    <cfRule type="expression" dxfId="3805" priority="176">
      <formula>AND(U$9&gt;=14/24,U$9&lt;20/24)</formula>
    </cfRule>
    <cfRule type="expression" dxfId="3804" priority="177">
      <formula>AND(U$9&gt;=8/24,U$9&lt;14/24)</formula>
    </cfRule>
    <cfRule type="expression" dxfId="3803" priority="178">
      <formula>U$9&lt;8/24</formula>
    </cfRule>
  </conditionalFormatting>
  <conditionalFormatting sqref="AB8">
    <cfRule type="expression" dxfId="3802" priority="171">
      <formula>AD$9&gt;=20/24</formula>
    </cfRule>
    <cfRule type="expression" dxfId="3801" priority="172">
      <formula>AND(AD$9&gt;=14/24,AD$9&lt;20/24)</formula>
    </cfRule>
    <cfRule type="expression" dxfId="3800" priority="173">
      <formula>AND(AD$9&gt;=8/24,AD$9&lt;14/24)</formula>
    </cfRule>
    <cfRule type="expression" dxfId="3799" priority="174">
      <formula>AD$9&lt;8/24</formula>
    </cfRule>
  </conditionalFormatting>
  <conditionalFormatting sqref="AH213:AX213">
    <cfRule type="expression" dxfId="3798" priority="218">
      <formula>AG$9&gt;=20/24</formula>
    </cfRule>
    <cfRule type="expression" dxfId="3797" priority="219">
      <formula>AND(AG$9&gt;=14/24,AG$9&lt;20/24)</formula>
    </cfRule>
    <cfRule type="expression" dxfId="3796" priority="220">
      <formula>AND(AG$9&gt;=8/24,AG$9&lt;14/24)</formula>
    </cfRule>
    <cfRule type="expression" dxfId="3795" priority="221">
      <formula>AG$9&lt;8/24</formula>
    </cfRule>
  </conditionalFormatting>
  <conditionalFormatting sqref="T213">
    <cfRule type="expression" dxfId="3794" priority="222">
      <formula>AX$9&gt;=20/24</formula>
    </cfRule>
    <cfRule type="expression" dxfId="3793" priority="223">
      <formula>AND(AX$9&gt;=14/24,AX$9&lt;20/24)</formula>
    </cfRule>
    <cfRule type="expression" dxfId="3792" priority="224">
      <formula>AND(AX$9&gt;=8/24,AX$9&lt;14/24)</formula>
    </cfRule>
    <cfRule type="expression" dxfId="3791" priority="225">
      <formula>AX$9&lt;8/24</formula>
    </cfRule>
  </conditionalFormatting>
  <conditionalFormatting sqref="A99:A100">
    <cfRule type="expression" dxfId="3790" priority="170">
      <formula>$AH99=0</formula>
    </cfRule>
  </conditionalFormatting>
  <conditionalFormatting sqref="L40:L41 F11:I11 C57:AF57 AA36:AF36 W40:AF41">
    <cfRule type="expression" dxfId="3789" priority="166">
      <formula>C$9&gt;=20/24</formula>
    </cfRule>
    <cfRule type="expression" dxfId="3788" priority="167">
      <formula>AND(C$9&gt;=14/24,C$9&lt;20/24)</formula>
    </cfRule>
    <cfRule type="expression" dxfId="3787" priority="168">
      <formula>AND(C$9&gt;=8/24,C$9&lt;14/24)</formula>
    </cfRule>
    <cfRule type="expression" dxfId="3786" priority="169">
      <formula>C$9&lt;8/24</formula>
    </cfRule>
  </conditionalFormatting>
  <conditionalFormatting sqref="L39 W39:AF39">
    <cfRule type="expression" dxfId="3785" priority="162">
      <formula>L$9&gt;=20/24</formula>
    </cfRule>
    <cfRule type="expression" dxfId="3784" priority="163">
      <formula>AND(L$9&gt;=14/24,L$9&lt;20/24)</formula>
    </cfRule>
    <cfRule type="expression" dxfId="3783" priority="164">
      <formula>AND(L$9&gt;=8/24,L$9&lt;14/24)</formula>
    </cfRule>
    <cfRule type="expression" dxfId="3782" priority="165">
      <formula>L$9&lt;8/24</formula>
    </cfRule>
  </conditionalFormatting>
  <conditionalFormatting sqref="L39:L41 F11:I11 AA36:AF36 W39:AF41">
    <cfRule type="expression" dxfId="3781" priority="161">
      <formula>F11&gt;$AG11</formula>
    </cfRule>
  </conditionalFormatting>
  <conditionalFormatting sqref="C83:AF83 C75:AF81 C68:AF73 C56:AF56 D61:L63 C58:L60 D67:T67 M58:T63 M11:X14 C85:AF91 D53:AF55 AA28:AF31 AA18:AF22 AA24:AF26 Y12:AF14 M16:AF16 U58:AF67">
    <cfRule type="expression" dxfId="3780" priority="157">
      <formula>C$9&gt;=20/24</formula>
    </cfRule>
    <cfRule type="expression" dxfId="3779" priority="158">
      <formula>AND(C$9&gt;=14/24,C$9&lt;20/24)</formula>
    </cfRule>
    <cfRule type="expression" dxfId="3778" priority="159">
      <formula>AND(C$9&gt;=8/24,C$9&lt;14/24)</formula>
    </cfRule>
    <cfRule type="expression" dxfId="3777" priority="160">
      <formula>C$9&lt;8/24</formula>
    </cfRule>
  </conditionalFormatting>
  <conditionalFormatting sqref="AA32:AF32">
    <cfRule type="expression" dxfId="3776" priority="153">
      <formula>AA$9&gt;=20/24</formula>
    </cfRule>
    <cfRule type="expression" dxfId="3775" priority="154">
      <formula>AND(AA$9&gt;=14/24,AA$9&lt;20/24)</formula>
    </cfRule>
    <cfRule type="expression" dxfId="3774" priority="155">
      <formula>AND(AA$9&gt;=8/24,AA$9&lt;14/24)</formula>
    </cfRule>
    <cfRule type="expression" dxfId="3773" priority="156">
      <formula>AA$9&lt;8/24</formula>
    </cfRule>
  </conditionalFormatting>
  <conditionalFormatting sqref="AA35:AF35">
    <cfRule type="expression" dxfId="3772" priority="149">
      <formula>AA$9&gt;=20/24</formula>
    </cfRule>
    <cfRule type="expression" dxfId="3771" priority="150">
      <formula>AND(AA$9&gt;=14/24,AA$9&lt;20/24)</formula>
    </cfRule>
    <cfRule type="expression" dxfId="3770" priority="151">
      <formula>AND(AA$9&gt;=8/24,AA$9&lt;14/24)</formula>
    </cfRule>
    <cfRule type="expression" dxfId="3769" priority="152">
      <formula>AA$9&lt;8/24</formula>
    </cfRule>
  </conditionalFormatting>
  <conditionalFormatting sqref="C38:AF38 C51:AF52 C56:AF56 M11:X16 D37:Z37 D53:AF55 X16:AC16 AA34:AF35 AA18:AF22 AA24:AF32 Y12:AF16">
    <cfRule type="expression" dxfId="3768" priority="148">
      <formula>C11&gt;$AG11</formula>
    </cfRule>
  </conditionalFormatting>
  <conditionalFormatting sqref="AA34:AF34">
    <cfRule type="expression" dxfId="3767" priority="144">
      <formula>AA$9&gt;=20/24</formula>
    </cfRule>
    <cfRule type="expression" dxfId="3766" priority="145">
      <formula>AND(AA$9&gt;=14/24,AA$9&lt;20/24)</formula>
    </cfRule>
    <cfRule type="expression" dxfId="3765" priority="146">
      <formula>AND(AA$9&gt;=8/24,AA$9&lt;14/24)</formula>
    </cfRule>
    <cfRule type="expression" dxfId="3764" priority="147">
      <formula>AA$9&lt;8/24</formula>
    </cfRule>
  </conditionalFormatting>
  <conditionalFormatting sqref="M15:AF15">
    <cfRule type="expression" dxfId="3763" priority="140">
      <formula>M$9&gt;=20/24</formula>
    </cfRule>
    <cfRule type="expression" dxfId="3762" priority="141">
      <formula>AND(M$9&gt;=14/24,M$9&lt;20/24)</formula>
    </cfRule>
    <cfRule type="expression" dxfId="3761" priority="142">
      <formula>AND(M$9&gt;=8/24,M$9&lt;14/24)</formula>
    </cfRule>
    <cfRule type="expression" dxfId="3760" priority="143">
      <formula>M$9&lt;8/24</formula>
    </cfRule>
  </conditionalFormatting>
  <conditionalFormatting sqref="AA33:AF33">
    <cfRule type="expression" dxfId="3759" priority="136">
      <formula>AA$9&gt;=20/24</formula>
    </cfRule>
    <cfRule type="expression" dxfId="3758" priority="137">
      <formula>AND(AA$9&gt;=14/24,AA$9&lt;20/24)</formula>
    </cfRule>
    <cfRule type="expression" dxfId="3757" priority="138">
      <formula>AND(AA$9&gt;=8/24,AA$9&lt;14/24)</formula>
    </cfRule>
    <cfRule type="expression" dxfId="3756" priority="139">
      <formula>AA$9&lt;8/24</formula>
    </cfRule>
  </conditionalFormatting>
  <conditionalFormatting sqref="AA33:AF33">
    <cfRule type="expression" dxfId="3755" priority="135">
      <formula>AA33&gt;$AG33</formula>
    </cfRule>
  </conditionalFormatting>
  <conditionalFormatting sqref="W42:AF43">
    <cfRule type="expression" dxfId="3754" priority="127">
      <formula>W$9&gt;=20/24</formula>
    </cfRule>
    <cfRule type="expression" dxfId="3753" priority="128">
      <formula>AND(W$9&gt;=14/24,W$9&lt;20/24)</formula>
    </cfRule>
    <cfRule type="expression" dxfId="3752" priority="129">
      <formula>AND(W$9&gt;=8/24,W$9&lt;14/24)</formula>
    </cfRule>
    <cfRule type="expression" dxfId="3751" priority="130">
      <formula>W$9&lt;8/24</formula>
    </cfRule>
  </conditionalFormatting>
  <conditionalFormatting sqref="W42:AF43">
    <cfRule type="expression" dxfId="3750" priority="126">
      <formula>W42&gt;$AG42</formula>
    </cfRule>
  </conditionalFormatting>
  <conditionalFormatting sqref="M39:R43 N44:R45 S39:V45 W44:AF50">
    <cfRule type="expression" dxfId="3749" priority="122">
      <formula>M$9&gt;=20/24</formula>
    </cfRule>
    <cfRule type="expression" dxfId="3748" priority="123">
      <formula>AND(M$9&gt;=14/24,M$9&lt;20/24)</formula>
    </cfRule>
    <cfRule type="expression" dxfId="3747" priority="124">
      <formula>AND(M$9&gt;=8/24,M$9&lt;14/24)</formula>
    </cfRule>
    <cfRule type="expression" dxfId="3746" priority="125">
      <formula>M$9&lt;8/24</formula>
    </cfRule>
  </conditionalFormatting>
  <conditionalFormatting sqref="M39:R43 N44:R45 S39:V45 W44:AF50">
    <cfRule type="expression" dxfId="3745" priority="121">
      <formula>M39&gt;$AG39</formula>
    </cfRule>
  </conditionalFormatting>
  <conditionalFormatting sqref="AA27:AF27">
    <cfRule type="expression" dxfId="3744" priority="117">
      <formula>AA$9&gt;=20/24</formula>
    </cfRule>
    <cfRule type="expression" dxfId="3743" priority="118">
      <formula>AND(AA$9&gt;=14/24,AA$9&lt;20/24)</formula>
    </cfRule>
    <cfRule type="expression" dxfId="3742" priority="119">
      <formula>AND(AA$9&gt;=8/24,AA$9&lt;14/24)</formula>
    </cfRule>
    <cfRule type="expression" dxfId="3741" priority="120">
      <formula>AA$9&lt;8/24</formula>
    </cfRule>
  </conditionalFormatting>
  <conditionalFormatting sqref="C74:I74 C11:E13 F12:L13 AA17:AF17 AA23:AF23">
    <cfRule type="expression" dxfId="3740" priority="113">
      <formula>C$9&gt;=20/24</formula>
    </cfRule>
    <cfRule type="expression" dxfId="3739" priority="114">
      <formula>AND(C$9&gt;=14/24,C$9&lt;20/24)</formula>
    </cfRule>
    <cfRule type="expression" dxfId="3738" priority="115">
      <formula>AND(C$9&gt;=8/24,C$9&lt;14/24)</formula>
    </cfRule>
    <cfRule type="expression" dxfId="3737" priority="116">
      <formula>C$9&lt;8/24</formula>
    </cfRule>
  </conditionalFormatting>
  <conditionalFormatting sqref="C11:E13 F12:L13 AA17:AF17 AA23:AF23">
    <cfRule type="expression" dxfId="3736" priority="104">
      <formula>C11&gt;$AG11</formula>
    </cfRule>
  </conditionalFormatting>
  <conditionalFormatting sqref="C40:K41">
    <cfRule type="expression" dxfId="3735" priority="87">
      <formula>C$9&gt;=20/24</formula>
    </cfRule>
    <cfRule type="expression" dxfId="3734" priority="88">
      <formula>AND(C$9&gt;=14/24,C$9&lt;20/24)</formula>
    </cfRule>
    <cfRule type="expression" dxfId="3733" priority="89">
      <formula>AND(C$9&gt;=8/24,C$9&lt;14/24)</formula>
    </cfRule>
    <cfRule type="expression" dxfId="3732" priority="90">
      <formula>C$9&lt;8/24</formula>
    </cfRule>
  </conditionalFormatting>
  <conditionalFormatting sqref="C39:K39">
    <cfRule type="expression" dxfId="3731" priority="83">
      <formula>C$9&gt;=20/24</formula>
    </cfRule>
    <cfRule type="expression" dxfId="3730" priority="84">
      <formula>AND(C$9&gt;=14/24,C$9&lt;20/24)</formula>
    </cfRule>
    <cfRule type="expression" dxfId="3729" priority="85">
      <formula>AND(C$9&gt;=8/24,C$9&lt;14/24)</formula>
    </cfRule>
    <cfRule type="expression" dxfId="3728" priority="86">
      <formula>C$9&lt;8/24</formula>
    </cfRule>
  </conditionalFormatting>
  <conditionalFormatting sqref="C39:K41">
    <cfRule type="expression" dxfId="3727" priority="82">
      <formula>C39&gt;$AG39</formula>
    </cfRule>
  </conditionalFormatting>
  <conditionalFormatting sqref="D64:T66">
    <cfRule type="expression" dxfId="3726" priority="78">
      <formula>D$9&gt;=20/24</formula>
    </cfRule>
    <cfRule type="expression" dxfId="3725" priority="79">
      <formula>AND(D$9&gt;=14/24,D$9&lt;20/24)</formula>
    </cfRule>
    <cfRule type="expression" dxfId="3724" priority="80">
      <formula>AND(D$9&gt;=8/24,D$9&lt;14/24)</formula>
    </cfRule>
    <cfRule type="expression" dxfId="3723" priority="81">
      <formula>D$9&lt;8/24</formula>
    </cfRule>
  </conditionalFormatting>
  <conditionalFormatting sqref="C42:L43">
    <cfRule type="expression" dxfId="3722" priority="77">
      <formula>C42&gt;$AG42</formula>
    </cfRule>
  </conditionalFormatting>
  <conditionalFormatting sqref="C44:M44">
    <cfRule type="expression" dxfId="3721" priority="73">
      <formula>C$9&gt;=20/24</formula>
    </cfRule>
    <cfRule type="expression" dxfId="3720" priority="74">
      <formula>AND(C$9&gt;=14/24,C$9&lt;20/24)</formula>
    </cfRule>
    <cfRule type="expression" dxfId="3719" priority="75">
      <formula>AND(C$9&gt;=8/24,C$9&lt;14/24)</formula>
    </cfRule>
    <cfRule type="expression" dxfId="3718" priority="76">
      <formula>C$9&lt;8/24</formula>
    </cfRule>
  </conditionalFormatting>
  <conditionalFormatting sqref="C44:M44">
    <cfRule type="expression" dxfId="3717" priority="72">
      <formula>C44&gt;$AG44</formula>
    </cfRule>
  </conditionalFormatting>
  <conditionalFormatting sqref="B82 B74 B94:B100 B11">
    <cfRule type="expression" dxfId="3716" priority="59">
      <formula>B$9&gt;=20/24</formula>
    </cfRule>
    <cfRule type="expression" dxfId="3715" priority="60">
      <formula>AND(B$9&gt;=14/24,B$9&lt;20/24)</formula>
    </cfRule>
    <cfRule type="expression" dxfId="3714" priority="61">
      <formula>AND(B$9&gt;=8/24,B$9&lt;14/24)</formula>
    </cfRule>
    <cfRule type="expression" dxfId="3713" priority="62">
      <formula>B$9&lt;8/24</formula>
    </cfRule>
  </conditionalFormatting>
  <conditionalFormatting sqref="B37:C37">
    <cfRule type="expression" dxfId="3712" priority="55">
      <formula>B$9&gt;=20/24</formula>
    </cfRule>
    <cfRule type="expression" dxfId="3711" priority="56">
      <formula>AND(B$9&gt;=14/24,B$9&lt;20/24)</formula>
    </cfRule>
    <cfRule type="expression" dxfId="3710" priority="57">
      <formula>AND(B$9&gt;=8/24,B$9&lt;14/24)</formula>
    </cfRule>
    <cfRule type="expression" dxfId="3709" priority="58">
      <formula>B$9&lt;8/24</formula>
    </cfRule>
  </conditionalFormatting>
  <conditionalFormatting sqref="B11 B37:C37">
    <cfRule type="expression" dxfId="3708" priority="54">
      <formula>B11&gt;$AG11</formula>
    </cfRule>
  </conditionalFormatting>
  <conditionalFormatting sqref="B84">
    <cfRule type="expression" dxfId="3707" priority="50">
      <formula>B$9&gt;=20/24</formula>
    </cfRule>
    <cfRule type="expression" dxfId="3706" priority="51">
      <formula>AND(B$9&gt;=14/24,B$9&lt;20/24)</formula>
    </cfRule>
    <cfRule type="expression" dxfId="3705" priority="52">
      <formula>AND(B$9&gt;=8/24,B$9&lt;14/24)</formula>
    </cfRule>
    <cfRule type="expression" dxfId="3704" priority="53">
      <formula>B$9&lt;8/24</formula>
    </cfRule>
  </conditionalFormatting>
  <conditionalFormatting sqref="B40:B41 B57 B36:Z36">
    <cfRule type="expression" dxfId="3703" priority="46">
      <formula>B$9&gt;=20/24</formula>
    </cfRule>
    <cfRule type="expression" dxfId="3702" priority="47">
      <formula>AND(B$9&gt;=14/24,B$9&lt;20/24)</formula>
    </cfRule>
    <cfRule type="expression" dxfId="3701" priority="48">
      <formula>AND(B$9&gt;=8/24,B$9&lt;14/24)</formula>
    </cfRule>
    <cfRule type="expression" dxfId="3700" priority="49">
      <formula>B$9&lt;8/24</formula>
    </cfRule>
  </conditionalFormatting>
  <conditionalFormatting sqref="B39">
    <cfRule type="expression" dxfId="3699" priority="42">
      <formula>B$9&gt;=20/24</formula>
    </cfRule>
    <cfRule type="expression" dxfId="3698" priority="43">
      <formula>AND(B$9&gt;=14/24,B$9&lt;20/24)</formula>
    </cfRule>
    <cfRule type="expression" dxfId="3697" priority="44">
      <formula>AND(B$9&gt;=8/24,B$9&lt;14/24)</formula>
    </cfRule>
    <cfRule type="expression" dxfId="3696" priority="45">
      <formula>B$9&lt;8/24</formula>
    </cfRule>
  </conditionalFormatting>
  <conditionalFormatting sqref="B39:B41 B36:Z36">
    <cfRule type="expression" dxfId="3695" priority="41">
      <formula>B36&gt;$AG36</formula>
    </cfRule>
  </conditionalFormatting>
  <conditionalFormatting sqref="B83 B75:B81 B85:B91 B12:B14 B53:B56 B58:B73 C53:C55 C61:C67 C14:L14 B16:L16 B28:Z31 B18:Z22 B24:Z26">
    <cfRule type="expression" dxfId="3694" priority="37">
      <formula>B$9&gt;=20/24</formula>
    </cfRule>
    <cfRule type="expression" dxfId="3693" priority="38">
      <formula>AND(B$9&gt;=14/24,B$9&lt;20/24)</formula>
    </cfRule>
    <cfRule type="expression" dxfId="3692" priority="39">
      <formula>AND(B$9&gt;=8/24,B$9&lt;14/24)</formula>
    </cfRule>
    <cfRule type="expression" dxfId="3691" priority="40">
      <formula>B$9&lt;8/24</formula>
    </cfRule>
  </conditionalFormatting>
  <conditionalFormatting sqref="B32:Z32">
    <cfRule type="expression" dxfId="3690" priority="33">
      <formula>B$9&gt;=20/24</formula>
    </cfRule>
    <cfRule type="expression" dxfId="3689" priority="34">
      <formula>AND(B$9&gt;=14/24,B$9&lt;20/24)</formula>
    </cfRule>
    <cfRule type="expression" dxfId="3688" priority="35">
      <formula>AND(B$9&gt;=8/24,B$9&lt;14/24)</formula>
    </cfRule>
    <cfRule type="expression" dxfId="3687" priority="36">
      <formula>B$9&lt;8/24</formula>
    </cfRule>
  </conditionalFormatting>
  <conditionalFormatting sqref="B35:Z35">
    <cfRule type="expression" dxfId="3686" priority="29">
      <formula>B$9&gt;=20/24</formula>
    </cfRule>
    <cfRule type="expression" dxfId="3685" priority="30">
      <formula>AND(B$9&gt;=14/24,B$9&lt;20/24)</formula>
    </cfRule>
    <cfRule type="expression" dxfId="3684" priority="31">
      <formula>AND(B$9&gt;=8/24,B$9&lt;14/24)</formula>
    </cfRule>
    <cfRule type="expression" dxfId="3683" priority="32">
      <formula>B$9&lt;8/24</formula>
    </cfRule>
  </conditionalFormatting>
  <conditionalFormatting sqref="B38 B42:B43 B12:B16 B51:B56 C53:C55 C14:L16 B34:Z35 B18:Z22 B24:Z32">
    <cfRule type="expression" dxfId="3682" priority="28">
      <formula>B12&gt;$AG12</formula>
    </cfRule>
  </conditionalFormatting>
  <conditionalFormatting sqref="B34:Z34">
    <cfRule type="expression" dxfId="3681" priority="24">
      <formula>B$9&gt;=20/24</formula>
    </cfRule>
    <cfRule type="expression" dxfId="3680" priority="25">
      <formula>AND(B$9&gt;=14/24,B$9&lt;20/24)</formula>
    </cfRule>
    <cfRule type="expression" dxfId="3679" priority="26">
      <formula>AND(B$9&gt;=8/24,B$9&lt;14/24)</formula>
    </cfRule>
    <cfRule type="expression" dxfId="3678" priority="27">
      <formula>B$9&lt;8/24</formula>
    </cfRule>
  </conditionalFormatting>
  <conditionalFormatting sqref="B15:L15">
    <cfRule type="expression" dxfId="3677" priority="20">
      <formula>B$9&gt;=20/24</formula>
    </cfRule>
    <cfRule type="expression" dxfId="3676" priority="21">
      <formula>AND(B$9&gt;=14/24,B$9&lt;20/24)</formula>
    </cfRule>
    <cfRule type="expression" dxfId="3675" priority="22">
      <formula>AND(B$9&gt;=8/24,B$9&lt;14/24)</formula>
    </cfRule>
    <cfRule type="expression" dxfId="3674" priority="23">
      <formula>B$9&lt;8/24</formula>
    </cfRule>
  </conditionalFormatting>
  <conditionalFormatting sqref="B33:Z33">
    <cfRule type="expression" dxfId="3673" priority="16">
      <formula>B$9&gt;=20/24</formula>
    </cfRule>
    <cfRule type="expression" dxfId="3672" priority="17">
      <formula>AND(B$9&gt;=14/24,B$9&lt;20/24)</formula>
    </cfRule>
    <cfRule type="expression" dxfId="3671" priority="18">
      <formula>AND(B$9&gt;=8/24,B$9&lt;14/24)</formula>
    </cfRule>
    <cfRule type="expression" dxfId="3670" priority="19">
      <formula>B$9&lt;8/24</formula>
    </cfRule>
  </conditionalFormatting>
  <conditionalFormatting sqref="B33:Z33">
    <cfRule type="expression" dxfId="3669" priority="15">
      <formula>B33&gt;$AG33</formula>
    </cfRule>
  </conditionalFormatting>
  <conditionalFormatting sqref="B44:B50 C45:M50 N46:V50">
    <cfRule type="expression" dxfId="3668" priority="11">
      <formula>B$9&gt;=20/24</formula>
    </cfRule>
    <cfRule type="expression" dxfId="3667" priority="12">
      <formula>AND(B$9&gt;=14/24,B$9&lt;20/24)</formula>
    </cfRule>
    <cfRule type="expression" dxfId="3666" priority="13">
      <formula>AND(B$9&gt;=8/24,B$9&lt;14/24)</formula>
    </cfRule>
    <cfRule type="expression" dxfId="3665" priority="14">
      <formula>B$9&lt;8/24</formula>
    </cfRule>
  </conditionalFormatting>
  <conditionalFormatting sqref="B44:B50 C45:M50 N46:V50">
    <cfRule type="expression" dxfId="3664" priority="10">
      <formula>B44&gt;$AG44</formula>
    </cfRule>
  </conditionalFormatting>
  <conditionalFormatting sqref="B27:Z27">
    <cfRule type="expression" dxfId="3663" priority="6">
      <formula>B$9&gt;=20/24</formula>
    </cfRule>
    <cfRule type="expression" dxfId="3662" priority="7">
      <formula>AND(B$9&gt;=14/24,B$9&lt;20/24)</formula>
    </cfRule>
    <cfRule type="expression" dxfId="3661" priority="8">
      <formula>AND(B$9&gt;=8/24,B$9&lt;14/24)</formula>
    </cfRule>
    <cfRule type="expression" dxfId="3660" priority="9">
      <formula>B$9&lt;8/24</formula>
    </cfRule>
  </conditionalFormatting>
  <conditionalFormatting sqref="B17:Z17 B23:Z23">
    <cfRule type="expression" dxfId="3659" priority="2">
      <formula>B$9&gt;=20/24</formula>
    </cfRule>
    <cfRule type="expression" dxfId="3658" priority="3">
      <formula>AND(B$9&gt;=14/24,B$9&lt;20/24)</formula>
    </cfRule>
    <cfRule type="expression" dxfId="3657" priority="4">
      <formula>AND(B$9&gt;=8/24,B$9&lt;14/24)</formula>
    </cfRule>
    <cfRule type="expression" dxfId="3656" priority="5">
      <formula>B$9&lt;8/24</formula>
    </cfRule>
  </conditionalFormatting>
  <conditionalFormatting sqref="B17:Z17 B23:Z23">
    <cfRule type="expression" dxfId="3655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7329AF79-EF25-4810-B3D4-AB1005C09B8A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N59" sqref="N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5703125" bestFit="1" customWidth="1"/>
    <col min="11" max="11" width="7" customWidth="1"/>
    <col min="12" max="12" width="7.42578125" customWidth="1"/>
    <col min="13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2079/02/13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154.69999999999999</v>
      </c>
      <c r="C5" s="32">
        <f t="shared" si="0"/>
        <v>156.5</v>
      </c>
      <c r="D5" s="32">
        <f t="shared" si="0"/>
        <v>167.1</v>
      </c>
      <c r="E5" s="32">
        <f t="shared" si="0"/>
        <v>176.2</v>
      </c>
      <c r="F5" s="32">
        <f t="shared" si="0"/>
        <v>184.8</v>
      </c>
      <c r="G5" s="32">
        <f t="shared" si="0"/>
        <v>190.4</v>
      </c>
      <c r="H5" s="32">
        <f t="shared" si="0"/>
        <v>276</v>
      </c>
      <c r="I5" s="32">
        <f t="shared" si="0"/>
        <v>249.39999999999998</v>
      </c>
      <c r="J5" s="32">
        <f t="shared" si="0"/>
        <v>291.10000000000002</v>
      </c>
      <c r="K5" s="32">
        <f t="shared" si="0"/>
        <v>266.60000000000002</v>
      </c>
      <c r="L5" s="32">
        <f t="shared" si="0"/>
        <v>270.2</v>
      </c>
      <c r="M5" s="32">
        <f t="shared" si="0"/>
        <v>271.8</v>
      </c>
      <c r="N5" s="32">
        <f t="shared" si="0"/>
        <v>292.60000000000002</v>
      </c>
      <c r="O5" s="32">
        <f t="shared" si="0"/>
        <v>277.5</v>
      </c>
      <c r="P5" s="32">
        <f t="shared" si="0"/>
        <v>265.8</v>
      </c>
      <c r="Q5" s="32">
        <f t="shared" si="0"/>
        <v>273.39999999999998</v>
      </c>
      <c r="R5" s="32">
        <f t="shared" si="0"/>
        <v>294.39999999999998</v>
      </c>
      <c r="S5" s="32">
        <f t="shared" si="0"/>
        <v>275</v>
      </c>
      <c r="T5" s="32">
        <f t="shared" si="0"/>
        <v>282</v>
      </c>
      <c r="U5" s="32">
        <f t="shared" si="0"/>
        <v>270</v>
      </c>
      <c r="V5" s="32">
        <f t="shared" si="0"/>
        <v>316.60000000000002</v>
      </c>
      <c r="W5" s="32">
        <f t="shared" si="0"/>
        <v>248</v>
      </c>
      <c r="X5" s="32">
        <f t="shared" si="0"/>
        <v>272</v>
      </c>
      <c r="Y5" s="32">
        <f t="shared" si="0"/>
        <v>148</v>
      </c>
      <c r="Z5" s="32">
        <f t="shared" si="0"/>
        <v>153</v>
      </c>
      <c r="AA5" s="32">
        <f t="shared" si="0"/>
        <v>146.4</v>
      </c>
      <c r="AB5" s="32">
        <f t="shared" si="0"/>
        <v>172.7</v>
      </c>
      <c r="AC5" s="32">
        <f t="shared" si="0"/>
        <v>156</v>
      </c>
      <c r="AD5" s="32">
        <f t="shared" si="0"/>
        <v>174</v>
      </c>
      <c r="AE5" s="32">
        <f t="shared" si="0"/>
        <v>101</v>
      </c>
      <c r="AF5" s="32">
        <f>B68</f>
        <v>152.1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1443MW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Load=1245</v>
      </c>
      <c r="B7" s="37">
        <f>B75</f>
        <v>1395.44</v>
      </c>
      <c r="C7" s="37">
        <f t="shared" ref="C7:AF7" si="1">C75</f>
        <v>1329.3399999999997</v>
      </c>
      <c r="D7" s="37">
        <f t="shared" si="1"/>
        <v>1331.1399999999999</v>
      </c>
      <c r="E7" s="37">
        <f t="shared" si="1"/>
        <v>1289.54</v>
      </c>
      <c r="F7" s="37">
        <f t="shared" si="1"/>
        <v>1268.1400000000001</v>
      </c>
      <c r="G7" s="37">
        <f t="shared" si="1"/>
        <v>1264.54</v>
      </c>
      <c r="H7" s="37">
        <f t="shared" si="1"/>
        <v>1245.24</v>
      </c>
      <c r="I7" s="37">
        <f t="shared" si="1"/>
        <v>1262.8399999999999</v>
      </c>
      <c r="J7" s="37">
        <f t="shared" si="1"/>
        <v>1324.14</v>
      </c>
      <c r="K7" s="37">
        <f t="shared" si="1"/>
        <v>1406.1400000000003</v>
      </c>
      <c r="L7" s="37">
        <f t="shared" si="1"/>
        <v>1429.44</v>
      </c>
      <c r="M7" s="37">
        <f t="shared" si="1"/>
        <v>1442.7400000000002</v>
      </c>
      <c r="N7" s="37">
        <f t="shared" si="1"/>
        <v>1429.24</v>
      </c>
      <c r="O7" s="37">
        <f t="shared" si="1"/>
        <v>1457.24</v>
      </c>
      <c r="P7" s="37">
        <f t="shared" si="1"/>
        <v>1467.8400000000001</v>
      </c>
      <c r="Q7" s="37">
        <f t="shared" si="1"/>
        <v>1452.8400000000001</v>
      </c>
      <c r="R7" s="37">
        <f t="shared" si="1"/>
        <v>1460.2400000000002</v>
      </c>
      <c r="S7" s="37">
        <f t="shared" si="1"/>
        <v>1496.2400000000002</v>
      </c>
      <c r="T7" s="37">
        <f t="shared" si="1"/>
        <v>1494.04</v>
      </c>
      <c r="U7" s="37">
        <f t="shared" si="1"/>
        <v>1488.94</v>
      </c>
      <c r="V7" s="37">
        <f t="shared" si="1"/>
        <v>1457.74</v>
      </c>
      <c r="W7" s="37">
        <f t="shared" si="1"/>
        <v>1485.1399999999999</v>
      </c>
      <c r="X7" s="37">
        <f t="shared" si="1"/>
        <v>1436.54</v>
      </c>
      <c r="Y7" s="37">
        <f t="shared" si="1"/>
        <v>1436.8400000000001</v>
      </c>
      <c r="Z7" s="37">
        <f t="shared" si="1"/>
        <v>1486.7400000000002</v>
      </c>
      <c r="AA7" s="37">
        <f t="shared" si="1"/>
        <v>1529.3400000000001</v>
      </c>
      <c r="AB7" s="37">
        <f t="shared" si="1"/>
        <v>1522.7400000000002</v>
      </c>
      <c r="AC7" s="37">
        <f t="shared" si="1"/>
        <v>1516.7400000000002</v>
      </c>
      <c r="AD7" s="37">
        <f t="shared" si="1"/>
        <v>1500.04</v>
      </c>
      <c r="AE7" s="37">
        <f t="shared" si="1"/>
        <v>1444.2400000000002</v>
      </c>
      <c r="AF7" s="37">
        <f t="shared" si="1"/>
        <v>1371.2400000000002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260</v>
      </c>
      <c r="C11" s="50">
        <v>200</v>
      </c>
      <c r="D11" s="50">
        <v>200</v>
      </c>
      <c r="E11" s="51">
        <v>200</v>
      </c>
      <c r="F11" s="51">
        <v>200</v>
      </c>
      <c r="G11" s="51">
        <v>160</v>
      </c>
      <c r="H11" s="51">
        <v>140</v>
      </c>
      <c r="I11" s="51">
        <v>60</v>
      </c>
      <c r="J11" s="52">
        <v>110</v>
      </c>
      <c r="K11" s="52">
        <v>150</v>
      </c>
      <c r="L11" s="52">
        <v>180</v>
      </c>
      <c r="M11" s="51">
        <v>180</v>
      </c>
      <c r="N11" s="51">
        <v>170</v>
      </c>
      <c r="O11" s="51">
        <v>170</v>
      </c>
      <c r="P11" s="51">
        <v>190</v>
      </c>
      <c r="Q11" s="51">
        <v>190</v>
      </c>
      <c r="R11" s="51">
        <v>190</v>
      </c>
      <c r="S11" s="49">
        <v>200</v>
      </c>
      <c r="T11" s="49">
        <v>200</v>
      </c>
      <c r="U11" s="49">
        <v>200</v>
      </c>
      <c r="V11" s="49">
        <v>190</v>
      </c>
      <c r="W11" s="49">
        <v>165</v>
      </c>
      <c r="X11" s="49">
        <v>165</v>
      </c>
      <c r="Y11" s="49">
        <v>135</v>
      </c>
      <c r="Z11" s="49">
        <v>300</v>
      </c>
      <c r="AA11" s="49">
        <v>300</v>
      </c>
      <c r="AB11" s="49">
        <v>300</v>
      </c>
      <c r="AC11" s="49">
        <v>280</v>
      </c>
      <c r="AD11" s="49">
        <v>280</v>
      </c>
      <c r="AE11" s="49">
        <v>200</v>
      </c>
      <c r="AF11" s="49">
        <v>200</v>
      </c>
      <c r="AG11" s="53">
        <v>456</v>
      </c>
      <c r="AH11" s="54">
        <f>MAX(B11:AF11)</f>
        <v>300</v>
      </c>
      <c r="AI11" s="55">
        <f>MIN(B11:AF11)</f>
        <v>60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44</v>
      </c>
      <c r="C12" s="51">
        <v>44</v>
      </c>
      <c r="D12" s="51">
        <v>44</v>
      </c>
      <c r="E12" s="51">
        <v>44</v>
      </c>
      <c r="F12" s="51">
        <v>44</v>
      </c>
      <c r="G12" s="51">
        <v>44</v>
      </c>
      <c r="H12" s="51">
        <v>44</v>
      </c>
      <c r="I12" s="51">
        <v>44</v>
      </c>
      <c r="J12" s="51">
        <v>44</v>
      </c>
      <c r="K12" s="51">
        <v>44</v>
      </c>
      <c r="L12" s="51">
        <v>44</v>
      </c>
      <c r="M12" s="51">
        <v>42</v>
      </c>
      <c r="N12" s="51">
        <v>42</v>
      </c>
      <c r="O12" s="51">
        <v>42</v>
      </c>
      <c r="P12" s="51">
        <v>42</v>
      </c>
      <c r="Q12" s="51">
        <v>42</v>
      </c>
      <c r="R12" s="51">
        <v>42</v>
      </c>
      <c r="S12" s="51">
        <v>42</v>
      </c>
      <c r="T12" s="51">
        <v>42</v>
      </c>
      <c r="U12" s="51">
        <v>42</v>
      </c>
      <c r="V12" s="51">
        <v>42</v>
      </c>
      <c r="W12" s="51">
        <v>42</v>
      </c>
      <c r="X12" s="51">
        <v>42</v>
      </c>
      <c r="Y12" s="51">
        <v>42</v>
      </c>
      <c r="Z12" s="51">
        <v>42</v>
      </c>
      <c r="AA12" s="51">
        <v>42</v>
      </c>
      <c r="AB12" s="51">
        <v>42</v>
      </c>
      <c r="AC12" s="51">
        <v>42</v>
      </c>
      <c r="AD12" s="51">
        <v>42</v>
      </c>
      <c r="AE12" s="51">
        <v>42</v>
      </c>
      <c r="AF12" s="51">
        <v>42</v>
      </c>
      <c r="AG12" s="58">
        <v>60</v>
      </c>
      <c r="AH12" s="54">
        <f t="shared" ref="AH12:AH75" si="2">MAX(B12:AF12)</f>
        <v>44</v>
      </c>
      <c r="AI12" s="55">
        <f t="shared" ref="AI12:AI75" si="3">MIN(B12:AF12)</f>
        <v>42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19.899999999999999</v>
      </c>
      <c r="C13" s="51">
        <v>19.899999999999999</v>
      </c>
      <c r="D13" s="51">
        <v>19.899999999999999</v>
      </c>
      <c r="E13" s="51">
        <v>20.3</v>
      </c>
      <c r="F13" s="51">
        <v>19.2</v>
      </c>
      <c r="G13" s="51">
        <v>19.399999999999999</v>
      </c>
      <c r="H13" s="51">
        <v>19.399999999999999</v>
      </c>
      <c r="I13" s="51">
        <v>19.399999999999999</v>
      </c>
      <c r="J13" s="51">
        <v>20.100000000000001</v>
      </c>
      <c r="K13" s="51">
        <v>19.399999999999999</v>
      </c>
      <c r="L13" s="51">
        <v>19.399999999999999</v>
      </c>
      <c r="M13" s="51">
        <v>19.399999999999999</v>
      </c>
      <c r="N13" s="51">
        <v>19.399999999999999</v>
      </c>
      <c r="O13" s="51">
        <v>19.399999999999999</v>
      </c>
      <c r="P13" s="51">
        <v>19.3</v>
      </c>
      <c r="Q13" s="51">
        <v>19.3</v>
      </c>
      <c r="R13" s="51">
        <v>19.3</v>
      </c>
      <c r="S13" s="51">
        <v>19.3</v>
      </c>
      <c r="T13" s="51">
        <v>19.3</v>
      </c>
      <c r="U13" s="51">
        <v>19.3</v>
      </c>
      <c r="V13" s="51">
        <v>19.3</v>
      </c>
      <c r="W13" s="51">
        <v>19.3</v>
      </c>
      <c r="X13" s="51">
        <v>20</v>
      </c>
      <c r="Y13" s="51">
        <v>20</v>
      </c>
      <c r="Z13" s="51">
        <v>20</v>
      </c>
      <c r="AA13" s="51">
        <v>20</v>
      </c>
      <c r="AB13" s="51">
        <v>20</v>
      </c>
      <c r="AC13" s="51">
        <v>19</v>
      </c>
      <c r="AD13" s="51">
        <v>19</v>
      </c>
      <c r="AE13" s="51">
        <v>18.399999999999999</v>
      </c>
      <c r="AF13" s="51">
        <v>18.399999999999999</v>
      </c>
      <c r="AG13" s="58">
        <v>52.4</v>
      </c>
      <c r="AH13" s="54">
        <f t="shared" si="2"/>
        <v>20.3</v>
      </c>
      <c r="AI13" s="55">
        <f t="shared" si="3"/>
        <v>18.399999999999999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50.4</v>
      </c>
      <c r="C14" s="51">
        <v>50.4</v>
      </c>
      <c r="D14" s="51">
        <v>50.4</v>
      </c>
      <c r="E14" s="51">
        <v>50.5</v>
      </c>
      <c r="F14" s="51">
        <v>50.5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50.4</v>
      </c>
      <c r="N14" s="51">
        <v>50.3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8">
        <v>50</v>
      </c>
      <c r="AH14" s="54">
        <f t="shared" si="2"/>
        <v>50.5</v>
      </c>
      <c r="AI14" s="55">
        <f t="shared" si="3"/>
        <v>50.3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23.9</v>
      </c>
      <c r="C15" s="51">
        <v>23.9</v>
      </c>
      <c r="D15" s="51">
        <v>23.9</v>
      </c>
      <c r="E15" s="51">
        <v>43</v>
      </c>
      <c r="F15" s="51">
        <v>43</v>
      </c>
      <c r="G15" s="51">
        <v>43.1</v>
      </c>
      <c r="H15" s="51">
        <v>44.4</v>
      </c>
      <c r="I15" s="51">
        <v>44.4</v>
      </c>
      <c r="J15" s="51">
        <v>45.3</v>
      </c>
      <c r="K15" s="51">
        <v>45.3</v>
      </c>
      <c r="L15" s="51">
        <v>44.2</v>
      </c>
      <c r="M15" s="51">
        <v>44.2</v>
      </c>
      <c r="N15" s="51">
        <v>44</v>
      </c>
      <c r="O15" s="51">
        <v>43.1</v>
      </c>
      <c r="P15" s="51">
        <v>43.1</v>
      </c>
      <c r="Q15" s="51">
        <v>43.1</v>
      </c>
      <c r="R15" s="51">
        <v>43.1</v>
      </c>
      <c r="S15" s="51">
        <v>43.1</v>
      </c>
      <c r="T15" s="51">
        <v>43.1</v>
      </c>
      <c r="U15" s="51">
        <v>43.1</v>
      </c>
      <c r="V15" s="51">
        <v>38.9</v>
      </c>
      <c r="W15" s="51">
        <v>38.9</v>
      </c>
      <c r="X15" s="51">
        <v>38.9</v>
      </c>
      <c r="Y15" s="51">
        <v>38.9</v>
      </c>
      <c r="Z15" s="51">
        <v>38.9</v>
      </c>
      <c r="AA15" s="51">
        <v>38.9</v>
      </c>
      <c r="AB15" s="51">
        <v>38.9</v>
      </c>
      <c r="AC15" s="51">
        <v>37.6</v>
      </c>
      <c r="AD15" s="51">
        <v>37.6</v>
      </c>
      <c r="AE15" s="51">
        <v>38</v>
      </c>
      <c r="AF15" s="51">
        <v>38</v>
      </c>
      <c r="AG15" s="59">
        <v>45</v>
      </c>
      <c r="AH15" s="54">
        <f t="shared" si="2"/>
        <v>45.3</v>
      </c>
      <c r="AI15" s="55">
        <f t="shared" si="3"/>
        <v>23.9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36</v>
      </c>
      <c r="C16" s="51">
        <v>36</v>
      </c>
      <c r="D16" s="51">
        <v>36</v>
      </c>
      <c r="E16" s="51">
        <v>36</v>
      </c>
      <c r="F16" s="51">
        <v>32</v>
      </c>
      <c r="G16" s="51">
        <v>32</v>
      </c>
      <c r="H16" s="51">
        <v>32</v>
      </c>
      <c r="I16" s="51">
        <v>32</v>
      </c>
      <c r="J16" s="51">
        <v>32</v>
      </c>
      <c r="K16" s="51">
        <v>32</v>
      </c>
      <c r="L16" s="51">
        <v>32</v>
      </c>
      <c r="M16" s="51">
        <v>32</v>
      </c>
      <c r="N16" s="51">
        <v>32</v>
      </c>
      <c r="O16" s="51">
        <v>32</v>
      </c>
      <c r="P16" s="51">
        <v>32</v>
      </c>
      <c r="Q16" s="51">
        <v>32</v>
      </c>
      <c r="R16" s="51">
        <v>32</v>
      </c>
      <c r="S16" s="51">
        <v>32</v>
      </c>
      <c r="T16" s="51">
        <v>32</v>
      </c>
      <c r="U16" s="51">
        <v>32</v>
      </c>
      <c r="V16" s="51">
        <v>32</v>
      </c>
      <c r="W16" s="51">
        <v>32</v>
      </c>
      <c r="X16" s="51">
        <v>32</v>
      </c>
      <c r="Y16" s="51">
        <v>32</v>
      </c>
      <c r="Z16" s="51">
        <v>32</v>
      </c>
      <c r="AA16" s="51">
        <v>32</v>
      </c>
      <c r="AB16" s="51">
        <v>32</v>
      </c>
      <c r="AC16" s="51">
        <v>34</v>
      </c>
      <c r="AD16" s="51">
        <v>34</v>
      </c>
      <c r="AE16" s="51">
        <v>34</v>
      </c>
      <c r="AF16" s="51">
        <v>34</v>
      </c>
      <c r="AG16" s="58">
        <v>45</v>
      </c>
      <c r="AH16" s="54">
        <f t="shared" si="2"/>
        <v>36</v>
      </c>
      <c r="AI16" s="55">
        <f t="shared" si="3"/>
        <v>32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>
        <v>13</v>
      </c>
      <c r="AB18" s="51">
        <v>13</v>
      </c>
      <c r="AC18" s="51">
        <v>13</v>
      </c>
      <c r="AD18" s="51">
        <v>13</v>
      </c>
      <c r="AE18" s="51">
        <v>13</v>
      </c>
      <c r="AF18" s="51">
        <v>13</v>
      </c>
      <c r="AG18" s="58">
        <v>36</v>
      </c>
      <c r="AH18" s="54">
        <f t="shared" si="2"/>
        <v>13</v>
      </c>
      <c r="AI18" s="55">
        <f t="shared" si="3"/>
        <v>13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21.2</v>
      </c>
      <c r="C19" s="51">
        <v>21.2</v>
      </c>
      <c r="D19" s="51">
        <v>21.2</v>
      </c>
      <c r="E19" s="51">
        <v>21.2</v>
      </c>
      <c r="F19" s="51">
        <v>21.2</v>
      </c>
      <c r="G19" s="51">
        <v>21.2</v>
      </c>
      <c r="H19" s="51">
        <v>21.2</v>
      </c>
      <c r="I19" s="51">
        <v>21.2</v>
      </c>
      <c r="J19" s="51">
        <v>21.2</v>
      </c>
      <c r="K19" s="51">
        <v>21.2</v>
      </c>
      <c r="L19" s="51">
        <v>21.2</v>
      </c>
      <c r="M19" s="51">
        <v>21.2</v>
      </c>
      <c r="N19" s="51">
        <v>21.2</v>
      </c>
      <c r="O19" s="51">
        <v>21.2</v>
      </c>
      <c r="P19" s="51">
        <v>21.2</v>
      </c>
      <c r="Q19" s="51">
        <v>21.2</v>
      </c>
      <c r="R19" s="51">
        <v>21.2</v>
      </c>
      <c r="S19" s="51">
        <v>21.2</v>
      </c>
      <c r="T19" s="51">
        <v>21.2</v>
      </c>
      <c r="U19" s="51">
        <v>21.2</v>
      </c>
      <c r="V19" s="51">
        <v>21.2</v>
      </c>
      <c r="W19" s="51">
        <v>21.2</v>
      </c>
      <c r="X19" s="51">
        <v>21.2</v>
      </c>
      <c r="Y19" s="51">
        <v>21.2</v>
      </c>
      <c r="Z19" s="51">
        <v>21.2</v>
      </c>
      <c r="AA19" s="51">
        <v>21.2</v>
      </c>
      <c r="AB19" s="51">
        <v>21.2</v>
      </c>
      <c r="AC19" s="51">
        <v>21.2</v>
      </c>
      <c r="AD19" s="51">
        <v>21.2</v>
      </c>
      <c r="AE19" s="51">
        <v>21.2</v>
      </c>
      <c r="AF19" s="51">
        <v>21.2</v>
      </c>
      <c r="AG19" s="58">
        <v>30</v>
      </c>
      <c r="AH19" s="54">
        <f t="shared" si="2"/>
        <v>21.2</v>
      </c>
      <c r="AI19" s="55">
        <f t="shared" si="3"/>
        <v>21.2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7.1</v>
      </c>
      <c r="C20" s="51">
        <v>7.1</v>
      </c>
      <c r="D20" s="51">
        <v>7.1</v>
      </c>
      <c r="E20" s="51">
        <v>7.1</v>
      </c>
      <c r="F20" s="51">
        <v>7.1</v>
      </c>
      <c r="G20" s="51">
        <v>7.1</v>
      </c>
      <c r="H20" s="51">
        <v>7.1</v>
      </c>
      <c r="I20" s="51">
        <v>7.1</v>
      </c>
      <c r="J20" s="51">
        <v>7.1</v>
      </c>
      <c r="K20" s="51">
        <v>7.1</v>
      </c>
      <c r="L20" s="51">
        <v>7.1</v>
      </c>
      <c r="M20" s="51">
        <v>7.1</v>
      </c>
      <c r="N20" s="51">
        <v>7.1</v>
      </c>
      <c r="O20" s="51">
        <v>7.1</v>
      </c>
      <c r="P20" s="51">
        <v>7.1</v>
      </c>
      <c r="Q20" s="51">
        <v>7.1</v>
      </c>
      <c r="R20" s="51">
        <v>7.1</v>
      </c>
      <c r="S20" s="51">
        <v>7.1</v>
      </c>
      <c r="T20" s="51">
        <v>7.1</v>
      </c>
      <c r="U20" s="51">
        <v>7.1</v>
      </c>
      <c r="V20" s="51">
        <v>7.1</v>
      </c>
      <c r="W20" s="51">
        <v>7.1</v>
      </c>
      <c r="X20" s="51">
        <v>7.1</v>
      </c>
      <c r="Y20" s="51">
        <v>7.1</v>
      </c>
      <c r="Z20" s="51">
        <v>7.1</v>
      </c>
      <c r="AA20" s="51">
        <v>7.1</v>
      </c>
      <c r="AB20" s="51">
        <v>7.1</v>
      </c>
      <c r="AC20" s="51">
        <v>7.1</v>
      </c>
      <c r="AD20" s="51">
        <v>7.1</v>
      </c>
      <c r="AE20" s="51">
        <v>7.1</v>
      </c>
      <c r="AF20" s="51">
        <v>7.1</v>
      </c>
      <c r="AG20" s="58">
        <v>27</v>
      </c>
      <c r="AH20" s="54">
        <f t="shared" si="2"/>
        <v>7.1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21.9</v>
      </c>
      <c r="C22" s="51">
        <v>21.9</v>
      </c>
      <c r="D22" s="51">
        <v>21.9</v>
      </c>
      <c r="E22" s="51">
        <v>21.9</v>
      </c>
      <c r="F22" s="51">
        <v>21.9</v>
      </c>
      <c r="G22" s="51">
        <v>21.9</v>
      </c>
      <c r="H22" s="51">
        <v>21.9</v>
      </c>
      <c r="I22" s="51">
        <v>21.9</v>
      </c>
      <c r="J22" s="51">
        <v>21.9</v>
      </c>
      <c r="K22" s="51">
        <v>21.9</v>
      </c>
      <c r="L22" s="51">
        <v>21.9</v>
      </c>
      <c r="M22" s="51">
        <v>21.9</v>
      </c>
      <c r="N22" s="51">
        <v>21.9</v>
      </c>
      <c r="O22" s="51">
        <v>21.9</v>
      </c>
      <c r="P22" s="51">
        <v>21.9</v>
      </c>
      <c r="Q22" s="51">
        <v>21.9</v>
      </c>
      <c r="R22" s="51">
        <v>21.9</v>
      </c>
      <c r="S22" s="51">
        <v>21.9</v>
      </c>
      <c r="T22" s="51">
        <v>21.9</v>
      </c>
      <c r="U22" s="51">
        <v>21.9</v>
      </c>
      <c r="V22" s="51">
        <v>21.9</v>
      </c>
      <c r="W22" s="51">
        <v>21.9</v>
      </c>
      <c r="X22" s="51">
        <v>21.9</v>
      </c>
      <c r="Y22" s="51">
        <v>21.9</v>
      </c>
      <c r="Z22" s="51">
        <v>21.9</v>
      </c>
      <c r="AA22" s="51">
        <v>21.9</v>
      </c>
      <c r="AB22" s="51">
        <v>21.9</v>
      </c>
      <c r="AC22" s="51">
        <v>21.9</v>
      </c>
      <c r="AD22" s="51">
        <v>21.9</v>
      </c>
      <c r="AE22" s="51">
        <v>21.9</v>
      </c>
      <c r="AF22" s="51">
        <v>21.9</v>
      </c>
      <c r="AG22" s="58">
        <v>25</v>
      </c>
      <c r="AH22" s="54">
        <f t="shared" si="2"/>
        <v>21.9</v>
      </c>
      <c r="AI22" s="55">
        <f t="shared" si="3"/>
        <v>21.9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7</v>
      </c>
      <c r="AB23" s="51">
        <v>7</v>
      </c>
      <c r="AC23" s="51">
        <v>7</v>
      </c>
      <c r="AD23" s="51">
        <v>7</v>
      </c>
      <c r="AE23" s="51">
        <v>7</v>
      </c>
      <c r="AF23" s="51">
        <v>7</v>
      </c>
      <c r="AG23" s="58">
        <v>25</v>
      </c>
      <c r="AH23" s="54">
        <f t="shared" si="2"/>
        <v>7</v>
      </c>
      <c r="AI23" s="55">
        <f t="shared" si="3"/>
        <v>7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14.9</v>
      </c>
      <c r="C24" s="51">
        <v>23</v>
      </c>
      <c r="D24" s="51">
        <v>23</v>
      </c>
      <c r="E24" s="51">
        <v>23</v>
      </c>
      <c r="F24" s="51">
        <v>23</v>
      </c>
      <c r="G24" s="51">
        <v>23</v>
      </c>
      <c r="H24" s="51">
        <v>23</v>
      </c>
      <c r="I24" s="51">
        <v>23</v>
      </c>
      <c r="J24" s="51">
        <v>23.6</v>
      </c>
      <c r="K24" s="51">
        <v>23.6</v>
      </c>
      <c r="L24" s="51">
        <v>23.6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8">
        <v>25</v>
      </c>
      <c r="AH24" s="54">
        <f t="shared" si="2"/>
        <v>23.6</v>
      </c>
      <c r="AI24" s="55">
        <f t="shared" si="3"/>
        <v>14.9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12.5</v>
      </c>
      <c r="AB25" s="51">
        <v>12.5</v>
      </c>
      <c r="AC25" s="51">
        <v>12.5</v>
      </c>
      <c r="AD25" s="51">
        <v>12.5</v>
      </c>
      <c r="AE25" s="51">
        <v>12.5</v>
      </c>
      <c r="AF25" s="51">
        <v>12.5</v>
      </c>
      <c r="AG25" s="58">
        <v>24.2</v>
      </c>
      <c r="AH25" s="54">
        <f t="shared" si="2"/>
        <v>12.5</v>
      </c>
      <c r="AI25" s="55">
        <f t="shared" si="3"/>
        <v>12.5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11</v>
      </c>
      <c r="C30" s="51">
        <v>11</v>
      </c>
      <c r="D30" s="51">
        <v>11</v>
      </c>
      <c r="E30" s="51">
        <v>11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>
        <v>11</v>
      </c>
      <c r="AB30" s="51">
        <v>11</v>
      </c>
      <c r="AC30" s="51">
        <v>11</v>
      </c>
      <c r="AD30" s="51">
        <v>11</v>
      </c>
      <c r="AE30" s="51">
        <v>11</v>
      </c>
      <c r="AF30" s="51">
        <v>11</v>
      </c>
      <c r="AG30" s="58">
        <v>22.1</v>
      </c>
      <c r="AH30" s="54">
        <f t="shared" si="2"/>
        <v>11</v>
      </c>
      <c r="AI30" s="55">
        <f t="shared" si="3"/>
        <v>11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>
        <v>6.6</v>
      </c>
      <c r="AB32" s="51">
        <v>6.6</v>
      </c>
      <c r="AC32" s="51">
        <v>6.6</v>
      </c>
      <c r="AD32" s="51">
        <v>6.6</v>
      </c>
      <c r="AE32" s="51">
        <v>6.6</v>
      </c>
      <c r="AF32" s="51">
        <v>6.6</v>
      </c>
      <c r="AG32" s="63">
        <v>22</v>
      </c>
      <c r="AH32" s="54">
        <f t="shared" si="2"/>
        <v>6.6</v>
      </c>
      <c r="AI32" s="55">
        <f t="shared" si="3"/>
        <v>6.6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6</v>
      </c>
      <c r="C34" s="51">
        <v>6</v>
      </c>
      <c r="D34" s="51">
        <v>6</v>
      </c>
      <c r="E34" s="51">
        <v>6</v>
      </c>
      <c r="F34" s="51">
        <v>6</v>
      </c>
      <c r="G34" s="51">
        <v>6</v>
      </c>
      <c r="H34" s="51">
        <v>6</v>
      </c>
      <c r="I34" s="51">
        <v>6</v>
      </c>
      <c r="J34" s="51">
        <v>6</v>
      </c>
      <c r="K34" s="51">
        <v>6</v>
      </c>
      <c r="L34" s="51">
        <v>6</v>
      </c>
      <c r="M34" s="51">
        <v>6</v>
      </c>
      <c r="N34" s="51">
        <v>6</v>
      </c>
      <c r="O34" s="51">
        <v>6</v>
      </c>
      <c r="P34" s="51">
        <v>6</v>
      </c>
      <c r="Q34" s="51">
        <v>6</v>
      </c>
      <c r="R34" s="51">
        <v>6</v>
      </c>
      <c r="S34" s="51">
        <v>6</v>
      </c>
      <c r="T34" s="51">
        <v>6</v>
      </c>
      <c r="U34" s="51">
        <v>6</v>
      </c>
      <c r="V34" s="51">
        <v>6</v>
      </c>
      <c r="W34" s="51">
        <v>6</v>
      </c>
      <c r="X34" s="51">
        <v>6</v>
      </c>
      <c r="Y34" s="51">
        <v>6</v>
      </c>
      <c r="Z34" s="51">
        <v>6</v>
      </c>
      <c r="AA34" s="51">
        <v>6</v>
      </c>
      <c r="AB34" s="51">
        <v>6</v>
      </c>
      <c r="AC34" s="51">
        <v>6</v>
      </c>
      <c r="AD34" s="51">
        <v>6</v>
      </c>
      <c r="AE34" s="51">
        <v>6</v>
      </c>
      <c r="AF34" s="51">
        <v>6</v>
      </c>
      <c r="AG34" s="63">
        <v>20</v>
      </c>
      <c r="AH34" s="54">
        <f t="shared" si="2"/>
        <v>6</v>
      </c>
      <c r="AI34" s="55">
        <f t="shared" si="3"/>
        <v>6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110</v>
      </c>
      <c r="C37" s="67">
        <v>110</v>
      </c>
      <c r="D37" s="67">
        <v>102</v>
      </c>
      <c r="E37" s="65">
        <f>56+49</f>
        <v>105</v>
      </c>
      <c r="F37" s="65">
        <f>56+49</f>
        <v>105</v>
      </c>
      <c r="G37" s="65">
        <f>54.4+48.2</f>
        <v>102.6</v>
      </c>
      <c r="H37" s="65">
        <f>51.5+46.1</f>
        <v>97.6</v>
      </c>
      <c r="I37" s="65">
        <f>51.5+46.1</f>
        <v>97.6</v>
      </c>
      <c r="J37" s="65">
        <f>51.5+46.1</f>
        <v>97.6</v>
      </c>
      <c r="K37" s="65">
        <f>53.5+44.7</f>
        <v>98.2</v>
      </c>
      <c r="L37" s="65">
        <f>54.3+44.2</f>
        <v>98.5</v>
      </c>
      <c r="M37" s="65">
        <f>41.3+53.7</f>
        <v>95</v>
      </c>
      <c r="N37" s="65">
        <v>97.6</v>
      </c>
      <c r="O37" s="65">
        <v>95.4</v>
      </c>
      <c r="P37" s="65">
        <f>43.1+54</f>
        <v>97.1</v>
      </c>
      <c r="Q37" s="65">
        <f>44.4+50.9</f>
        <v>95.3</v>
      </c>
      <c r="R37" s="65">
        <f>43.4+48.7</f>
        <v>92.1</v>
      </c>
      <c r="S37" s="65">
        <v>105</v>
      </c>
      <c r="T37" s="65">
        <v>110</v>
      </c>
      <c r="U37" s="65">
        <v>105</v>
      </c>
      <c r="V37" s="65">
        <v>105</v>
      </c>
      <c r="W37" s="65">
        <v>105</v>
      </c>
      <c r="X37" s="65">
        <v>105</v>
      </c>
      <c r="Y37" s="65">
        <v>112</v>
      </c>
      <c r="Z37" s="65">
        <v>112</v>
      </c>
      <c r="AA37" s="65">
        <v>112</v>
      </c>
      <c r="AB37" s="65">
        <v>110</v>
      </c>
      <c r="AC37" s="65">
        <v>109</v>
      </c>
      <c r="AD37" s="65">
        <v>105</v>
      </c>
      <c r="AE37" s="65">
        <v>111</v>
      </c>
      <c r="AF37" s="65">
        <v>111</v>
      </c>
      <c r="AG37" s="63">
        <v>240</v>
      </c>
      <c r="AH37" s="54">
        <f t="shared" si="2"/>
        <v>112</v>
      </c>
      <c r="AI37" s="55">
        <f t="shared" si="3"/>
        <v>92.1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820.4</v>
      </c>
      <c r="C38" s="69">
        <f t="shared" si="4"/>
        <v>768.49999999999989</v>
      </c>
      <c r="D38" s="69">
        <f t="shared" si="4"/>
        <v>768.49999999999989</v>
      </c>
      <c r="E38" s="69">
        <f t="shared" si="4"/>
        <v>788.1</v>
      </c>
      <c r="F38" s="69">
        <f t="shared" si="4"/>
        <v>783</v>
      </c>
      <c r="G38" s="69">
        <f t="shared" si="4"/>
        <v>743.2</v>
      </c>
      <c r="H38" s="69">
        <f t="shared" si="4"/>
        <v>724.5</v>
      </c>
      <c r="I38" s="69">
        <f t="shared" si="4"/>
        <v>644.5</v>
      </c>
      <c r="J38" s="69">
        <f t="shared" si="4"/>
        <v>696.7</v>
      </c>
      <c r="K38" s="69">
        <f t="shared" si="4"/>
        <v>736.00000000000011</v>
      </c>
      <c r="L38" s="69">
        <f t="shared" si="4"/>
        <v>764.9</v>
      </c>
      <c r="M38" s="69">
        <f t="shared" si="4"/>
        <v>761.30000000000007</v>
      </c>
      <c r="N38" s="69">
        <f t="shared" si="4"/>
        <v>751</v>
      </c>
      <c r="O38" s="69">
        <f t="shared" si="4"/>
        <v>750.2</v>
      </c>
      <c r="P38" s="69">
        <f t="shared" si="4"/>
        <v>770.1</v>
      </c>
      <c r="Q38" s="69">
        <f t="shared" si="4"/>
        <v>770.1</v>
      </c>
      <c r="R38" s="69">
        <f t="shared" si="4"/>
        <v>770.1</v>
      </c>
      <c r="S38" s="69">
        <f t="shared" si="4"/>
        <v>780.1</v>
      </c>
      <c r="T38" s="69">
        <f t="shared" si="4"/>
        <v>780.1</v>
      </c>
      <c r="U38" s="69">
        <f t="shared" si="4"/>
        <v>780.1</v>
      </c>
      <c r="V38" s="69">
        <f t="shared" si="4"/>
        <v>765.9</v>
      </c>
      <c r="W38" s="69">
        <f t="shared" si="4"/>
        <v>740.9</v>
      </c>
      <c r="X38" s="69">
        <f t="shared" si="4"/>
        <v>741.6</v>
      </c>
      <c r="Y38" s="69">
        <f t="shared" si="4"/>
        <v>711.6</v>
      </c>
      <c r="Z38" s="69">
        <f t="shared" si="4"/>
        <v>876.6</v>
      </c>
      <c r="AA38" s="69">
        <f t="shared" si="4"/>
        <v>876.6</v>
      </c>
      <c r="AB38" s="69">
        <f t="shared" si="4"/>
        <v>876.6</v>
      </c>
      <c r="AC38" s="69">
        <f t="shared" si="4"/>
        <v>856.30000000000007</v>
      </c>
      <c r="AD38" s="69">
        <f t="shared" si="4"/>
        <v>856.30000000000007</v>
      </c>
      <c r="AE38" s="69">
        <f t="shared" si="4"/>
        <v>776.1</v>
      </c>
      <c r="AF38" s="69">
        <f t="shared" si="4"/>
        <v>776.1</v>
      </c>
      <c r="AG38" s="63">
        <f>SUM(AG11:AG37)</f>
        <v>1492.8299999999997</v>
      </c>
      <c r="AH38" s="54">
        <f t="shared" si="2"/>
        <v>876.6</v>
      </c>
      <c r="AI38" s="55">
        <f t="shared" si="3"/>
        <v>644.5</v>
      </c>
      <c r="AK38" s="56"/>
    </row>
    <row r="39" spans="1:88" x14ac:dyDescent="0.25">
      <c r="A39" s="57" t="s">
        <v>47</v>
      </c>
      <c r="B39" s="51">
        <v>141.5</v>
      </c>
      <c r="C39" s="51">
        <v>132</v>
      </c>
      <c r="D39" s="51">
        <v>132</v>
      </c>
      <c r="E39" s="51">
        <v>94.8</v>
      </c>
      <c r="F39" s="51">
        <v>91</v>
      </c>
      <c r="G39" s="51">
        <v>86.1</v>
      </c>
      <c r="H39" s="51">
        <v>83.7</v>
      </c>
      <c r="I39" s="51">
        <v>86.1</v>
      </c>
      <c r="J39" s="51">
        <v>105</v>
      </c>
      <c r="K39" s="51">
        <v>111.5</v>
      </c>
      <c r="L39" s="51">
        <v>111.6</v>
      </c>
      <c r="M39" s="51">
        <v>116.1</v>
      </c>
      <c r="N39" s="51">
        <v>126.7</v>
      </c>
      <c r="O39" s="51">
        <v>136.6</v>
      </c>
      <c r="P39" s="51">
        <v>142.19999999999999</v>
      </c>
      <c r="Q39" s="51">
        <v>142.1</v>
      </c>
      <c r="R39" s="51">
        <v>142.1</v>
      </c>
      <c r="S39" s="51">
        <v>142.1</v>
      </c>
      <c r="T39" s="51">
        <v>142.1</v>
      </c>
      <c r="U39" s="51">
        <v>130</v>
      </c>
      <c r="V39" s="51">
        <v>125</v>
      </c>
      <c r="W39" s="51">
        <v>125</v>
      </c>
      <c r="X39" s="51">
        <v>121</v>
      </c>
      <c r="Y39" s="51">
        <v>117</v>
      </c>
      <c r="Z39" s="51">
        <v>119</v>
      </c>
      <c r="AA39" s="51">
        <v>144</v>
      </c>
      <c r="AB39" s="51">
        <v>144</v>
      </c>
      <c r="AC39" s="51">
        <v>143.9</v>
      </c>
      <c r="AD39" s="51">
        <v>143.9</v>
      </c>
      <c r="AE39" s="51">
        <v>143</v>
      </c>
      <c r="AF39" s="51">
        <v>143</v>
      </c>
      <c r="AG39" s="59">
        <v>144</v>
      </c>
      <c r="AH39" s="54">
        <f t="shared" si="2"/>
        <v>144</v>
      </c>
      <c r="AI39" s="55">
        <f t="shared" si="3"/>
        <v>83.7</v>
      </c>
      <c r="AK39" s="56"/>
    </row>
    <row r="40" spans="1:88" x14ac:dyDescent="0.25">
      <c r="A40" s="62" t="s">
        <v>48</v>
      </c>
      <c r="B40" s="70">
        <v>46.7</v>
      </c>
      <c r="C40" s="70">
        <v>46.7</v>
      </c>
      <c r="D40" s="70">
        <v>46.7</v>
      </c>
      <c r="E40" s="70">
        <v>24.6</v>
      </c>
      <c r="F40" s="70">
        <v>25.4</v>
      </c>
      <c r="G40" s="70">
        <v>25.3</v>
      </c>
      <c r="H40" s="70">
        <v>24.6</v>
      </c>
      <c r="I40" s="70">
        <v>45</v>
      </c>
      <c r="J40" s="70">
        <v>49.7</v>
      </c>
      <c r="K40" s="70">
        <v>48.7</v>
      </c>
      <c r="L40" s="70">
        <v>59.3</v>
      </c>
      <c r="M40" s="51">
        <v>68.5</v>
      </c>
      <c r="N40" s="51">
        <v>70</v>
      </c>
      <c r="O40" s="51">
        <v>66.8</v>
      </c>
      <c r="P40" s="51">
        <v>66.7</v>
      </c>
      <c r="Q40" s="51">
        <v>70</v>
      </c>
      <c r="R40" s="51">
        <v>69</v>
      </c>
      <c r="S40" s="51">
        <v>69</v>
      </c>
      <c r="T40" s="51">
        <v>60</v>
      </c>
      <c r="U40" s="51">
        <v>60</v>
      </c>
      <c r="V40" s="51">
        <v>60</v>
      </c>
      <c r="W40" s="51">
        <v>60</v>
      </c>
      <c r="X40" s="70">
        <v>60</v>
      </c>
      <c r="Y40" s="70">
        <v>60</v>
      </c>
      <c r="Z40" s="70">
        <v>54</v>
      </c>
      <c r="AA40" s="70">
        <v>69.599999999999994</v>
      </c>
      <c r="AB40" s="70">
        <v>69.599999999999994</v>
      </c>
      <c r="AC40" s="70">
        <v>49.8</v>
      </c>
      <c r="AD40" s="70">
        <v>49.8</v>
      </c>
      <c r="AE40" s="70">
        <v>35</v>
      </c>
      <c r="AF40" s="70">
        <v>35</v>
      </c>
      <c r="AG40" s="63">
        <v>70</v>
      </c>
      <c r="AH40" s="54">
        <f t="shared" si="2"/>
        <v>70</v>
      </c>
      <c r="AI40" s="55">
        <f t="shared" si="3"/>
        <v>24.6</v>
      </c>
      <c r="AK40" s="56"/>
    </row>
    <row r="41" spans="1:88" x14ac:dyDescent="0.25">
      <c r="A41" s="62" t="s">
        <v>49</v>
      </c>
      <c r="B41" s="70">
        <v>61.5</v>
      </c>
      <c r="C41" s="70">
        <v>56.2</v>
      </c>
      <c r="D41" s="70">
        <v>56.2</v>
      </c>
      <c r="E41" s="70">
        <v>68.7</v>
      </c>
      <c r="F41" s="70">
        <v>69.5</v>
      </c>
      <c r="G41" s="70">
        <v>69.599999999999994</v>
      </c>
      <c r="H41" s="70">
        <v>69.599999999999994</v>
      </c>
      <c r="I41" s="70">
        <v>69.3</v>
      </c>
      <c r="J41" s="70">
        <v>68.900000000000006</v>
      </c>
      <c r="K41" s="70">
        <v>69</v>
      </c>
      <c r="L41" s="70">
        <v>62</v>
      </c>
      <c r="M41" s="51">
        <v>61.8</v>
      </c>
      <c r="N41" s="51">
        <v>61.5</v>
      </c>
      <c r="O41" s="51">
        <v>60.7</v>
      </c>
      <c r="P41" s="51">
        <v>60.4</v>
      </c>
      <c r="Q41" s="51">
        <v>54</v>
      </c>
      <c r="R41" s="51">
        <v>54.7</v>
      </c>
      <c r="S41" s="51">
        <v>54.7</v>
      </c>
      <c r="T41" s="51">
        <v>54.7</v>
      </c>
      <c r="U41" s="51">
        <v>54.7</v>
      </c>
      <c r="V41" s="51">
        <v>54.7</v>
      </c>
      <c r="W41" s="51">
        <v>54.7</v>
      </c>
      <c r="X41" s="70">
        <v>55.5</v>
      </c>
      <c r="Y41" s="70">
        <v>55.5</v>
      </c>
      <c r="Z41" s="70">
        <v>61</v>
      </c>
      <c r="AA41" s="70">
        <v>69</v>
      </c>
      <c r="AB41" s="70">
        <v>69</v>
      </c>
      <c r="AC41" s="70">
        <v>68</v>
      </c>
      <c r="AD41" s="70">
        <v>68</v>
      </c>
      <c r="AE41" s="70">
        <v>68</v>
      </c>
      <c r="AF41" s="70">
        <v>68</v>
      </c>
      <c r="AG41" s="63">
        <v>69</v>
      </c>
      <c r="AH41" s="54">
        <f t="shared" si="2"/>
        <v>69.599999999999994</v>
      </c>
      <c r="AI41" s="55">
        <f t="shared" si="3"/>
        <v>54</v>
      </c>
      <c r="AK41" s="56"/>
    </row>
    <row r="42" spans="1:88" x14ac:dyDescent="0.25">
      <c r="A42" s="62" t="s">
        <v>50</v>
      </c>
      <c r="B42" s="65">
        <v>60.2</v>
      </c>
      <c r="C42" s="65">
        <v>60.2</v>
      </c>
      <c r="D42" s="65">
        <v>60.2</v>
      </c>
      <c r="E42" s="65">
        <v>60.4</v>
      </c>
      <c r="F42" s="65">
        <v>60.4</v>
      </c>
      <c r="G42" s="65">
        <v>60.7</v>
      </c>
      <c r="H42" s="65">
        <v>60.4</v>
      </c>
      <c r="I42" s="65">
        <v>60.4</v>
      </c>
      <c r="J42" s="65">
        <v>60.4</v>
      </c>
      <c r="K42" s="65">
        <v>60.4</v>
      </c>
      <c r="L42" s="65">
        <v>60.4</v>
      </c>
      <c r="M42" s="51">
        <v>60.4</v>
      </c>
      <c r="N42" s="51">
        <v>60.4</v>
      </c>
      <c r="O42" s="51">
        <v>60.4</v>
      </c>
      <c r="P42" s="51">
        <v>60.4</v>
      </c>
      <c r="Q42" s="51">
        <v>60.4</v>
      </c>
      <c r="R42" s="51">
        <v>60.4</v>
      </c>
      <c r="S42" s="51">
        <v>60.4</v>
      </c>
      <c r="T42" s="51">
        <v>60.4</v>
      </c>
      <c r="U42" s="51">
        <v>60.4</v>
      </c>
      <c r="V42" s="51">
        <v>60.4</v>
      </c>
      <c r="W42" s="51">
        <v>60.4</v>
      </c>
      <c r="X42" s="51">
        <v>60.4</v>
      </c>
      <c r="Y42" s="51">
        <v>60.4</v>
      </c>
      <c r="Z42" s="51">
        <v>60.4</v>
      </c>
      <c r="AA42" s="51">
        <v>60.4</v>
      </c>
      <c r="AB42" s="51">
        <v>60.4</v>
      </c>
      <c r="AC42" s="51">
        <v>60.4</v>
      </c>
      <c r="AD42" s="51">
        <v>60.4</v>
      </c>
      <c r="AE42" s="51">
        <v>60.4</v>
      </c>
      <c r="AF42" s="51">
        <v>60.4</v>
      </c>
      <c r="AG42" s="63">
        <v>60</v>
      </c>
      <c r="AH42" s="54">
        <f t="shared" si="2"/>
        <v>60.7</v>
      </c>
      <c r="AI42" s="55">
        <f t="shared" si="3"/>
        <v>60.2</v>
      </c>
      <c r="AK42" s="56"/>
    </row>
    <row r="43" spans="1:88" x14ac:dyDescent="0.25">
      <c r="A43" s="62" t="s">
        <v>51</v>
      </c>
      <c r="B43" s="65">
        <v>16</v>
      </c>
      <c r="C43" s="65">
        <v>15</v>
      </c>
      <c r="D43" s="65">
        <v>15</v>
      </c>
      <c r="E43" s="65">
        <v>12.5</v>
      </c>
      <c r="F43" s="65">
        <v>6</v>
      </c>
      <c r="G43" s="65">
        <v>6</v>
      </c>
      <c r="H43" s="65">
        <v>0</v>
      </c>
      <c r="I43" s="65">
        <v>0</v>
      </c>
      <c r="J43" s="65">
        <v>8.6999999999999993</v>
      </c>
      <c r="K43" s="65">
        <v>9.5</v>
      </c>
      <c r="L43" s="65">
        <v>9.1999999999999993</v>
      </c>
      <c r="M43" s="51">
        <v>9.1999999999999993</v>
      </c>
      <c r="N43" s="51">
        <v>9.4</v>
      </c>
      <c r="O43" s="51">
        <v>10</v>
      </c>
      <c r="P43" s="51">
        <v>10</v>
      </c>
      <c r="Q43" s="51">
        <v>10</v>
      </c>
      <c r="R43" s="51">
        <v>10</v>
      </c>
      <c r="S43" s="51">
        <v>15</v>
      </c>
      <c r="T43" s="51">
        <v>15</v>
      </c>
      <c r="U43" s="51">
        <v>15</v>
      </c>
      <c r="V43" s="51">
        <v>15</v>
      </c>
      <c r="W43" s="51">
        <v>15</v>
      </c>
      <c r="X43" s="51">
        <v>15</v>
      </c>
      <c r="Y43" s="51">
        <v>15</v>
      </c>
      <c r="Z43" s="51">
        <v>15</v>
      </c>
      <c r="AA43" s="51">
        <v>24</v>
      </c>
      <c r="AB43" s="51">
        <v>24</v>
      </c>
      <c r="AC43" s="51">
        <v>24</v>
      </c>
      <c r="AD43" s="51">
        <v>24</v>
      </c>
      <c r="AE43" s="51">
        <v>24</v>
      </c>
      <c r="AF43" s="51">
        <v>24</v>
      </c>
      <c r="AG43" s="63">
        <v>30</v>
      </c>
      <c r="AH43" s="54">
        <f t="shared" si="2"/>
        <v>24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65">
        <v>5</v>
      </c>
      <c r="M44" s="51">
        <v>5</v>
      </c>
      <c r="N44" s="51">
        <v>7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8</v>
      </c>
      <c r="AC44" s="51">
        <v>8</v>
      </c>
      <c r="AD44" s="51">
        <v>8</v>
      </c>
      <c r="AE44" s="51">
        <v>8</v>
      </c>
      <c r="AF44" s="51">
        <v>8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18.399999999999999</v>
      </c>
      <c r="C45" s="70">
        <v>18.399999999999999</v>
      </c>
      <c r="D45" s="70">
        <v>18.399999999999999</v>
      </c>
      <c r="E45" s="70">
        <v>18.3</v>
      </c>
      <c r="F45" s="70">
        <v>18.3</v>
      </c>
      <c r="G45" s="70">
        <v>18.3</v>
      </c>
      <c r="H45" s="70">
        <v>18.3</v>
      </c>
      <c r="I45" s="70">
        <v>18.3</v>
      </c>
      <c r="J45" s="70">
        <v>18.3</v>
      </c>
      <c r="K45" s="70">
        <v>18.3</v>
      </c>
      <c r="L45" s="70">
        <v>18.3</v>
      </c>
      <c r="M45" s="51">
        <v>18.3</v>
      </c>
      <c r="N45" s="51">
        <v>18.3</v>
      </c>
      <c r="O45" s="51">
        <v>18.3</v>
      </c>
      <c r="P45" s="51">
        <v>18.3</v>
      </c>
      <c r="Q45" s="51">
        <v>18.3</v>
      </c>
      <c r="R45" s="51">
        <v>18.3</v>
      </c>
      <c r="S45" s="51">
        <v>18.3</v>
      </c>
      <c r="T45" s="51">
        <v>18.3</v>
      </c>
      <c r="U45" s="51">
        <v>18.3</v>
      </c>
      <c r="V45" s="51">
        <v>18.3</v>
      </c>
      <c r="W45" s="51">
        <v>18.3</v>
      </c>
      <c r="X45" s="51">
        <v>18.3</v>
      </c>
      <c r="Y45" s="51">
        <v>18.3</v>
      </c>
      <c r="Z45" s="51">
        <v>18.3</v>
      </c>
      <c r="AA45" s="51">
        <v>18.3</v>
      </c>
      <c r="AB45" s="51">
        <v>18.3</v>
      </c>
      <c r="AC45" s="51">
        <v>18.3</v>
      </c>
      <c r="AD45" s="51">
        <v>18.3</v>
      </c>
      <c r="AE45" s="51">
        <v>18.3</v>
      </c>
      <c r="AF45" s="51">
        <v>18.3</v>
      </c>
      <c r="AG45" s="63">
        <v>24</v>
      </c>
      <c r="AH45" s="54">
        <f t="shared" si="2"/>
        <v>18.399999999999999</v>
      </c>
      <c r="AI45" s="55">
        <f t="shared" si="3"/>
        <v>18.3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14.2</v>
      </c>
      <c r="C47" s="70">
        <v>14.2</v>
      </c>
      <c r="D47" s="70">
        <v>14.2</v>
      </c>
      <c r="E47" s="70">
        <v>14.2</v>
      </c>
      <c r="F47" s="70">
        <v>14.2</v>
      </c>
      <c r="G47" s="70">
        <v>14.2</v>
      </c>
      <c r="H47" s="70">
        <v>14.2</v>
      </c>
      <c r="I47" s="70">
        <v>14.2</v>
      </c>
      <c r="J47" s="70">
        <v>14.2</v>
      </c>
      <c r="K47" s="70">
        <v>14.2</v>
      </c>
      <c r="L47" s="70">
        <v>14.2</v>
      </c>
      <c r="M47" s="51">
        <v>14.2</v>
      </c>
      <c r="N47" s="51">
        <v>13.3</v>
      </c>
      <c r="O47" s="51">
        <v>13.3</v>
      </c>
      <c r="P47" s="51">
        <v>13.3</v>
      </c>
      <c r="Q47" s="51">
        <v>13.3</v>
      </c>
      <c r="R47" s="51">
        <v>13.3</v>
      </c>
      <c r="S47" s="51">
        <v>13.3</v>
      </c>
      <c r="T47" s="51">
        <v>13.3</v>
      </c>
      <c r="U47" s="51">
        <v>13.3</v>
      </c>
      <c r="V47" s="51">
        <v>13.3</v>
      </c>
      <c r="W47" s="51">
        <v>13.3</v>
      </c>
      <c r="X47" s="51">
        <v>13.3</v>
      </c>
      <c r="Y47" s="51">
        <v>13.3</v>
      </c>
      <c r="Z47" s="51">
        <v>13.3</v>
      </c>
      <c r="AA47" s="51">
        <v>13.3</v>
      </c>
      <c r="AB47" s="51">
        <v>13.3</v>
      </c>
      <c r="AC47" s="51">
        <v>13.3</v>
      </c>
      <c r="AD47" s="51">
        <v>13.3</v>
      </c>
      <c r="AE47" s="51">
        <v>13.3</v>
      </c>
      <c r="AF47" s="51">
        <v>13.3</v>
      </c>
      <c r="AG47" s="63">
        <v>14.1</v>
      </c>
      <c r="AH47" s="54">
        <f t="shared" si="2"/>
        <v>14.2</v>
      </c>
      <c r="AI47" s="55">
        <f t="shared" si="3"/>
        <v>13.3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9</v>
      </c>
      <c r="C48" s="70">
        <v>9</v>
      </c>
      <c r="D48" s="70">
        <v>9</v>
      </c>
      <c r="E48" s="70">
        <v>9</v>
      </c>
      <c r="F48" s="70">
        <v>9</v>
      </c>
      <c r="G48" s="70">
        <v>9</v>
      </c>
      <c r="H48" s="70">
        <v>9</v>
      </c>
      <c r="I48" s="70">
        <v>9</v>
      </c>
      <c r="J48" s="70">
        <v>9</v>
      </c>
      <c r="K48" s="70">
        <v>9</v>
      </c>
      <c r="L48" s="70">
        <v>9</v>
      </c>
      <c r="M48" s="51">
        <v>9</v>
      </c>
      <c r="N48" s="51">
        <v>9</v>
      </c>
      <c r="O48" s="51">
        <v>9</v>
      </c>
      <c r="P48" s="51">
        <v>9</v>
      </c>
      <c r="Q48" s="51">
        <v>9</v>
      </c>
      <c r="R48" s="51">
        <v>9</v>
      </c>
      <c r="S48" s="51">
        <v>9</v>
      </c>
      <c r="T48" s="51">
        <v>9</v>
      </c>
      <c r="U48" s="51">
        <v>9</v>
      </c>
      <c r="V48" s="51">
        <v>9</v>
      </c>
      <c r="W48" s="51">
        <v>9</v>
      </c>
      <c r="X48" s="51">
        <v>9</v>
      </c>
      <c r="Y48" s="51">
        <v>9</v>
      </c>
      <c r="Z48" s="51">
        <v>9</v>
      </c>
      <c r="AA48" s="51">
        <v>9</v>
      </c>
      <c r="AB48" s="51">
        <v>9</v>
      </c>
      <c r="AC48" s="51">
        <v>9</v>
      </c>
      <c r="AD48" s="51">
        <v>9</v>
      </c>
      <c r="AE48" s="51">
        <v>9</v>
      </c>
      <c r="AF48" s="51">
        <v>9</v>
      </c>
      <c r="AG48" s="63">
        <v>14</v>
      </c>
      <c r="AH48" s="54">
        <f t="shared" si="2"/>
        <v>9</v>
      </c>
      <c r="AI48" s="55">
        <f t="shared" si="3"/>
        <v>9</v>
      </c>
      <c r="AK48" s="56"/>
    </row>
    <row r="49" spans="1:37" x14ac:dyDescent="0.25">
      <c r="A49" s="62" t="s">
        <v>57</v>
      </c>
      <c r="B49" s="70">
        <v>8.5</v>
      </c>
      <c r="C49" s="70">
        <v>8.5</v>
      </c>
      <c r="D49" s="70">
        <v>8.5</v>
      </c>
      <c r="E49" s="70">
        <v>8.5</v>
      </c>
      <c r="F49" s="70">
        <v>8.5</v>
      </c>
      <c r="G49" s="70">
        <v>8.5</v>
      </c>
      <c r="H49" s="70">
        <v>8.5</v>
      </c>
      <c r="I49" s="70">
        <v>8.5</v>
      </c>
      <c r="J49" s="70">
        <v>8.5</v>
      </c>
      <c r="K49" s="70">
        <v>8.5</v>
      </c>
      <c r="L49" s="70">
        <v>8.5</v>
      </c>
      <c r="M49" s="51">
        <v>8.5</v>
      </c>
      <c r="N49" s="51">
        <v>8.5</v>
      </c>
      <c r="O49" s="51">
        <v>8.5</v>
      </c>
      <c r="P49" s="51">
        <v>8.5</v>
      </c>
      <c r="Q49" s="51">
        <v>8.5</v>
      </c>
      <c r="R49" s="51">
        <v>8.5</v>
      </c>
      <c r="S49" s="51">
        <v>8.5</v>
      </c>
      <c r="T49" s="51">
        <v>8.5</v>
      </c>
      <c r="U49" s="51">
        <v>8.5</v>
      </c>
      <c r="V49" s="51">
        <v>8.5</v>
      </c>
      <c r="W49" s="51">
        <v>8.5</v>
      </c>
      <c r="X49" s="51">
        <v>8.5</v>
      </c>
      <c r="Y49" s="51">
        <v>8.5</v>
      </c>
      <c r="Z49" s="51">
        <v>8.5</v>
      </c>
      <c r="AA49" s="51">
        <v>8.5</v>
      </c>
      <c r="AB49" s="51">
        <v>8.5</v>
      </c>
      <c r="AC49" s="51">
        <v>8.5</v>
      </c>
      <c r="AD49" s="51">
        <v>8.5</v>
      </c>
      <c r="AE49" s="51">
        <v>8.5</v>
      </c>
      <c r="AF49" s="51">
        <v>8.5</v>
      </c>
      <c r="AG49" s="63">
        <v>10.050000000000001</v>
      </c>
      <c r="AH49" s="54">
        <f t="shared" si="2"/>
        <v>8.5</v>
      </c>
      <c r="AI49" s="55">
        <f t="shared" si="3"/>
        <v>8.5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51">
        <v>3.1</v>
      </c>
      <c r="N50" s="51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382.64</v>
      </c>
      <c r="C52" s="69">
        <f t="shared" si="6"/>
        <v>366.84</v>
      </c>
      <c r="D52" s="69">
        <f t="shared" si="6"/>
        <v>366.84</v>
      </c>
      <c r="E52" s="69">
        <f t="shared" si="6"/>
        <v>317.64000000000004</v>
      </c>
      <c r="F52" s="69">
        <f t="shared" si="6"/>
        <v>308.94000000000005</v>
      </c>
      <c r="G52" s="69">
        <f t="shared" si="6"/>
        <v>304.34000000000003</v>
      </c>
      <c r="H52" s="69">
        <f t="shared" si="6"/>
        <v>294.94000000000005</v>
      </c>
      <c r="I52" s="69">
        <f t="shared" si="6"/>
        <v>317.44</v>
      </c>
      <c r="J52" s="69">
        <f t="shared" si="6"/>
        <v>349.34000000000003</v>
      </c>
      <c r="K52" s="69">
        <f t="shared" si="6"/>
        <v>355.74</v>
      </c>
      <c r="L52" s="69">
        <f t="shared" si="6"/>
        <v>364.14</v>
      </c>
      <c r="M52" s="69">
        <f t="shared" si="6"/>
        <v>377.64</v>
      </c>
      <c r="N52" s="69">
        <f t="shared" si="6"/>
        <v>390.74</v>
      </c>
      <c r="O52" s="69">
        <f t="shared" si="6"/>
        <v>398.24</v>
      </c>
      <c r="P52" s="69">
        <f t="shared" si="6"/>
        <v>403.44</v>
      </c>
      <c r="Q52" s="69">
        <f t="shared" si="6"/>
        <v>400.24000000000007</v>
      </c>
      <c r="R52" s="69">
        <f t="shared" si="6"/>
        <v>399.94000000000005</v>
      </c>
      <c r="S52" s="69">
        <f t="shared" si="6"/>
        <v>404.94000000000005</v>
      </c>
      <c r="T52" s="69">
        <f t="shared" si="6"/>
        <v>395.94000000000005</v>
      </c>
      <c r="U52" s="69">
        <f t="shared" si="6"/>
        <v>383.84000000000003</v>
      </c>
      <c r="V52" s="69">
        <f t="shared" si="6"/>
        <v>378.84000000000003</v>
      </c>
      <c r="W52" s="69">
        <f t="shared" si="6"/>
        <v>378.84000000000003</v>
      </c>
      <c r="X52" s="69">
        <f>SUM(X39:X51)</f>
        <v>375.64000000000004</v>
      </c>
      <c r="Y52" s="69">
        <f t="shared" si="6"/>
        <v>371.64000000000004</v>
      </c>
      <c r="Z52" s="69">
        <f t="shared" si="6"/>
        <v>373.14000000000004</v>
      </c>
      <c r="AA52" s="69">
        <f t="shared" si="6"/>
        <v>430.74000000000007</v>
      </c>
      <c r="AB52" s="69">
        <f t="shared" si="6"/>
        <v>430.74000000000007</v>
      </c>
      <c r="AC52" s="69">
        <f t="shared" si="6"/>
        <v>409.84000000000003</v>
      </c>
      <c r="AD52" s="69">
        <f t="shared" si="6"/>
        <v>409.84000000000003</v>
      </c>
      <c r="AE52" s="69">
        <f t="shared" si="6"/>
        <v>394.14000000000004</v>
      </c>
      <c r="AF52" s="69">
        <f t="shared" si="6"/>
        <v>394.14000000000004</v>
      </c>
      <c r="AG52" s="74">
        <f>SUM(AG39:AG51)</f>
        <v>489.91</v>
      </c>
      <c r="AH52" s="54">
        <f t="shared" si="2"/>
        <v>430.74000000000007</v>
      </c>
      <c r="AI52" s="55">
        <f t="shared" si="3"/>
        <v>294.94000000000005</v>
      </c>
      <c r="AK52" s="56"/>
    </row>
    <row r="53" spans="1:37" x14ac:dyDescent="0.25">
      <c r="A53" s="57" t="s">
        <v>61</v>
      </c>
      <c r="B53" s="51">
        <v>25</v>
      </c>
      <c r="C53" s="51">
        <v>25</v>
      </c>
      <c r="D53" s="51">
        <v>25</v>
      </c>
      <c r="E53" s="51">
        <v>10</v>
      </c>
      <c r="F53" s="51">
        <v>0</v>
      </c>
      <c r="G53" s="51">
        <v>20</v>
      </c>
      <c r="H53" s="51">
        <v>20</v>
      </c>
      <c r="I53" s="51">
        <v>14</v>
      </c>
      <c r="J53" s="51">
        <v>14</v>
      </c>
      <c r="K53" s="51">
        <v>14</v>
      </c>
      <c r="L53" s="51">
        <v>20</v>
      </c>
      <c r="M53" s="51">
        <v>20</v>
      </c>
      <c r="N53" s="51">
        <v>10</v>
      </c>
      <c r="O53" s="51">
        <v>10</v>
      </c>
      <c r="P53" s="51">
        <v>10.6</v>
      </c>
      <c r="Q53" s="51">
        <v>10.8</v>
      </c>
      <c r="R53" s="51">
        <v>10.8</v>
      </c>
      <c r="S53" s="51">
        <v>10.8</v>
      </c>
      <c r="T53" s="51">
        <v>24</v>
      </c>
      <c r="U53" s="51">
        <v>24</v>
      </c>
      <c r="V53" s="51">
        <v>24</v>
      </c>
      <c r="W53" s="51">
        <v>29</v>
      </c>
      <c r="X53" s="51">
        <v>43.3</v>
      </c>
      <c r="Y53" s="51">
        <v>49</v>
      </c>
      <c r="Z53" s="51">
        <v>48</v>
      </c>
      <c r="AA53" s="51">
        <v>40</v>
      </c>
      <c r="AB53" s="51">
        <v>40</v>
      </c>
      <c r="AC53" s="51">
        <v>45</v>
      </c>
      <c r="AD53" s="51">
        <v>45</v>
      </c>
      <c r="AE53" s="51">
        <v>59</v>
      </c>
      <c r="AF53" s="51">
        <v>59</v>
      </c>
      <c r="AG53" s="59">
        <v>60</v>
      </c>
      <c r="AH53" s="54">
        <f t="shared" si="2"/>
        <v>59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11.2</v>
      </c>
      <c r="C54" s="70">
        <v>10.5</v>
      </c>
      <c r="D54" s="70">
        <v>10.5</v>
      </c>
      <c r="E54" s="70">
        <v>4.9000000000000004</v>
      </c>
      <c r="F54" s="70">
        <v>0</v>
      </c>
      <c r="G54" s="70">
        <v>8.9</v>
      </c>
      <c r="H54" s="70">
        <v>11.3</v>
      </c>
      <c r="I54" s="70">
        <v>8</v>
      </c>
      <c r="J54" s="70">
        <v>10.8</v>
      </c>
      <c r="K54" s="70">
        <v>6.8</v>
      </c>
      <c r="L54" s="70">
        <v>10.1</v>
      </c>
      <c r="M54" s="70">
        <v>10</v>
      </c>
      <c r="N54" s="70">
        <v>4.2</v>
      </c>
      <c r="O54" s="70">
        <v>4.5</v>
      </c>
      <c r="P54" s="70">
        <v>4.5</v>
      </c>
      <c r="Q54" s="70">
        <v>4.3</v>
      </c>
      <c r="R54" s="70">
        <v>4.4000000000000004</v>
      </c>
      <c r="S54" s="70">
        <v>4.4000000000000004</v>
      </c>
      <c r="T54" s="70">
        <v>14</v>
      </c>
      <c r="U54" s="70">
        <v>14</v>
      </c>
      <c r="V54" s="70">
        <v>14</v>
      </c>
      <c r="W54" s="70">
        <v>14.5</v>
      </c>
      <c r="X54" s="70">
        <v>20.5</v>
      </c>
      <c r="Y54" s="70">
        <v>24</v>
      </c>
      <c r="Z54" s="70">
        <v>30</v>
      </c>
      <c r="AA54" s="70">
        <v>21</v>
      </c>
      <c r="AB54" s="70">
        <v>21</v>
      </c>
      <c r="AC54" s="70">
        <v>24</v>
      </c>
      <c r="AD54" s="70">
        <v>24</v>
      </c>
      <c r="AE54" s="70">
        <v>30</v>
      </c>
      <c r="AF54" s="70">
        <v>30</v>
      </c>
      <c r="AG54" s="63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4.0999999999999996</v>
      </c>
      <c r="C55" s="75">
        <v>3.8</v>
      </c>
      <c r="D55" s="75">
        <v>3.8</v>
      </c>
      <c r="E55" s="75">
        <v>1.8</v>
      </c>
      <c r="F55" s="75">
        <v>0</v>
      </c>
      <c r="G55" s="75">
        <v>3.3</v>
      </c>
      <c r="H55" s="75">
        <v>4.0999999999999996</v>
      </c>
      <c r="I55" s="75">
        <v>2.9</v>
      </c>
      <c r="J55" s="75">
        <v>3.9</v>
      </c>
      <c r="K55" s="75">
        <v>2.5</v>
      </c>
      <c r="L55" s="75">
        <v>3.7</v>
      </c>
      <c r="M55" s="75">
        <v>3.6</v>
      </c>
      <c r="N55" s="75">
        <v>1.5</v>
      </c>
      <c r="O55" s="75">
        <v>1.7</v>
      </c>
      <c r="P55" s="75">
        <v>1.7</v>
      </c>
      <c r="Q55" s="75">
        <v>1.6</v>
      </c>
      <c r="R55" s="75">
        <v>1.6</v>
      </c>
      <c r="S55" s="75">
        <v>1.6</v>
      </c>
      <c r="T55" s="75">
        <v>5</v>
      </c>
      <c r="U55" s="75">
        <v>5</v>
      </c>
      <c r="V55" s="75">
        <v>5</v>
      </c>
      <c r="W55" s="75">
        <v>5.3</v>
      </c>
      <c r="X55" s="75">
        <v>7.5</v>
      </c>
      <c r="Y55" s="75">
        <v>8.6</v>
      </c>
      <c r="Z55" s="75">
        <v>11</v>
      </c>
      <c r="AA55" s="75">
        <v>8</v>
      </c>
      <c r="AB55" s="75">
        <v>8</v>
      </c>
      <c r="AC55" s="75">
        <v>8.9</v>
      </c>
      <c r="AD55" s="75">
        <v>8.9</v>
      </c>
      <c r="AE55" s="75">
        <v>11</v>
      </c>
      <c r="AF55" s="75">
        <v>11</v>
      </c>
      <c r="AG55" s="76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40.300000000000004</v>
      </c>
      <c r="C56" s="69">
        <f t="shared" si="7"/>
        <v>39.299999999999997</v>
      </c>
      <c r="D56" s="69">
        <f t="shared" si="7"/>
        <v>39.299999999999997</v>
      </c>
      <c r="E56" s="69">
        <f t="shared" si="7"/>
        <v>16.7</v>
      </c>
      <c r="F56" s="69">
        <f t="shared" si="7"/>
        <v>0</v>
      </c>
      <c r="G56" s="69">
        <f t="shared" si="7"/>
        <v>32.199999999999996</v>
      </c>
      <c r="H56" s="69">
        <f t="shared" si="7"/>
        <v>35.4</v>
      </c>
      <c r="I56" s="69">
        <f t="shared" si="7"/>
        <v>24.9</v>
      </c>
      <c r="J56" s="69">
        <f t="shared" si="7"/>
        <v>28.7</v>
      </c>
      <c r="K56" s="69">
        <f t="shared" si="7"/>
        <v>23.3</v>
      </c>
      <c r="L56" s="69">
        <f t="shared" si="7"/>
        <v>33.800000000000004</v>
      </c>
      <c r="M56" s="69">
        <f t="shared" si="7"/>
        <v>33.6</v>
      </c>
      <c r="N56" s="69">
        <f t="shared" si="7"/>
        <v>15.7</v>
      </c>
      <c r="O56" s="69">
        <f t="shared" si="7"/>
        <v>16.2</v>
      </c>
      <c r="P56" s="69">
        <f t="shared" si="7"/>
        <v>16.8</v>
      </c>
      <c r="Q56" s="69">
        <f t="shared" si="7"/>
        <v>16.700000000000003</v>
      </c>
      <c r="R56" s="69">
        <f t="shared" si="7"/>
        <v>16.8</v>
      </c>
      <c r="S56" s="69">
        <f t="shared" si="7"/>
        <v>16.8</v>
      </c>
      <c r="T56" s="69">
        <f t="shared" si="7"/>
        <v>43</v>
      </c>
      <c r="U56" s="69">
        <f t="shared" si="7"/>
        <v>43</v>
      </c>
      <c r="V56" s="69">
        <f t="shared" si="7"/>
        <v>43</v>
      </c>
      <c r="W56" s="69">
        <f t="shared" si="7"/>
        <v>48.8</v>
      </c>
      <c r="X56" s="69">
        <f t="shared" si="7"/>
        <v>71.3</v>
      </c>
      <c r="Y56" s="69">
        <f t="shared" si="7"/>
        <v>81.599999999999994</v>
      </c>
      <c r="Z56" s="69">
        <f t="shared" si="7"/>
        <v>89</v>
      </c>
      <c r="AA56" s="69">
        <f t="shared" si="7"/>
        <v>69</v>
      </c>
      <c r="AB56" s="69">
        <f t="shared" si="7"/>
        <v>69</v>
      </c>
      <c r="AC56" s="69">
        <f t="shared" si="7"/>
        <v>77.900000000000006</v>
      </c>
      <c r="AD56" s="69">
        <f t="shared" si="7"/>
        <v>77.900000000000006</v>
      </c>
      <c r="AE56" s="69">
        <f t="shared" si="7"/>
        <v>100</v>
      </c>
      <c r="AF56" s="69">
        <f t="shared" si="7"/>
        <v>100</v>
      </c>
      <c r="AG56" s="74">
        <f>SUM(AG53:AG55)</f>
        <v>106</v>
      </c>
      <c r="AH56" s="54">
        <f t="shared" si="2"/>
        <v>100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74.099999999999994</v>
      </c>
      <c r="C57" s="51">
        <v>73.7</v>
      </c>
      <c r="D57" s="51">
        <v>72</v>
      </c>
      <c r="E57" s="51">
        <v>70</v>
      </c>
      <c r="F57" s="51">
        <v>73.2</v>
      </c>
      <c r="G57" s="51">
        <v>70</v>
      </c>
      <c r="H57" s="51">
        <v>70.2</v>
      </c>
      <c r="I57" s="51">
        <v>63.4</v>
      </c>
      <c r="J57" s="51">
        <v>56.2</v>
      </c>
      <c r="K57" s="51">
        <v>56.3</v>
      </c>
      <c r="L57" s="51">
        <v>60.3</v>
      </c>
      <c r="M57" s="51">
        <v>58.2</v>
      </c>
      <c r="N57" s="51">
        <v>59.5</v>
      </c>
      <c r="O57" s="51">
        <v>66</v>
      </c>
      <c r="P57" s="51">
        <v>65.3</v>
      </c>
      <c r="Q57" s="51">
        <v>64.400000000000006</v>
      </c>
      <c r="R57" s="51">
        <v>66.400000000000006</v>
      </c>
      <c r="S57" s="51">
        <v>66.400000000000006</v>
      </c>
      <c r="T57" s="51">
        <v>67</v>
      </c>
      <c r="U57" s="51">
        <v>75</v>
      </c>
      <c r="V57" s="51">
        <v>63</v>
      </c>
      <c r="W57" s="51">
        <v>75.599999999999994</v>
      </c>
      <c r="X57" s="51">
        <v>67</v>
      </c>
      <c r="Y57" s="51">
        <v>69</v>
      </c>
      <c r="Z57" s="51">
        <v>69</v>
      </c>
      <c r="AA57" s="51">
        <v>74</v>
      </c>
      <c r="AB57" s="51">
        <v>74</v>
      </c>
      <c r="AC57" s="51">
        <v>73.599999999999994</v>
      </c>
      <c r="AD57" s="51">
        <v>76</v>
      </c>
      <c r="AE57" s="51">
        <v>73</v>
      </c>
      <c r="AF57" s="51">
        <v>0</v>
      </c>
      <c r="AG57" s="59"/>
      <c r="AH57" s="54">
        <f t="shared" si="2"/>
        <v>76</v>
      </c>
      <c r="AI57" s="55">
        <f t="shared" si="3"/>
        <v>0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36</v>
      </c>
      <c r="C59" s="70">
        <v>39</v>
      </c>
      <c r="D59" s="70">
        <v>46</v>
      </c>
      <c r="E59" s="70">
        <v>60</v>
      </c>
      <c r="F59" s="70">
        <v>66.8</v>
      </c>
      <c r="G59" s="70">
        <v>78</v>
      </c>
      <c r="H59" s="70">
        <v>83.6</v>
      </c>
      <c r="I59" s="70">
        <v>176</v>
      </c>
      <c r="J59" s="70">
        <v>157</v>
      </c>
      <c r="K59" s="70">
        <v>198</v>
      </c>
      <c r="L59" s="70">
        <v>169.3</v>
      </c>
      <c r="M59" s="70">
        <v>174</v>
      </c>
      <c r="N59" s="70">
        <v>174.3</v>
      </c>
      <c r="O59" s="70">
        <v>188.6</v>
      </c>
      <c r="P59" s="70">
        <v>184.2</v>
      </c>
      <c r="Q59" s="70">
        <v>171.4</v>
      </c>
      <c r="R59" s="70">
        <v>177</v>
      </c>
      <c r="S59" s="70">
        <v>198</v>
      </c>
      <c r="T59" s="70">
        <v>178</v>
      </c>
      <c r="U59" s="70">
        <v>177</v>
      </c>
      <c r="V59" s="70">
        <v>177</v>
      </c>
      <c r="W59" s="70">
        <v>210</v>
      </c>
      <c r="X59" s="70">
        <v>150</v>
      </c>
      <c r="Y59" s="70">
        <v>177</v>
      </c>
      <c r="Z59" s="70">
        <v>51</v>
      </c>
      <c r="AA59" s="70">
        <v>51</v>
      </c>
      <c r="AB59" s="70">
        <v>45</v>
      </c>
      <c r="AC59" s="70">
        <v>71</v>
      </c>
      <c r="AD59" s="70">
        <v>52</v>
      </c>
      <c r="AE59" s="70">
        <v>80</v>
      </c>
      <c r="AF59" s="70">
        <v>80</v>
      </c>
      <c r="AG59" s="77"/>
      <c r="AH59" s="54">
        <f t="shared" si="2"/>
        <v>210</v>
      </c>
      <c r="AI59" s="55">
        <f t="shared" si="3"/>
        <v>36</v>
      </c>
      <c r="AK59" s="56"/>
    </row>
    <row r="60" spans="1:37" x14ac:dyDescent="0.25">
      <c r="A60" s="62" t="s">
        <v>68</v>
      </c>
      <c r="B60" s="78">
        <v>34</v>
      </c>
      <c r="C60" s="78">
        <v>34</v>
      </c>
      <c r="D60" s="78">
        <v>30.5</v>
      </c>
      <c r="E60" s="78">
        <v>29.1</v>
      </c>
      <c r="F60" s="78">
        <v>28.2</v>
      </c>
      <c r="G60" s="78">
        <v>28.8</v>
      </c>
      <c r="H60" s="78">
        <v>28.6</v>
      </c>
      <c r="I60" s="78">
        <v>28.6</v>
      </c>
      <c r="J60" s="78">
        <v>28.2</v>
      </c>
      <c r="K60" s="78">
        <v>28.8</v>
      </c>
      <c r="L60" s="78">
        <v>29</v>
      </c>
      <c r="M60" s="78">
        <v>30</v>
      </c>
      <c r="N60" s="78">
        <v>30</v>
      </c>
      <c r="O60" s="78">
        <v>30</v>
      </c>
      <c r="P60" s="78">
        <v>20</v>
      </c>
      <c r="Q60" s="78">
        <v>22</v>
      </c>
      <c r="R60" s="78">
        <v>22</v>
      </c>
      <c r="S60" s="78">
        <v>22</v>
      </c>
      <c r="T60" s="78">
        <v>22</v>
      </c>
      <c r="U60" s="78">
        <v>22</v>
      </c>
      <c r="V60" s="78">
        <v>22</v>
      </c>
      <c r="W60" s="78">
        <v>23</v>
      </c>
      <c r="X60" s="78">
        <v>23</v>
      </c>
      <c r="Y60" s="78">
        <v>18</v>
      </c>
      <c r="Z60" s="78">
        <v>20</v>
      </c>
      <c r="AA60" s="78">
        <v>20</v>
      </c>
      <c r="AB60" s="78">
        <v>19.399999999999999</v>
      </c>
      <c r="AC60" s="78">
        <v>20.100000000000001</v>
      </c>
      <c r="AD60" s="78">
        <v>20</v>
      </c>
      <c r="AE60" s="78">
        <v>13</v>
      </c>
      <c r="AF60" s="78">
        <v>13</v>
      </c>
      <c r="AG60" s="77"/>
      <c r="AH60" s="54">
        <f t="shared" si="2"/>
        <v>34</v>
      </c>
      <c r="AI60" s="55">
        <f t="shared" si="3"/>
        <v>13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8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9">
        <v>0</v>
      </c>
      <c r="AC64" s="79">
        <v>0</v>
      </c>
      <c r="AD64" s="79">
        <v>0</v>
      </c>
      <c r="AE64" s="79">
        <v>0</v>
      </c>
      <c r="AF64" s="79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9">
        <v>0</v>
      </c>
      <c r="AC65" s="79">
        <v>0</v>
      </c>
      <c r="AD65" s="79">
        <v>0</v>
      </c>
      <c r="AE65" s="79">
        <v>0</v>
      </c>
      <c r="AF65" s="79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79">
        <v>0</v>
      </c>
      <c r="AC67" s="79">
        <v>0</v>
      </c>
      <c r="AD67" s="79">
        <v>0</v>
      </c>
      <c r="AE67" s="79">
        <v>0</v>
      </c>
      <c r="AF67" s="79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152.1</v>
      </c>
      <c r="C68" s="69">
        <f t="shared" si="8"/>
        <v>154.69999999999999</v>
      </c>
      <c r="D68" s="69">
        <f t="shared" si="8"/>
        <v>156.5</v>
      </c>
      <c r="E68" s="69">
        <f t="shared" si="8"/>
        <v>167.1</v>
      </c>
      <c r="F68" s="69">
        <f t="shared" si="8"/>
        <v>176.2</v>
      </c>
      <c r="G68" s="69">
        <f t="shared" si="8"/>
        <v>184.8</v>
      </c>
      <c r="H68" s="69">
        <f t="shared" si="8"/>
        <v>190.4</v>
      </c>
      <c r="I68" s="69">
        <f t="shared" si="8"/>
        <v>276</v>
      </c>
      <c r="J68" s="69">
        <f t="shared" si="8"/>
        <v>249.39999999999998</v>
      </c>
      <c r="K68" s="69">
        <f t="shared" si="8"/>
        <v>291.10000000000002</v>
      </c>
      <c r="L68" s="69">
        <f t="shared" si="8"/>
        <v>266.60000000000002</v>
      </c>
      <c r="M68" s="69">
        <f t="shared" si="8"/>
        <v>270.2</v>
      </c>
      <c r="N68" s="69">
        <f t="shared" si="8"/>
        <v>271.8</v>
      </c>
      <c r="O68" s="69">
        <f t="shared" si="8"/>
        <v>292.60000000000002</v>
      </c>
      <c r="P68" s="69">
        <f t="shared" si="8"/>
        <v>277.5</v>
      </c>
      <c r="Q68" s="69">
        <f t="shared" si="8"/>
        <v>265.8</v>
      </c>
      <c r="R68" s="69">
        <f t="shared" si="8"/>
        <v>273.39999999999998</v>
      </c>
      <c r="S68" s="69">
        <f t="shared" si="8"/>
        <v>294.39999999999998</v>
      </c>
      <c r="T68" s="69">
        <f t="shared" si="8"/>
        <v>275</v>
      </c>
      <c r="U68" s="69">
        <f t="shared" si="8"/>
        <v>282</v>
      </c>
      <c r="V68" s="69">
        <f>SUM(V57:V67)</f>
        <v>270</v>
      </c>
      <c r="W68" s="69">
        <f t="shared" si="8"/>
        <v>316.60000000000002</v>
      </c>
      <c r="X68" s="69">
        <f t="shared" si="8"/>
        <v>248</v>
      </c>
      <c r="Y68" s="69">
        <f t="shared" si="8"/>
        <v>272</v>
      </c>
      <c r="Z68" s="69">
        <f t="shared" si="8"/>
        <v>148</v>
      </c>
      <c r="AA68" s="69">
        <f t="shared" si="8"/>
        <v>153</v>
      </c>
      <c r="AB68" s="69">
        <f t="shared" si="8"/>
        <v>146.4</v>
      </c>
      <c r="AC68" s="69">
        <f t="shared" si="8"/>
        <v>172.7</v>
      </c>
      <c r="AD68" s="69">
        <f t="shared" si="8"/>
        <v>156</v>
      </c>
      <c r="AE68" s="69">
        <f t="shared" si="8"/>
        <v>174</v>
      </c>
      <c r="AF68" s="69">
        <f t="shared" si="8"/>
        <v>101</v>
      </c>
      <c r="AG68" s="74">
        <f>SUM(AG57:AG67)</f>
        <v>0</v>
      </c>
      <c r="AH68" s="54">
        <f t="shared" si="2"/>
        <v>316.60000000000002</v>
      </c>
      <c r="AI68" s="55">
        <f t="shared" si="3"/>
        <v>101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1395.44</v>
      </c>
      <c r="C75" s="84">
        <f t="shared" si="10"/>
        <v>1329.3399999999997</v>
      </c>
      <c r="D75" s="84">
        <f t="shared" si="10"/>
        <v>1331.1399999999999</v>
      </c>
      <c r="E75" s="84">
        <f t="shared" si="10"/>
        <v>1289.54</v>
      </c>
      <c r="F75" s="84">
        <f t="shared" si="10"/>
        <v>1268.1400000000001</v>
      </c>
      <c r="G75" s="84">
        <f t="shared" si="10"/>
        <v>1264.54</v>
      </c>
      <c r="H75" s="84">
        <f t="shared" si="10"/>
        <v>1245.24</v>
      </c>
      <c r="I75" s="84">
        <f t="shared" si="10"/>
        <v>1262.8399999999999</v>
      </c>
      <c r="J75" s="84">
        <f t="shared" si="10"/>
        <v>1324.14</v>
      </c>
      <c r="K75" s="84">
        <f t="shared" si="10"/>
        <v>1406.1400000000003</v>
      </c>
      <c r="L75" s="84">
        <f t="shared" si="10"/>
        <v>1429.44</v>
      </c>
      <c r="M75" s="84">
        <f t="shared" si="10"/>
        <v>1442.7400000000002</v>
      </c>
      <c r="N75" s="84">
        <f t="shared" si="10"/>
        <v>1429.24</v>
      </c>
      <c r="O75" s="84">
        <f t="shared" si="10"/>
        <v>1457.24</v>
      </c>
      <c r="P75" s="84">
        <f t="shared" si="10"/>
        <v>1467.8400000000001</v>
      </c>
      <c r="Q75" s="84">
        <f t="shared" si="10"/>
        <v>1452.8400000000001</v>
      </c>
      <c r="R75" s="84">
        <f t="shared" si="10"/>
        <v>1460.2400000000002</v>
      </c>
      <c r="S75" s="84">
        <f t="shared" si="10"/>
        <v>1496.2400000000002</v>
      </c>
      <c r="T75" s="84">
        <f t="shared" si="10"/>
        <v>1494.04</v>
      </c>
      <c r="U75" s="84">
        <f t="shared" si="10"/>
        <v>1488.94</v>
      </c>
      <c r="V75" s="84">
        <f t="shared" si="10"/>
        <v>1457.74</v>
      </c>
      <c r="W75" s="84">
        <f t="shared" si="10"/>
        <v>1485.1399999999999</v>
      </c>
      <c r="X75" s="84">
        <f t="shared" si="10"/>
        <v>1436.54</v>
      </c>
      <c r="Y75" s="84">
        <f t="shared" si="10"/>
        <v>1436.8400000000001</v>
      </c>
      <c r="Z75" s="84">
        <f t="shared" si="10"/>
        <v>1486.7400000000002</v>
      </c>
      <c r="AA75" s="84">
        <f t="shared" si="10"/>
        <v>1529.3400000000001</v>
      </c>
      <c r="AB75" s="84">
        <f t="shared" si="10"/>
        <v>1522.7400000000002</v>
      </c>
      <c r="AC75" s="84">
        <f t="shared" si="10"/>
        <v>1516.7400000000002</v>
      </c>
      <c r="AD75" s="84">
        <f t="shared" si="10"/>
        <v>1500.04</v>
      </c>
      <c r="AE75" s="84">
        <f t="shared" si="10"/>
        <v>1444.2400000000002</v>
      </c>
      <c r="AF75" s="84">
        <f t="shared" si="10"/>
        <v>1371.2400000000002</v>
      </c>
      <c r="AG75" s="74">
        <f>AG72+AG68+AG56+AG52+AG38+AG74</f>
        <v>2144.14</v>
      </c>
      <c r="AH75" s="54">
        <f t="shared" si="2"/>
        <v>1529.3400000000001</v>
      </c>
      <c r="AI75" s="55">
        <f t="shared" si="3"/>
        <v>1245.24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2597.33</v>
      </c>
      <c r="C83" s="69">
        <f t="shared" si="14"/>
        <v>2531.2299999999996</v>
      </c>
      <c r="D83" s="69">
        <f t="shared" si="14"/>
        <v>2533.0299999999997</v>
      </c>
      <c r="E83" s="69">
        <f t="shared" si="14"/>
        <v>2491.4299999999998</v>
      </c>
      <c r="F83" s="69">
        <f t="shared" si="14"/>
        <v>2470.0299999999997</v>
      </c>
      <c r="G83" s="69">
        <f t="shared" si="14"/>
        <v>2466.4299999999998</v>
      </c>
      <c r="H83" s="69">
        <f t="shared" si="14"/>
        <v>2447.13</v>
      </c>
      <c r="I83" s="69">
        <f t="shared" si="14"/>
        <v>2464.7299999999996</v>
      </c>
      <c r="J83" s="69">
        <f t="shared" si="14"/>
        <v>2526.0299999999997</v>
      </c>
      <c r="K83" s="69">
        <f t="shared" si="14"/>
        <v>2608.0300000000002</v>
      </c>
      <c r="L83" s="69">
        <f t="shared" si="14"/>
        <v>2631.33</v>
      </c>
      <c r="M83" s="69">
        <f t="shared" si="14"/>
        <v>2644.63</v>
      </c>
      <c r="N83" s="69">
        <f t="shared" si="14"/>
        <v>2631.13</v>
      </c>
      <c r="O83" s="69">
        <f t="shared" si="14"/>
        <v>2659.13</v>
      </c>
      <c r="P83" s="69">
        <f t="shared" si="14"/>
        <v>2669.73</v>
      </c>
      <c r="Q83" s="69">
        <f t="shared" si="14"/>
        <v>2654.73</v>
      </c>
      <c r="R83" s="69">
        <f t="shared" si="14"/>
        <v>2662.13</v>
      </c>
      <c r="S83" s="69">
        <f t="shared" si="14"/>
        <v>2698.13</v>
      </c>
      <c r="T83" s="69">
        <f t="shared" si="14"/>
        <v>2695.93</v>
      </c>
      <c r="U83" s="69">
        <f t="shared" si="14"/>
        <v>2690.83</v>
      </c>
      <c r="V83" s="69">
        <f t="shared" si="14"/>
        <v>2659.63</v>
      </c>
      <c r="W83" s="69">
        <f t="shared" si="14"/>
        <v>2687.0299999999997</v>
      </c>
      <c r="X83" s="69">
        <f t="shared" si="14"/>
        <v>2638.43</v>
      </c>
      <c r="Y83" s="69">
        <f t="shared" si="14"/>
        <v>2638.73</v>
      </c>
      <c r="Z83" s="69">
        <f t="shared" si="14"/>
        <v>2688.63</v>
      </c>
      <c r="AA83" s="69">
        <f t="shared" si="14"/>
        <v>2731.23</v>
      </c>
      <c r="AB83" s="69">
        <f t="shared" si="14"/>
        <v>2724.63</v>
      </c>
      <c r="AC83" s="69">
        <f t="shared" si="14"/>
        <v>2718.63</v>
      </c>
      <c r="AD83" s="69">
        <f t="shared" si="14"/>
        <v>2701.93</v>
      </c>
      <c r="AE83" s="69">
        <f t="shared" si="14"/>
        <v>2646.13</v>
      </c>
      <c r="AF83" s="69">
        <f t="shared" si="14"/>
        <v>2573.13</v>
      </c>
      <c r="AG83" s="74">
        <f t="shared" si="14"/>
        <v>4360.08</v>
      </c>
      <c r="AH83" s="54">
        <f t="shared" si="11"/>
        <v>2731.23</v>
      </c>
      <c r="AI83" s="55">
        <f t="shared" si="12"/>
        <v>2447.13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50.027000000000001</v>
      </c>
      <c r="C84" s="90">
        <v>50.045999999999999</v>
      </c>
      <c r="D84" s="90">
        <v>50.005000000000003</v>
      </c>
      <c r="E84" s="90">
        <v>49.966000000000001</v>
      </c>
      <c r="F84" s="90">
        <v>50.005000000000003</v>
      </c>
      <c r="G84" s="90">
        <v>50.021000000000001</v>
      </c>
      <c r="H84" s="90">
        <v>50.024999999999999</v>
      </c>
      <c r="I84" s="90">
        <v>50.061</v>
      </c>
      <c r="J84" s="90">
        <v>50.014000000000003</v>
      </c>
      <c r="K84" s="90">
        <v>50.058999999999997</v>
      </c>
      <c r="L84" s="90">
        <v>50.072000000000003</v>
      </c>
      <c r="M84" s="90">
        <v>50.238999999999997</v>
      </c>
      <c r="N84" s="90">
        <v>50.024999999999999</v>
      </c>
      <c r="O84" s="90">
        <v>50.029000000000003</v>
      </c>
      <c r="P84" s="90">
        <v>50.048999999999999</v>
      </c>
      <c r="Q84" s="90">
        <v>50.067</v>
      </c>
      <c r="R84" s="90">
        <v>50.037999999999997</v>
      </c>
      <c r="S84" s="90">
        <v>49.981999999999999</v>
      </c>
      <c r="T84" s="90">
        <v>49.908000000000001</v>
      </c>
      <c r="U84" s="90">
        <v>50.036999999999999</v>
      </c>
      <c r="V84" s="90">
        <v>50.030999999999999</v>
      </c>
      <c r="W84" s="90">
        <v>50.030999999999999</v>
      </c>
      <c r="X84" s="90">
        <v>50.072000000000003</v>
      </c>
      <c r="Y84" s="90">
        <v>50.072000000000003</v>
      </c>
      <c r="Z84" s="90">
        <v>50.036000000000001</v>
      </c>
      <c r="AA84" s="90">
        <v>50.036000000000001</v>
      </c>
      <c r="AB84" s="90">
        <v>49.875999999999998</v>
      </c>
      <c r="AC84" s="90">
        <v>50.030999999999999</v>
      </c>
      <c r="AD84" s="90">
        <v>50.02</v>
      </c>
      <c r="AE84" s="90">
        <v>49.942</v>
      </c>
      <c r="AF84" s="90">
        <v>49.942</v>
      </c>
      <c r="AG84" s="91"/>
      <c r="AH84" s="54">
        <f t="shared" si="11"/>
        <v>50.238999999999997</v>
      </c>
      <c r="AI84" s="55">
        <f t="shared" si="12"/>
        <v>49.875999999999998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124.8</v>
      </c>
      <c r="C85" s="70">
        <v>125.8</v>
      </c>
      <c r="D85" s="70">
        <v>125.5</v>
      </c>
      <c r="E85" s="70">
        <v>125.1</v>
      </c>
      <c r="F85" s="70">
        <v>125.1</v>
      </c>
      <c r="G85" s="70">
        <v>125.7</v>
      </c>
      <c r="H85" s="70">
        <v>125.3</v>
      </c>
      <c r="I85" s="70">
        <v>124.9</v>
      </c>
      <c r="J85" s="70">
        <v>125.1</v>
      </c>
      <c r="K85" s="70">
        <v>124</v>
      </c>
      <c r="L85" s="70">
        <v>124.1</v>
      </c>
      <c r="M85" s="70">
        <v>123.3</v>
      </c>
      <c r="N85" s="70">
        <v>121.1</v>
      </c>
      <c r="O85" s="70">
        <v>121.4</v>
      </c>
      <c r="P85" s="70">
        <v>118.9</v>
      </c>
      <c r="Q85" s="70">
        <v>119.5</v>
      </c>
      <c r="R85" s="70">
        <v>120.7</v>
      </c>
      <c r="S85" s="70">
        <v>118</v>
      </c>
      <c r="T85" s="70">
        <v>121</v>
      </c>
      <c r="U85" s="70">
        <v>122</v>
      </c>
      <c r="V85" s="70">
        <v>122</v>
      </c>
      <c r="W85" s="70">
        <v>122</v>
      </c>
      <c r="X85" s="70">
        <v>125</v>
      </c>
      <c r="Y85" s="70">
        <v>125</v>
      </c>
      <c r="Z85" s="70">
        <v>125</v>
      </c>
      <c r="AA85" s="70">
        <v>125</v>
      </c>
      <c r="AB85" s="70">
        <v>124</v>
      </c>
      <c r="AC85" s="70">
        <v>124</v>
      </c>
      <c r="AD85" s="70">
        <v>124</v>
      </c>
      <c r="AE85" s="70">
        <v>125</v>
      </c>
      <c r="AF85" s="70">
        <v>125</v>
      </c>
      <c r="AG85" s="93"/>
      <c r="AH85" s="54">
        <f t="shared" si="11"/>
        <v>125.8</v>
      </c>
      <c r="AI85" s="55">
        <f t="shared" si="12"/>
        <v>118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130</v>
      </c>
      <c r="C86" s="70">
        <v>130.5</v>
      </c>
      <c r="D86" s="70">
        <v>130.4</v>
      </c>
      <c r="E86" s="70">
        <v>129.69999999999999</v>
      </c>
      <c r="F86" s="70">
        <v>129.69999999999999</v>
      </c>
      <c r="G86" s="70">
        <v>130</v>
      </c>
      <c r="H86" s="70">
        <v>129.4</v>
      </c>
      <c r="I86" s="70">
        <v>128</v>
      </c>
      <c r="J86" s="70">
        <v>128.6</v>
      </c>
      <c r="K86" s="70">
        <v>126.9</v>
      </c>
      <c r="L86" s="70">
        <v>127.7</v>
      </c>
      <c r="M86" s="70">
        <v>126.8</v>
      </c>
      <c r="N86" s="70">
        <v>125.2</v>
      </c>
      <c r="O86" s="70">
        <v>125.5</v>
      </c>
      <c r="P86" s="70">
        <v>123.8</v>
      </c>
      <c r="Q86" s="70">
        <v>124.2</v>
      </c>
      <c r="R86" s="70">
        <v>125</v>
      </c>
      <c r="S86" s="70">
        <v>123</v>
      </c>
      <c r="T86" s="70">
        <v>125</v>
      </c>
      <c r="U86" s="70">
        <v>126</v>
      </c>
      <c r="V86" s="70">
        <v>126</v>
      </c>
      <c r="W86" s="70">
        <v>126</v>
      </c>
      <c r="X86" s="70">
        <v>129</v>
      </c>
      <c r="Y86" s="70">
        <v>129</v>
      </c>
      <c r="Z86" s="70">
        <v>129</v>
      </c>
      <c r="AA86" s="70">
        <v>129</v>
      </c>
      <c r="AB86" s="70">
        <v>128</v>
      </c>
      <c r="AC86" s="70">
        <v>128</v>
      </c>
      <c r="AD86" s="70">
        <v>128</v>
      </c>
      <c r="AE86" s="70">
        <v>129</v>
      </c>
      <c r="AF86" s="70">
        <v>129</v>
      </c>
      <c r="AG86" s="93"/>
      <c r="AH86" s="54">
        <f t="shared" si="11"/>
        <v>130.5</v>
      </c>
      <c r="AI86" s="55">
        <f t="shared" si="12"/>
        <v>123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126.1</v>
      </c>
      <c r="C87" s="70">
        <v>128.5</v>
      </c>
      <c r="D87" s="70">
        <v>128.30000000000001</v>
      </c>
      <c r="E87" s="70">
        <v>126.9</v>
      </c>
      <c r="F87" s="70">
        <v>126.9</v>
      </c>
      <c r="G87" s="70">
        <v>129.4</v>
      </c>
      <c r="H87" s="70">
        <v>127.4</v>
      </c>
      <c r="I87" s="70">
        <v>125.2</v>
      </c>
      <c r="J87" s="70">
        <v>127.6</v>
      </c>
      <c r="K87" s="70">
        <v>126.1</v>
      </c>
      <c r="L87" s="70">
        <v>125.6</v>
      </c>
      <c r="M87" s="70">
        <v>126</v>
      </c>
      <c r="N87" s="70">
        <v>124.8</v>
      </c>
      <c r="O87" s="70">
        <v>123.7</v>
      </c>
      <c r="P87" s="70">
        <v>122.3</v>
      </c>
      <c r="Q87" s="70">
        <v>127.1</v>
      </c>
      <c r="R87" s="70">
        <v>125.9</v>
      </c>
      <c r="S87" s="70">
        <v>124</v>
      </c>
      <c r="T87" s="70">
        <v>125</v>
      </c>
      <c r="U87" s="70">
        <v>123</v>
      </c>
      <c r="V87" s="70">
        <v>123</v>
      </c>
      <c r="W87" s="70">
        <v>123</v>
      </c>
      <c r="X87" s="70">
        <v>130</v>
      </c>
      <c r="Y87" s="70">
        <v>130</v>
      </c>
      <c r="Z87" s="70">
        <v>130</v>
      </c>
      <c r="AA87" s="70">
        <v>130</v>
      </c>
      <c r="AB87" s="70">
        <v>127</v>
      </c>
      <c r="AC87" s="70">
        <v>127</v>
      </c>
      <c r="AD87" s="70">
        <v>127</v>
      </c>
      <c r="AE87" s="70">
        <v>128</v>
      </c>
      <c r="AF87" s="70">
        <v>128</v>
      </c>
      <c r="AG87" s="93"/>
      <c r="AH87" s="54">
        <f t="shared" si="11"/>
        <v>130</v>
      </c>
      <c r="AI87" s="55">
        <f t="shared" si="12"/>
        <v>122.3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130.6</v>
      </c>
      <c r="C88" s="70">
        <v>132.69999999999999</v>
      </c>
      <c r="D88" s="70">
        <v>132.9</v>
      </c>
      <c r="E88" s="70">
        <v>131.80000000000001</v>
      </c>
      <c r="F88" s="70">
        <v>131.80000000000001</v>
      </c>
      <c r="G88" s="70">
        <v>132.9</v>
      </c>
      <c r="H88" s="70">
        <v>131.4</v>
      </c>
      <c r="I88" s="70">
        <v>129.6</v>
      </c>
      <c r="J88" s="70">
        <v>132.80000000000001</v>
      </c>
      <c r="K88" s="70">
        <v>131.1</v>
      </c>
      <c r="L88" s="70">
        <v>130.4</v>
      </c>
      <c r="M88" s="70">
        <v>128.69999999999999</v>
      </c>
      <c r="N88" s="70">
        <v>124.3</v>
      </c>
      <c r="O88" s="70">
        <v>125.4</v>
      </c>
      <c r="P88" s="70">
        <v>123.9</v>
      </c>
      <c r="Q88" s="70">
        <v>128.9</v>
      </c>
      <c r="R88" s="70">
        <v>127.6</v>
      </c>
      <c r="S88" s="70">
        <v>127</v>
      </c>
      <c r="T88" s="70">
        <v>132</v>
      </c>
      <c r="U88" s="70">
        <v>126</v>
      </c>
      <c r="V88" s="70">
        <v>126</v>
      </c>
      <c r="W88" s="70">
        <v>126</v>
      </c>
      <c r="X88" s="70">
        <v>133</v>
      </c>
      <c r="Y88" s="70">
        <v>133</v>
      </c>
      <c r="Z88" s="70">
        <v>133</v>
      </c>
      <c r="AA88" s="70">
        <v>133</v>
      </c>
      <c r="AB88" s="70"/>
      <c r="AC88" s="70"/>
      <c r="AD88" s="70">
        <v>129</v>
      </c>
      <c r="AE88" s="70">
        <v>131</v>
      </c>
      <c r="AF88" s="70">
        <v>131</v>
      </c>
      <c r="AG88" s="93"/>
      <c r="AH88" s="54">
        <f t="shared" si="11"/>
        <v>133</v>
      </c>
      <c r="AI88" s="55">
        <f t="shared" si="12"/>
        <v>123.9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133.69999999999999</v>
      </c>
      <c r="C89" s="95">
        <v>133.69999999999999</v>
      </c>
      <c r="D89" s="95">
        <v>134.30000000000001</v>
      </c>
      <c r="E89" s="95">
        <v>132.30000000000001</v>
      </c>
      <c r="F89" s="95">
        <v>132.30000000000001</v>
      </c>
      <c r="G89" s="95">
        <v>134.80000000000001</v>
      </c>
      <c r="H89" s="95">
        <v>133.9</v>
      </c>
      <c r="I89" s="95">
        <v>133</v>
      </c>
      <c r="J89" s="95">
        <v>134.30000000000001</v>
      </c>
      <c r="K89" s="95">
        <v>132.4</v>
      </c>
      <c r="L89" s="95">
        <v>131.69999999999999</v>
      </c>
      <c r="M89" s="95">
        <v>130</v>
      </c>
      <c r="N89" s="95">
        <v>129.4</v>
      </c>
      <c r="O89" s="95">
        <v>131.69999999999999</v>
      </c>
      <c r="P89" s="95">
        <v>134</v>
      </c>
      <c r="Q89" s="95">
        <v>132.9</v>
      </c>
      <c r="R89" s="95">
        <v>131.69999999999999</v>
      </c>
      <c r="S89" s="95">
        <v>131</v>
      </c>
      <c r="T89" s="95">
        <v>128</v>
      </c>
      <c r="U89" s="95">
        <v>131</v>
      </c>
      <c r="V89" s="95">
        <v>131</v>
      </c>
      <c r="W89" s="95">
        <v>131</v>
      </c>
      <c r="X89" s="95">
        <v>135</v>
      </c>
      <c r="Y89" s="95">
        <v>135</v>
      </c>
      <c r="Z89" s="95">
        <v>135</v>
      </c>
      <c r="AA89" s="95">
        <v>135</v>
      </c>
      <c r="AB89" s="95">
        <v>135</v>
      </c>
      <c r="AC89" s="95">
        <v>133</v>
      </c>
      <c r="AD89" s="95">
        <v>133</v>
      </c>
      <c r="AE89" s="95">
        <v>132</v>
      </c>
      <c r="AF89" s="95">
        <v>132</v>
      </c>
      <c r="AG89" s="96"/>
      <c r="AH89" s="54">
        <f t="shared" si="11"/>
        <v>135</v>
      </c>
      <c r="AI89" s="55">
        <f t="shared" si="12"/>
        <v>128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135.19999999999999</v>
      </c>
      <c r="C90" s="70">
        <v>136</v>
      </c>
      <c r="D90" s="70">
        <v>135.5</v>
      </c>
      <c r="E90" s="70">
        <v>135.5</v>
      </c>
      <c r="F90" s="70">
        <v>135.5</v>
      </c>
      <c r="G90" s="70">
        <v>138.9</v>
      </c>
      <c r="H90" s="70">
        <v>136</v>
      </c>
      <c r="I90" s="70">
        <v>133.69999999999999</v>
      </c>
      <c r="J90" s="70">
        <v>134.5</v>
      </c>
      <c r="K90" s="70">
        <v>130.1</v>
      </c>
      <c r="L90" s="70">
        <v>130.5</v>
      </c>
      <c r="M90" s="70">
        <v>129.6</v>
      </c>
      <c r="N90" s="70">
        <v>125</v>
      </c>
      <c r="O90" s="70">
        <v>124.3</v>
      </c>
      <c r="P90" s="70">
        <v>124.6</v>
      </c>
      <c r="Q90" s="70">
        <v>127.5</v>
      </c>
      <c r="R90" s="70">
        <v>127.7</v>
      </c>
      <c r="S90" s="70">
        <v>125</v>
      </c>
      <c r="T90" s="70">
        <v>132</v>
      </c>
      <c r="U90" s="70">
        <v>122</v>
      </c>
      <c r="V90" s="70">
        <v>122</v>
      </c>
      <c r="W90" s="70">
        <v>122</v>
      </c>
      <c r="X90" s="70">
        <v>133</v>
      </c>
      <c r="Y90" s="70">
        <v>133</v>
      </c>
      <c r="Z90" s="70">
        <v>133</v>
      </c>
      <c r="AA90" s="70">
        <v>133</v>
      </c>
      <c r="AB90" s="70">
        <v>127</v>
      </c>
      <c r="AC90" s="70">
        <v>126</v>
      </c>
      <c r="AD90" s="70">
        <v>126</v>
      </c>
      <c r="AE90" s="70">
        <v>126</v>
      </c>
      <c r="AF90" s="70">
        <v>126</v>
      </c>
      <c r="AG90" s="93"/>
      <c r="AH90" s="54">
        <f t="shared" si="11"/>
        <v>138.9</v>
      </c>
      <c r="AI90" s="55">
        <f t="shared" si="12"/>
        <v>122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65.8</v>
      </c>
      <c r="C91" s="97">
        <v>65.7</v>
      </c>
      <c r="D91" s="97">
        <v>65.7</v>
      </c>
      <c r="E91" s="97">
        <v>65.5</v>
      </c>
      <c r="F91" s="97">
        <v>65.5</v>
      </c>
      <c r="G91" s="97">
        <v>65.400000000000006</v>
      </c>
      <c r="H91" s="97">
        <v>65.5</v>
      </c>
      <c r="I91" s="97">
        <v>64.7</v>
      </c>
      <c r="J91" s="97">
        <v>65</v>
      </c>
      <c r="K91" s="97">
        <v>64.3</v>
      </c>
      <c r="L91" s="97">
        <v>64.5</v>
      </c>
      <c r="M91" s="97">
        <v>64.2</v>
      </c>
      <c r="N91" s="97">
        <v>63.3</v>
      </c>
      <c r="O91" s="97">
        <v>63.3</v>
      </c>
      <c r="P91" s="97">
        <v>62.4</v>
      </c>
      <c r="Q91" s="97">
        <v>62.4</v>
      </c>
      <c r="R91" s="97">
        <v>62.6</v>
      </c>
      <c r="S91" s="97">
        <v>62</v>
      </c>
      <c r="T91" s="97">
        <v>63</v>
      </c>
      <c r="U91" s="97">
        <v>63.6</v>
      </c>
      <c r="V91" s="97">
        <v>63.6</v>
      </c>
      <c r="W91" s="97">
        <v>63.6</v>
      </c>
      <c r="X91" s="97">
        <v>65</v>
      </c>
      <c r="Y91" s="97">
        <v>65</v>
      </c>
      <c r="Z91" s="97">
        <v>64.7</v>
      </c>
      <c r="AA91" s="97">
        <v>64.7</v>
      </c>
      <c r="AB91" s="97">
        <v>64.7</v>
      </c>
      <c r="AC91" s="97">
        <v>65</v>
      </c>
      <c r="AD91" s="97">
        <v>65</v>
      </c>
      <c r="AE91" s="97">
        <v>65.5</v>
      </c>
      <c r="AF91" s="97">
        <v>65.5</v>
      </c>
      <c r="AG91" s="98"/>
      <c r="AH91" s="54">
        <f t="shared" si="11"/>
        <v>65.8</v>
      </c>
      <c r="AI91" s="55">
        <f t="shared" si="12"/>
        <v>62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143.53999999999996</v>
      </c>
      <c r="C93" s="103">
        <f t="shared" si="15"/>
        <v>133.43999999999997</v>
      </c>
      <c r="D93" s="103">
        <f t="shared" si="15"/>
        <v>129.13999999999996</v>
      </c>
      <c r="E93" s="103">
        <f t="shared" si="15"/>
        <v>129.84</v>
      </c>
      <c r="F93" s="103">
        <f t="shared" si="15"/>
        <v>132.13999999999999</v>
      </c>
      <c r="G93" s="103">
        <f t="shared" si="15"/>
        <v>160.63999999999996</v>
      </c>
      <c r="H93" s="103">
        <f t="shared" si="15"/>
        <v>185.93999999999994</v>
      </c>
      <c r="I93" s="103">
        <f t="shared" si="15"/>
        <v>229.83999999999995</v>
      </c>
      <c r="J93" s="103">
        <f t="shared" si="15"/>
        <v>267.44</v>
      </c>
      <c r="K93" s="103">
        <f t="shared" si="15"/>
        <v>287.84000000000003</v>
      </c>
      <c r="L93" s="103">
        <f t="shared" si="15"/>
        <v>297.34000000000003</v>
      </c>
      <c r="M93" s="103">
        <f>SUM(M15,M18,M21:M22,M42,M44:M45,M47,M49,M94:M97,M103,M109,M115,M124,M126,M138,M145,M148:M149,M156,M158,M160,M164:M166,M168:M170,M175,M181:M182,M184:M186,M194,M199)</f>
        <v>305.34000000000003</v>
      </c>
      <c r="N93" s="103">
        <f>SUM(N15,N18,N21:N22,N42,N44:N45,N47,N49,N94:N97,N103,N109,N115,N124,N126,N138,N145,N148:N149,N156,N158,N160,N164:N166,N168:N170,N175,N181:N182,N184:N186,N194,N199)</f>
        <v>291.54000000000008</v>
      </c>
      <c r="O93" s="103">
        <f t="shared" si="15"/>
        <v>290.54000000000002</v>
      </c>
      <c r="P93" s="103">
        <f t="shared" si="15"/>
        <v>278.84000000000009</v>
      </c>
      <c r="Q93" s="103">
        <f t="shared" si="15"/>
        <v>275.94000000000005</v>
      </c>
      <c r="R93" s="103">
        <f t="shared" si="15"/>
        <v>280.14</v>
      </c>
      <c r="S93" s="103">
        <f t="shared" si="15"/>
        <v>294.34000000000003</v>
      </c>
      <c r="T93" s="103">
        <f t="shared" si="15"/>
        <v>306.34000000000003</v>
      </c>
      <c r="U93" s="103">
        <f t="shared" si="15"/>
        <v>306.34000000000003</v>
      </c>
      <c r="V93" s="103">
        <f t="shared" si="15"/>
        <v>296.14000000000004</v>
      </c>
      <c r="W93" s="103">
        <f>SUM(W15,W18,W21:W22,W42,W44:W45,W47,W49,W94:W97,W103,W109,W115,W124,W126,W138,W145,W148:W149,W156,W158,W160,W164:W166,W168:W170,W175,W181:W182,W184:W186,W194,W199)</f>
        <v>306.14000000000004</v>
      </c>
      <c r="X93" s="103">
        <f>SUM(X15,X18,X21:X22,X42,X44:X45,X47,X49,X94:X97,X103,X109,X115,X124,X126,X138,X145,X148:X149,X156,X158,X160,X164:X166,X168:X170,X175,X181:X182,X184:X186,X194,X199)</f>
        <v>302.14000000000004</v>
      </c>
      <c r="Y93" s="103">
        <f t="shared" si="15"/>
        <v>326.14000000000004</v>
      </c>
      <c r="Z93" s="103">
        <f t="shared" si="15"/>
        <v>351.14000000000004</v>
      </c>
      <c r="AA93" s="103">
        <f t="shared" si="15"/>
        <v>351.14000000000004</v>
      </c>
      <c r="AB93" s="103">
        <f t="shared" si="15"/>
        <v>339.54000000000008</v>
      </c>
      <c r="AC93" s="103">
        <f t="shared" si="15"/>
        <v>322.94000000000005</v>
      </c>
      <c r="AD93" s="103">
        <f t="shared" si="15"/>
        <v>278.14000000000004</v>
      </c>
      <c r="AE93" s="103">
        <f t="shared" si="15"/>
        <v>230.74</v>
      </c>
      <c r="AF93" s="103">
        <f t="shared" si="15"/>
        <v>169.64</v>
      </c>
      <c r="AG93" s="104"/>
      <c r="AH93" s="54">
        <f>MAX(C93:AF93)</f>
        <v>351.14000000000004</v>
      </c>
      <c r="AI93" s="55">
        <f>MIN(C93:AF93)</f>
        <v>129.13999999999996</v>
      </c>
    </row>
    <row r="94" spans="1:88" x14ac:dyDescent="0.25">
      <c r="A94" s="105" t="s">
        <v>99</v>
      </c>
      <c r="B94" s="106">
        <v>37.299999999999997</v>
      </c>
      <c r="C94" s="106">
        <v>35</v>
      </c>
      <c r="D94" s="106">
        <v>33.6</v>
      </c>
      <c r="E94" s="106">
        <v>19.5</v>
      </c>
      <c r="F94" s="106">
        <v>19.5</v>
      </c>
      <c r="G94" s="106">
        <v>19.7</v>
      </c>
      <c r="H94" s="106">
        <v>19.2</v>
      </c>
      <c r="I94" s="106">
        <v>29.1</v>
      </c>
      <c r="J94" s="106">
        <v>32.4</v>
      </c>
      <c r="K94" s="106">
        <v>20.100000000000001</v>
      </c>
      <c r="L94" s="106">
        <v>26.7</v>
      </c>
      <c r="M94" s="106">
        <v>32.299999999999997</v>
      </c>
      <c r="N94" s="106">
        <v>36.1</v>
      </c>
      <c r="O94" s="106">
        <v>37.799999999999997</v>
      </c>
      <c r="P94" s="106">
        <v>38.700000000000003</v>
      </c>
      <c r="Q94" s="106">
        <v>39.1</v>
      </c>
      <c r="R94" s="106">
        <v>35.799999999999997</v>
      </c>
      <c r="S94" s="106">
        <v>31</v>
      </c>
      <c r="T94" s="106">
        <v>25</v>
      </c>
      <c r="U94" s="106">
        <v>21</v>
      </c>
      <c r="V94" s="106">
        <v>27</v>
      </c>
      <c r="W94" s="106">
        <v>23</v>
      </c>
      <c r="X94" s="106">
        <v>29</v>
      </c>
      <c r="Y94" s="106">
        <v>29</v>
      </c>
      <c r="Z94" s="106">
        <v>23</v>
      </c>
      <c r="AA94" s="106">
        <v>23</v>
      </c>
      <c r="AB94" s="106">
        <v>35.9</v>
      </c>
      <c r="AC94" s="106">
        <v>33</v>
      </c>
      <c r="AD94" s="106">
        <v>16.8</v>
      </c>
      <c r="AE94" s="106">
        <v>22</v>
      </c>
      <c r="AF94" s="106">
        <v>23.7</v>
      </c>
      <c r="AG94" s="107">
        <v>75</v>
      </c>
      <c r="AH94" s="54">
        <f t="shared" ref="AH94:AH100" si="16">IF(ABS(MAX(C94:AF94))&gt;ABS(MIN(C94:AF94)),MAX(C94:AF94),MIN(C94:AF94))</f>
        <v>39.1</v>
      </c>
      <c r="AI94" s="108">
        <f t="shared" ref="AI94:AI100" si="17">INDEX($C$9:$AF$9,1,MATCH(AH94,C94:AF94,0))</f>
        <v>0.5</v>
      </c>
    </row>
    <row r="95" spans="1:88" x14ac:dyDescent="0.25">
      <c r="A95" s="109" t="s">
        <v>100</v>
      </c>
      <c r="B95" s="110">
        <f>-57.4-64.5</f>
        <v>-121.9</v>
      </c>
      <c r="C95" s="110">
        <f>-57.4-64.5</f>
        <v>-121.9</v>
      </c>
      <c r="D95" s="110">
        <f>-58.3-66</f>
        <v>-124.3</v>
      </c>
      <c r="E95" s="110">
        <v>-118</v>
      </c>
      <c r="F95" s="110">
        <v>-112</v>
      </c>
      <c r="G95" s="110">
        <f>-46.2-52.5</f>
        <v>-98.7</v>
      </c>
      <c r="H95" s="110">
        <v>-78</v>
      </c>
      <c r="I95" s="110">
        <v>-46</v>
      </c>
      <c r="J95" s="110">
        <v>-58</v>
      </c>
      <c r="K95" s="110">
        <v>-54</v>
      </c>
      <c r="L95" s="110">
        <v>-58</v>
      </c>
      <c r="M95" s="110">
        <v>-50</v>
      </c>
      <c r="N95" s="110">
        <v>-58.2</v>
      </c>
      <c r="O95" s="110">
        <v>-63.2</v>
      </c>
      <c r="P95" s="110">
        <v>-74</v>
      </c>
      <c r="Q95" s="110">
        <v>-74</v>
      </c>
      <c r="R95" s="110">
        <v>-74</v>
      </c>
      <c r="S95" s="110">
        <v>-64</v>
      </c>
      <c r="T95" s="110">
        <v>-56</v>
      </c>
      <c r="U95" s="110">
        <v>-50</v>
      </c>
      <c r="V95" s="110">
        <v>-56</v>
      </c>
      <c r="W95" s="110">
        <v>-50</v>
      </c>
      <c r="X95" s="110">
        <v>-48</v>
      </c>
      <c r="Y95" s="110">
        <v>-35</v>
      </c>
      <c r="Z95" s="110">
        <v>-24</v>
      </c>
      <c r="AA95" s="110">
        <v>-24</v>
      </c>
      <c r="AB95" s="110">
        <v>-46</v>
      </c>
      <c r="AC95" s="110">
        <v>-46</v>
      </c>
      <c r="AD95" s="110">
        <v>-65</v>
      </c>
      <c r="AE95" s="110">
        <v>-84</v>
      </c>
      <c r="AF95" s="110">
        <v>-105</v>
      </c>
      <c r="AG95" s="107">
        <v>240</v>
      </c>
      <c r="AH95" s="54">
        <f t="shared" si="16"/>
        <v>-124.3</v>
      </c>
      <c r="AI95" s="108">
        <f t="shared" si="17"/>
        <v>8.3333333333333301E-2</v>
      </c>
    </row>
    <row r="96" spans="1:88" x14ac:dyDescent="0.25">
      <c r="A96" s="109" t="s">
        <v>101</v>
      </c>
      <c r="B96" s="110">
        <v>16.8</v>
      </c>
      <c r="C96" s="110">
        <v>15.8</v>
      </c>
      <c r="D96" s="110">
        <v>17.8</v>
      </c>
      <c r="E96" s="110">
        <v>10.199999999999999</v>
      </c>
      <c r="F96" s="110">
        <v>6.5</v>
      </c>
      <c r="G96" s="110">
        <v>21.1</v>
      </c>
      <c r="H96" s="110">
        <v>25.2</v>
      </c>
      <c r="I96" s="110">
        <v>27.2</v>
      </c>
      <c r="J96" s="110">
        <v>24.5</v>
      </c>
      <c r="K96" s="110">
        <v>34.299999999999997</v>
      </c>
      <c r="L96" s="110">
        <v>31.4</v>
      </c>
      <c r="M96" s="110">
        <v>30.4</v>
      </c>
      <c r="N96" s="110">
        <v>22.9</v>
      </c>
      <c r="O96" s="110">
        <v>25.5</v>
      </c>
      <c r="P96" s="110">
        <v>23.8</v>
      </c>
      <c r="Q96" s="110">
        <v>22.1</v>
      </c>
      <c r="R96" s="110">
        <v>23</v>
      </c>
      <c r="S96" s="110">
        <v>22</v>
      </c>
      <c r="T96" s="110">
        <v>32</v>
      </c>
      <c r="U96" s="110">
        <v>32</v>
      </c>
      <c r="V96" s="110">
        <v>30</v>
      </c>
      <c r="W96" s="110">
        <v>34</v>
      </c>
      <c r="X96" s="110">
        <v>45</v>
      </c>
      <c r="Y96" s="110">
        <v>50</v>
      </c>
      <c r="Z96" s="110">
        <v>52</v>
      </c>
      <c r="AA96" s="110">
        <v>52</v>
      </c>
      <c r="AB96" s="110">
        <v>44.5</v>
      </c>
      <c r="AC96" s="110">
        <v>45.9</v>
      </c>
      <c r="AD96" s="110">
        <v>46.8</v>
      </c>
      <c r="AE96" s="110">
        <v>46</v>
      </c>
      <c r="AF96" s="110">
        <v>30.7</v>
      </c>
      <c r="AG96" s="107">
        <v>60</v>
      </c>
      <c r="AH96" s="54">
        <f t="shared" si="16"/>
        <v>52</v>
      </c>
      <c r="AI96" s="108">
        <f t="shared" si="17"/>
        <v>0.79166666666666663</v>
      </c>
    </row>
    <row r="97" spans="1:37" x14ac:dyDescent="0.25">
      <c r="A97" s="111" t="s">
        <v>102</v>
      </c>
      <c r="B97" s="112">
        <v>12.4</v>
      </c>
      <c r="C97" s="112">
        <v>5.6</v>
      </c>
      <c r="D97" s="112">
        <v>3.1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48.1</v>
      </c>
      <c r="K97" s="112">
        <v>67</v>
      </c>
      <c r="L97" s="112">
        <v>72.900000000000006</v>
      </c>
      <c r="M97" s="112">
        <v>68.3</v>
      </c>
      <c r="N97" s="112">
        <v>65.5</v>
      </c>
      <c r="O97" s="112">
        <v>65.099999999999994</v>
      </c>
      <c r="P97" s="112">
        <v>65</v>
      </c>
      <c r="Q97" s="112">
        <v>63.4</v>
      </c>
      <c r="R97" s="112">
        <v>70</v>
      </c>
      <c r="S97" s="112">
        <v>80</v>
      </c>
      <c r="T97" s="112">
        <v>80</v>
      </c>
      <c r="U97" s="112">
        <v>78</v>
      </c>
      <c r="V97" s="112">
        <v>74</v>
      </c>
      <c r="W97" s="112">
        <v>78</v>
      </c>
      <c r="X97" s="112">
        <v>55</v>
      </c>
      <c r="Y97" s="112">
        <v>61</v>
      </c>
      <c r="Z97" s="112">
        <v>79</v>
      </c>
      <c r="AA97" s="112">
        <v>79</v>
      </c>
      <c r="AB97" s="112">
        <v>84</v>
      </c>
      <c r="AC97" s="112">
        <v>70.2</v>
      </c>
      <c r="AD97" s="112">
        <v>59.7</v>
      </c>
      <c r="AE97" s="112">
        <v>26.5</v>
      </c>
      <c r="AF97" s="112">
        <v>0</v>
      </c>
      <c r="AG97" s="113">
        <v>120</v>
      </c>
      <c r="AH97" s="54">
        <f t="shared" si="16"/>
        <v>84</v>
      </c>
      <c r="AI97" s="108">
        <f t="shared" si="17"/>
        <v>0.83333333333333337</v>
      </c>
    </row>
    <row r="98" spans="1:37" x14ac:dyDescent="0.25">
      <c r="A98" s="111" t="s">
        <v>103</v>
      </c>
      <c r="B98" s="112">
        <v>39</v>
      </c>
      <c r="C98" s="112">
        <v>31.3</v>
      </c>
      <c r="D98" s="112">
        <v>35.200000000000003</v>
      </c>
      <c r="E98" s="112">
        <v>55</v>
      </c>
      <c r="F98" s="112">
        <v>71.400000000000006</v>
      </c>
      <c r="G98" s="112">
        <v>60.1</v>
      </c>
      <c r="H98" s="112">
        <v>62.1</v>
      </c>
      <c r="I98" s="112">
        <v>79.099999999999994</v>
      </c>
      <c r="J98" s="112">
        <v>67.8</v>
      </c>
      <c r="K98" s="112">
        <v>80.599999999999994</v>
      </c>
      <c r="L98" s="112">
        <v>85.7</v>
      </c>
      <c r="M98" s="112">
        <v>83.7</v>
      </c>
      <c r="N98" s="112">
        <v>83.2</v>
      </c>
      <c r="O98" s="112">
        <v>83.8</v>
      </c>
      <c r="P98" s="112">
        <v>90.8</v>
      </c>
      <c r="Q98" s="112">
        <v>88</v>
      </c>
      <c r="R98" s="112">
        <v>89</v>
      </c>
      <c r="S98" s="112">
        <v>97</v>
      </c>
      <c r="T98" s="112">
        <v>96</v>
      </c>
      <c r="U98" s="112">
        <v>84</v>
      </c>
      <c r="V98" s="112">
        <v>90</v>
      </c>
      <c r="W98" s="112">
        <v>93</v>
      </c>
      <c r="X98" s="112">
        <v>70</v>
      </c>
      <c r="Y98" s="112">
        <v>75</v>
      </c>
      <c r="Z98" s="112">
        <v>76</v>
      </c>
      <c r="AA98" s="112">
        <v>76</v>
      </c>
      <c r="AB98" s="112">
        <v>83</v>
      </c>
      <c r="AC98" s="112">
        <v>73</v>
      </c>
      <c r="AD98" s="112">
        <v>71.900000000000006</v>
      </c>
      <c r="AE98" s="112">
        <v>54.9</v>
      </c>
      <c r="AF98" s="112">
        <v>51</v>
      </c>
      <c r="AG98" s="113"/>
      <c r="AH98" s="54">
        <f t="shared" si="16"/>
        <v>97</v>
      </c>
      <c r="AI98" s="108">
        <f t="shared" si="17"/>
        <v>0.58333333333333304</v>
      </c>
    </row>
    <row r="99" spans="1:37" x14ac:dyDescent="0.25">
      <c r="A99" s="111" t="s">
        <v>104</v>
      </c>
      <c r="B99" s="112">
        <v>62.3</v>
      </c>
      <c r="C99" s="112">
        <v>61.6</v>
      </c>
      <c r="D99" s="112">
        <v>64</v>
      </c>
      <c r="E99" s="112">
        <v>76.7</v>
      </c>
      <c r="F99" s="112">
        <v>81.3</v>
      </c>
      <c r="G99" s="112">
        <v>79</v>
      </c>
      <c r="H99" s="112">
        <v>76.099999999999994</v>
      </c>
      <c r="I99" s="112">
        <v>79.599999999999994</v>
      </c>
      <c r="J99" s="112">
        <v>72</v>
      </c>
      <c r="K99" s="112">
        <v>79.5</v>
      </c>
      <c r="L99" s="112">
        <v>73.099999999999994</v>
      </c>
      <c r="M99" s="112">
        <v>73.5</v>
      </c>
      <c r="N99" s="112">
        <v>73.2</v>
      </c>
      <c r="O99" s="112">
        <v>65.599999999999994</v>
      </c>
      <c r="P99" s="112">
        <v>62.3</v>
      </c>
      <c r="Q99" s="112">
        <v>59</v>
      </c>
      <c r="R99" s="112">
        <v>63</v>
      </c>
      <c r="S99" s="112">
        <v>70</v>
      </c>
      <c r="T99" s="112">
        <v>74</v>
      </c>
      <c r="U99" s="112">
        <v>76</v>
      </c>
      <c r="V99" s="112">
        <v>70</v>
      </c>
      <c r="W99" s="112">
        <v>71</v>
      </c>
      <c r="X99" s="112">
        <v>68</v>
      </c>
      <c r="Y99" s="112">
        <v>70</v>
      </c>
      <c r="Z99" s="112">
        <v>75</v>
      </c>
      <c r="AA99" s="112">
        <v>75</v>
      </c>
      <c r="AB99" s="112">
        <v>76.7</v>
      </c>
      <c r="AC99" s="112">
        <v>70.400000000000006</v>
      </c>
      <c r="AD99" s="112">
        <v>73</v>
      </c>
      <c r="AE99" s="112">
        <v>61.5</v>
      </c>
      <c r="AF99" s="112">
        <v>63</v>
      </c>
      <c r="AG99" s="114"/>
      <c r="AH99" s="54">
        <f t="shared" si="16"/>
        <v>81.3</v>
      </c>
      <c r="AI99" s="108">
        <f t="shared" si="17"/>
        <v>0.16666666666666699</v>
      </c>
    </row>
    <row r="100" spans="1:37" ht="15.75" thickBot="1" x14ac:dyDescent="0.3">
      <c r="A100" s="115" t="s">
        <v>105</v>
      </c>
      <c r="B100" s="95">
        <v>86</v>
      </c>
      <c r="C100" s="95">
        <v>85</v>
      </c>
      <c r="D100" s="95">
        <v>85</v>
      </c>
      <c r="E100" s="95">
        <v>79.900000000000006</v>
      </c>
      <c r="F100" s="95">
        <v>74</v>
      </c>
      <c r="G100" s="95">
        <v>67</v>
      </c>
      <c r="H100" s="95">
        <v>55.5</v>
      </c>
      <c r="I100" s="95">
        <v>60.9</v>
      </c>
      <c r="J100" s="95">
        <v>61.5</v>
      </c>
      <c r="K100" s="95">
        <v>68.3</v>
      </c>
      <c r="L100" s="95">
        <v>70.900000000000006</v>
      </c>
      <c r="M100" s="95">
        <v>71.2</v>
      </c>
      <c r="N100" s="95">
        <v>72.599999999999994</v>
      </c>
      <c r="O100" s="95">
        <v>78.7</v>
      </c>
      <c r="P100" s="95">
        <v>73</v>
      </c>
      <c r="Q100" s="95">
        <v>73</v>
      </c>
      <c r="R100" s="95">
        <v>77</v>
      </c>
      <c r="S100" s="95">
        <v>74</v>
      </c>
      <c r="T100" s="95">
        <v>70</v>
      </c>
      <c r="U100" s="95">
        <v>75</v>
      </c>
      <c r="V100" s="95">
        <v>73</v>
      </c>
      <c r="W100" s="95">
        <v>76</v>
      </c>
      <c r="X100" s="95">
        <v>62</v>
      </c>
      <c r="Y100" s="95">
        <v>67</v>
      </c>
      <c r="Z100" s="95">
        <v>63</v>
      </c>
      <c r="AA100" s="95">
        <v>63</v>
      </c>
      <c r="AB100" s="95">
        <v>61.9</v>
      </c>
      <c r="AC100" s="95">
        <v>60.1</v>
      </c>
      <c r="AD100" s="95">
        <v>70.3</v>
      </c>
      <c r="AE100" s="95">
        <v>71.7</v>
      </c>
      <c r="AF100" s="95">
        <v>76.5</v>
      </c>
      <c r="AG100" s="114"/>
      <c r="AH100" s="54">
        <f t="shared" si="16"/>
        <v>85</v>
      </c>
      <c r="AI100" s="108">
        <f t="shared" si="17"/>
        <v>4.1666666666666664E-2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 t="s">
        <v>231</v>
      </c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1442.7400000000002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13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2079/02/13)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2079/02/13)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1395.44</v>
      </c>
      <c r="U214" s="161">
        <f t="shared" si="54"/>
        <v>1329.3399999999997</v>
      </c>
      <c r="V214" s="161">
        <f t="shared" si="54"/>
        <v>1331.1399999999999</v>
      </c>
      <c r="W214" s="161">
        <f t="shared" si="54"/>
        <v>1289.54</v>
      </c>
      <c r="X214" s="161">
        <f t="shared" si="54"/>
        <v>1268.1400000000001</v>
      </c>
      <c r="Y214" s="161">
        <f t="shared" si="54"/>
        <v>1264.54</v>
      </c>
      <c r="Z214" s="161">
        <f t="shared" si="54"/>
        <v>1245.24</v>
      </c>
      <c r="AA214" s="161">
        <f t="shared" si="54"/>
        <v>1262.8399999999999</v>
      </c>
      <c r="AB214" s="161">
        <f t="shared" si="54"/>
        <v>1324.14</v>
      </c>
      <c r="AC214" s="161">
        <f t="shared" si="54"/>
        <v>1406.1400000000003</v>
      </c>
      <c r="AD214" s="161">
        <f t="shared" si="54"/>
        <v>1429.44</v>
      </c>
      <c r="AE214" s="161">
        <f t="shared" si="54"/>
        <v>1442.7400000000002</v>
      </c>
      <c r="AF214" s="161">
        <f t="shared" si="54"/>
        <v>1429.24</v>
      </c>
      <c r="AG214" s="161">
        <f t="shared" si="54"/>
        <v>1457.24</v>
      </c>
      <c r="AH214" s="161">
        <f t="shared" si="54"/>
        <v>1467.8400000000001</v>
      </c>
      <c r="AI214" s="161">
        <f t="shared" si="54"/>
        <v>1452.8400000000001</v>
      </c>
      <c r="AJ214" s="161">
        <f t="shared" si="54"/>
        <v>1460.2400000000002</v>
      </c>
      <c r="AK214" s="161">
        <f t="shared" si="54"/>
        <v>1496.2400000000002</v>
      </c>
      <c r="AL214" s="161">
        <f t="shared" si="54"/>
        <v>1494.04</v>
      </c>
      <c r="AM214" s="161">
        <f t="shared" si="54"/>
        <v>1488.94</v>
      </c>
      <c r="AN214" s="161">
        <f t="shared" si="54"/>
        <v>1457.74</v>
      </c>
      <c r="AO214" s="161">
        <f t="shared" si="54"/>
        <v>1485.1399999999999</v>
      </c>
      <c r="AP214" s="161">
        <f t="shared" si="54"/>
        <v>1436.54</v>
      </c>
      <c r="AQ214" s="161">
        <f t="shared" si="54"/>
        <v>1436.8400000000001</v>
      </c>
      <c r="AR214" s="161">
        <f t="shared" si="54"/>
        <v>1486.7400000000002</v>
      </c>
      <c r="AS214" s="161">
        <f t="shared" si="54"/>
        <v>1529.3400000000001</v>
      </c>
      <c r="AT214" s="161">
        <f t="shared" si="54"/>
        <v>1522.7400000000002</v>
      </c>
      <c r="AU214" s="161">
        <f t="shared" si="54"/>
        <v>1516.7400000000002</v>
      </c>
      <c r="AV214" s="161">
        <f t="shared" si="54"/>
        <v>1500.04</v>
      </c>
      <c r="AW214" s="161">
        <f t="shared" si="54"/>
        <v>1444.2400000000002</v>
      </c>
      <c r="AX214" s="161">
        <f t="shared" si="54"/>
        <v>1371.2400000000002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V11:AF11 C94:AF100">
    <cfRule type="expression" dxfId="3653" priority="202">
      <formula>B$9&gt;=20/24</formula>
    </cfRule>
    <cfRule type="expression" dxfId="3652" priority="203">
      <formula>AND(B$9&gt;=14/24,B$9&lt;20/24)</formula>
    </cfRule>
    <cfRule type="expression" dxfId="3651" priority="204">
      <formula>AND(B$9&gt;=8/24,B$9&lt;14/24)</formula>
    </cfRule>
    <cfRule type="expression" dxfId="3650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G51 J11:AF11">
    <cfRule type="expression" dxfId="3649" priority="196">
      <formula>J11&gt;$AG11</formula>
    </cfRule>
  </conditionalFormatting>
  <conditionalFormatting sqref="A101:A157 A84:A97 A11:A14 A16:A32 A45:A72 A80:A82 A74:A78 A35:A43 A170:A200">
    <cfRule type="expression" dxfId="3648" priority="195">
      <formula>$AH11=0</formula>
    </cfRule>
  </conditionalFormatting>
  <conditionalFormatting sqref="A98">
    <cfRule type="expression" dxfId="3647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646" priority="192">
      <formula>$AH34=0</formula>
    </cfRule>
  </conditionalFormatting>
  <conditionalFormatting sqref="A83">
    <cfRule type="expression" dxfId="3645" priority="191">
      <formula>$AH83=0</formula>
    </cfRule>
  </conditionalFormatting>
  <conditionalFormatting sqref="A15">
    <cfRule type="expression" dxfId="3644" priority="190">
      <formula>$AH15=0</formula>
    </cfRule>
  </conditionalFormatting>
  <conditionalFormatting sqref="A164:A169">
    <cfRule type="expression" dxfId="3643" priority="189">
      <formula>$AH164=0</formula>
    </cfRule>
  </conditionalFormatting>
  <conditionalFormatting sqref="A158:A163">
    <cfRule type="expression" dxfId="3642" priority="188">
      <formula>$AH158=0</formula>
    </cfRule>
  </conditionalFormatting>
  <conditionalFormatting sqref="A44">
    <cfRule type="expression" dxfId="3641" priority="187">
      <formula>$AH44=0</formula>
    </cfRule>
  </conditionalFormatting>
  <conditionalFormatting sqref="A79">
    <cfRule type="expression" dxfId="3640" priority="186">
      <formula>$AH79=0</formula>
    </cfRule>
  </conditionalFormatting>
  <conditionalFormatting sqref="A73">
    <cfRule type="expression" dxfId="3639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638" priority="181">
      <formula>C$9&gt;=20/24</formula>
    </cfRule>
    <cfRule type="expression" dxfId="3637" priority="182">
      <formula>AND(C$9&gt;=14/24,C$9&lt;20/24)</formula>
    </cfRule>
    <cfRule type="expression" dxfId="3636" priority="183">
      <formula>AND(C$9&gt;=8/24,C$9&lt;14/24)</formula>
    </cfRule>
    <cfRule type="expression" dxfId="3635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34" priority="209">
      <formula>C$9&gt;=20/24</formula>
    </cfRule>
    <cfRule type="expression" dxfId="3633" priority="210">
      <formula>AND(C$9&gt;=14/24,C$9&lt;20/24)</formula>
    </cfRule>
    <cfRule type="expression" dxfId="3632" priority="211">
      <formula>AND(C$9&gt;=8/24,C$9&lt;14/24)</formula>
    </cfRule>
    <cfRule type="expression" dxfId="3631" priority="212">
      <formula>C$9&lt;8/24</formula>
    </cfRule>
  </conditionalFormatting>
  <conditionalFormatting sqref="A201">
    <cfRule type="expression" dxfId="3630" priority="213">
      <formula>$AH201=0</formula>
    </cfRule>
  </conditionalFormatting>
  <conditionalFormatting sqref="AG213">
    <cfRule type="expression" dxfId="3629" priority="214">
      <formula>B$9&gt;=20/24</formula>
    </cfRule>
    <cfRule type="expression" dxfId="3628" priority="215">
      <formula>AND(B$9&gt;=14/24,B$9&lt;20/24)</formula>
    </cfRule>
    <cfRule type="expression" dxfId="3627" priority="216">
      <formula>AND(B$9&gt;=8/24,B$9&lt;14/24)</formula>
    </cfRule>
    <cfRule type="expression" dxfId="3626" priority="217">
      <formula>B$9&lt;8/24</formula>
    </cfRule>
  </conditionalFormatting>
  <conditionalFormatting sqref="S8">
    <cfRule type="expression" dxfId="3625" priority="175">
      <formula>U$9&gt;=20/24</formula>
    </cfRule>
    <cfRule type="expression" dxfId="3624" priority="176">
      <formula>AND(U$9&gt;=14/24,U$9&lt;20/24)</formula>
    </cfRule>
    <cfRule type="expression" dxfId="3623" priority="177">
      <formula>AND(U$9&gt;=8/24,U$9&lt;14/24)</formula>
    </cfRule>
    <cfRule type="expression" dxfId="3622" priority="178">
      <formula>U$9&lt;8/24</formula>
    </cfRule>
  </conditionalFormatting>
  <conditionalFormatting sqref="AB8">
    <cfRule type="expression" dxfId="3621" priority="171">
      <formula>AD$9&gt;=20/24</formula>
    </cfRule>
    <cfRule type="expression" dxfId="3620" priority="172">
      <formula>AND(AD$9&gt;=14/24,AD$9&lt;20/24)</formula>
    </cfRule>
    <cfRule type="expression" dxfId="3619" priority="173">
      <formula>AND(AD$9&gt;=8/24,AD$9&lt;14/24)</formula>
    </cfRule>
    <cfRule type="expression" dxfId="3618" priority="174">
      <formula>AD$9&lt;8/24</formula>
    </cfRule>
  </conditionalFormatting>
  <conditionalFormatting sqref="AH213:AX213">
    <cfRule type="expression" dxfId="3617" priority="218">
      <formula>AG$9&gt;=20/24</formula>
    </cfRule>
    <cfRule type="expression" dxfId="3616" priority="219">
      <formula>AND(AG$9&gt;=14/24,AG$9&lt;20/24)</formula>
    </cfRule>
    <cfRule type="expression" dxfId="3615" priority="220">
      <formula>AND(AG$9&gt;=8/24,AG$9&lt;14/24)</formula>
    </cfRule>
    <cfRule type="expression" dxfId="3614" priority="221">
      <formula>AG$9&lt;8/24</formula>
    </cfRule>
  </conditionalFormatting>
  <conditionalFormatting sqref="T213">
    <cfRule type="expression" dxfId="3613" priority="222">
      <formula>AX$9&gt;=20/24</formula>
    </cfRule>
    <cfRule type="expression" dxfId="3612" priority="223">
      <formula>AND(AX$9&gt;=14/24,AX$9&lt;20/24)</formula>
    </cfRule>
    <cfRule type="expression" dxfId="3611" priority="224">
      <formula>AND(AX$9&gt;=8/24,AX$9&lt;14/24)</formula>
    </cfRule>
    <cfRule type="expression" dxfId="3610" priority="225">
      <formula>AX$9&lt;8/24</formula>
    </cfRule>
  </conditionalFormatting>
  <conditionalFormatting sqref="A99:A100">
    <cfRule type="expression" dxfId="3609" priority="170">
      <formula>$AH99=0</formula>
    </cfRule>
  </conditionalFormatting>
  <conditionalFormatting sqref="E11:I11 E40:L41 D57:AF57 AA40:AF41">
    <cfRule type="expression" dxfId="3608" priority="166">
      <formula>D$9&gt;=20/24</formula>
    </cfRule>
    <cfRule type="expression" dxfId="3607" priority="167">
      <formula>AND(D$9&gt;=14/24,D$9&lt;20/24)</formula>
    </cfRule>
    <cfRule type="expression" dxfId="3606" priority="168">
      <formula>AND(D$9&gt;=8/24,D$9&lt;14/24)</formula>
    </cfRule>
    <cfRule type="expression" dxfId="3605" priority="169">
      <formula>D$9&lt;8/24</formula>
    </cfRule>
  </conditionalFormatting>
  <conditionalFormatting sqref="E39:L39 V39:W39 Y39:AF39">
    <cfRule type="expression" dxfId="3604" priority="162">
      <formula>E$9&gt;=20/24</formula>
    </cfRule>
    <cfRule type="expression" dxfId="3603" priority="163">
      <formula>AND(E$9&gt;=14/24,E$9&lt;20/24)</formula>
    </cfRule>
    <cfRule type="expression" dxfId="3602" priority="164">
      <formula>AND(E$9&gt;=8/24,E$9&lt;14/24)</formula>
    </cfRule>
    <cfRule type="expression" dxfId="3601" priority="165">
      <formula>E$9&lt;8/24</formula>
    </cfRule>
  </conditionalFormatting>
  <conditionalFormatting sqref="E11:I11 E39:L41 Y39:AC39 V39:W39 AA40:AC41 AD39:AF41">
    <cfRule type="expression" dxfId="3600" priority="161">
      <formula>E11&gt;$AG11</formula>
    </cfRule>
  </conditionalFormatting>
  <conditionalFormatting sqref="M11:P11 C83:AF83 C75:AF81 D58:R59 C68:AF73 K61:M62 D60:M60 M63:M67 E12:P14 Q11:R14 N60:R67 M36:AF36 M16:AF16 M28:AF31 M18:AF22 M24:AF26 S12:AF14 C53:AF56 S58:AF67 C85:AF91">
    <cfRule type="expression" dxfId="3599" priority="157">
      <formula>C$9&gt;=20/24</formula>
    </cfRule>
    <cfRule type="expression" dxfId="3598" priority="158">
      <formula>AND(C$9&gt;=14/24,C$9&lt;20/24)</formula>
    </cfRule>
    <cfRule type="expression" dxfId="3597" priority="159">
      <formula>AND(C$9&gt;=8/24,C$9&lt;14/24)</formula>
    </cfRule>
    <cfRule type="expression" dxfId="3596" priority="160">
      <formula>C$9&lt;8/24</formula>
    </cfRule>
  </conditionalFormatting>
  <conditionalFormatting sqref="M32:AF32">
    <cfRule type="expression" dxfId="3595" priority="153">
      <formula>M$9&gt;=20/24</formula>
    </cfRule>
    <cfRule type="expression" dxfId="3594" priority="154">
      <formula>AND(M$9&gt;=14/24,M$9&lt;20/24)</formula>
    </cfRule>
    <cfRule type="expression" dxfId="3593" priority="155">
      <formula>AND(M$9&gt;=8/24,M$9&lt;14/24)</formula>
    </cfRule>
    <cfRule type="expression" dxfId="3592" priority="156">
      <formula>M$9&lt;8/24</formula>
    </cfRule>
  </conditionalFormatting>
  <conditionalFormatting sqref="M35:AF35">
    <cfRule type="expression" dxfId="3591" priority="149">
      <formula>M$9&gt;=20/24</formula>
    </cfRule>
    <cfRule type="expression" dxfId="3590" priority="150">
      <formula>AND(M$9&gt;=14/24,M$9&lt;20/24)</formula>
    </cfRule>
    <cfRule type="expression" dxfId="3589" priority="151">
      <formula>AND(M$9&gt;=8/24,M$9&lt;14/24)</formula>
    </cfRule>
    <cfRule type="expression" dxfId="3588" priority="152">
      <formula>M$9&lt;8/24</formula>
    </cfRule>
  </conditionalFormatting>
  <conditionalFormatting sqref="M11:P11 C38:AF38 E42:L43 E37:R37 L44 M16:O16 E12:P13 E14:O15 P14:P16 M34:R36 Q11:R16 M18:AF22 M24:AF32 S34:AF37 S12:AF16 C51:AF56">
    <cfRule type="expression" dxfId="3587" priority="148">
      <formula>C11&gt;$AG11</formula>
    </cfRule>
  </conditionalFormatting>
  <conditionalFormatting sqref="M34:AF34">
    <cfRule type="expression" dxfId="3586" priority="144">
      <formula>M$9&gt;=20/24</formula>
    </cfRule>
    <cfRule type="expression" dxfId="3585" priority="145">
      <formula>AND(M$9&gt;=14/24,M$9&lt;20/24)</formula>
    </cfRule>
    <cfRule type="expression" dxfId="3584" priority="146">
      <formula>AND(M$9&gt;=8/24,M$9&lt;14/24)</formula>
    </cfRule>
    <cfRule type="expression" dxfId="3583" priority="147">
      <formula>M$9&lt;8/24</formula>
    </cfRule>
  </conditionalFormatting>
  <conditionalFormatting sqref="E15:AF15">
    <cfRule type="expression" dxfId="3582" priority="140">
      <formula>E$9&gt;=20/24</formula>
    </cfRule>
    <cfRule type="expression" dxfId="3581" priority="141">
      <formula>AND(E$9&gt;=14/24,E$9&lt;20/24)</formula>
    </cfRule>
    <cfRule type="expression" dxfId="3580" priority="142">
      <formula>AND(E$9&gt;=8/24,E$9&lt;14/24)</formula>
    </cfRule>
    <cfRule type="expression" dxfId="3579" priority="143">
      <formula>E$9&lt;8/24</formula>
    </cfRule>
  </conditionalFormatting>
  <conditionalFormatting sqref="M33:AF33">
    <cfRule type="expression" dxfId="3578" priority="136">
      <formula>M$9&gt;=20/24</formula>
    </cfRule>
    <cfRule type="expression" dxfId="3577" priority="137">
      <formula>AND(M$9&gt;=14/24,M$9&lt;20/24)</formula>
    </cfRule>
    <cfRule type="expression" dxfId="3576" priority="138">
      <formula>AND(M$9&gt;=8/24,M$9&lt;14/24)</formula>
    </cfRule>
    <cfRule type="expression" dxfId="3575" priority="139">
      <formula>M$9&lt;8/24</formula>
    </cfRule>
  </conditionalFormatting>
  <conditionalFormatting sqref="M33:AF33">
    <cfRule type="expression" dxfId="3574" priority="135">
      <formula>M33&gt;$AG33</formula>
    </cfRule>
  </conditionalFormatting>
  <conditionalFormatting sqref="S11:U11">
    <cfRule type="expression" dxfId="3573" priority="131">
      <formula>S$9&gt;=20/24</formula>
    </cfRule>
    <cfRule type="expression" dxfId="3572" priority="132">
      <formula>AND(S$9&gt;=14/24,S$9&lt;20/24)</formula>
    </cfRule>
    <cfRule type="expression" dxfId="3571" priority="133">
      <formula>AND(S$9&gt;=8/24,S$9&lt;14/24)</formula>
    </cfRule>
    <cfRule type="expression" dxfId="3570" priority="134">
      <formula>S$9&lt;8/24</formula>
    </cfRule>
  </conditionalFormatting>
  <conditionalFormatting sqref="M39:U50 V40:W50 X42:AF50">
    <cfRule type="expression" dxfId="3569" priority="122">
      <formula>M$9&gt;=20/24</formula>
    </cfRule>
    <cfRule type="expression" dxfId="3568" priority="123">
      <formula>AND(M$9&gt;=14/24,M$9&lt;20/24)</formula>
    </cfRule>
    <cfRule type="expression" dxfId="3567" priority="124">
      <formula>AND(M$9&gt;=8/24,M$9&lt;14/24)</formula>
    </cfRule>
    <cfRule type="expression" dxfId="3566" priority="125">
      <formula>M$9&lt;8/24</formula>
    </cfRule>
  </conditionalFormatting>
  <conditionalFormatting sqref="M39:U50 V40:W50 X42:AF50">
    <cfRule type="expression" dxfId="3565" priority="121">
      <formula>M39&gt;$AG39</formula>
    </cfRule>
  </conditionalFormatting>
  <conditionalFormatting sqref="M27:AF27">
    <cfRule type="expression" dxfId="3564" priority="117">
      <formula>M$9&gt;=20/24</formula>
    </cfRule>
    <cfRule type="expression" dxfId="3563" priority="118">
      <formula>AND(M$9&gt;=14/24,M$9&lt;20/24)</formula>
    </cfRule>
    <cfRule type="expression" dxfId="3562" priority="119">
      <formula>AND(M$9&gt;=8/24,M$9&lt;14/24)</formula>
    </cfRule>
    <cfRule type="expression" dxfId="3561" priority="120">
      <formula>M$9&lt;8/24</formula>
    </cfRule>
  </conditionalFormatting>
  <conditionalFormatting sqref="C74:I74 C11:D11 M17:AF17 M23:AF23">
    <cfRule type="expression" dxfId="3560" priority="113">
      <formula>C$9&gt;=20/24</formula>
    </cfRule>
    <cfRule type="expression" dxfId="3559" priority="114">
      <formula>AND(C$9&gt;=14/24,C$9&lt;20/24)</formula>
    </cfRule>
    <cfRule type="expression" dxfId="3558" priority="115">
      <formula>AND(C$9&gt;=8/24,C$9&lt;14/24)</formula>
    </cfRule>
    <cfRule type="expression" dxfId="3557" priority="116">
      <formula>C$9&lt;8/24</formula>
    </cfRule>
  </conditionalFormatting>
  <conditionalFormatting sqref="C11:D11 M17:AF17 M23:AF23">
    <cfRule type="expression" dxfId="3556" priority="104">
      <formula>C11&gt;$AG11</formula>
    </cfRule>
  </conditionalFormatting>
  <conditionalFormatting sqref="E44:K45 L45">
    <cfRule type="expression" dxfId="3555" priority="73">
      <formula>E$9&gt;=20/24</formula>
    </cfRule>
    <cfRule type="expression" dxfId="3554" priority="74">
      <formula>AND(E$9&gt;=14/24,E$9&lt;20/24)</formula>
    </cfRule>
    <cfRule type="expression" dxfId="3553" priority="75">
      <formula>AND(E$9&gt;=8/24,E$9&lt;14/24)</formula>
    </cfRule>
    <cfRule type="expression" dxfId="3552" priority="76">
      <formula>E$9&lt;8/24</formula>
    </cfRule>
  </conditionalFormatting>
  <conditionalFormatting sqref="E44:K45 L45">
    <cfRule type="expression" dxfId="3551" priority="72">
      <formula>E44&gt;$AG44</formula>
    </cfRule>
  </conditionalFormatting>
  <conditionalFormatting sqref="X40:Z41">
    <cfRule type="expression" dxfId="3550" priority="68">
      <formula>X$9&gt;=20/24</formula>
    </cfRule>
    <cfRule type="expression" dxfId="3549" priority="69">
      <formula>AND(X$9&gt;=14/24,X$9&lt;20/24)</formula>
    </cfRule>
    <cfRule type="expression" dxfId="3548" priority="70">
      <formula>AND(X$9&gt;=8/24,X$9&lt;14/24)</formula>
    </cfRule>
    <cfRule type="expression" dxfId="3547" priority="71">
      <formula>X$9&lt;8/24</formula>
    </cfRule>
  </conditionalFormatting>
  <conditionalFormatting sqref="X39">
    <cfRule type="expression" dxfId="3546" priority="64">
      <formula>X$9&gt;=20/24</formula>
    </cfRule>
    <cfRule type="expression" dxfId="3545" priority="65">
      <formula>AND(X$9&gt;=14/24,X$9&lt;20/24)</formula>
    </cfRule>
    <cfRule type="expression" dxfId="3544" priority="66">
      <formula>AND(X$9&gt;=8/24,X$9&lt;14/24)</formula>
    </cfRule>
    <cfRule type="expression" dxfId="3543" priority="67">
      <formula>X$9&lt;8/24</formula>
    </cfRule>
  </conditionalFormatting>
  <conditionalFormatting sqref="X39:X41 Y40:Z41">
    <cfRule type="expression" dxfId="3542" priority="63">
      <formula>X39&gt;$AG39</formula>
    </cfRule>
  </conditionalFormatting>
  <conditionalFormatting sqref="B82 B74 B94:B100 B11">
    <cfRule type="expression" dxfId="3541" priority="59">
      <formula>B$9&gt;=20/24</formula>
    </cfRule>
    <cfRule type="expression" dxfId="3540" priority="60">
      <formula>AND(B$9&gt;=14/24,B$9&lt;20/24)</formula>
    </cfRule>
    <cfRule type="expression" dxfId="3539" priority="61">
      <formula>AND(B$9&gt;=8/24,B$9&lt;14/24)</formula>
    </cfRule>
    <cfRule type="expression" dxfId="3538" priority="62">
      <formula>B$9&lt;8/24</formula>
    </cfRule>
  </conditionalFormatting>
  <conditionalFormatting sqref="B37:D37">
    <cfRule type="expression" dxfId="3537" priority="55">
      <formula>B$9&gt;=20/24</formula>
    </cfRule>
    <cfRule type="expression" dxfId="3536" priority="56">
      <formula>AND(B$9&gt;=14/24,B$9&lt;20/24)</formula>
    </cfRule>
    <cfRule type="expression" dxfId="3535" priority="57">
      <formula>AND(B$9&gt;=8/24,B$9&lt;14/24)</formula>
    </cfRule>
    <cfRule type="expression" dxfId="3534" priority="58">
      <formula>B$9&lt;8/24</formula>
    </cfRule>
  </conditionalFormatting>
  <conditionalFormatting sqref="B11 B37:D37">
    <cfRule type="expression" dxfId="3533" priority="54">
      <formula>B11&gt;$AG11</formula>
    </cfRule>
  </conditionalFormatting>
  <conditionalFormatting sqref="B84">
    <cfRule type="expression" dxfId="3532" priority="50">
      <formula>B$9&gt;=20/24</formula>
    </cfRule>
    <cfRule type="expression" dxfId="3531" priority="51">
      <formula>AND(B$9&gt;=14/24,B$9&lt;20/24)</formula>
    </cfRule>
    <cfRule type="expression" dxfId="3530" priority="52">
      <formula>AND(B$9&gt;=8/24,B$9&lt;14/24)</formula>
    </cfRule>
    <cfRule type="expression" dxfId="3529" priority="53">
      <formula>B$9&lt;8/24</formula>
    </cfRule>
  </conditionalFormatting>
  <conditionalFormatting sqref="B57:C57 B40:D41 B36:L36">
    <cfRule type="expression" dxfId="3528" priority="46">
      <formula>B$9&gt;=20/24</formula>
    </cfRule>
    <cfRule type="expression" dxfId="3527" priority="47">
      <formula>AND(B$9&gt;=14/24,B$9&lt;20/24)</formula>
    </cfRule>
    <cfRule type="expression" dxfId="3526" priority="48">
      <formula>AND(B$9&gt;=8/24,B$9&lt;14/24)</formula>
    </cfRule>
    <cfRule type="expression" dxfId="3525" priority="49">
      <formula>B$9&lt;8/24</formula>
    </cfRule>
  </conditionalFormatting>
  <conditionalFormatting sqref="B39:D39">
    <cfRule type="expression" dxfId="3524" priority="42">
      <formula>B$9&gt;=20/24</formula>
    </cfRule>
    <cfRule type="expression" dxfId="3523" priority="43">
      <formula>AND(B$9&gt;=14/24,B$9&lt;20/24)</formula>
    </cfRule>
    <cfRule type="expression" dxfId="3522" priority="44">
      <formula>AND(B$9&gt;=8/24,B$9&lt;14/24)</formula>
    </cfRule>
    <cfRule type="expression" dxfId="3521" priority="45">
      <formula>B$9&lt;8/24</formula>
    </cfRule>
  </conditionalFormatting>
  <conditionalFormatting sqref="B39:D41 B36:L36">
    <cfRule type="expression" dxfId="3520" priority="41">
      <formula>B36&gt;$AG36</formula>
    </cfRule>
  </conditionalFormatting>
  <conditionalFormatting sqref="B83 B75:B81 B85:B91 B53:B56 B58:B73 C58:C67 B12:D14 D61:J67 B16:L16 B28:L31 B18:L22 B24:L26 K63:L67">
    <cfRule type="expression" dxfId="3519" priority="37">
      <formula>B$9&gt;=20/24</formula>
    </cfRule>
    <cfRule type="expression" dxfId="3518" priority="38">
      <formula>AND(B$9&gt;=14/24,B$9&lt;20/24)</formula>
    </cfRule>
    <cfRule type="expression" dxfId="3517" priority="39">
      <formula>AND(B$9&gt;=8/24,B$9&lt;14/24)</formula>
    </cfRule>
    <cfRule type="expression" dxfId="3516" priority="40">
      <formula>B$9&lt;8/24</formula>
    </cfRule>
  </conditionalFormatting>
  <conditionalFormatting sqref="B32:L32">
    <cfRule type="expression" dxfId="3515" priority="33">
      <formula>B$9&gt;=20/24</formula>
    </cfRule>
    <cfRule type="expression" dxfId="3514" priority="34">
      <formula>AND(B$9&gt;=14/24,B$9&lt;20/24)</formula>
    </cfRule>
    <cfRule type="expression" dxfId="3513" priority="35">
      <formula>AND(B$9&gt;=8/24,B$9&lt;14/24)</formula>
    </cfRule>
    <cfRule type="expression" dxfId="3512" priority="36">
      <formula>B$9&lt;8/24</formula>
    </cfRule>
  </conditionalFormatting>
  <conditionalFormatting sqref="B35:L35">
    <cfRule type="expression" dxfId="3511" priority="29">
      <formula>B$9&gt;=20/24</formula>
    </cfRule>
    <cfRule type="expression" dxfId="3510" priority="30">
      <formula>AND(B$9&gt;=14/24,B$9&lt;20/24)</formula>
    </cfRule>
    <cfRule type="expression" dxfId="3509" priority="31">
      <formula>AND(B$9&gt;=8/24,B$9&lt;14/24)</formula>
    </cfRule>
    <cfRule type="expression" dxfId="3508" priority="32">
      <formula>B$9&lt;8/24</formula>
    </cfRule>
  </conditionalFormatting>
  <conditionalFormatting sqref="B38 B51:B56 B12:D16 B42:D43 B34:L35 E16:L16 B18:L22 B24:L32">
    <cfRule type="expression" dxfId="3507" priority="28">
      <formula>B12&gt;$AG12</formula>
    </cfRule>
  </conditionalFormatting>
  <conditionalFormatting sqref="B34:L34">
    <cfRule type="expression" dxfId="3506" priority="24">
      <formula>B$9&gt;=20/24</formula>
    </cfRule>
    <cfRule type="expression" dxfId="3505" priority="25">
      <formula>AND(B$9&gt;=14/24,B$9&lt;20/24)</formula>
    </cfRule>
    <cfRule type="expression" dxfId="3504" priority="26">
      <formula>AND(B$9&gt;=8/24,B$9&lt;14/24)</formula>
    </cfRule>
    <cfRule type="expression" dxfId="3503" priority="27">
      <formula>B$9&lt;8/24</formula>
    </cfRule>
  </conditionalFormatting>
  <conditionalFormatting sqref="B15:D15">
    <cfRule type="expression" dxfId="3502" priority="20">
      <formula>B$9&gt;=20/24</formula>
    </cfRule>
    <cfRule type="expression" dxfId="3501" priority="21">
      <formula>AND(B$9&gt;=14/24,B$9&lt;20/24)</formula>
    </cfRule>
    <cfRule type="expression" dxfId="3500" priority="22">
      <formula>AND(B$9&gt;=8/24,B$9&lt;14/24)</formula>
    </cfRule>
    <cfRule type="expression" dxfId="3499" priority="23">
      <formula>B$9&lt;8/24</formula>
    </cfRule>
  </conditionalFormatting>
  <conditionalFormatting sqref="B33:L33">
    <cfRule type="expression" dxfId="3498" priority="16">
      <formula>B$9&gt;=20/24</formula>
    </cfRule>
    <cfRule type="expression" dxfId="3497" priority="17">
      <formula>AND(B$9&gt;=14/24,B$9&lt;20/24)</formula>
    </cfRule>
    <cfRule type="expression" dxfId="3496" priority="18">
      <formula>AND(B$9&gt;=8/24,B$9&lt;14/24)</formula>
    </cfRule>
    <cfRule type="expression" dxfId="3495" priority="19">
      <formula>B$9&lt;8/24</formula>
    </cfRule>
  </conditionalFormatting>
  <conditionalFormatting sqref="B33:L33">
    <cfRule type="expression" dxfId="3494" priority="15">
      <formula>B33&gt;$AG33</formula>
    </cfRule>
  </conditionalFormatting>
  <conditionalFormatting sqref="B44:D50 E46:L50">
    <cfRule type="expression" dxfId="3493" priority="11">
      <formula>B$9&gt;=20/24</formula>
    </cfRule>
    <cfRule type="expression" dxfId="3492" priority="12">
      <formula>AND(B$9&gt;=14/24,B$9&lt;20/24)</formula>
    </cfRule>
    <cfRule type="expression" dxfId="3491" priority="13">
      <formula>AND(B$9&gt;=8/24,B$9&lt;14/24)</formula>
    </cfRule>
    <cfRule type="expression" dxfId="3490" priority="14">
      <formula>B$9&lt;8/24</formula>
    </cfRule>
  </conditionalFormatting>
  <conditionalFormatting sqref="B44:D50 E46:L50">
    <cfRule type="expression" dxfId="3489" priority="10">
      <formula>B44&gt;$AG44</formula>
    </cfRule>
  </conditionalFormatting>
  <conditionalFormatting sqref="B27:L27">
    <cfRule type="expression" dxfId="3488" priority="6">
      <formula>B$9&gt;=20/24</formula>
    </cfRule>
    <cfRule type="expression" dxfId="3487" priority="7">
      <formula>AND(B$9&gt;=14/24,B$9&lt;20/24)</formula>
    </cfRule>
    <cfRule type="expression" dxfId="3486" priority="8">
      <formula>AND(B$9&gt;=8/24,B$9&lt;14/24)</formula>
    </cfRule>
    <cfRule type="expression" dxfId="3485" priority="9">
      <formula>B$9&lt;8/24</formula>
    </cfRule>
  </conditionalFormatting>
  <conditionalFormatting sqref="B17:L17 B23:L23">
    <cfRule type="expression" dxfId="3484" priority="2">
      <formula>B$9&gt;=20/24</formula>
    </cfRule>
    <cfRule type="expression" dxfId="3483" priority="3">
      <formula>AND(B$9&gt;=14/24,B$9&lt;20/24)</formula>
    </cfRule>
    <cfRule type="expression" dxfId="3482" priority="4">
      <formula>AND(B$9&gt;=8/24,B$9&lt;14/24)</formula>
    </cfRule>
    <cfRule type="expression" dxfId="3481" priority="5">
      <formula>B$9&lt;8/24</formula>
    </cfRule>
  </conditionalFormatting>
  <conditionalFormatting sqref="B17:L17 B23:L23">
    <cfRule type="expression" dxfId="3480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642A72FF-E9EE-4936-B15C-15D64AD4C7D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7" activePane="bottomRight" state="frozen"/>
      <selection activeCell="AF88" sqref="AF88"/>
      <selection pane="topRight" activeCell="AF88" sqref="AF88"/>
      <selection pane="bottomLeft" activeCell="AF88" sqref="AF88"/>
      <selection pane="bottomRight" activeCell="AF99" sqref="AF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2079/02/14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112</v>
      </c>
      <c r="C5" s="32">
        <f t="shared" si="0"/>
        <v>94</v>
      </c>
      <c r="D5" s="32">
        <f t="shared" si="0"/>
        <v>109</v>
      </c>
      <c r="E5" s="32">
        <f t="shared" si="0"/>
        <v>148</v>
      </c>
      <c r="F5" s="32">
        <f t="shared" si="0"/>
        <v>164</v>
      </c>
      <c r="G5" s="32">
        <f t="shared" si="0"/>
        <v>169</v>
      </c>
      <c r="H5" s="32">
        <f t="shared" si="0"/>
        <v>171</v>
      </c>
      <c r="I5" s="32">
        <f t="shared" si="0"/>
        <v>187</v>
      </c>
      <c r="J5" s="32">
        <f t="shared" si="0"/>
        <v>218</v>
      </c>
      <c r="K5" s="32">
        <f t="shared" si="0"/>
        <v>211.6</v>
      </c>
      <c r="L5" s="32">
        <f t="shared" si="0"/>
        <v>217.7</v>
      </c>
      <c r="M5" s="32">
        <f t="shared" si="0"/>
        <v>231.7</v>
      </c>
      <c r="N5" s="32">
        <f t="shared" si="0"/>
        <v>235</v>
      </c>
      <c r="O5" s="32">
        <f t="shared" si="0"/>
        <v>242.2</v>
      </c>
      <c r="P5" s="32">
        <f t="shared" si="0"/>
        <v>242.7</v>
      </c>
      <c r="Q5" s="32">
        <f t="shared" si="0"/>
        <v>244</v>
      </c>
      <c r="R5" s="32">
        <f t="shared" si="0"/>
        <v>154</v>
      </c>
      <c r="S5" s="32">
        <f t="shared" si="0"/>
        <v>120</v>
      </c>
      <c r="T5" s="32">
        <f t="shared" si="0"/>
        <v>146</v>
      </c>
      <c r="U5" s="32">
        <f t="shared" si="0"/>
        <v>135</v>
      </c>
      <c r="V5" s="32">
        <f t="shared" si="0"/>
        <v>110</v>
      </c>
      <c r="W5" s="32">
        <f t="shared" si="0"/>
        <v>118</v>
      </c>
      <c r="X5" s="32">
        <f t="shared" si="0"/>
        <v>110</v>
      </c>
      <c r="Y5" s="32">
        <f t="shared" si="0"/>
        <v>121</v>
      </c>
      <c r="Z5" s="32">
        <f t="shared" si="0"/>
        <v>128</v>
      </c>
      <c r="AA5" s="32">
        <f t="shared" si="0"/>
        <v>86</v>
      </c>
      <c r="AB5" s="32">
        <f t="shared" si="0"/>
        <v>108</v>
      </c>
      <c r="AC5" s="32">
        <f t="shared" si="0"/>
        <v>132</v>
      </c>
      <c r="AD5" s="32">
        <f t="shared" si="0"/>
        <v>120</v>
      </c>
      <c r="AE5" s="32">
        <f t="shared" si="0"/>
        <v>93</v>
      </c>
      <c r="AF5" s="32">
        <f>B68</f>
        <v>172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1330MW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Load=1249</v>
      </c>
      <c r="B7" s="37">
        <f>B75</f>
        <v>1385.64</v>
      </c>
      <c r="C7" s="37">
        <f t="shared" ref="C7:AF7" si="1">C75</f>
        <v>1383.44</v>
      </c>
      <c r="D7" s="37">
        <f t="shared" si="1"/>
        <v>1328.44</v>
      </c>
      <c r="E7" s="37">
        <f t="shared" si="1"/>
        <v>1309.44</v>
      </c>
      <c r="F7" s="37">
        <f t="shared" si="1"/>
        <v>1299.44</v>
      </c>
      <c r="G7" s="37">
        <f t="shared" si="1"/>
        <v>1295.44</v>
      </c>
      <c r="H7" s="37">
        <f t="shared" si="1"/>
        <v>1270.44</v>
      </c>
      <c r="I7" s="37">
        <f t="shared" si="1"/>
        <v>1272.44</v>
      </c>
      <c r="J7" s="37">
        <f t="shared" si="1"/>
        <v>1253.44</v>
      </c>
      <c r="K7" s="37">
        <f t="shared" si="1"/>
        <v>1307.2400000000002</v>
      </c>
      <c r="L7" s="37">
        <f t="shared" si="1"/>
        <v>1330.04</v>
      </c>
      <c r="M7" s="37">
        <f t="shared" si="1"/>
        <v>1306.54</v>
      </c>
      <c r="N7" s="37">
        <f t="shared" si="1"/>
        <v>1324.8400000000001</v>
      </c>
      <c r="O7" s="37">
        <f t="shared" si="1"/>
        <v>1334.0400000000002</v>
      </c>
      <c r="P7" s="37">
        <f t="shared" si="1"/>
        <v>1316.94</v>
      </c>
      <c r="Q7" s="37">
        <f t="shared" si="1"/>
        <v>1302.2400000000002</v>
      </c>
      <c r="R7" s="37">
        <f t="shared" si="1"/>
        <v>1289.5400000000002</v>
      </c>
      <c r="S7" s="37">
        <f t="shared" si="1"/>
        <v>1296.44</v>
      </c>
      <c r="T7" s="37">
        <f t="shared" si="1"/>
        <v>1322.44</v>
      </c>
      <c r="U7" s="37">
        <f t="shared" si="1"/>
        <v>1326.8400000000001</v>
      </c>
      <c r="V7" s="37">
        <f t="shared" si="1"/>
        <v>1302.94</v>
      </c>
      <c r="W7" s="37">
        <f t="shared" si="1"/>
        <v>1249.3400000000001</v>
      </c>
      <c r="X7" s="37">
        <f t="shared" si="1"/>
        <v>1291.6399999999999</v>
      </c>
      <c r="Y7" s="37">
        <f t="shared" si="1"/>
        <v>1306.04</v>
      </c>
      <c r="Z7" s="37">
        <f t="shared" si="1"/>
        <v>1352.8400000000001</v>
      </c>
      <c r="AA7" s="37">
        <f t="shared" si="1"/>
        <v>1520.8</v>
      </c>
      <c r="AB7" s="37">
        <f t="shared" si="1"/>
        <v>1526.04</v>
      </c>
      <c r="AC7" s="37">
        <f t="shared" si="1"/>
        <v>1517.94</v>
      </c>
      <c r="AD7" s="37">
        <f t="shared" si="1"/>
        <v>1521.94</v>
      </c>
      <c r="AE7" s="37">
        <f t="shared" si="1"/>
        <v>1431.3400000000001</v>
      </c>
      <c r="AF7" s="37">
        <f t="shared" si="1"/>
        <v>1291.8399999999999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170</v>
      </c>
      <c r="C11" s="50">
        <v>212</v>
      </c>
      <c r="D11" s="50">
        <v>200</v>
      </c>
      <c r="E11" s="51">
        <v>180</v>
      </c>
      <c r="F11" s="51">
        <v>170</v>
      </c>
      <c r="G11" s="51">
        <v>150</v>
      </c>
      <c r="H11" s="51">
        <v>120</v>
      </c>
      <c r="I11" s="51">
        <v>120</v>
      </c>
      <c r="J11" s="52">
        <v>91</v>
      </c>
      <c r="K11" s="52">
        <v>70</v>
      </c>
      <c r="L11" s="52">
        <v>90</v>
      </c>
      <c r="M11" s="51">
        <v>85</v>
      </c>
      <c r="N11" s="51">
        <v>150</v>
      </c>
      <c r="O11" s="51">
        <v>140</v>
      </c>
      <c r="P11" s="51">
        <v>120</v>
      </c>
      <c r="Q11" s="51">
        <v>100</v>
      </c>
      <c r="R11" s="51">
        <v>70</v>
      </c>
      <c r="S11" s="49">
        <v>190</v>
      </c>
      <c r="T11" s="49">
        <v>180</v>
      </c>
      <c r="U11" s="49">
        <v>170</v>
      </c>
      <c r="V11" s="49">
        <v>140</v>
      </c>
      <c r="W11" s="49">
        <v>150</v>
      </c>
      <c r="X11" s="49">
        <v>170</v>
      </c>
      <c r="Y11" s="49">
        <v>220</v>
      </c>
      <c r="Z11" s="49">
        <v>260</v>
      </c>
      <c r="AA11" s="49">
        <v>365</v>
      </c>
      <c r="AB11" s="49">
        <v>410</v>
      </c>
      <c r="AC11" s="49">
        <v>390</v>
      </c>
      <c r="AD11" s="49">
        <v>370</v>
      </c>
      <c r="AE11" s="49">
        <v>300</v>
      </c>
      <c r="AF11" s="49">
        <v>160</v>
      </c>
      <c r="AG11" s="53">
        <v>456</v>
      </c>
      <c r="AH11" s="54">
        <f>MAX(B11:AF11)</f>
        <v>410</v>
      </c>
      <c r="AI11" s="55">
        <f>MIN(B11:AF11)</f>
        <v>70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45</v>
      </c>
      <c r="C12" s="51">
        <v>45</v>
      </c>
      <c r="D12" s="51">
        <v>45</v>
      </c>
      <c r="E12" s="51">
        <v>45</v>
      </c>
      <c r="F12" s="51">
        <v>45</v>
      </c>
      <c r="G12" s="51">
        <v>45</v>
      </c>
      <c r="H12" s="51">
        <v>45</v>
      </c>
      <c r="I12" s="51">
        <v>45</v>
      </c>
      <c r="J12" s="51">
        <v>45</v>
      </c>
      <c r="K12" s="51">
        <v>45</v>
      </c>
      <c r="L12" s="51">
        <v>45</v>
      </c>
      <c r="M12" s="51">
        <v>45</v>
      </c>
      <c r="N12" s="51">
        <v>45</v>
      </c>
      <c r="O12" s="51">
        <v>45</v>
      </c>
      <c r="P12" s="51">
        <v>45</v>
      </c>
      <c r="Q12" s="51">
        <v>45</v>
      </c>
      <c r="R12" s="51">
        <v>45</v>
      </c>
      <c r="S12" s="51">
        <v>38</v>
      </c>
      <c r="T12" s="51">
        <v>38</v>
      </c>
      <c r="U12" s="51">
        <v>26</v>
      </c>
      <c r="V12" s="51">
        <v>26</v>
      </c>
      <c r="W12" s="51">
        <v>26</v>
      </c>
      <c r="X12" s="51">
        <v>29</v>
      </c>
      <c r="Y12" s="51">
        <v>29</v>
      </c>
      <c r="Z12" s="51">
        <v>29</v>
      </c>
      <c r="AA12" s="51">
        <v>39</v>
      </c>
      <c r="AB12" s="51">
        <v>39</v>
      </c>
      <c r="AC12" s="51">
        <v>39</v>
      </c>
      <c r="AD12" s="51">
        <v>39</v>
      </c>
      <c r="AE12" s="51">
        <v>39</v>
      </c>
      <c r="AF12" s="51">
        <v>39</v>
      </c>
      <c r="AG12" s="58">
        <v>60</v>
      </c>
      <c r="AH12" s="54">
        <f t="shared" ref="AH12:AH75" si="2">MAX(B12:AF12)</f>
        <v>45</v>
      </c>
      <c r="AI12" s="55">
        <f t="shared" ref="AI12:AI75" si="3">MIN(B12:AF12)</f>
        <v>26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19</v>
      </c>
      <c r="C13" s="51">
        <v>19.8</v>
      </c>
      <c r="D13" s="51">
        <v>19.8</v>
      </c>
      <c r="E13" s="51">
        <v>19.8</v>
      </c>
      <c r="F13" s="51">
        <v>19.8</v>
      </c>
      <c r="G13" s="51">
        <v>19.8</v>
      </c>
      <c r="H13" s="51">
        <v>19.8</v>
      </c>
      <c r="I13" s="51">
        <v>19.8</v>
      </c>
      <c r="J13" s="51">
        <v>19.8</v>
      </c>
      <c r="K13" s="51">
        <v>19.8</v>
      </c>
      <c r="L13" s="51">
        <v>19.8</v>
      </c>
      <c r="M13" s="51">
        <v>26.9</v>
      </c>
      <c r="N13" s="51">
        <v>26.9</v>
      </c>
      <c r="O13" s="51">
        <v>26.9</v>
      </c>
      <c r="P13" s="51">
        <v>26.9</v>
      </c>
      <c r="Q13" s="51">
        <v>26.9</v>
      </c>
      <c r="R13" s="51">
        <v>26.9</v>
      </c>
      <c r="S13" s="51">
        <v>18.399999999999999</v>
      </c>
      <c r="T13" s="51">
        <v>18.399999999999999</v>
      </c>
      <c r="U13" s="51">
        <v>18.399999999999999</v>
      </c>
      <c r="V13" s="51">
        <v>18.399999999999999</v>
      </c>
      <c r="W13" s="51">
        <v>18.399999999999999</v>
      </c>
      <c r="X13" s="51">
        <v>18.399999999999999</v>
      </c>
      <c r="Y13" s="51">
        <v>18.399999999999999</v>
      </c>
      <c r="Z13" s="51">
        <v>18.399999999999999</v>
      </c>
      <c r="AA13" s="51">
        <v>18.5</v>
      </c>
      <c r="AB13" s="51">
        <v>18.5</v>
      </c>
      <c r="AC13" s="51">
        <v>18.5</v>
      </c>
      <c r="AD13" s="51">
        <v>18.5</v>
      </c>
      <c r="AE13" s="51">
        <v>18.5</v>
      </c>
      <c r="AF13" s="51">
        <v>18.5</v>
      </c>
      <c r="AG13" s="58">
        <v>52.4</v>
      </c>
      <c r="AH13" s="54">
        <f t="shared" si="2"/>
        <v>26.9</v>
      </c>
      <c r="AI13" s="55">
        <f t="shared" si="3"/>
        <v>18.399999999999999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50.4</v>
      </c>
      <c r="C14" s="51">
        <v>50.4</v>
      </c>
      <c r="D14" s="51">
        <v>50.4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50.5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50</v>
      </c>
      <c r="U14" s="51">
        <v>50</v>
      </c>
      <c r="V14" s="51">
        <v>50</v>
      </c>
      <c r="W14" s="51">
        <v>50</v>
      </c>
      <c r="X14" s="51">
        <v>50</v>
      </c>
      <c r="Y14" s="51">
        <v>50</v>
      </c>
      <c r="Z14" s="51">
        <v>50</v>
      </c>
      <c r="AA14" s="51">
        <v>50.3</v>
      </c>
      <c r="AB14" s="51">
        <v>50.3</v>
      </c>
      <c r="AC14" s="51">
        <v>50.3</v>
      </c>
      <c r="AD14" s="51">
        <v>50.3</v>
      </c>
      <c r="AE14" s="51">
        <v>50.3</v>
      </c>
      <c r="AF14" s="51">
        <v>50.3</v>
      </c>
      <c r="AG14" s="58">
        <v>50</v>
      </c>
      <c r="AH14" s="54">
        <f t="shared" si="2"/>
        <v>50.5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39</v>
      </c>
      <c r="C15" s="51">
        <v>39</v>
      </c>
      <c r="D15" s="51">
        <v>39</v>
      </c>
      <c r="E15" s="51">
        <v>39</v>
      </c>
      <c r="F15" s="51">
        <v>39</v>
      </c>
      <c r="G15" s="51">
        <v>39</v>
      </c>
      <c r="H15" s="51">
        <v>39</v>
      </c>
      <c r="I15" s="51">
        <v>39</v>
      </c>
      <c r="J15" s="51">
        <v>39</v>
      </c>
      <c r="K15" s="51">
        <v>39</v>
      </c>
      <c r="L15" s="51">
        <v>39</v>
      </c>
      <c r="M15" s="51">
        <v>40.5</v>
      </c>
      <c r="N15" s="51">
        <v>40.5</v>
      </c>
      <c r="O15" s="51">
        <v>40.5</v>
      </c>
      <c r="P15" s="51">
        <v>40.5</v>
      </c>
      <c r="Q15" s="51">
        <v>40.5</v>
      </c>
      <c r="R15" s="51">
        <v>40.5</v>
      </c>
      <c r="S15" s="51">
        <v>40.5</v>
      </c>
      <c r="T15" s="51">
        <v>40.5</v>
      </c>
      <c r="U15" s="51">
        <v>40.5</v>
      </c>
      <c r="V15" s="51">
        <v>40.5</v>
      </c>
      <c r="W15" s="51">
        <v>40.5</v>
      </c>
      <c r="X15" s="51">
        <v>40.5</v>
      </c>
      <c r="Y15" s="51">
        <v>40.5</v>
      </c>
      <c r="Z15" s="51">
        <v>40.5</v>
      </c>
      <c r="AA15" s="51">
        <v>38.200000000000003</v>
      </c>
      <c r="AB15" s="51">
        <v>38.200000000000003</v>
      </c>
      <c r="AC15" s="51">
        <v>38.200000000000003</v>
      </c>
      <c r="AD15" s="51">
        <v>38.200000000000003</v>
      </c>
      <c r="AE15" s="51">
        <v>38.200000000000003</v>
      </c>
      <c r="AF15" s="51">
        <v>39</v>
      </c>
      <c r="AG15" s="59">
        <v>45</v>
      </c>
      <c r="AH15" s="54">
        <f t="shared" si="2"/>
        <v>40.5</v>
      </c>
      <c r="AI15" s="55">
        <f t="shared" si="3"/>
        <v>38.200000000000003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38</v>
      </c>
      <c r="C16" s="51">
        <v>38</v>
      </c>
      <c r="D16" s="51">
        <v>38</v>
      </c>
      <c r="E16" s="51">
        <v>38</v>
      </c>
      <c r="F16" s="51">
        <v>38</v>
      </c>
      <c r="G16" s="51">
        <v>38</v>
      </c>
      <c r="H16" s="51">
        <v>38</v>
      </c>
      <c r="I16" s="51">
        <v>38</v>
      </c>
      <c r="J16" s="51">
        <v>38</v>
      </c>
      <c r="K16" s="51">
        <v>38</v>
      </c>
      <c r="L16" s="51">
        <v>38</v>
      </c>
      <c r="M16" s="51">
        <v>38</v>
      </c>
      <c r="N16" s="51">
        <v>38</v>
      </c>
      <c r="O16" s="51">
        <v>38</v>
      </c>
      <c r="P16" s="51">
        <v>38</v>
      </c>
      <c r="Q16" s="51">
        <v>38</v>
      </c>
      <c r="R16" s="51">
        <v>38</v>
      </c>
      <c r="S16" s="51">
        <v>29</v>
      </c>
      <c r="T16" s="51">
        <v>29</v>
      </c>
      <c r="U16" s="51">
        <v>29</v>
      </c>
      <c r="V16" s="51">
        <v>34</v>
      </c>
      <c r="W16" s="51">
        <v>34</v>
      </c>
      <c r="X16" s="51">
        <v>34</v>
      </c>
      <c r="Y16" s="51">
        <v>36</v>
      </c>
      <c r="Z16" s="51">
        <v>36</v>
      </c>
      <c r="AA16" s="51">
        <v>39</v>
      </c>
      <c r="AB16" s="51">
        <v>39</v>
      </c>
      <c r="AC16" s="51">
        <v>39</v>
      </c>
      <c r="AD16" s="51">
        <v>39</v>
      </c>
      <c r="AE16" s="51">
        <v>39</v>
      </c>
      <c r="AF16" s="51">
        <v>39</v>
      </c>
      <c r="AG16" s="58">
        <v>45</v>
      </c>
      <c r="AH16" s="54">
        <f t="shared" si="2"/>
        <v>39</v>
      </c>
      <c r="AI16" s="55">
        <f t="shared" si="3"/>
        <v>29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13</v>
      </c>
      <c r="C18" s="51">
        <v>13</v>
      </c>
      <c r="D18" s="51">
        <v>13</v>
      </c>
      <c r="E18" s="51">
        <v>13</v>
      </c>
      <c r="F18" s="51">
        <v>13</v>
      </c>
      <c r="G18" s="51">
        <v>13</v>
      </c>
      <c r="H18" s="51">
        <v>13</v>
      </c>
      <c r="I18" s="51">
        <v>13</v>
      </c>
      <c r="J18" s="51">
        <v>13</v>
      </c>
      <c r="K18" s="51">
        <v>13</v>
      </c>
      <c r="L18" s="51">
        <v>13</v>
      </c>
      <c r="M18" s="51">
        <v>13</v>
      </c>
      <c r="N18" s="51">
        <v>13</v>
      </c>
      <c r="O18" s="51">
        <v>13</v>
      </c>
      <c r="P18" s="51">
        <v>13</v>
      </c>
      <c r="Q18" s="51">
        <v>13</v>
      </c>
      <c r="R18" s="51">
        <v>13</v>
      </c>
      <c r="S18" s="51">
        <v>13</v>
      </c>
      <c r="T18" s="51">
        <v>13</v>
      </c>
      <c r="U18" s="51">
        <v>13</v>
      </c>
      <c r="V18" s="51">
        <v>13</v>
      </c>
      <c r="W18" s="51">
        <v>13</v>
      </c>
      <c r="X18" s="51">
        <v>13</v>
      </c>
      <c r="Y18" s="51">
        <v>13</v>
      </c>
      <c r="Z18" s="51">
        <v>13</v>
      </c>
      <c r="AA18" s="51">
        <v>8.5</v>
      </c>
      <c r="AB18" s="51">
        <v>8.5</v>
      </c>
      <c r="AC18" s="51">
        <v>8.5</v>
      </c>
      <c r="AD18" s="51">
        <v>8.5</v>
      </c>
      <c r="AE18" s="51">
        <v>8.5</v>
      </c>
      <c r="AF18" s="51">
        <v>8.5</v>
      </c>
      <c r="AG18" s="58">
        <v>36</v>
      </c>
      <c r="AH18" s="54">
        <f t="shared" si="2"/>
        <v>13</v>
      </c>
      <c r="AI18" s="55">
        <f t="shared" si="3"/>
        <v>8.5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18</v>
      </c>
      <c r="C19" s="51">
        <v>18</v>
      </c>
      <c r="D19" s="51">
        <v>18</v>
      </c>
      <c r="E19" s="51">
        <v>18</v>
      </c>
      <c r="F19" s="51">
        <v>18</v>
      </c>
      <c r="G19" s="51">
        <v>18</v>
      </c>
      <c r="H19" s="51">
        <v>18</v>
      </c>
      <c r="I19" s="51">
        <v>18</v>
      </c>
      <c r="J19" s="51">
        <v>18</v>
      </c>
      <c r="K19" s="51">
        <v>18</v>
      </c>
      <c r="L19" s="51">
        <v>18</v>
      </c>
      <c r="M19" s="51">
        <v>15.8</v>
      </c>
      <c r="N19" s="51">
        <v>15.8</v>
      </c>
      <c r="O19" s="51">
        <v>15.8</v>
      </c>
      <c r="P19" s="51">
        <v>15.8</v>
      </c>
      <c r="Q19" s="51">
        <v>15.8</v>
      </c>
      <c r="R19" s="51">
        <v>15.8</v>
      </c>
      <c r="S19" s="51">
        <v>15.8</v>
      </c>
      <c r="T19" s="51">
        <v>15.8</v>
      </c>
      <c r="U19" s="51">
        <v>15.8</v>
      </c>
      <c r="V19" s="51">
        <v>15.8</v>
      </c>
      <c r="W19" s="51">
        <v>15.8</v>
      </c>
      <c r="X19" s="51">
        <v>15.8</v>
      </c>
      <c r="Y19" s="51">
        <v>15.8</v>
      </c>
      <c r="Z19" s="51">
        <v>15.8</v>
      </c>
      <c r="AA19" s="51">
        <v>16.5</v>
      </c>
      <c r="AB19" s="51">
        <v>16.5</v>
      </c>
      <c r="AC19" s="51">
        <v>17</v>
      </c>
      <c r="AD19" s="51">
        <v>17</v>
      </c>
      <c r="AE19" s="51">
        <v>17</v>
      </c>
      <c r="AF19" s="51">
        <v>17</v>
      </c>
      <c r="AG19" s="58">
        <v>30</v>
      </c>
      <c r="AH19" s="54">
        <f t="shared" si="2"/>
        <v>18</v>
      </c>
      <c r="AI19" s="55">
        <f t="shared" si="3"/>
        <v>15.8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7.1</v>
      </c>
      <c r="C20" s="51">
        <v>7.1</v>
      </c>
      <c r="D20" s="51">
        <v>7.1</v>
      </c>
      <c r="E20" s="51">
        <v>7.1</v>
      </c>
      <c r="F20" s="51">
        <v>7.1</v>
      </c>
      <c r="G20" s="51">
        <v>7.1</v>
      </c>
      <c r="H20" s="51">
        <v>7.1</v>
      </c>
      <c r="I20" s="51">
        <v>7.1</v>
      </c>
      <c r="J20" s="51">
        <v>7.1</v>
      </c>
      <c r="K20" s="51">
        <v>7.1</v>
      </c>
      <c r="L20" s="51">
        <v>7.1</v>
      </c>
      <c r="M20" s="51">
        <v>7.1</v>
      </c>
      <c r="N20" s="51">
        <v>7.1</v>
      </c>
      <c r="O20" s="51">
        <v>7.1</v>
      </c>
      <c r="P20" s="51">
        <v>7.1</v>
      </c>
      <c r="Q20" s="51">
        <v>7.1</v>
      </c>
      <c r="R20" s="51">
        <v>7.1</v>
      </c>
      <c r="S20" s="51">
        <v>7.1</v>
      </c>
      <c r="T20" s="51">
        <v>7.1</v>
      </c>
      <c r="U20" s="51">
        <v>7.1</v>
      </c>
      <c r="V20" s="51">
        <v>7.1</v>
      </c>
      <c r="W20" s="51">
        <v>7.1</v>
      </c>
      <c r="X20" s="51">
        <v>7.1</v>
      </c>
      <c r="Y20" s="51">
        <v>7.1</v>
      </c>
      <c r="Z20" s="51">
        <v>7.1</v>
      </c>
      <c r="AA20" s="51">
        <v>8</v>
      </c>
      <c r="AB20" s="51">
        <v>8</v>
      </c>
      <c r="AC20" s="51">
        <v>8</v>
      </c>
      <c r="AD20" s="51">
        <v>8</v>
      </c>
      <c r="AE20" s="51">
        <v>8</v>
      </c>
      <c r="AF20" s="51">
        <v>8</v>
      </c>
      <c r="AG20" s="58">
        <v>27</v>
      </c>
      <c r="AH20" s="54">
        <f t="shared" si="2"/>
        <v>8</v>
      </c>
      <c r="AI20" s="55">
        <f t="shared" si="3"/>
        <v>7.1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21.9</v>
      </c>
      <c r="C22" s="51">
        <v>21.9</v>
      </c>
      <c r="D22" s="51">
        <v>21.9</v>
      </c>
      <c r="E22" s="51">
        <v>21.9</v>
      </c>
      <c r="F22" s="51">
        <v>21.9</v>
      </c>
      <c r="G22" s="51">
        <v>21.9</v>
      </c>
      <c r="H22" s="51">
        <v>21.9</v>
      </c>
      <c r="I22" s="51">
        <v>21.9</v>
      </c>
      <c r="J22" s="51">
        <v>21.9</v>
      </c>
      <c r="K22" s="51">
        <v>21.9</v>
      </c>
      <c r="L22" s="51">
        <v>21.9</v>
      </c>
      <c r="M22" s="51">
        <v>20.5</v>
      </c>
      <c r="N22" s="51">
        <v>20.5</v>
      </c>
      <c r="O22" s="51">
        <v>20.5</v>
      </c>
      <c r="P22" s="51">
        <v>20.5</v>
      </c>
      <c r="Q22" s="51">
        <v>20.5</v>
      </c>
      <c r="R22" s="51">
        <v>20.5</v>
      </c>
      <c r="S22" s="51">
        <v>20.5</v>
      </c>
      <c r="T22" s="51">
        <v>20.5</v>
      </c>
      <c r="U22" s="51">
        <v>20.5</v>
      </c>
      <c r="V22" s="51">
        <v>20.5</v>
      </c>
      <c r="W22" s="51">
        <v>20.5</v>
      </c>
      <c r="X22" s="51">
        <v>20.5</v>
      </c>
      <c r="Y22" s="51">
        <v>20.5</v>
      </c>
      <c r="Z22" s="51">
        <v>20.5</v>
      </c>
      <c r="AA22" s="51">
        <v>20</v>
      </c>
      <c r="AB22" s="51">
        <v>20</v>
      </c>
      <c r="AC22" s="51">
        <v>20</v>
      </c>
      <c r="AD22" s="51">
        <v>20</v>
      </c>
      <c r="AE22" s="51">
        <v>20</v>
      </c>
      <c r="AF22" s="51">
        <v>20</v>
      </c>
      <c r="AG22" s="58">
        <v>25</v>
      </c>
      <c r="AH22" s="54">
        <f t="shared" si="2"/>
        <v>21.9</v>
      </c>
      <c r="AI22" s="55">
        <f t="shared" si="3"/>
        <v>20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7</v>
      </c>
      <c r="C23" s="51">
        <v>7</v>
      </c>
      <c r="D23" s="51">
        <v>7</v>
      </c>
      <c r="E23" s="51">
        <v>7</v>
      </c>
      <c r="F23" s="51">
        <v>7</v>
      </c>
      <c r="G23" s="51">
        <v>7</v>
      </c>
      <c r="H23" s="51">
        <v>7</v>
      </c>
      <c r="I23" s="51">
        <v>7</v>
      </c>
      <c r="J23" s="51">
        <v>7</v>
      </c>
      <c r="K23" s="51">
        <v>7</v>
      </c>
      <c r="L23" s="51">
        <v>7</v>
      </c>
      <c r="M23" s="51">
        <v>7</v>
      </c>
      <c r="N23" s="51">
        <v>7</v>
      </c>
      <c r="O23" s="51">
        <v>7</v>
      </c>
      <c r="P23" s="51">
        <v>7</v>
      </c>
      <c r="Q23" s="51">
        <v>7</v>
      </c>
      <c r="R23" s="51">
        <v>7</v>
      </c>
      <c r="S23" s="51">
        <v>7</v>
      </c>
      <c r="T23" s="51">
        <v>7</v>
      </c>
      <c r="U23" s="51">
        <v>7</v>
      </c>
      <c r="V23" s="51">
        <v>7</v>
      </c>
      <c r="W23" s="51">
        <v>7</v>
      </c>
      <c r="X23" s="51">
        <v>7</v>
      </c>
      <c r="Y23" s="51">
        <v>7</v>
      </c>
      <c r="Z23" s="51">
        <v>7</v>
      </c>
      <c r="AA23" s="51">
        <v>6.5</v>
      </c>
      <c r="AB23" s="51">
        <v>6.5</v>
      </c>
      <c r="AC23" s="51">
        <v>6.5</v>
      </c>
      <c r="AD23" s="51">
        <v>6.5</v>
      </c>
      <c r="AE23" s="51">
        <v>6.5</v>
      </c>
      <c r="AF23" s="51">
        <v>6.5</v>
      </c>
      <c r="AG23" s="58">
        <v>25</v>
      </c>
      <c r="AH23" s="54">
        <f t="shared" si="2"/>
        <v>7</v>
      </c>
      <c r="AI23" s="55">
        <f t="shared" si="3"/>
        <v>6.5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22</v>
      </c>
      <c r="C24" s="51">
        <v>22</v>
      </c>
      <c r="D24" s="51">
        <v>22</v>
      </c>
      <c r="E24" s="51">
        <v>22</v>
      </c>
      <c r="F24" s="51">
        <v>22</v>
      </c>
      <c r="G24" s="51">
        <v>22</v>
      </c>
      <c r="H24" s="51">
        <v>22</v>
      </c>
      <c r="I24" s="51">
        <v>22</v>
      </c>
      <c r="J24" s="51">
        <v>22</v>
      </c>
      <c r="K24" s="51">
        <v>22</v>
      </c>
      <c r="L24" s="51">
        <v>22</v>
      </c>
      <c r="M24" s="51">
        <v>22</v>
      </c>
      <c r="N24" s="51">
        <v>22</v>
      </c>
      <c r="O24" s="51">
        <v>22</v>
      </c>
      <c r="P24" s="51">
        <v>22</v>
      </c>
      <c r="Q24" s="51">
        <v>22</v>
      </c>
      <c r="R24" s="51">
        <v>22</v>
      </c>
      <c r="S24" s="51">
        <v>22</v>
      </c>
      <c r="T24" s="51">
        <v>22</v>
      </c>
      <c r="U24" s="51">
        <v>22</v>
      </c>
      <c r="V24" s="51">
        <v>22</v>
      </c>
      <c r="W24" s="51">
        <v>22</v>
      </c>
      <c r="X24" s="51">
        <v>22</v>
      </c>
      <c r="Y24" s="51">
        <v>22</v>
      </c>
      <c r="Z24" s="51">
        <v>22</v>
      </c>
      <c r="AA24" s="51">
        <v>22</v>
      </c>
      <c r="AB24" s="51">
        <v>22</v>
      </c>
      <c r="AC24" s="51">
        <v>22</v>
      </c>
      <c r="AD24" s="51">
        <v>22</v>
      </c>
      <c r="AE24" s="51">
        <v>22</v>
      </c>
      <c r="AF24" s="51">
        <v>22</v>
      </c>
      <c r="AG24" s="58">
        <v>25</v>
      </c>
      <c r="AH24" s="54">
        <f t="shared" si="2"/>
        <v>22</v>
      </c>
      <c r="AI24" s="55">
        <f t="shared" si="3"/>
        <v>22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12.5</v>
      </c>
      <c r="C25" s="51">
        <v>12.5</v>
      </c>
      <c r="D25" s="51">
        <v>12.5</v>
      </c>
      <c r="E25" s="51">
        <v>12.5</v>
      </c>
      <c r="F25" s="51">
        <v>12.5</v>
      </c>
      <c r="G25" s="51">
        <v>12.5</v>
      </c>
      <c r="H25" s="51">
        <v>12.5</v>
      </c>
      <c r="I25" s="51">
        <v>12.5</v>
      </c>
      <c r="J25" s="51">
        <v>12.5</v>
      </c>
      <c r="K25" s="51">
        <v>12.5</v>
      </c>
      <c r="L25" s="51">
        <v>12.5</v>
      </c>
      <c r="M25" s="51">
        <v>12.5</v>
      </c>
      <c r="N25" s="51">
        <v>12.5</v>
      </c>
      <c r="O25" s="51">
        <v>12.5</v>
      </c>
      <c r="P25" s="51">
        <v>12.5</v>
      </c>
      <c r="Q25" s="51">
        <v>12.5</v>
      </c>
      <c r="R25" s="51">
        <v>12.5</v>
      </c>
      <c r="S25" s="51">
        <v>12.5</v>
      </c>
      <c r="T25" s="51">
        <v>12.5</v>
      </c>
      <c r="U25" s="51">
        <v>12.5</v>
      </c>
      <c r="V25" s="51">
        <v>12.5</v>
      </c>
      <c r="W25" s="51">
        <v>12.5</v>
      </c>
      <c r="X25" s="51">
        <v>12.5</v>
      </c>
      <c r="Y25" s="51">
        <v>12.5</v>
      </c>
      <c r="Z25" s="51">
        <v>12.5</v>
      </c>
      <c r="AA25" s="51">
        <v>9.5</v>
      </c>
      <c r="AB25" s="51">
        <v>9.5</v>
      </c>
      <c r="AC25" s="51">
        <v>9.5</v>
      </c>
      <c r="AD25" s="51">
        <v>9.5</v>
      </c>
      <c r="AE25" s="51">
        <v>9.5</v>
      </c>
      <c r="AF25" s="51">
        <v>9.5</v>
      </c>
      <c r="AG25" s="58">
        <v>24.2</v>
      </c>
      <c r="AH25" s="54">
        <f t="shared" si="2"/>
        <v>12.5</v>
      </c>
      <c r="AI25" s="55">
        <f t="shared" si="3"/>
        <v>9.5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11</v>
      </c>
      <c r="AB26" s="51">
        <v>11</v>
      </c>
      <c r="AC26" s="51">
        <v>11</v>
      </c>
      <c r="AD26" s="51">
        <v>11</v>
      </c>
      <c r="AE26" s="51">
        <v>11</v>
      </c>
      <c r="AF26" s="51">
        <v>11</v>
      </c>
      <c r="AG26" s="58">
        <v>20</v>
      </c>
      <c r="AH26" s="54">
        <f t="shared" si="2"/>
        <v>11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11</v>
      </c>
      <c r="C30" s="51">
        <v>11</v>
      </c>
      <c r="D30" s="51">
        <v>11</v>
      </c>
      <c r="E30" s="51">
        <v>11</v>
      </c>
      <c r="F30" s="51">
        <v>11</v>
      </c>
      <c r="G30" s="51">
        <v>11</v>
      </c>
      <c r="H30" s="51">
        <v>11</v>
      </c>
      <c r="I30" s="51">
        <v>11</v>
      </c>
      <c r="J30" s="51">
        <v>11</v>
      </c>
      <c r="K30" s="51">
        <v>11</v>
      </c>
      <c r="L30" s="51">
        <v>11</v>
      </c>
      <c r="M30" s="51">
        <v>11</v>
      </c>
      <c r="N30" s="51">
        <v>11</v>
      </c>
      <c r="O30" s="51">
        <v>11</v>
      </c>
      <c r="P30" s="51">
        <v>11</v>
      </c>
      <c r="Q30" s="51">
        <v>11</v>
      </c>
      <c r="R30" s="51">
        <v>11</v>
      </c>
      <c r="S30" s="51">
        <v>11</v>
      </c>
      <c r="T30" s="51">
        <v>11</v>
      </c>
      <c r="U30" s="51">
        <v>11</v>
      </c>
      <c r="V30" s="51">
        <v>11</v>
      </c>
      <c r="W30" s="51">
        <v>11</v>
      </c>
      <c r="X30" s="51">
        <v>11</v>
      </c>
      <c r="Y30" s="51">
        <v>11</v>
      </c>
      <c r="Z30" s="51">
        <v>11</v>
      </c>
      <c r="AA30" s="51">
        <v>5.5</v>
      </c>
      <c r="AB30" s="51">
        <v>5.5</v>
      </c>
      <c r="AC30" s="51">
        <v>5.5</v>
      </c>
      <c r="AD30" s="51">
        <v>5.5</v>
      </c>
      <c r="AE30" s="51">
        <v>5.5</v>
      </c>
      <c r="AF30" s="51">
        <v>5.5</v>
      </c>
      <c r="AG30" s="58">
        <v>22.1</v>
      </c>
      <c r="AH30" s="54">
        <f t="shared" si="2"/>
        <v>11</v>
      </c>
      <c r="AI30" s="55">
        <f t="shared" si="3"/>
        <v>5.5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6.6</v>
      </c>
      <c r="C32" s="51">
        <v>6.6</v>
      </c>
      <c r="D32" s="51">
        <v>6.6</v>
      </c>
      <c r="E32" s="51">
        <v>6.6</v>
      </c>
      <c r="F32" s="51">
        <v>6.6</v>
      </c>
      <c r="G32" s="51">
        <v>6.6</v>
      </c>
      <c r="H32" s="51">
        <v>6.6</v>
      </c>
      <c r="I32" s="51">
        <v>6.6</v>
      </c>
      <c r="J32" s="51">
        <v>6.6</v>
      </c>
      <c r="K32" s="51">
        <v>6.6</v>
      </c>
      <c r="L32" s="51">
        <v>6.6</v>
      </c>
      <c r="M32" s="51">
        <v>6.6</v>
      </c>
      <c r="N32" s="51">
        <v>6.6</v>
      </c>
      <c r="O32" s="51">
        <v>6.6</v>
      </c>
      <c r="P32" s="51">
        <v>6.6</v>
      </c>
      <c r="Q32" s="51">
        <v>6.6</v>
      </c>
      <c r="R32" s="51">
        <v>6.6</v>
      </c>
      <c r="S32" s="51">
        <v>6.6</v>
      </c>
      <c r="T32" s="51">
        <v>6.6</v>
      </c>
      <c r="U32" s="51">
        <v>6.6</v>
      </c>
      <c r="V32" s="51">
        <v>6.6</v>
      </c>
      <c r="W32" s="51">
        <v>6.6</v>
      </c>
      <c r="X32" s="51">
        <v>6.6</v>
      </c>
      <c r="Y32" s="51">
        <v>6.6</v>
      </c>
      <c r="Z32" s="51">
        <v>6.6</v>
      </c>
      <c r="AA32" s="51">
        <v>6.5</v>
      </c>
      <c r="AB32" s="51">
        <v>6.5</v>
      </c>
      <c r="AC32" s="51">
        <v>6.5</v>
      </c>
      <c r="AD32" s="51">
        <v>6.5</v>
      </c>
      <c r="AE32" s="51">
        <v>6.5</v>
      </c>
      <c r="AF32" s="51">
        <v>6.5</v>
      </c>
      <c r="AG32" s="63">
        <v>22</v>
      </c>
      <c r="AH32" s="54">
        <f t="shared" si="2"/>
        <v>6.6</v>
      </c>
      <c r="AI32" s="55">
        <f t="shared" si="3"/>
        <v>6.5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6</v>
      </c>
      <c r="C34" s="51">
        <v>6</v>
      </c>
      <c r="D34" s="51">
        <v>6</v>
      </c>
      <c r="E34" s="51">
        <v>6</v>
      </c>
      <c r="F34" s="51">
        <v>6</v>
      </c>
      <c r="G34" s="51">
        <v>6</v>
      </c>
      <c r="H34" s="51">
        <v>6</v>
      </c>
      <c r="I34" s="51">
        <v>6</v>
      </c>
      <c r="J34" s="51">
        <v>6</v>
      </c>
      <c r="K34" s="51">
        <v>6</v>
      </c>
      <c r="L34" s="51">
        <v>6</v>
      </c>
      <c r="M34" s="51">
        <v>6</v>
      </c>
      <c r="N34" s="51">
        <v>6</v>
      </c>
      <c r="O34" s="51">
        <v>6</v>
      </c>
      <c r="P34" s="51">
        <v>6</v>
      </c>
      <c r="Q34" s="51">
        <v>6</v>
      </c>
      <c r="R34" s="51">
        <v>6</v>
      </c>
      <c r="S34" s="51">
        <v>6</v>
      </c>
      <c r="T34" s="51">
        <v>6</v>
      </c>
      <c r="U34" s="51">
        <v>6</v>
      </c>
      <c r="V34" s="51">
        <v>6</v>
      </c>
      <c r="W34" s="51">
        <v>6</v>
      </c>
      <c r="X34" s="51">
        <v>6</v>
      </c>
      <c r="Y34" s="51">
        <v>6</v>
      </c>
      <c r="Z34" s="51">
        <v>6</v>
      </c>
      <c r="AA34" s="51">
        <v>6</v>
      </c>
      <c r="AB34" s="51">
        <v>6</v>
      </c>
      <c r="AC34" s="51">
        <v>6</v>
      </c>
      <c r="AD34" s="51">
        <v>6</v>
      </c>
      <c r="AE34" s="51">
        <v>6</v>
      </c>
      <c r="AF34" s="51">
        <v>6</v>
      </c>
      <c r="AG34" s="63">
        <v>20</v>
      </c>
      <c r="AH34" s="54">
        <f t="shared" si="2"/>
        <v>6</v>
      </c>
      <c r="AI34" s="55">
        <f t="shared" si="3"/>
        <v>6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107</v>
      </c>
      <c r="C37" s="67">
        <v>107</v>
      </c>
      <c r="D37" s="67">
        <v>111</v>
      </c>
      <c r="E37" s="67">
        <v>104</v>
      </c>
      <c r="F37" s="67">
        <v>104</v>
      </c>
      <c r="G37" s="67">
        <v>104</v>
      </c>
      <c r="H37" s="67">
        <v>103</v>
      </c>
      <c r="I37" s="67">
        <v>100</v>
      </c>
      <c r="J37" s="67">
        <v>96</v>
      </c>
      <c r="K37" s="67">
        <v>92</v>
      </c>
      <c r="L37" s="67">
        <v>95</v>
      </c>
      <c r="M37" s="67">
        <f>53.4+41.5</f>
        <v>94.9</v>
      </c>
      <c r="N37" s="65">
        <f>52.4+41.4</f>
        <v>93.8</v>
      </c>
      <c r="O37" s="65">
        <f>50.2+35.8</f>
        <v>86</v>
      </c>
      <c r="P37" s="65">
        <f>52.9+36.5</f>
        <v>89.4</v>
      </c>
      <c r="Q37" s="65">
        <f>50.5+35.3</f>
        <v>85.8</v>
      </c>
      <c r="R37" s="65">
        <f>50.5+36.9</f>
        <v>87.4</v>
      </c>
      <c r="S37" s="65">
        <f>50.5+36.9</f>
        <v>87.4</v>
      </c>
      <c r="T37" s="65">
        <f>46+32</f>
        <v>78</v>
      </c>
      <c r="U37" s="67">
        <v>80</v>
      </c>
      <c r="V37" s="67">
        <v>80</v>
      </c>
      <c r="W37" s="67">
        <v>80</v>
      </c>
      <c r="X37" s="67">
        <f>47+44</f>
        <v>91</v>
      </c>
      <c r="Y37" s="67">
        <f>47+44</f>
        <v>91</v>
      </c>
      <c r="Z37" s="67">
        <f>47+44</f>
        <v>91</v>
      </c>
      <c r="AA37" s="67">
        <v>85</v>
      </c>
      <c r="AB37" s="67">
        <v>88</v>
      </c>
      <c r="AC37" s="67">
        <v>88</v>
      </c>
      <c r="AD37" s="67">
        <v>88</v>
      </c>
      <c r="AE37" s="67">
        <v>93</v>
      </c>
      <c r="AF37" s="67">
        <v>88</v>
      </c>
      <c r="AG37" s="63">
        <v>240</v>
      </c>
      <c r="AH37" s="54">
        <f t="shared" si="2"/>
        <v>111</v>
      </c>
      <c r="AI37" s="55">
        <f t="shared" si="3"/>
        <v>78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751.5</v>
      </c>
      <c r="C38" s="69">
        <f t="shared" si="4"/>
        <v>794.30000000000007</v>
      </c>
      <c r="D38" s="69">
        <f t="shared" si="4"/>
        <v>782.30000000000007</v>
      </c>
      <c r="E38" s="69">
        <f t="shared" si="4"/>
        <v>762.30000000000007</v>
      </c>
      <c r="F38" s="69">
        <f t="shared" si="4"/>
        <v>752.30000000000007</v>
      </c>
      <c r="G38" s="69">
        <f t="shared" si="4"/>
        <v>732.30000000000007</v>
      </c>
      <c r="H38" s="69">
        <f t="shared" si="4"/>
        <v>702.30000000000007</v>
      </c>
      <c r="I38" s="69">
        <f t="shared" si="4"/>
        <v>702.30000000000007</v>
      </c>
      <c r="J38" s="69">
        <f t="shared" si="4"/>
        <v>673.30000000000007</v>
      </c>
      <c r="K38" s="69">
        <f t="shared" si="4"/>
        <v>652.30000000000007</v>
      </c>
      <c r="L38" s="69">
        <f t="shared" si="4"/>
        <v>672.30000000000007</v>
      </c>
      <c r="M38" s="69">
        <f t="shared" si="4"/>
        <v>672.40000000000009</v>
      </c>
      <c r="N38" s="69">
        <f t="shared" si="4"/>
        <v>686.90000000000009</v>
      </c>
      <c r="O38" s="69">
        <f t="shared" si="4"/>
        <v>676.90000000000009</v>
      </c>
      <c r="P38" s="69">
        <f t="shared" si="4"/>
        <v>656.90000000000009</v>
      </c>
      <c r="Q38" s="69">
        <f t="shared" si="4"/>
        <v>636.90000000000009</v>
      </c>
      <c r="R38" s="69">
        <f t="shared" si="4"/>
        <v>606.90000000000009</v>
      </c>
      <c r="S38" s="69">
        <f t="shared" si="4"/>
        <v>702.40000000000009</v>
      </c>
      <c r="T38" s="69">
        <f t="shared" si="4"/>
        <v>742.4</v>
      </c>
      <c r="U38" s="69">
        <f t="shared" si="4"/>
        <v>720.40000000000009</v>
      </c>
      <c r="V38" s="69">
        <f t="shared" si="4"/>
        <v>695.40000000000009</v>
      </c>
      <c r="W38" s="69">
        <f t="shared" si="4"/>
        <v>705.40000000000009</v>
      </c>
      <c r="X38" s="69">
        <f t="shared" si="4"/>
        <v>728.4</v>
      </c>
      <c r="Y38" s="69">
        <f t="shared" si="4"/>
        <v>780.4</v>
      </c>
      <c r="Z38" s="69">
        <f t="shared" si="4"/>
        <v>820.4</v>
      </c>
      <c r="AA38" s="69">
        <f t="shared" si="4"/>
        <v>925</v>
      </c>
      <c r="AB38" s="69">
        <f t="shared" si="4"/>
        <v>970</v>
      </c>
      <c r="AC38" s="69">
        <f t="shared" si="4"/>
        <v>950.5</v>
      </c>
      <c r="AD38" s="69">
        <f t="shared" si="4"/>
        <v>930.5</v>
      </c>
      <c r="AE38" s="69">
        <f t="shared" si="4"/>
        <v>860.5</v>
      </c>
      <c r="AF38" s="69">
        <f t="shared" si="4"/>
        <v>721.3</v>
      </c>
      <c r="AG38" s="63">
        <f>SUM(AG11:AG37)</f>
        <v>1492.8299999999997</v>
      </c>
      <c r="AH38" s="54">
        <f t="shared" si="2"/>
        <v>970</v>
      </c>
      <c r="AI38" s="55">
        <f t="shared" si="3"/>
        <v>606.90000000000009</v>
      </c>
      <c r="AK38" s="56"/>
    </row>
    <row r="39" spans="1:88" x14ac:dyDescent="0.25">
      <c r="A39" s="57" t="s">
        <v>47</v>
      </c>
      <c r="B39" s="51">
        <v>110</v>
      </c>
      <c r="C39" s="51">
        <v>92</v>
      </c>
      <c r="D39" s="51">
        <v>86</v>
      </c>
      <c r="E39" s="51">
        <v>86</v>
      </c>
      <c r="F39" s="51">
        <v>97</v>
      </c>
      <c r="G39" s="51">
        <v>97</v>
      </c>
      <c r="H39" s="51">
        <v>97</v>
      </c>
      <c r="I39" s="51">
        <v>97</v>
      </c>
      <c r="J39" s="51">
        <v>97</v>
      </c>
      <c r="K39" s="51">
        <v>122</v>
      </c>
      <c r="L39" s="51">
        <v>131</v>
      </c>
      <c r="M39" s="51">
        <v>131.4</v>
      </c>
      <c r="N39" s="51">
        <v>131.5</v>
      </c>
      <c r="O39" s="51">
        <v>131.30000000000001</v>
      </c>
      <c r="P39" s="51">
        <v>131.30000000000001</v>
      </c>
      <c r="Q39" s="51">
        <v>131</v>
      </c>
      <c r="R39" s="51">
        <v>144.9</v>
      </c>
      <c r="S39" s="51">
        <v>131</v>
      </c>
      <c r="T39" s="51">
        <v>145</v>
      </c>
      <c r="U39" s="51">
        <v>140</v>
      </c>
      <c r="V39" s="51">
        <v>140</v>
      </c>
      <c r="W39" s="51">
        <v>127</v>
      </c>
      <c r="X39" s="51">
        <v>133</v>
      </c>
      <c r="Y39" s="51">
        <v>133</v>
      </c>
      <c r="Z39" s="51">
        <v>133</v>
      </c>
      <c r="AA39" s="51">
        <v>142</v>
      </c>
      <c r="AB39" s="51">
        <v>144</v>
      </c>
      <c r="AC39" s="51">
        <v>144</v>
      </c>
      <c r="AD39" s="51">
        <v>144</v>
      </c>
      <c r="AE39" s="51">
        <v>144</v>
      </c>
      <c r="AF39" s="51">
        <v>141</v>
      </c>
      <c r="AG39" s="59">
        <v>144</v>
      </c>
      <c r="AH39" s="54">
        <f t="shared" si="2"/>
        <v>145</v>
      </c>
      <c r="AI39" s="55">
        <f t="shared" si="3"/>
        <v>86</v>
      </c>
      <c r="AK39" s="56"/>
    </row>
    <row r="40" spans="1:88" x14ac:dyDescent="0.25">
      <c r="A40" s="62" t="s">
        <v>48</v>
      </c>
      <c r="B40" s="70">
        <v>35</v>
      </c>
      <c r="C40" s="70">
        <v>50</v>
      </c>
      <c r="D40" s="70">
        <v>50</v>
      </c>
      <c r="E40" s="70">
        <v>60</v>
      </c>
      <c r="F40" s="70">
        <v>60</v>
      </c>
      <c r="G40" s="70">
        <v>60</v>
      </c>
      <c r="H40" s="70">
        <v>60</v>
      </c>
      <c r="I40" s="70">
        <v>60</v>
      </c>
      <c r="J40" s="70">
        <v>60</v>
      </c>
      <c r="K40" s="70">
        <v>69.8</v>
      </c>
      <c r="L40" s="70">
        <v>70</v>
      </c>
      <c r="M40" s="51">
        <v>70.3</v>
      </c>
      <c r="N40" s="51">
        <v>60</v>
      </c>
      <c r="O40" s="51">
        <v>60</v>
      </c>
      <c r="P40" s="51">
        <v>65</v>
      </c>
      <c r="Q40" s="51">
        <v>65</v>
      </c>
      <c r="R40" s="51">
        <v>71.599999999999994</v>
      </c>
      <c r="S40" s="51">
        <v>71.599999999999994</v>
      </c>
      <c r="T40" s="51">
        <v>71.599999999999994</v>
      </c>
      <c r="U40" s="51">
        <v>71.599999999999994</v>
      </c>
      <c r="V40" s="51">
        <v>71.599999999999994</v>
      </c>
      <c r="W40" s="70">
        <v>60</v>
      </c>
      <c r="X40" s="70">
        <v>63</v>
      </c>
      <c r="Y40" s="70">
        <v>50</v>
      </c>
      <c r="Z40" s="70">
        <v>51</v>
      </c>
      <c r="AA40" s="70">
        <v>60</v>
      </c>
      <c r="AB40" s="70">
        <v>60.6</v>
      </c>
      <c r="AC40" s="70">
        <v>50</v>
      </c>
      <c r="AD40" s="70">
        <v>50</v>
      </c>
      <c r="AE40" s="70">
        <v>59</v>
      </c>
      <c r="AF40" s="70">
        <v>51</v>
      </c>
      <c r="AG40" s="63">
        <v>70</v>
      </c>
      <c r="AH40" s="54">
        <f t="shared" si="2"/>
        <v>71.599999999999994</v>
      </c>
      <c r="AI40" s="55">
        <f t="shared" si="3"/>
        <v>35</v>
      </c>
      <c r="AK40" s="56"/>
    </row>
    <row r="41" spans="1:88" x14ac:dyDescent="0.25">
      <c r="A41" s="62" t="s">
        <v>49</v>
      </c>
      <c r="B41" s="70">
        <v>62</v>
      </c>
      <c r="C41" s="70">
        <v>69</v>
      </c>
      <c r="D41" s="70">
        <v>63</v>
      </c>
      <c r="E41" s="70">
        <v>63</v>
      </c>
      <c r="F41" s="70">
        <v>63</v>
      </c>
      <c r="G41" s="70">
        <v>63</v>
      </c>
      <c r="H41" s="70">
        <v>63</v>
      </c>
      <c r="I41" s="70">
        <v>63</v>
      </c>
      <c r="J41" s="70">
        <v>63</v>
      </c>
      <c r="K41" s="70">
        <v>54</v>
      </c>
      <c r="L41" s="70">
        <v>54</v>
      </c>
      <c r="M41" s="51">
        <v>53.8</v>
      </c>
      <c r="N41" s="51">
        <v>54.6</v>
      </c>
      <c r="O41" s="51">
        <v>61.3</v>
      </c>
      <c r="P41" s="51">
        <v>61.3</v>
      </c>
      <c r="Q41" s="51">
        <v>68</v>
      </c>
      <c r="R41" s="51">
        <v>68.900000000000006</v>
      </c>
      <c r="S41" s="51">
        <v>68.900000000000006</v>
      </c>
      <c r="T41" s="51">
        <v>68.900000000000006</v>
      </c>
      <c r="U41" s="51">
        <v>68.900000000000006</v>
      </c>
      <c r="V41" s="51">
        <v>68.900000000000006</v>
      </c>
      <c r="W41" s="70">
        <v>68</v>
      </c>
      <c r="X41" s="70">
        <v>53</v>
      </c>
      <c r="Y41" s="70">
        <v>55</v>
      </c>
      <c r="Z41" s="70">
        <v>55</v>
      </c>
      <c r="AA41" s="70">
        <v>69</v>
      </c>
      <c r="AB41" s="70">
        <v>68.599999999999994</v>
      </c>
      <c r="AC41" s="70">
        <v>68.599999999999994</v>
      </c>
      <c r="AD41" s="70">
        <v>68.599999999999994</v>
      </c>
      <c r="AE41" s="70">
        <v>63</v>
      </c>
      <c r="AF41" s="70">
        <v>68</v>
      </c>
      <c r="AG41" s="63">
        <v>69</v>
      </c>
      <c r="AH41" s="54">
        <f t="shared" si="2"/>
        <v>69</v>
      </c>
      <c r="AI41" s="55">
        <f t="shared" si="3"/>
        <v>53</v>
      </c>
      <c r="AK41" s="56"/>
    </row>
    <row r="42" spans="1:88" x14ac:dyDescent="0.25">
      <c r="A42" s="62" t="s">
        <v>50</v>
      </c>
      <c r="B42" s="65">
        <v>60.4</v>
      </c>
      <c r="C42" s="65">
        <v>60.4</v>
      </c>
      <c r="D42" s="65">
        <v>60.4</v>
      </c>
      <c r="E42" s="65">
        <v>60.4</v>
      </c>
      <c r="F42" s="65">
        <v>60.4</v>
      </c>
      <c r="G42" s="65">
        <v>60.4</v>
      </c>
      <c r="H42" s="65">
        <v>60.4</v>
      </c>
      <c r="I42" s="65">
        <v>60.4</v>
      </c>
      <c r="J42" s="65">
        <v>60.4</v>
      </c>
      <c r="K42" s="65">
        <v>60.4</v>
      </c>
      <c r="L42" s="65">
        <v>60.4</v>
      </c>
      <c r="M42" s="51">
        <v>60</v>
      </c>
      <c r="N42" s="51">
        <v>60.2</v>
      </c>
      <c r="O42" s="51">
        <v>60.2</v>
      </c>
      <c r="P42" s="51">
        <v>60.2</v>
      </c>
      <c r="Q42" s="51">
        <v>60</v>
      </c>
      <c r="R42" s="51">
        <v>60.7</v>
      </c>
      <c r="S42" s="51">
        <v>60.7</v>
      </c>
      <c r="T42" s="51">
        <v>60.7</v>
      </c>
      <c r="U42" s="51">
        <v>60.7</v>
      </c>
      <c r="V42" s="51">
        <v>60.7</v>
      </c>
      <c r="W42" s="51">
        <v>60.7</v>
      </c>
      <c r="X42" s="51">
        <v>60.7</v>
      </c>
      <c r="Y42" s="51">
        <v>60.7</v>
      </c>
      <c r="Z42" s="51">
        <v>60.7</v>
      </c>
      <c r="AA42" s="70">
        <v>60.4</v>
      </c>
      <c r="AB42" s="65">
        <v>60.4</v>
      </c>
      <c r="AC42" s="65">
        <v>60.4</v>
      </c>
      <c r="AD42" s="65">
        <v>60.4</v>
      </c>
      <c r="AE42" s="65">
        <v>60.4</v>
      </c>
      <c r="AF42" s="65">
        <v>60.4</v>
      </c>
      <c r="AG42" s="63">
        <v>60</v>
      </c>
      <c r="AH42" s="54">
        <f t="shared" si="2"/>
        <v>60.7</v>
      </c>
      <c r="AI42" s="55">
        <f t="shared" si="3"/>
        <v>60</v>
      </c>
      <c r="AK42" s="56"/>
    </row>
    <row r="43" spans="1:88" x14ac:dyDescent="0.25">
      <c r="A43" s="62" t="s">
        <v>51</v>
      </c>
      <c r="B43" s="65">
        <v>15</v>
      </c>
      <c r="C43" s="65">
        <v>10</v>
      </c>
      <c r="D43" s="65">
        <v>10</v>
      </c>
      <c r="E43" s="65">
        <v>10</v>
      </c>
      <c r="F43" s="65">
        <v>10</v>
      </c>
      <c r="G43" s="65">
        <v>10</v>
      </c>
      <c r="H43" s="65">
        <v>10</v>
      </c>
      <c r="I43" s="65">
        <v>10</v>
      </c>
      <c r="J43" s="65">
        <v>10</v>
      </c>
      <c r="K43" s="65">
        <v>22</v>
      </c>
      <c r="L43" s="65">
        <v>22</v>
      </c>
      <c r="M43" s="51">
        <v>21.9</v>
      </c>
      <c r="N43" s="51">
        <v>23</v>
      </c>
      <c r="O43" s="51">
        <v>22</v>
      </c>
      <c r="P43" s="51">
        <v>22</v>
      </c>
      <c r="Q43" s="51">
        <v>21</v>
      </c>
      <c r="R43" s="51">
        <v>15</v>
      </c>
      <c r="S43" s="51">
        <v>15</v>
      </c>
      <c r="T43" s="51">
        <v>15</v>
      </c>
      <c r="U43" s="51">
        <v>15</v>
      </c>
      <c r="V43" s="51">
        <v>0</v>
      </c>
      <c r="W43" s="51">
        <v>0</v>
      </c>
      <c r="X43" s="51">
        <v>0</v>
      </c>
      <c r="Y43" s="51">
        <v>6</v>
      </c>
      <c r="Z43" s="51">
        <v>15</v>
      </c>
      <c r="AA43" s="70">
        <v>30</v>
      </c>
      <c r="AB43" s="65">
        <v>30</v>
      </c>
      <c r="AC43" s="65">
        <v>30</v>
      </c>
      <c r="AD43" s="65">
        <v>30</v>
      </c>
      <c r="AE43" s="65">
        <v>18</v>
      </c>
      <c r="AF43" s="65">
        <v>9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18.3</v>
      </c>
      <c r="C45" s="70">
        <v>18.3</v>
      </c>
      <c r="D45" s="70">
        <v>18.3</v>
      </c>
      <c r="E45" s="70">
        <v>18.3</v>
      </c>
      <c r="F45" s="70">
        <v>18.3</v>
      </c>
      <c r="G45" s="70">
        <v>18.3</v>
      </c>
      <c r="H45" s="70">
        <v>18.3</v>
      </c>
      <c r="I45" s="70">
        <v>18.3</v>
      </c>
      <c r="J45" s="70">
        <v>18.3</v>
      </c>
      <c r="K45" s="70">
        <v>18.3</v>
      </c>
      <c r="L45" s="70">
        <v>18.3</v>
      </c>
      <c r="M45" s="51">
        <v>18.3</v>
      </c>
      <c r="N45" s="51">
        <v>18.3</v>
      </c>
      <c r="O45" s="51">
        <v>18.399999999999999</v>
      </c>
      <c r="P45" s="51">
        <v>18.399999999999999</v>
      </c>
      <c r="Q45" s="51">
        <v>18.399999999999999</v>
      </c>
      <c r="R45" s="51">
        <v>18.399999999999999</v>
      </c>
      <c r="S45" s="51">
        <v>18.399999999999999</v>
      </c>
      <c r="T45" s="51">
        <v>18.399999999999999</v>
      </c>
      <c r="U45" s="51">
        <v>18.399999999999999</v>
      </c>
      <c r="V45" s="51">
        <v>18.399999999999999</v>
      </c>
      <c r="W45" s="51">
        <v>18.399999999999999</v>
      </c>
      <c r="X45" s="51">
        <v>18.399999999999999</v>
      </c>
      <c r="Y45" s="51">
        <v>18.399999999999999</v>
      </c>
      <c r="Z45" s="51">
        <v>18.399999999999999</v>
      </c>
      <c r="AA45" s="51">
        <v>18.3</v>
      </c>
      <c r="AB45" s="70">
        <v>18.3</v>
      </c>
      <c r="AC45" s="70">
        <v>18.3</v>
      </c>
      <c r="AD45" s="70">
        <v>18.3</v>
      </c>
      <c r="AE45" s="70">
        <v>18.3</v>
      </c>
      <c r="AF45" s="70">
        <v>18.3</v>
      </c>
      <c r="AG45" s="63">
        <v>24</v>
      </c>
      <c r="AH45" s="54">
        <f t="shared" si="2"/>
        <v>18.399999999999999</v>
      </c>
      <c r="AI45" s="55">
        <f t="shared" si="3"/>
        <v>18.3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13.3</v>
      </c>
      <c r="C47" s="70">
        <v>13.3</v>
      </c>
      <c r="D47" s="70">
        <v>13.3</v>
      </c>
      <c r="E47" s="70">
        <v>13.3</v>
      </c>
      <c r="F47" s="70">
        <v>13.3</v>
      </c>
      <c r="G47" s="70">
        <v>13.3</v>
      </c>
      <c r="H47" s="70">
        <v>13.3</v>
      </c>
      <c r="I47" s="70">
        <v>13.3</v>
      </c>
      <c r="J47" s="70">
        <v>13.3</v>
      </c>
      <c r="K47" s="70">
        <v>13.3</v>
      </c>
      <c r="L47" s="70">
        <v>13.3</v>
      </c>
      <c r="M47" s="51">
        <v>13.7</v>
      </c>
      <c r="N47" s="51">
        <v>13.6</v>
      </c>
      <c r="O47" s="51">
        <v>13.6</v>
      </c>
      <c r="P47" s="51">
        <v>13.6</v>
      </c>
      <c r="Q47" s="51">
        <v>13.6</v>
      </c>
      <c r="R47" s="51">
        <v>13.6</v>
      </c>
      <c r="S47" s="51">
        <v>13.6</v>
      </c>
      <c r="T47" s="51">
        <v>13.6</v>
      </c>
      <c r="U47" s="51">
        <v>13.6</v>
      </c>
      <c r="V47" s="51">
        <v>13.6</v>
      </c>
      <c r="W47" s="51">
        <v>13.6</v>
      </c>
      <c r="X47" s="51">
        <v>13.6</v>
      </c>
      <c r="Y47" s="51">
        <v>13.6</v>
      </c>
      <c r="Z47" s="51">
        <v>13.6</v>
      </c>
      <c r="AA47" s="51">
        <v>14.2</v>
      </c>
      <c r="AB47" s="70">
        <v>14.2</v>
      </c>
      <c r="AC47" s="70">
        <v>14.2</v>
      </c>
      <c r="AD47" s="70">
        <v>14.2</v>
      </c>
      <c r="AE47" s="70">
        <v>14.2</v>
      </c>
      <c r="AF47" s="70">
        <v>14.2</v>
      </c>
      <c r="AG47" s="63">
        <v>14.1</v>
      </c>
      <c r="AH47" s="54">
        <f t="shared" si="2"/>
        <v>14.2</v>
      </c>
      <c r="AI47" s="55">
        <f t="shared" si="3"/>
        <v>13.3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11</v>
      </c>
      <c r="C48" s="70">
        <v>11</v>
      </c>
      <c r="D48" s="70">
        <v>11</v>
      </c>
      <c r="E48" s="70">
        <v>11</v>
      </c>
      <c r="F48" s="70">
        <v>11</v>
      </c>
      <c r="G48" s="70">
        <v>11</v>
      </c>
      <c r="H48" s="70">
        <v>11</v>
      </c>
      <c r="I48" s="70">
        <v>11</v>
      </c>
      <c r="J48" s="70">
        <v>11</v>
      </c>
      <c r="K48" s="70">
        <v>11</v>
      </c>
      <c r="L48" s="70">
        <v>11</v>
      </c>
      <c r="M48" s="51">
        <v>9.1999999999999993</v>
      </c>
      <c r="N48" s="51">
        <v>9.1999999999999993</v>
      </c>
      <c r="O48" s="51">
        <v>9.1999999999999993</v>
      </c>
      <c r="P48" s="51">
        <v>9.1999999999999993</v>
      </c>
      <c r="Q48" s="51">
        <v>9.1999999999999993</v>
      </c>
      <c r="R48" s="51">
        <v>9.1</v>
      </c>
      <c r="S48" s="51">
        <v>9.1</v>
      </c>
      <c r="T48" s="51">
        <v>9.1</v>
      </c>
      <c r="U48" s="51">
        <v>9.1</v>
      </c>
      <c r="V48" s="51">
        <v>9.1</v>
      </c>
      <c r="W48" s="51">
        <v>9.1</v>
      </c>
      <c r="X48" s="51">
        <v>9.1</v>
      </c>
      <c r="Y48" s="51">
        <v>9.1</v>
      </c>
      <c r="Z48" s="51">
        <v>9.1</v>
      </c>
      <c r="AA48" s="51">
        <v>8.5</v>
      </c>
      <c r="AB48" s="70">
        <v>8.5</v>
      </c>
      <c r="AC48" s="70">
        <v>8.5</v>
      </c>
      <c r="AD48" s="70">
        <v>8.5</v>
      </c>
      <c r="AE48" s="70">
        <v>8.5</v>
      </c>
      <c r="AF48" s="70">
        <v>8.5</v>
      </c>
      <c r="AG48" s="63">
        <v>14</v>
      </c>
      <c r="AH48" s="54">
        <f t="shared" si="2"/>
        <v>11</v>
      </c>
      <c r="AI48" s="55">
        <f t="shared" si="3"/>
        <v>8.5</v>
      </c>
      <c r="AK48" s="56"/>
    </row>
    <row r="49" spans="1:37" x14ac:dyDescent="0.25">
      <c r="A49" s="62" t="s">
        <v>57</v>
      </c>
      <c r="B49" s="70">
        <v>8.5</v>
      </c>
      <c r="C49" s="70">
        <v>8.5</v>
      </c>
      <c r="D49" s="70">
        <v>8.5</v>
      </c>
      <c r="E49" s="70">
        <v>8.5</v>
      </c>
      <c r="F49" s="70">
        <v>8.5</v>
      </c>
      <c r="G49" s="70">
        <v>8.5</v>
      </c>
      <c r="H49" s="70">
        <v>8.5</v>
      </c>
      <c r="I49" s="70">
        <v>8.5</v>
      </c>
      <c r="J49" s="70">
        <v>8.5</v>
      </c>
      <c r="K49" s="70">
        <v>8.5</v>
      </c>
      <c r="L49" s="70">
        <v>8.5</v>
      </c>
      <c r="M49" s="51">
        <v>7.2</v>
      </c>
      <c r="N49" s="51">
        <v>7.2</v>
      </c>
      <c r="O49" s="51">
        <v>7.2</v>
      </c>
      <c r="P49" s="51">
        <v>7.2</v>
      </c>
      <c r="Q49" s="51">
        <v>7.2</v>
      </c>
      <c r="R49" s="51">
        <v>7.2</v>
      </c>
      <c r="S49" s="51">
        <v>7.2</v>
      </c>
      <c r="T49" s="51">
        <v>7.2</v>
      </c>
      <c r="U49" s="51">
        <v>7.2</v>
      </c>
      <c r="V49" s="51">
        <v>7.2</v>
      </c>
      <c r="W49" s="51">
        <v>7.2</v>
      </c>
      <c r="X49" s="51">
        <v>7.2</v>
      </c>
      <c r="Y49" s="51">
        <v>7.2</v>
      </c>
      <c r="Z49" s="51">
        <v>7.2</v>
      </c>
      <c r="AA49" s="51">
        <v>7.5</v>
      </c>
      <c r="AB49" s="70">
        <v>7.5</v>
      </c>
      <c r="AC49" s="70">
        <v>7.5</v>
      </c>
      <c r="AD49" s="70">
        <v>7.5</v>
      </c>
      <c r="AE49" s="70">
        <v>7.5</v>
      </c>
      <c r="AF49" s="70">
        <v>7.5</v>
      </c>
      <c r="AG49" s="63">
        <v>10.050000000000001</v>
      </c>
      <c r="AH49" s="54">
        <f t="shared" si="2"/>
        <v>8.5</v>
      </c>
      <c r="AI49" s="55">
        <f t="shared" si="3"/>
        <v>7.2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51">
        <v>3.1</v>
      </c>
      <c r="N50" s="51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340.14000000000004</v>
      </c>
      <c r="C52" s="69">
        <f t="shared" si="6"/>
        <v>339.14000000000004</v>
      </c>
      <c r="D52" s="69">
        <f t="shared" si="6"/>
        <v>327.14000000000004</v>
      </c>
      <c r="E52" s="69">
        <f t="shared" si="6"/>
        <v>337.14000000000004</v>
      </c>
      <c r="F52" s="69">
        <f t="shared" si="6"/>
        <v>348.14000000000004</v>
      </c>
      <c r="G52" s="69">
        <f t="shared" si="6"/>
        <v>348.14000000000004</v>
      </c>
      <c r="H52" s="69">
        <f t="shared" si="6"/>
        <v>348.14000000000004</v>
      </c>
      <c r="I52" s="69">
        <f t="shared" si="6"/>
        <v>348.14000000000004</v>
      </c>
      <c r="J52" s="69">
        <f t="shared" si="6"/>
        <v>348.14000000000004</v>
      </c>
      <c r="K52" s="69">
        <f t="shared" si="6"/>
        <v>385.94000000000005</v>
      </c>
      <c r="L52" s="69">
        <f t="shared" si="6"/>
        <v>395.14000000000004</v>
      </c>
      <c r="M52" s="69">
        <f t="shared" si="6"/>
        <v>392.44</v>
      </c>
      <c r="N52" s="69">
        <f t="shared" si="6"/>
        <v>384.24000000000007</v>
      </c>
      <c r="O52" s="69">
        <f t="shared" si="6"/>
        <v>389.84000000000003</v>
      </c>
      <c r="P52" s="69">
        <f t="shared" si="6"/>
        <v>394.84000000000003</v>
      </c>
      <c r="Q52" s="69">
        <f t="shared" si="6"/>
        <v>400.04</v>
      </c>
      <c r="R52" s="69">
        <f t="shared" si="6"/>
        <v>416.04</v>
      </c>
      <c r="S52" s="69">
        <f t="shared" si="6"/>
        <v>402.14000000000004</v>
      </c>
      <c r="T52" s="69">
        <f t="shared" si="6"/>
        <v>416.14000000000004</v>
      </c>
      <c r="U52" s="69">
        <f t="shared" si="6"/>
        <v>411.14000000000004</v>
      </c>
      <c r="V52" s="69">
        <f t="shared" si="6"/>
        <v>396.14000000000004</v>
      </c>
      <c r="W52" s="69">
        <f t="shared" si="6"/>
        <v>370.64000000000004</v>
      </c>
      <c r="X52" s="69">
        <f>SUM(X39:X51)</f>
        <v>364.64000000000004</v>
      </c>
      <c r="Y52" s="69">
        <f t="shared" si="6"/>
        <v>359.64000000000004</v>
      </c>
      <c r="Z52" s="69">
        <f t="shared" si="6"/>
        <v>369.64000000000004</v>
      </c>
      <c r="AA52" s="69">
        <f t="shared" si="6"/>
        <v>416.5</v>
      </c>
      <c r="AB52" s="69">
        <f t="shared" si="6"/>
        <v>418.74</v>
      </c>
      <c r="AC52" s="69">
        <f t="shared" si="6"/>
        <v>408.14000000000004</v>
      </c>
      <c r="AD52" s="69">
        <f t="shared" si="6"/>
        <v>408.14000000000004</v>
      </c>
      <c r="AE52" s="69">
        <f t="shared" si="6"/>
        <v>399.54</v>
      </c>
      <c r="AF52" s="69">
        <f t="shared" si="6"/>
        <v>384.54</v>
      </c>
      <c r="AG52" s="74">
        <f>SUM(AG39:AG51)</f>
        <v>489.91</v>
      </c>
      <c r="AH52" s="54">
        <f t="shared" si="2"/>
        <v>418.74</v>
      </c>
      <c r="AI52" s="55">
        <f t="shared" si="3"/>
        <v>327.14000000000004</v>
      </c>
      <c r="AK52" s="56"/>
    </row>
    <row r="53" spans="1:37" x14ac:dyDescent="0.25">
      <c r="A53" s="57" t="s">
        <v>61</v>
      </c>
      <c r="B53" s="51">
        <v>45</v>
      </c>
      <c r="C53" s="51">
        <v>50</v>
      </c>
      <c r="D53" s="51">
        <v>45</v>
      </c>
      <c r="E53" s="51">
        <v>30</v>
      </c>
      <c r="F53" s="51">
        <v>30</v>
      </c>
      <c r="G53" s="51">
        <v>30</v>
      </c>
      <c r="H53" s="51">
        <v>30</v>
      </c>
      <c r="I53" s="51">
        <v>30</v>
      </c>
      <c r="J53" s="51">
        <v>25</v>
      </c>
      <c r="K53" s="51">
        <v>30</v>
      </c>
      <c r="L53" s="51">
        <v>30</v>
      </c>
      <c r="M53" s="51">
        <v>15</v>
      </c>
      <c r="N53" s="51">
        <v>13</v>
      </c>
      <c r="O53" s="51">
        <v>20</v>
      </c>
      <c r="P53" s="51">
        <v>14</v>
      </c>
      <c r="Q53" s="51">
        <v>14</v>
      </c>
      <c r="R53" s="51">
        <v>14</v>
      </c>
      <c r="S53" s="51">
        <v>30</v>
      </c>
      <c r="T53" s="51">
        <v>30</v>
      </c>
      <c r="U53" s="51">
        <v>30</v>
      </c>
      <c r="V53" s="51">
        <v>45</v>
      </c>
      <c r="W53" s="51">
        <v>40</v>
      </c>
      <c r="X53" s="51">
        <v>38.799999999999997</v>
      </c>
      <c r="Y53" s="51">
        <v>34</v>
      </c>
      <c r="Z53" s="51">
        <v>25</v>
      </c>
      <c r="AA53" s="51">
        <v>29.6</v>
      </c>
      <c r="AB53" s="51">
        <v>29.6</v>
      </c>
      <c r="AC53" s="51">
        <v>29.6</v>
      </c>
      <c r="AD53" s="51">
        <v>29.6</v>
      </c>
      <c r="AE53" s="51">
        <v>29.6</v>
      </c>
      <c r="AF53" s="51">
        <v>55</v>
      </c>
      <c r="AG53" s="59">
        <v>60</v>
      </c>
      <c r="AH53" s="54">
        <f t="shared" si="2"/>
        <v>55</v>
      </c>
      <c r="AI53" s="55">
        <f t="shared" si="3"/>
        <v>13</v>
      </c>
      <c r="AK53" s="56"/>
    </row>
    <row r="54" spans="1:37" x14ac:dyDescent="0.25">
      <c r="A54" s="62" t="s">
        <v>62</v>
      </c>
      <c r="B54" s="70">
        <v>20</v>
      </c>
      <c r="C54" s="70">
        <v>28</v>
      </c>
      <c r="D54" s="70">
        <v>22</v>
      </c>
      <c r="E54" s="70">
        <v>15</v>
      </c>
      <c r="F54" s="70">
        <v>15</v>
      </c>
      <c r="G54" s="70">
        <v>15</v>
      </c>
      <c r="H54" s="70">
        <v>15</v>
      </c>
      <c r="I54" s="70">
        <v>15</v>
      </c>
      <c r="J54" s="70">
        <v>14</v>
      </c>
      <c r="K54" s="70">
        <v>15</v>
      </c>
      <c r="L54" s="70">
        <v>15</v>
      </c>
      <c r="M54" s="70">
        <v>6.6</v>
      </c>
      <c r="N54" s="70">
        <v>6.6</v>
      </c>
      <c r="O54" s="70">
        <v>9</v>
      </c>
      <c r="P54" s="70">
        <v>6.6</v>
      </c>
      <c r="Q54" s="70">
        <v>6.3</v>
      </c>
      <c r="R54" s="70">
        <v>6.3</v>
      </c>
      <c r="S54" s="70">
        <v>5.8</v>
      </c>
      <c r="T54" s="70">
        <v>10</v>
      </c>
      <c r="U54" s="70">
        <v>14</v>
      </c>
      <c r="V54" s="70">
        <v>23</v>
      </c>
      <c r="W54" s="70">
        <v>17</v>
      </c>
      <c r="X54" s="70">
        <v>30.8</v>
      </c>
      <c r="Y54" s="70">
        <v>16</v>
      </c>
      <c r="Z54" s="70">
        <v>11.8</v>
      </c>
      <c r="AA54" s="70">
        <v>15.9</v>
      </c>
      <c r="AB54" s="70">
        <v>15.9</v>
      </c>
      <c r="AC54" s="70">
        <v>15.9</v>
      </c>
      <c r="AD54" s="70">
        <v>15.9</v>
      </c>
      <c r="AE54" s="70">
        <v>15.9</v>
      </c>
      <c r="AF54" s="70">
        <v>28</v>
      </c>
      <c r="AG54" s="63">
        <v>32</v>
      </c>
      <c r="AH54" s="54">
        <f t="shared" si="2"/>
        <v>30.8</v>
      </c>
      <c r="AI54" s="55">
        <f t="shared" si="3"/>
        <v>5.8</v>
      </c>
      <c r="AK54" s="56"/>
    </row>
    <row r="55" spans="1:37" ht="15.75" thickBot="1" x14ac:dyDescent="0.3">
      <c r="A55" s="72" t="s">
        <v>63</v>
      </c>
      <c r="B55" s="75">
        <v>7</v>
      </c>
      <c r="C55" s="75">
        <v>10</v>
      </c>
      <c r="D55" s="75">
        <v>8</v>
      </c>
      <c r="E55" s="75">
        <v>6</v>
      </c>
      <c r="F55" s="75">
        <v>6</v>
      </c>
      <c r="G55" s="75">
        <v>6</v>
      </c>
      <c r="H55" s="75">
        <v>6</v>
      </c>
      <c r="I55" s="75">
        <v>6</v>
      </c>
      <c r="J55" s="75">
        <v>6</v>
      </c>
      <c r="K55" s="75">
        <v>6</v>
      </c>
      <c r="L55" s="75">
        <v>6</v>
      </c>
      <c r="M55" s="75">
        <v>2.4</v>
      </c>
      <c r="N55" s="75">
        <v>2.4</v>
      </c>
      <c r="O55" s="75">
        <v>3.3</v>
      </c>
      <c r="P55" s="75">
        <v>2.4</v>
      </c>
      <c r="Q55" s="75">
        <v>2.2999999999999998</v>
      </c>
      <c r="R55" s="75">
        <v>2.2999999999999998</v>
      </c>
      <c r="S55" s="75">
        <v>2.1</v>
      </c>
      <c r="T55" s="75">
        <v>3.9</v>
      </c>
      <c r="U55" s="75">
        <v>5.3</v>
      </c>
      <c r="V55" s="75">
        <v>8.4</v>
      </c>
      <c r="W55" s="75">
        <v>6.3</v>
      </c>
      <c r="X55" s="75">
        <v>11</v>
      </c>
      <c r="Y55" s="75">
        <v>6</v>
      </c>
      <c r="Z55" s="75">
        <v>5</v>
      </c>
      <c r="AA55" s="75">
        <v>5.8</v>
      </c>
      <c r="AB55" s="75">
        <v>5.8</v>
      </c>
      <c r="AC55" s="75">
        <v>5.8</v>
      </c>
      <c r="AD55" s="75">
        <v>5.8</v>
      </c>
      <c r="AE55" s="75">
        <v>5.8</v>
      </c>
      <c r="AF55" s="75">
        <v>10</v>
      </c>
      <c r="AG55" s="76">
        <v>14</v>
      </c>
      <c r="AH55" s="54">
        <f t="shared" si="2"/>
        <v>11</v>
      </c>
      <c r="AI55" s="55">
        <f t="shared" si="3"/>
        <v>2.1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72</v>
      </c>
      <c r="C56" s="69">
        <f t="shared" si="7"/>
        <v>88</v>
      </c>
      <c r="D56" s="69">
        <f t="shared" si="7"/>
        <v>75</v>
      </c>
      <c r="E56" s="69">
        <f t="shared" si="7"/>
        <v>51</v>
      </c>
      <c r="F56" s="69">
        <f t="shared" si="7"/>
        <v>51</v>
      </c>
      <c r="G56" s="69">
        <f t="shared" si="7"/>
        <v>51</v>
      </c>
      <c r="H56" s="69">
        <f t="shared" si="7"/>
        <v>51</v>
      </c>
      <c r="I56" s="69">
        <f t="shared" si="7"/>
        <v>51</v>
      </c>
      <c r="J56" s="69">
        <f t="shared" si="7"/>
        <v>45</v>
      </c>
      <c r="K56" s="69">
        <f t="shared" si="7"/>
        <v>51</v>
      </c>
      <c r="L56" s="69">
        <f t="shared" si="7"/>
        <v>51</v>
      </c>
      <c r="M56" s="69">
        <f t="shared" si="7"/>
        <v>24</v>
      </c>
      <c r="N56" s="69">
        <f t="shared" si="7"/>
        <v>22</v>
      </c>
      <c r="O56" s="69">
        <f t="shared" si="7"/>
        <v>32.299999999999997</v>
      </c>
      <c r="P56" s="69">
        <f t="shared" si="7"/>
        <v>23</v>
      </c>
      <c r="Q56" s="69">
        <f t="shared" si="7"/>
        <v>22.6</v>
      </c>
      <c r="R56" s="69">
        <f t="shared" si="7"/>
        <v>22.6</v>
      </c>
      <c r="S56" s="69">
        <f t="shared" si="7"/>
        <v>37.9</v>
      </c>
      <c r="T56" s="69">
        <f t="shared" si="7"/>
        <v>43.9</v>
      </c>
      <c r="U56" s="69">
        <f t="shared" si="7"/>
        <v>49.3</v>
      </c>
      <c r="V56" s="69">
        <f t="shared" si="7"/>
        <v>76.400000000000006</v>
      </c>
      <c r="W56" s="69">
        <f t="shared" si="7"/>
        <v>63.3</v>
      </c>
      <c r="X56" s="69">
        <f t="shared" si="7"/>
        <v>80.599999999999994</v>
      </c>
      <c r="Y56" s="69">
        <f t="shared" si="7"/>
        <v>56</v>
      </c>
      <c r="Z56" s="69">
        <f t="shared" si="7"/>
        <v>41.8</v>
      </c>
      <c r="AA56" s="69">
        <f t="shared" si="7"/>
        <v>51.3</v>
      </c>
      <c r="AB56" s="69">
        <f t="shared" si="7"/>
        <v>51.3</v>
      </c>
      <c r="AC56" s="69">
        <f t="shared" si="7"/>
        <v>51.3</v>
      </c>
      <c r="AD56" s="69">
        <f t="shared" si="7"/>
        <v>51.3</v>
      </c>
      <c r="AE56" s="69">
        <f t="shared" si="7"/>
        <v>51.3</v>
      </c>
      <c r="AF56" s="69">
        <f t="shared" si="7"/>
        <v>93</v>
      </c>
      <c r="AG56" s="74">
        <f>SUM(AG53:AG55)</f>
        <v>106</v>
      </c>
      <c r="AH56" s="54">
        <f t="shared" si="2"/>
        <v>93</v>
      </c>
      <c r="AI56" s="55">
        <f t="shared" si="3"/>
        <v>22</v>
      </c>
      <c r="AK56" s="56"/>
    </row>
    <row r="57" spans="1:37" x14ac:dyDescent="0.25">
      <c r="A57" s="57" t="s">
        <v>65</v>
      </c>
      <c r="B57" s="51">
        <v>53</v>
      </c>
      <c r="C57" s="51">
        <v>37</v>
      </c>
      <c r="D57" s="51">
        <v>52</v>
      </c>
      <c r="E57" s="51">
        <v>49</v>
      </c>
      <c r="F57" s="51">
        <v>52</v>
      </c>
      <c r="G57" s="51">
        <v>58</v>
      </c>
      <c r="H57" s="51">
        <v>58</v>
      </c>
      <c r="I57" s="51">
        <v>58</v>
      </c>
      <c r="J57" s="51">
        <v>39</v>
      </c>
      <c r="K57" s="51">
        <v>48</v>
      </c>
      <c r="L57" s="51">
        <v>48.6</v>
      </c>
      <c r="M57" s="51">
        <v>51.6</v>
      </c>
      <c r="N57" s="51">
        <v>51.6</v>
      </c>
      <c r="O57" s="51">
        <v>54</v>
      </c>
      <c r="P57" s="51">
        <v>57.5</v>
      </c>
      <c r="Q57" s="51">
        <v>55.5</v>
      </c>
      <c r="R57" s="51">
        <v>64.099999999999994</v>
      </c>
      <c r="S57" s="51">
        <v>67</v>
      </c>
      <c r="T57" s="51">
        <v>55</v>
      </c>
      <c r="U57" s="51">
        <v>64</v>
      </c>
      <c r="V57" s="51">
        <v>56</v>
      </c>
      <c r="W57" s="51">
        <v>48</v>
      </c>
      <c r="X57" s="51">
        <v>54</v>
      </c>
      <c r="Y57" s="51">
        <v>50</v>
      </c>
      <c r="Z57" s="51">
        <v>61</v>
      </c>
      <c r="AA57" s="51">
        <v>56</v>
      </c>
      <c r="AB57" s="51">
        <v>63</v>
      </c>
      <c r="AC57" s="51">
        <v>67</v>
      </c>
      <c r="AD57" s="51">
        <v>68</v>
      </c>
      <c r="AE57" s="51">
        <v>54</v>
      </c>
      <c r="AF57" s="51">
        <v>58</v>
      </c>
      <c r="AG57" s="59"/>
      <c r="AH57" s="54">
        <f t="shared" si="2"/>
        <v>68</v>
      </c>
      <c r="AI57" s="55">
        <f t="shared" si="3"/>
        <v>37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98</v>
      </c>
      <c r="C59" s="70">
        <v>54</v>
      </c>
      <c r="D59" s="70">
        <v>21</v>
      </c>
      <c r="E59" s="70">
        <v>39</v>
      </c>
      <c r="F59" s="70">
        <v>75</v>
      </c>
      <c r="G59" s="70">
        <v>85</v>
      </c>
      <c r="H59" s="70">
        <v>90</v>
      </c>
      <c r="I59" s="70">
        <v>95</v>
      </c>
      <c r="J59" s="70">
        <v>130</v>
      </c>
      <c r="K59" s="70">
        <v>150</v>
      </c>
      <c r="L59" s="70">
        <v>143</v>
      </c>
      <c r="M59" s="70">
        <v>154.1</v>
      </c>
      <c r="N59" s="70">
        <v>168.1</v>
      </c>
      <c r="O59" s="70">
        <v>169</v>
      </c>
      <c r="P59" s="70">
        <v>172.7</v>
      </c>
      <c r="Q59" s="70">
        <v>175.2</v>
      </c>
      <c r="R59" s="70">
        <v>167.9</v>
      </c>
      <c r="S59" s="70">
        <v>75</v>
      </c>
      <c r="T59" s="70">
        <v>53</v>
      </c>
      <c r="U59" s="70">
        <v>70</v>
      </c>
      <c r="V59" s="70">
        <v>67</v>
      </c>
      <c r="W59" s="70">
        <v>50</v>
      </c>
      <c r="X59" s="70">
        <v>52</v>
      </c>
      <c r="Y59" s="70">
        <v>48</v>
      </c>
      <c r="Z59" s="70">
        <v>48</v>
      </c>
      <c r="AA59" s="70">
        <v>60</v>
      </c>
      <c r="AB59" s="70">
        <v>11</v>
      </c>
      <c r="AC59" s="70">
        <v>29</v>
      </c>
      <c r="AD59" s="70">
        <v>44</v>
      </c>
      <c r="AE59" s="70">
        <v>46</v>
      </c>
      <c r="AF59" s="70">
        <v>15</v>
      </c>
      <c r="AG59" s="77"/>
      <c r="AH59" s="54">
        <f t="shared" si="2"/>
        <v>175.2</v>
      </c>
      <c r="AI59" s="55">
        <f t="shared" si="3"/>
        <v>11</v>
      </c>
      <c r="AK59" s="56"/>
    </row>
    <row r="60" spans="1:37" x14ac:dyDescent="0.25">
      <c r="A60" s="62" t="s">
        <v>68</v>
      </c>
      <c r="B60" s="78">
        <v>13</v>
      </c>
      <c r="C60" s="78">
        <v>13</v>
      </c>
      <c r="D60" s="78">
        <v>13</v>
      </c>
      <c r="E60" s="78">
        <v>13</v>
      </c>
      <c r="F60" s="78">
        <v>13</v>
      </c>
      <c r="G60" s="78">
        <v>13</v>
      </c>
      <c r="H60" s="78">
        <v>13</v>
      </c>
      <c r="I60" s="78">
        <v>10</v>
      </c>
      <c r="J60" s="78">
        <v>10</v>
      </c>
      <c r="K60" s="78">
        <v>12</v>
      </c>
      <c r="L60" s="78">
        <v>12</v>
      </c>
      <c r="M60" s="78">
        <v>12</v>
      </c>
      <c r="N60" s="78">
        <v>12</v>
      </c>
      <c r="O60" s="78">
        <v>12</v>
      </c>
      <c r="P60" s="78">
        <v>12</v>
      </c>
      <c r="Q60" s="78">
        <v>12</v>
      </c>
      <c r="R60" s="78">
        <v>12</v>
      </c>
      <c r="S60" s="78">
        <v>12</v>
      </c>
      <c r="T60" s="78">
        <v>12</v>
      </c>
      <c r="U60" s="78">
        <v>12</v>
      </c>
      <c r="V60" s="78">
        <v>12</v>
      </c>
      <c r="W60" s="78">
        <v>12</v>
      </c>
      <c r="X60" s="78">
        <v>12</v>
      </c>
      <c r="Y60" s="78">
        <v>12</v>
      </c>
      <c r="Z60" s="78">
        <v>12</v>
      </c>
      <c r="AA60" s="78">
        <v>12</v>
      </c>
      <c r="AB60" s="78">
        <v>12</v>
      </c>
      <c r="AC60" s="78">
        <v>12</v>
      </c>
      <c r="AD60" s="78">
        <v>12</v>
      </c>
      <c r="AE60" s="78">
        <v>12</v>
      </c>
      <c r="AF60" s="78">
        <v>12</v>
      </c>
      <c r="AG60" s="77"/>
      <c r="AH60" s="54">
        <f t="shared" si="2"/>
        <v>13</v>
      </c>
      <c r="AI60" s="55">
        <f t="shared" si="3"/>
        <v>10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9">
        <v>0</v>
      </c>
      <c r="N64" s="79">
        <v>0</v>
      </c>
      <c r="O64" s="79">
        <v>0</v>
      </c>
      <c r="P64" s="79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9">
        <v>0</v>
      </c>
      <c r="N65" s="79">
        <v>0</v>
      </c>
      <c r="O65" s="79">
        <v>0</v>
      </c>
      <c r="P65" s="79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79">
        <v>0</v>
      </c>
      <c r="N66" s="79">
        <v>0</v>
      </c>
      <c r="O66" s="79">
        <v>0</v>
      </c>
      <c r="P66" s="79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79">
        <v>0</v>
      </c>
      <c r="N67" s="79">
        <v>0</v>
      </c>
      <c r="O67" s="79">
        <v>0</v>
      </c>
      <c r="P67" s="79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172</v>
      </c>
      <c r="C68" s="69">
        <f t="shared" si="8"/>
        <v>112</v>
      </c>
      <c r="D68" s="69">
        <f t="shared" si="8"/>
        <v>94</v>
      </c>
      <c r="E68" s="69">
        <f t="shared" si="8"/>
        <v>109</v>
      </c>
      <c r="F68" s="69">
        <f t="shared" si="8"/>
        <v>148</v>
      </c>
      <c r="G68" s="69">
        <f t="shared" si="8"/>
        <v>164</v>
      </c>
      <c r="H68" s="69">
        <f t="shared" si="8"/>
        <v>169</v>
      </c>
      <c r="I68" s="69">
        <f t="shared" si="8"/>
        <v>171</v>
      </c>
      <c r="J68" s="69">
        <f t="shared" si="8"/>
        <v>187</v>
      </c>
      <c r="K68" s="69">
        <f t="shared" si="8"/>
        <v>218</v>
      </c>
      <c r="L68" s="69">
        <f t="shared" si="8"/>
        <v>211.6</v>
      </c>
      <c r="M68" s="69">
        <f t="shared" si="8"/>
        <v>217.7</v>
      </c>
      <c r="N68" s="69">
        <f t="shared" si="8"/>
        <v>231.7</v>
      </c>
      <c r="O68" s="69">
        <f t="shared" si="8"/>
        <v>235</v>
      </c>
      <c r="P68" s="69">
        <f t="shared" si="8"/>
        <v>242.2</v>
      </c>
      <c r="Q68" s="69">
        <f t="shared" si="8"/>
        <v>242.7</v>
      </c>
      <c r="R68" s="69">
        <f t="shared" si="8"/>
        <v>244</v>
      </c>
      <c r="S68" s="69">
        <f t="shared" si="8"/>
        <v>154</v>
      </c>
      <c r="T68" s="69">
        <f t="shared" si="8"/>
        <v>120</v>
      </c>
      <c r="U68" s="69">
        <f t="shared" si="8"/>
        <v>146</v>
      </c>
      <c r="V68" s="69">
        <f>SUM(V57:V67)</f>
        <v>135</v>
      </c>
      <c r="W68" s="69">
        <f t="shared" si="8"/>
        <v>110</v>
      </c>
      <c r="X68" s="69">
        <f t="shared" si="8"/>
        <v>118</v>
      </c>
      <c r="Y68" s="69">
        <f t="shared" si="8"/>
        <v>110</v>
      </c>
      <c r="Z68" s="69">
        <f t="shared" si="8"/>
        <v>121</v>
      </c>
      <c r="AA68" s="69">
        <f t="shared" si="8"/>
        <v>128</v>
      </c>
      <c r="AB68" s="69">
        <f t="shared" si="8"/>
        <v>86</v>
      </c>
      <c r="AC68" s="69">
        <f t="shared" si="8"/>
        <v>108</v>
      </c>
      <c r="AD68" s="69">
        <f t="shared" si="8"/>
        <v>132</v>
      </c>
      <c r="AE68" s="69">
        <f t="shared" si="8"/>
        <v>120</v>
      </c>
      <c r="AF68" s="69">
        <f t="shared" si="8"/>
        <v>93</v>
      </c>
      <c r="AG68" s="74">
        <f>SUM(AG57:AG67)</f>
        <v>0</v>
      </c>
      <c r="AH68" s="54">
        <f t="shared" si="2"/>
        <v>244</v>
      </c>
      <c r="AI68" s="55">
        <f t="shared" si="3"/>
        <v>86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50</v>
      </c>
      <c r="C74" s="86">
        <v>50</v>
      </c>
      <c r="D74" s="86">
        <v>50</v>
      </c>
      <c r="E74" s="86">
        <v>50</v>
      </c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50</v>
      </c>
      <c r="AI74" s="55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1385.64</v>
      </c>
      <c r="C75" s="84">
        <f t="shared" si="10"/>
        <v>1383.44</v>
      </c>
      <c r="D75" s="84">
        <f t="shared" si="10"/>
        <v>1328.44</v>
      </c>
      <c r="E75" s="84">
        <f t="shared" si="10"/>
        <v>1309.44</v>
      </c>
      <c r="F75" s="84">
        <f t="shared" si="10"/>
        <v>1299.44</v>
      </c>
      <c r="G75" s="84">
        <f t="shared" si="10"/>
        <v>1295.44</v>
      </c>
      <c r="H75" s="84">
        <f t="shared" si="10"/>
        <v>1270.44</v>
      </c>
      <c r="I75" s="84">
        <f t="shared" si="10"/>
        <v>1272.44</v>
      </c>
      <c r="J75" s="84">
        <f t="shared" si="10"/>
        <v>1253.44</v>
      </c>
      <c r="K75" s="84">
        <f t="shared" si="10"/>
        <v>1307.2400000000002</v>
      </c>
      <c r="L75" s="84">
        <f t="shared" si="10"/>
        <v>1330.04</v>
      </c>
      <c r="M75" s="84">
        <f t="shared" si="10"/>
        <v>1306.54</v>
      </c>
      <c r="N75" s="84">
        <f t="shared" si="10"/>
        <v>1324.8400000000001</v>
      </c>
      <c r="O75" s="84">
        <f t="shared" si="10"/>
        <v>1334.0400000000002</v>
      </c>
      <c r="P75" s="84">
        <f t="shared" si="10"/>
        <v>1316.94</v>
      </c>
      <c r="Q75" s="84">
        <f t="shared" si="10"/>
        <v>1302.2400000000002</v>
      </c>
      <c r="R75" s="84">
        <f t="shared" si="10"/>
        <v>1289.5400000000002</v>
      </c>
      <c r="S75" s="84">
        <f t="shared" si="10"/>
        <v>1296.44</v>
      </c>
      <c r="T75" s="84">
        <f t="shared" si="10"/>
        <v>1322.44</v>
      </c>
      <c r="U75" s="84">
        <f t="shared" si="10"/>
        <v>1326.8400000000001</v>
      </c>
      <c r="V75" s="84">
        <f t="shared" si="10"/>
        <v>1302.94</v>
      </c>
      <c r="W75" s="84">
        <f t="shared" si="10"/>
        <v>1249.3400000000001</v>
      </c>
      <c r="X75" s="84">
        <f t="shared" si="10"/>
        <v>1291.6399999999999</v>
      </c>
      <c r="Y75" s="84">
        <f t="shared" si="10"/>
        <v>1306.04</v>
      </c>
      <c r="Z75" s="84">
        <f t="shared" si="10"/>
        <v>1352.8400000000001</v>
      </c>
      <c r="AA75" s="84">
        <f t="shared" si="10"/>
        <v>1520.8</v>
      </c>
      <c r="AB75" s="84">
        <f t="shared" si="10"/>
        <v>1526.04</v>
      </c>
      <c r="AC75" s="84">
        <f t="shared" si="10"/>
        <v>1517.94</v>
      </c>
      <c r="AD75" s="84">
        <f t="shared" si="10"/>
        <v>1521.94</v>
      </c>
      <c r="AE75" s="84">
        <f t="shared" si="10"/>
        <v>1431.3400000000001</v>
      </c>
      <c r="AF75" s="84">
        <f t="shared" si="10"/>
        <v>1291.8399999999999</v>
      </c>
      <c r="AG75" s="74">
        <f>AG72+AG68+AG56+AG52+AG38+AG74</f>
        <v>2144.14</v>
      </c>
      <c r="AH75" s="54">
        <f t="shared" si="2"/>
        <v>1526.04</v>
      </c>
      <c r="AI75" s="55">
        <f t="shared" si="3"/>
        <v>1249.3400000000001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2637.5299999999997</v>
      </c>
      <c r="C83" s="69">
        <f t="shared" si="14"/>
        <v>2635.33</v>
      </c>
      <c r="D83" s="69">
        <f t="shared" si="14"/>
        <v>2580.33</v>
      </c>
      <c r="E83" s="69">
        <f t="shared" si="14"/>
        <v>2561.33</v>
      </c>
      <c r="F83" s="69">
        <f t="shared" si="14"/>
        <v>2501.33</v>
      </c>
      <c r="G83" s="69">
        <f t="shared" si="14"/>
        <v>2497.33</v>
      </c>
      <c r="H83" s="69">
        <f t="shared" si="14"/>
        <v>2472.33</v>
      </c>
      <c r="I83" s="69">
        <f t="shared" si="14"/>
        <v>2474.33</v>
      </c>
      <c r="J83" s="69">
        <f t="shared" si="14"/>
        <v>2455.33</v>
      </c>
      <c r="K83" s="69">
        <f t="shared" si="14"/>
        <v>2509.13</v>
      </c>
      <c r="L83" s="69">
        <f t="shared" si="14"/>
        <v>2531.9299999999998</v>
      </c>
      <c r="M83" s="69">
        <f t="shared" si="14"/>
        <v>2508.4299999999998</v>
      </c>
      <c r="N83" s="69">
        <f t="shared" si="14"/>
        <v>2526.73</v>
      </c>
      <c r="O83" s="69">
        <f t="shared" si="14"/>
        <v>2535.9300000000003</v>
      </c>
      <c r="P83" s="69">
        <f t="shared" si="14"/>
        <v>2518.83</v>
      </c>
      <c r="Q83" s="69">
        <f t="shared" si="14"/>
        <v>2504.13</v>
      </c>
      <c r="R83" s="69">
        <f t="shared" si="14"/>
        <v>2491.4300000000003</v>
      </c>
      <c r="S83" s="69">
        <f t="shared" si="14"/>
        <v>2498.33</v>
      </c>
      <c r="T83" s="69">
        <f t="shared" si="14"/>
        <v>2524.33</v>
      </c>
      <c r="U83" s="69">
        <f t="shared" si="14"/>
        <v>2528.73</v>
      </c>
      <c r="V83" s="69">
        <f t="shared" si="14"/>
        <v>2504.83</v>
      </c>
      <c r="W83" s="69">
        <f t="shared" si="14"/>
        <v>2451.23</v>
      </c>
      <c r="X83" s="69">
        <f t="shared" si="14"/>
        <v>2493.5299999999997</v>
      </c>
      <c r="Y83" s="69">
        <f t="shared" si="14"/>
        <v>2507.9299999999998</v>
      </c>
      <c r="Z83" s="69">
        <f t="shared" si="14"/>
        <v>2554.73</v>
      </c>
      <c r="AA83" s="69">
        <f t="shared" si="14"/>
        <v>2722.6899999999996</v>
      </c>
      <c r="AB83" s="69">
        <f t="shared" si="14"/>
        <v>2727.93</v>
      </c>
      <c r="AC83" s="69">
        <f t="shared" si="14"/>
        <v>2719.83</v>
      </c>
      <c r="AD83" s="69">
        <f t="shared" si="14"/>
        <v>2723.83</v>
      </c>
      <c r="AE83" s="69">
        <f t="shared" si="14"/>
        <v>2633.23</v>
      </c>
      <c r="AF83" s="69">
        <f t="shared" si="14"/>
        <v>2493.7299999999996</v>
      </c>
      <c r="AG83" s="74">
        <f t="shared" si="14"/>
        <v>4360.08</v>
      </c>
      <c r="AH83" s="54">
        <f t="shared" si="11"/>
        <v>2727.93</v>
      </c>
      <c r="AI83" s="55">
        <f t="shared" si="12"/>
        <v>2451.23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50.043999999999997</v>
      </c>
      <c r="C84" s="90">
        <v>49.9</v>
      </c>
      <c r="D84" s="90">
        <v>49.901000000000003</v>
      </c>
      <c r="E84" s="90">
        <v>50.045000000000002</v>
      </c>
      <c r="F84" s="90">
        <v>50.045000000000002</v>
      </c>
      <c r="G84" s="90">
        <v>50.045000000000002</v>
      </c>
      <c r="H84" s="90">
        <v>50.045000000000002</v>
      </c>
      <c r="I84" s="90">
        <v>50.045000000000002</v>
      </c>
      <c r="J84" s="90">
        <v>50.045000000000002</v>
      </c>
      <c r="K84" s="90">
        <v>50.042999999999999</v>
      </c>
      <c r="L84" s="90">
        <v>50.094000000000001</v>
      </c>
      <c r="M84" s="90">
        <v>50.07</v>
      </c>
      <c r="N84" s="90">
        <v>50.02</v>
      </c>
      <c r="O84" s="90">
        <v>50.024000000000001</v>
      </c>
      <c r="P84" s="90">
        <v>49.959000000000003</v>
      </c>
      <c r="Q84" s="90">
        <v>50.005000000000003</v>
      </c>
      <c r="R84" s="90">
        <v>49.997999999999998</v>
      </c>
      <c r="S84" s="90">
        <v>50.005000000000003</v>
      </c>
      <c r="T84" s="90">
        <v>49.853999999999999</v>
      </c>
      <c r="U84" s="90">
        <v>49.853999999999999</v>
      </c>
      <c r="V84" s="90">
        <v>50.027999999999999</v>
      </c>
      <c r="W84" s="90">
        <v>50.027999999999999</v>
      </c>
      <c r="X84" s="90">
        <v>50.033999999999999</v>
      </c>
      <c r="Y84" s="90">
        <v>50.026000000000003</v>
      </c>
      <c r="Z84" s="90">
        <v>49.984999999999999</v>
      </c>
      <c r="AA84" s="90">
        <v>49.932000000000002</v>
      </c>
      <c r="AB84" s="90">
        <v>49.941000000000003</v>
      </c>
      <c r="AC84" s="90">
        <v>50</v>
      </c>
      <c r="AD84" s="90">
        <v>50.02</v>
      </c>
      <c r="AE84" s="90">
        <v>49.9</v>
      </c>
      <c r="AF84" s="90">
        <v>49.9</v>
      </c>
      <c r="AG84" s="91"/>
      <c r="AH84" s="54">
        <f t="shared" si="11"/>
        <v>50.094000000000001</v>
      </c>
      <c r="AI84" s="55">
        <f t="shared" si="12"/>
        <v>49.853999999999999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</v>
      </c>
      <c r="C85" s="70">
        <v>124</v>
      </c>
      <c r="D85" s="70">
        <v>124</v>
      </c>
      <c r="E85" s="70">
        <v>124</v>
      </c>
      <c r="F85" s="70">
        <v>124</v>
      </c>
      <c r="G85" s="70">
        <v>124</v>
      </c>
      <c r="H85" s="70">
        <v>124</v>
      </c>
      <c r="I85" s="70">
        <v>124</v>
      </c>
      <c r="J85" s="70">
        <v>124</v>
      </c>
      <c r="K85" s="70">
        <v>125</v>
      </c>
      <c r="L85" s="70">
        <v>125</v>
      </c>
      <c r="M85" s="70">
        <v>124.4</v>
      </c>
      <c r="N85" s="70">
        <v>124.6</v>
      </c>
      <c r="O85" s="70">
        <v>123.3</v>
      </c>
      <c r="P85" s="70">
        <v>124.4</v>
      </c>
      <c r="Q85" s="70">
        <v>125</v>
      </c>
      <c r="R85" s="70">
        <v>124.4</v>
      </c>
      <c r="S85" s="70">
        <v>122</v>
      </c>
      <c r="T85" s="70">
        <v>124</v>
      </c>
      <c r="U85" s="70">
        <v>124</v>
      </c>
      <c r="V85" s="70">
        <v>125</v>
      </c>
      <c r="W85" s="70">
        <v>125</v>
      </c>
      <c r="X85" s="70">
        <v>126.5</v>
      </c>
      <c r="Y85" s="70">
        <v>127</v>
      </c>
      <c r="Z85" s="70">
        <v>127</v>
      </c>
      <c r="AA85" s="70">
        <v>123</v>
      </c>
      <c r="AB85" s="70">
        <v>124</v>
      </c>
      <c r="AC85" s="70">
        <v>124</v>
      </c>
      <c r="AD85" s="70">
        <v>125</v>
      </c>
      <c r="AE85" s="70">
        <v>125</v>
      </c>
      <c r="AF85" s="70">
        <v>125</v>
      </c>
      <c r="AG85" s="93"/>
      <c r="AH85" s="54">
        <f t="shared" si="11"/>
        <v>127</v>
      </c>
      <c r="AI85" s="55">
        <f t="shared" si="12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</v>
      </c>
      <c r="C86" s="70">
        <v>128</v>
      </c>
      <c r="D86" s="70">
        <v>128</v>
      </c>
      <c r="E86" s="70">
        <v>128</v>
      </c>
      <c r="F86" s="70">
        <v>128</v>
      </c>
      <c r="G86" s="70">
        <v>128</v>
      </c>
      <c r="H86" s="70">
        <v>128</v>
      </c>
      <c r="I86" s="70">
        <v>128</v>
      </c>
      <c r="J86" s="70">
        <v>128</v>
      </c>
      <c r="K86" s="70">
        <v>128.5</v>
      </c>
      <c r="L86" s="70">
        <v>128</v>
      </c>
      <c r="M86" s="70">
        <v>127.8</v>
      </c>
      <c r="N86" s="70">
        <v>127.8</v>
      </c>
      <c r="O86" s="70">
        <v>127.5</v>
      </c>
      <c r="P86" s="70">
        <v>128.30000000000001</v>
      </c>
      <c r="Q86" s="70">
        <v>129</v>
      </c>
      <c r="R86" s="70">
        <v>127.8</v>
      </c>
      <c r="S86" s="70">
        <v>126</v>
      </c>
      <c r="T86" s="70">
        <v>128</v>
      </c>
      <c r="U86" s="70">
        <v>128</v>
      </c>
      <c r="V86" s="70">
        <v>129</v>
      </c>
      <c r="W86" s="70">
        <v>129</v>
      </c>
      <c r="X86" s="70">
        <v>130</v>
      </c>
      <c r="Y86" s="70">
        <v>130</v>
      </c>
      <c r="Z86" s="70">
        <v>130</v>
      </c>
      <c r="AA86" s="70">
        <v>126</v>
      </c>
      <c r="AB86" s="70">
        <v>127</v>
      </c>
      <c r="AC86" s="70">
        <v>127</v>
      </c>
      <c r="AD86" s="70">
        <v>128</v>
      </c>
      <c r="AE86" s="70">
        <v>128</v>
      </c>
      <c r="AF86" s="70">
        <v>128</v>
      </c>
      <c r="AG86" s="93"/>
      <c r="AH86" s="54">
        <f t="shared" si="11"/>
        <v>130</v>
      </c>
      <c r="AI86" s="55">
        <f t="shared" si="12"/>
        <v>126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128.69999999999999</v>
      </c>
      <c r="C87" s="70">
        <v>129</v>
      </c>
      <c r="D87" s="70">
        <v>129</v>
      </c>
      <c r="E87" s="70">
        <v>129</v>
      </c>
      <c r="F87" s="70">
        <v>129</v>
      </c>
      <c r="G87" s="70">
        <v>129</v>
      </c>
      <c r="H87" s="70">
        <v>129</v>
      </c>
      <c r="I87" s="70">
        <v>129</v>
      </c>
      <c r="J87" s="70">
        <v>129</v>
      </c>
      <c r="K87" s="70">
        <v>130</v>
      </c>
      <c r="L87" s="70">
        <v>128</v>
      </c>
      <c r="M87" s="70">
        <v>128.9</v>
      </c>
      <c r="N87" s="70">
        <v>128.4</v>
      </c>
      <c r="O87" s="70">
        <v>129</v>
      </c>
      <c r="P87" s="70">
        <v>129.1</v>
      </c>
      <c r="Q87" s="70">
        <v>129.1</v>
      </c>
      <c r="R87" s="70">
        <v>128</v>
      </c>
      <c r="S87" s="70">
        <v>127</v>
      </c>
      <c r="T87" s="70">
        <v>128</v>
      </c>
      <c r="U87" s="70">
        <v>128</v>
      </c>
      <c r="V87" s="70">
        <v>129</v>
      </c>
      <c r="W87" s="70">
        <v>129</v>
      </c>
      <c r="X87" s="70">
        <v>130</v>
      </c>
      <c r="Y87" s="70">
        <v>132</v>
      </c>
      <c r="Z87" s="70">
        <v>132</v>
      </c>
      <c r="AA87" s="70">
        <v>124</v>
      </c>
      <c r="AB87" s="70">
        <v>130</v>
      </c>
      <c r="AC87" s="70">
        <v>130</v>
      </c>
      <c r="AD87" s="70">
        <v>130</v>
      </c>
      <c r="AE87" s="70">
        <v>130</v>
      </c>
      <c r="AF87" s="70">
        <v>130</v>
      </c>
      <c r="AG87" s="93"/>
      <c r="AH87" s="54">
        <f t="shared" si="11"/>
        <v>132</v>
      </c>
      <c r="AI87" s="55">
        <f t="shared" si="12"/>
        <v>124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</v>
      </c>
      <c r="C88" s="70">
        <v>133</v>
      </c>
      <c r="D88" s="70">
        <v>133</v>
      </c>
      <c r="E88" s="70">
        <v>133</v>
      </c>
      <c r="F88" s="70">
        <v>133</v>
      </c>
      <c r="G88" s="70">
        <v>133</v>
      </c>
      <c r="H88" s="70">
        <v>133</v>
      </c>
      <c r="I88" s="70">
        <v>133</v>
      </c>
      <c r="J88" s="70">
        <v>133</v>
      </c>
      <c r="K88" s="70">
        <v>132</v>
      </c>
      <c r="L88" s="70">
        <v>131</v>
      </c>
      <c r="M88" s="70">
        <v>129.80000000000001</v>
      </c>
      <c r="N88" s="70">
        <v>131.30000000000001</v>
      </c>
      <c r="O88" s="70">
        <v>132.9</v>
      </c>
      <c r="P88" s="70">
        <v>131.9</v>
      </c>
      <c r="Q88" s="70">
        <v>133</v>
      </c>
      <c r="R88" s="70">
        <v>131.1</v>
      </c>
      <c r="S88" s="70">
        <v>130</v>
      </c>
      <c r="T88" s="70">
        <v>131</v>
      </c>
      <c r="U88" s="70">
        <v>131</v>
      </c>
      <c r="V88" s="70">
        <v>132</v>
      </c>
      <c r="W88" s="70">
        <v>132</v>
      </c>
      <c r="X88" s="70">
        <v>134</v>
      </c>
      <c r="Y88" s="70">
        <v>135</v>
      </c>
      <c r="Z88" s="70">
        <v>135</v>
      </c>
      <c r="AA88" s="70">
        <v>128</v>
      </c>
      <c r="AB88" s="70">
        <v>133</v>
      </c>
      <c r="AC88" s="70">
        <v>133</v>
      </c>
      <c r="AD88" s="70">
        <v>133</v>
      </c>
      <c r="AE88" s="70">
        <v>133</v>
      </c>
      <c r="AF88" s="70">
        <v>133</v>
      </c>
      <c r="AG88" s="93"/>
      <c r="AH88" s="54">
        <f t="shared" si="11"/>
        <v>135</v>
      </c>
      <c r="AI88" s="55">
        <f t="shared" si="12"/>
        <v>128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133</v>
      </c>
      <c r="C89" s="95">
        <v>132.69999999999999</v>
      </c>
      <c r="D89" s="95">
        <v>132.69999999999999</v>
      </c>
      <c r="E89" s="95">
        <v>132.69999999999999</v>
      </c>
      <c r="F89" s="95">
        <v>132.69999999999999</v>
      </c>
      <c r="G89" s="95">
        <v>132.69999999999999</v>
      </c>
      <c r="H89" s="95">
        <v>132.69999999999999</v>
      </c>
      <c r="I89" s="95">
        <v>132.69999999999999</v>
      </c>
      <c r="J89" s="95">
        <v>132.69999999999999</v>
      </c>
      <c r="K89" s="95">
        <v>133</v>
      </c>
      <c r="L89" s="95">
        <v>133</v>
      </c>
      <c r="M89" s="95">
        <v>135.5</v>
      </c>
      <c r="N89" s="95">
        <v>131.6</v>
      </c>
      <c r="O89" s="95">
        <v>131.19999999999999</v>
      </c>
      <c r="P89" s="95">
        <v>132</v>
      </c>
      <c r="Q89" s="95">
        <v>132.69999999999999</v>
      </c>
      <c r="R89" s="95">
        <v>132.19999999999999</v>
      </c>
      <c r="S89" s="95">
        <v>133</v>
      </c>
      <c r="T89" s="95">
        <v>135</v>
      </c>
      <c r="U89" s="95">
        <v>135</v>
      </c>
      <c r="V89" s="95">
        <v>133</v>
      </c>
      <c r="W89" s="95">
        <v>133</v>
      </c>
      <c r="X89" s="95">
        <v>133</v>
      </c>
      <c r="Y89" s="95">
        <v>136</v>
      </c>
      <c r="Z89" s="95">
        <v>136</v>
      </c>
      <c r="AA89" s="95">
        <v>130</v>
      </c>
      <c r="AB89" s="95">
        <v>132</v>
      </c>
      <c r="AC89" s="95">
        <v>132</v>
      </c>
      <c r="AD89" s="95">
        <v>132</v>
      </c>
      <c r="AE89" s="95">
        <v>132</v>
      </c>
      <c r="AF89" s="95">
        <v>132</v>
      </c>
      <c r="AG89" s="96"/>
      <c r="AH89" s="54">
        <f t="shared" si="11"/>
        <v>136</v>
      </c>
      <c r="AI89" s="55">
        <f t="shared" si="12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130</v>
      </c>
      <c r="C90" s="70">
        <v>132</v>
      </c>
      <c r="D90" s="70">
        <v>132</v>
      </c>
      <c r="E90" s="70">
        <v>132</v>
      </c>
      <c r="F90" s="70">
        <v>132</v>
      </c>
      <c r="G90" s="70">
        <v>132</v>
      </c>
      <c r="H90" s="70">
        <v>132</v>
      </c>
      <c r="I90" s="70">
        <v>132</v>
      </c>
      <c r="J90" s="70">
        <v>132</v>
      </c>
      <c r="K90" s="70">
        <v>130</v>
      </c>
      <c r="L90" s="70">
        <v>129</v>
      </c>
      <c r="M90" s="70">
        <v>127.2</v>
      </c>
      <c r="N90" s="70">
        <v>127.3</v>
      </c>
      <c r="O90" s="70">
        <v>126.9</v>
      </c>
      <c r="P90" s="70">
        <v>126.7</v>
      </c>
      <c r="Q90" s="70">
        <v>129.4</v>
      </c>
      <c r="R90" s="70">
        <v>129.5</v>
      </c>
      <c r="S90" s="70">
        <v>126</v>
      </c>
      <c r="T90" s="70">
        <v>131</v>
      </c>
      <c r="U90" s="70">
        <v>131</v>
      </c>
      <c r="V90" s="70">
        <v>131</v>
      </c>
      <c r="W90" s="70">
        <v>131</v>
      </c>
      <c r="X90" s="70">
        <v>133</v>
      </c>
      <c r="Y90" s="70">
        <v>134</v>
      </c>
      <c r="Z90" s="70">
        <v>134</v>
      </c>
      <c r="AA90" s="70">
        <v>131</v>
      </c>
      <c r="AB90" s="70">
        <v>130</v>
      </c>
      <c r="AC90" s="70">
        <v>130</v>
      </c>
      <c r="AD90" s="70">
        <v>130</v>
      </c>
      <c r="AE90" s="70">
        <v>130</v>
      </c>
      <c r="AF90" s="70">
        <v>130</v>
      </c>
      <c r="AG90" s="93"/>
      <c r="AH90" s="54">
        <f t="shared" si="11"/>
        <v>134</v>
      </c>
      <c r="AI90" s="55">
        <f t="shared" si="12"/>
        <v>126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64.900000000000006</v>
      </c>
      <c r="C91" s="97">
        <v>64.900000000000006</v>
      </c>
      <c r="D91" s="97">
        <v>64.900000000000006</v>
      </c>
      <c r="E91" s="97">
        <v>64.900000000000006</v>
      </c>
      <c r="F91" s="97">
        <v>64.900000000000006</v>
      </c>
      <c r="G91" s="97">
        <v>64.900000000000006</v>
      </c>
      <c r="H91" s="97">
        <v>64.900000000000006</v>
      </c>
      <c r="I91" s="97">
        <v>64.900000000000006</v>
      </c>
      <c r="J91" s="97">
        <v>64.900000000000006</v>
      </c>
      <c r="K91" s="97">
        <v>64.599999999999994</v>
      </c>
      <c r="L91" s="97">
        <v>64.900000000000006</v>
      </c>
      <c r="M91" s="97">
        <v>64.8</v>
      </c>
      <c r="N91" s="97">
        <v>64.5</v>
      </c>
      <c r="O91" s="97">
        <v>64.7</v>
      </c>
      <c r="P91" s="97">
        <v>65.099999999999994</v>
      </c>
      <c r="Q91" s="97">
        <v>65.5</v>
      </c>
      <c r="R91" s="97">
        <v>65.400000000000006</v>
      </c>
      <c r="S91" s="97">
        <v>64.599999999999994</v>
      </c>
      <c r="T91" s="97">
        <v>65</v>
      </c>
      <c r="U91" s="97">
        <v>65</v>
      </c>
      <c r="V91" s="97">
        <v>65.5</v>
      </c>
      <c r="W91" s="97">
        <v>65.5</v>
      </c>
      <c r="X91" s="97">
        <v>66</v>
      </c>
      <c r="Y91" s="97">
        <v>66</v>
      </c>
      <c r="Z91" s="97">
        <v>66</v>
      </c>
      <c r="AA91" s="97">
        <v>64</v>
      </c>
      <c r="AB91" s="97">
        <v>64.8</v>
      </c>
      <c r="AC91" s="97">
        <v>64.8</v>
      </c>
      <c r="AD91" s="97">
        <v>65</v>
      </c>
      <c r="AE91" s="97">
        <v>65</v>
      </c>
      <c r="AF91" s="97">
        <v>65</v>
      </c>
      <c r="AG91" s="98"/>
      <c r="AH91" s="54">
        <f t="shared" si="11"/>
        <v>66</v>
      </c>
      <c r="AI91" s="55">
        <f t="shared" si="12"/>
        <v>64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160.14000000000001</v>
      </c>
      <c r="C93" s="103">
        <f t="shared" si="15"/>
        <v>153.74000000000004</v>
      </c>
      <c r="D93" s="103">
        <f t="shared" si="15"/>
        <v>147.94000000000003</v>
      </c>
      <c r="E93" s="103">
        <f t="shared" si="15"/>
        <v>145.64000000000001</v>
      </c>
      <c r="F93" s="103">
        <f t="shared" si="15"/>
        <v>149.24</v>
      </c>
      <c r="G93" s="103">
        <f t="shared" si="15"/>
        <v>153.24</v>
      </c>
      <c r="H93" s="103">
        <f t="shared" si="15"/>
        <v>165.24</v>
      </c>
      <c r="I93" s="103">
        <f t="shared" si="15"/>
        <v>184.24</v>
      </c>
      <c r="J93" s="103">
        <f t="shared" si="15"/>
        <v>235.24</v>
      </c>
      <c r="K93" s="103">
        <f t="shared" si="15"/>
        <v>248.04000000000002</v>
      </c>
      <c r="L93" s="103">
        <f t="shared" si="15"/>
        <v>267.74</v>
      </c>
      <c r="M93" s="103">
        <f t="shared" si="15"/>
        <v>283.24</v>
      </c>
      <c r="N93" s="103">
        <f t="shared" si="15"/>
        <v>293.24</v>
      </c>
      <c r="O93" s="103">
        <f t="shared" si="15"/>
        <v>286.24</v>
      </c>
      <c r="P93" s="103">
        <f t="shared" si="15"/>
        <v>265.64</v>
      </c>
      <c r="Q93" s="103">
        <f t="shared" si="15"/>
        <v>244.13999999999996</v>
      </c>
      <c r="R93" s="103">
        <f t="shared" si="15"/>
        <v>230.43999999999997</v>
      </c>
      <c r="S93" s="103">
        <f t="shared" si="15"/>
        <v>230.73999999999995</v>
      </c>
      <c r="T93" s="103">
        <f t="shared" si="15"/>
        <v>241.73999999999995</v>
      </c>
      <c r="U93" s="103">
        <f t="shared" si="15"/>
        <v>239.73999999999995</v>
      </c>
      <c r="V93" s="103">
        <f t="shared" si="15"/>
        <v>238.73999999999995</v>
      </c>
      <c r="W93" s="103">
        <f>SUM(W15,W18,W21:W22,W42,W44:W45,W47,W49,W94:W97,W103,W109,W115,W124,W126,W138,W145,W148:W149,W156,W158,W160,W164:W166,W168:W170,W175,W181:W182,W184:W186,W194,W199)</f>
        <v>238.73999999999995</v>
      </c>
      <c r="X93" s="103">
        <f>SUM(X15,X18,X21:X22,X42,X44:X45,X47,X49,X94:X97,X103,X109,X115,X124,X126,X138,X145,X148:X149,X156,X158,X160,X164:X166,X168:X170,X175,X181:X182,X184:X186,X194,X199)</f>
        <v>255.73999999999995</v>
      </c>
      <c r="Y93" s="103">
        <f t="shared" si="15"/>
        <v>265.74</v>
      </c>
      <c r="Z93" s="103">
        <f t="shared" si="15"/>
        <v>295.74</v>
      </c>
      <c r="AA93" s="103">
        <f t="shared" si="15"/>
        <v>335.94000000000005</v>
      </c>
      <c r="AB93" s="103">
        <f t="shared" si="15"/>
        <v>308.84000000000003</v>
      </c>
      <c r="AC93" s="103">
        <f t="shared" si="15"/>
        <v>299.14</v>
      </c>
      <c r="AD93" s="103">
        <f t="shared" si="15"/>
        <v>272.64000000000004</v>
      </c>
      <c r="AE93" s="103">
        <f t="shared" si="15"/>
        <v>217.23999999999998</v>
      </c>
      <c r="AF93" s="103">
        <f t="shared" si="15"/>
        <v>171.14</v>
      </c>
      <c r="AG93" s="104"/>
      <c r="AH93" s="54">
        <f>MAX(C93:AF93)</f>
        <v>335.94000000000005</v>
      </c>
      <c r="AI93" s="55">
        <f>MIN(C93:AF93)</f>
        <v>145.64000000000001</v>
      </c>
    </row>
    <row r="94" spans="1:88" x14ac:dyDescent="0.25">
      <c r="A94" s="105" t="s">
        <v>99</v>
      </c>
      <c r="B94" s="106">
        <v>11</v>
      </c>
      <c r="C94" s="106">
        <v>18.8</v>
      </c>
      <c r="D94" s="106">
        <v>24</v>
      </c>
      <c r="E94" s="106">
        <v>28.9</v>
      </c>
      <c r="F94" s="106">
        <v>30</v>
      </c>
      <c r="G94" s="106">
        <v>29</v>
      </c>
      <c r="H94" s="106">
        <v>30</v>
      </c>
      <c r="I94" s="106">
        <v>31</v>
      </c>
      <c r="J94" s="106">
        <v>32</v>
      </c>
      <c r="K94" s="106">
        <v>43</v>
      </c>
      <c r="L94" s="106">
        <v>44</v>
      </c>
      <c r="M94" s="106">
        <v>52.8</v>
      </c>
      <c r="N94" s="106">
        <v>20.8</v>
      </c>
      <c r="O94" s="106">
        <v>15.5</v>
      </c>
      <c r="P94" s="106">
        <v>18.8</v>
      </c>
      <c r="Q94" s="106">
        <v>12</v>
      </c>
      <c r="R94" s="106">
        <v>23.8</v>
      </c>
      <c r="S94" s="106">
        <v>17</v>
      </c>
      <c r="T94" s="106">
        <v>42</v>
      </c>
      <c r="U94" s="106">
        <v>35</v>
      </c>
      <c r="V94" s="106">
        <v>37</v>
      </c>
      <c r="W94" s="106">
        <v>31</v>
      </c>
      <c r="X94" s="106">
        <v>22</v>
      </c>
      <c r="Y94" s="106">
        <v>28</v>
      </c>
      <c r="Z94" s="106">
        <v>34</v>
      </c>
      <c r="AA94" s="106">
        <v>38</v>
      </c>
      <c r="AB94" s="106">
        <v>34.6</v>
      </c>
      <c r="AC94" s="106">
        <v>20.7</v>
      </c>
      <c r="AD94" s="106">
        <v>20</v>
      </c>
      <c r="AE94" s="106">
        <v>21.5</v>
      </c>
      <c r="AF94" s="106">
        <v>34.4</v>
      </c>
      <c r="AG94" s="107">
        <v>75</v>
      </c>
      <c r="AH94" s="54">
        <f t="shared" ref="AH94:AH100" si="16">IF(ABS(MAX(C94:AF94))&gt;ABS(MIN(C94:AF94)),MAX(C94:AF94),MIN(C94:AF94))</f>
        <v>52.8</v>
      </c>
      <c r="AI94" s="108">
        <f t="shared" ref="AI94:AI100" si="17">INDEX($C$9:$AF$9,1,MATCH(AH94,C94:AF94,0))</f>
        <v>0.33333333333333331</v>
      </c>
    </row>
    <row r="95" spans="1:88" x14ac:dyDescent="0.25">
      <c r="A95" s="109" t="s">
        <v>100</v>
      </c>
      <c r="B95" s="110">
        <v>-102</v>
      </c>
      <c r="C95" s="110">
        <v>-108</v>
      </c>
      <c r="D95" s="110">
        <v>-116</v>
      </c>
      <c r="E95" s="110">
        <v>-112</v>
      </c>
      <c r="F95" s="110">
        <v>-110</v>
      </c>
      <c r="G95" s="110">
        <v>-108</v>
      </c>
      <c r="H95" s="110">
        <v>-100</v>
      </c>
      <c r="I95" s="110">
        <v>-85</v>
      </c>
      <c r="J95" s="110">
        <v>-74</v>
      </c>
      <c r="K95" s="110">
        <v>-67</v>
      </c>
      <c r="L95" s="110">
        <v>-56</v>
      </c>
      <c r="M95" s="110">
        <f>-25.2-29.2</f>
        <v>-54.4</v>
      </c>
      <c r="N95" s="110">
        <v>-41</v>
      </c>
      <c r="O95" s="110">
        <v>-44.4</v>
      </c>
      <c r="P95" s="110">
        <v>-54</v>
      </c>
      <c r="Q95" s="110">
        <v>-62</v>
      </c>
      <c r="R95" s="110">
        <v>-70</v>
      </c>
      <c r="S95" s="110">
        <v>-80</v>
      </c>
      <c r="T95" s="110">
        <v>-70</v>
      </c>
      <c r="U95" s="110">
        <v>-69</v>
      </c>
      <c r="V95" s="110">
        <v>-66</v>
      </c>
      <c r="W95" s="110">
        <f>-(28+36)</f>
        <v>-64</v>
      </c>
      <c r="X95" s="110">
        <v>-52</v>
      </c>
      <c r="Y95" s="110">
        <v>-57</v>
      </c>
      <c r="Z95" s="110">
        <v>-48</v>
      </c>
      <c r="AA95" s="110">
        <v>-38</v>
      </c>
      <c r="AB95" s="110">
        <v>-52</v>
      </c>
      <c r="AC95" s="110">
        <v>-56</v>
      </c>
      <c r="AD95" s="110">
        <v>-62</v>
      </c>
      <c r="AE95" s="110">
        <v>-86</v>
      </c>
      <c r="AF95" s="110">
        <v>-100</v>
      </c>
      <c r="AG95" s="107">
        <v>240</v>
      </c>
      <c r="AH95" s="54">
        <f t="shared" si="16"/>
        <v>-116</v>
      </c>
      <c r="AI95" s="108">
        <f t="shared" si="17"/>
        <v>8.3333333333333301E-2</v>
      </c>
    </row>
    <row r="96" spans="1:88" x14ac:dyDescent="0.25">
      <c r="A96" s="109" t="s">
        <v>101</v>
      </c>
      <c r="B96" s="110">
        <v>37.9</v>
      </c>
      <c r="C96" s="110">
        <v>29.7</v>
      </c>
      <c r="D96" s="110">
        <v>26.7</v>
      </c>
      <c r="E96" s="110">
        <v>15.5</v>
      </c>
      <c r="F96" s="110">
        <v>16</v>
      </c>
      <c r="G96" s="110">
        <v>19</v>
      </c>
      <c r="H96" s="110">
        <v>22</v>
      </c>
      <c r="I96" s="110">
        <v>25</v>
      </c>
      <c r="J96" s="110">
        <v>27</v>
      </c>
      <c r="K96" s="110">
        <v>31.8</v>
      </c>
      <c r="L96" s="110">
        <v>32.5</v>
      </c>
      <c r="M96" s="110">
        <v>26.1</v>
      </c>
      <c r="N96" s="110">
        <v>32.1</v>
      </c>
      <c r="O96" s="110">
        <v>30.3</v>
      </c>
      <c r="P96" s="110">
        <v>24.2</v>
      </c>
      <c r="Q96" s="110">
        <v>22</v>
      </c>
      <c r="R96" s="110">
        <v>19.399999999999999</v>
      </c>
      <c r="S96" s="110">
        <v>30</v>
      </c>
      <c r="T96" s="110">
        <v>23</v>
      </c>
      <c r="U96" s="110">
        <v>31</v>
      </c>
      <c r="V96" s="110">
        <v>38</v>
      </c>
      <c r="W96" s="110">
        <v>39</v>
      </c>
      <c r="X96" s="110">
        <v>40</v>
      </c>
      <c r="Y96" s="110">
        <v>38</v>
      </c>
      <c r="Z96" s="110">
        <v>36</v>
      </c>
      <c r="AA96" s="110">
        <v>40</v>
      </c>
      <c r="AB96" s="110">
        <v>36.299999999999997</v>
      </c>
      <c r="AC96" s="110">
        <v>35.799999999999997</v>
      </c>
      <c r="AD96" s="110">
        <v>33</v>
      </c>
      <c r="AE96" s="110">
        <v>30.8</v>
      </c>
      <c r="AF96" s="110">
        <v>41</v>
      </c>
      <c r="AG96" s="107">
        <v>60</v>
      </c>
      <c r="AH96" s="54">
        <f t="shared" si="16"/>
        <v>41</v>
      </c>
      <c r="AI96" s="108">
        <f t="shared" si="17"/>
        <v>0.95833333333333304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37</v>
      </c>
      <c r="K97" s="112">
        <v>27</v>
      </c>
      <c r="L97" s="112">
        <v>34</v>
      </c>
      <c r="M97" s="112">
        <v>46.7</v>
      </c>
      <c r="N97" s="112">
        <v>69.2</v>
      </c>
      <c r="O97" s="112">
        <v>72.599999999999994</v>
      </c>
      <c r="P97" s="112">
        <v>64.400000000000006</v>
      </c>
      <c r="Q97" s="112">
        <v>60.1</v>
      </c>
      <c r="R97" s="112">
        <v>44.5</v>
      </c>
      <c r="S97" s="112">
        <v>51</v>
      </c>
      <c r="T97" s="112">
        <v>34</v>
      </c>
      <c r="U97" s="112">
        <v>30</v>
      </c>
      <c r="V97" s="112">
        <v>17</v>
      </c>
      <c r="W97" s="112">
        <v>20</v>
      </c>
      <c r="X97" s="112">
        <v>33</v>
      </c>
      <c r="Y97" s="112">
        <v>44</v>
      </c>
      <c r="Z97" s="112">
        <v>61</v>
      </c>
      <c r="AA97" s="112">
        <v>90</v>
      </c>
      <c r="AB97" s="112">
        <v>84</v>
      </c>
      <c r="AC97" s="112">
        <v>92.7</v>
      </c>
      <c r="AD97" s="112">
        <v>75.7</v>
      </c>
      <c r="AE97" s="112">
        <v>45</v>
      </c>
      <c r="AF97" s="112">
        <v>-11</v>
      </c>
      <c r="AG97" s="113">
        <v>120</v>
      </c>
      <c r="AH97" s="54">
        <f t="shared" si="16"/>
        <v>92.7</v>
      </c>
      <c r="AI97" s="108">
        <f t="shared" si="17"/>
        <v>0.85416666666666663</v>
      </c>
    </row>
    <row r="98" spans="1:37" x14ac:dyDescent="0.25">
      <c r="A98" s="111" t="s">
        <v>103</v>
      </c>
      <c r="B98" s="112">
        <v>56.8</v>
      </c>
      <c r="C98" s="112">
        <v>52</v>
      </c>
      <c r="D98" s="112">
        <v>45</v>
      </c>
      <c r="E98" s="112">
        <v>47</v>
      </c>
      <c r="F98" s="112">
        <v>47</v>
      </c>
      <c r="G98" s="112">
        <v>66</v>
      </c>
      <c r="H98" s="112">
        <v>70</v>
      </c>
      <c r="I98" s="112">
        <v>75</v>
      </c>
      <c r="J98" s="112">
        <v>65</v>
      </c>
      <c r="K98" s="112">
        <v>56</v>
      </c>
      <c r="L98" s="112">
        <v>61.7</v>
      </c>
      <c r="M98" s="112">
        <v>67.5</v>
      </c>
      <c r="N98" s="112">
        <v>81.8</v>
      </c>
      <c r="O98" s="112">
        <v>87.7</v>
      </c>
      <c r="P98" s="112">
        <v>81.5</v>
      </c>
      <c r="Q98" s="112">
        <v>81.5</v>
      </c>
      <c r="R98" s="112">
        <v>67.599999999999994</v>
      </c>
      <c r="S98" s="112">
        <v>72</v>
      </c>
      <c r="T98" s="112">
        <v>50</v>
      </c>
      <c r="U98" s="112">
        <v>54</v>
      </c>
      <c r="V98" s="112">
        <v>41</v>
      </c>
      <c r="W98" s="112">
        <v>43</v>
      </c>
      <c r="X98" s="112">
        <v>52</v>
      </c>
      <c r="Y98" s="112">
        <v>56</v>
      </c>
      <c r="Z98" s="112">
        <v>65</v>
      </c>
      <c r="AA98" s="112">
        <v>88</v>
      </c>
      <c r="AB98" s="112">
        <v>77</v>
      </c>
      <c r="AC98" s="112">
        <v>84.7</v>
      </c>
      <c r="AD98" s="112">
        <v>75</v>
      </c>
      <c r="AE98" s="112">
        <v>56.7</v>
      </c>
      <c r="AF98" s="112">
        <v>25.8</v>
      </c>
      <c r="AG98" s="113"/>
      <c r="AH98" s="54">
        <f t="shared" si="16"/>
        <v>88</v>
      </c>
      <c r="AI98" s="108">
        <f t="shared" si="17"/>
        <v>0.8125</v>
      </c>
    </row>
    <row r="99" spans="1:37" x14ac:dyDescent="0.25">
      <c r="A99" s="111" t="s">
        <v>104</v>
      </c>
      <c r="B99" s="112">
        <v>81.900000000000006</v>
      </c>
      <c r="C99" s="112">
        <v>79.3</v>
      </c>
      <c r="D99" s="112">
        <v>70</v>
      </c>
      <c r="E99" s="112">
        <v>68.5</v>
      </c>
      <c r="F99" s="112">
        <v>70</v>
      </c>
      <c r="G99" s="112">
        <v>75</v>
      </c>
      <c r="H99" s="112">
        <v>76</v>
      </c>
      <c r="I99" s="112">
        <v>80</v>
      </c>
      <c r="J99" s="112">
        <v>84</v>
      </c>
      <c r="K99" s="112">
        <v>59.8</v>
      </c>
      <c r="L99" s="112">
        <v>61.8</v>
      </c>
      <c r="M99" s="112">
        <v>49.4</v>
      </c>
      <c r="N99" s="112">
        <v>76</v>
      </c>
      <c r="O99" s="112">
        <v>70.400000000000006</v>
      </c>
      <c r="P99" s="112">
        <v>69.7</v>
      </c>
      <c r="Q99" s="112">
        <v>80.900000000000006</v>
      </c>
      <c r="R99" s="112">
        <v>60.4</v>
      </c>
      <c r="S99" s="112">
        <v>68</v>
      </c>
      <c r="T99" s="112">
        <v>64</v>
      </c>
      <c r="U99" s="112">
        <v>71</v>
      </c>
      <c r="V99" s="112">
        <v>65</v>
      </c>
      <c r="W99" s="112">
        <v>37</v>
      </c>
      <c r="X99" s="112">
        <v>70</v>
      </c>
      <c r="Y99" s="112">
        <v>68</v>
      </c>
      <c r="Z99" s="112">
        <v>51</v>
      </c>
      <c r="AA99" s="112">
        <v>55</v>
      </c>
      <c r="AB99" s="112">
        <v>66.900000000000006</v>
      </c>
      <c r="AC99" s="112">
        <v>82.6</v>
      </c>
      <c r="AD99" s="112">
        <v>76.8</v>
      </c>
      <c r="AE99" s="112">
        <v>82</v>
      </c>
      <c r="AF99" s="112">
        <v>47</v>
      </c>
      <c r="AG99" s="114"/>
      <c r="AH99" s="54">
        <f t="shared" si="16"/>
        <v>84</v>
      </c>
      <c r="AI99" s="108">
        <f t="shared" si="17"/>
        <v>0.27083333333333331</v>
      </c>
    </row>
    <row r="100" spans="1:37" ht="15.75" thickBot="1" x14ac:dyDescent="0.3">
      <c r="A100" s="115" t="s">
        <v>105</v>
      </c>
      <c r="B100" s="95">
        <v>79.2</v>
      </c>
      <c r="C100" s="95">
        <v>73</v>
      </c>
      <c r="D100" s="95">
        <v>67</v>
      </c>
      <c r="E100" s="95">
        <v>65</v>
      </c>
      <c r="F100" s="95">
        <v>65</v>
      </c>
      <c r="G100" s="95">
        <v>64</v>
      </c>
      <c r="H100" s="95">
        <v>62</v>
      </c>
      <c r="I100" s="95">
        <v>60</v>
      </c>
      <c r="J100" s="95">
        <v>54</v>
      </c>
      <c r="K100" s="95">
        <v>49</v>
      </c>
      <c r="L100" s="95">
        <v>51.4</v>
      </c>
      <c r="M100" s="95">
        <v>56.6</v>
      </c>
      <c r="N100" s="95">
        <v>54.9</v>
      </c>
      <c r="O100" s="95">
        <v>44</v>
      </c>
      <c r="P100" s="95">
        <v>51.4</v>
      </c>
      <c r="Q100" s="95">
        <v>43.7</v>
      </c>
      <c r="R100" s="95">
        <v>50.5</v>
      </c>
      <c r="S100" s="95">
        <v>57</v>
      </c>
      <c r="T100" s="95">
        <v>58</v>
      </c>
      <c r="U100" s="95">
        <v>55</v>
      </c>
      <c r="V100" s="95">
        <v>55</v>
      </c>
      <c r="W100" s="95">
        <v>50</v>
      </c>
      <c r="X100" s="95">
        <v>58</v>
      </c>
      <c r="Y100" s="95">
        <v>55</v>
      </c>
      <c r="Z100" s="95">
        <v>71</v>
      </c>
      <c r="AA100" s="95">
        <v>90</v>
      </c>
      <c r="AB100" s="95">
        <v>89.4</v>
      </c>
      <c r="AC100" s="95">
        <v>90.9</v>
      </c>
      <c r="AD100" s="95">
        <v>92</v>
      </c>
      <c r="AE100" s="95">
        <v>85</v>
      </c>
      <c r="AF100" s="95">
        <v>75</v>
      </c>
      <c r="AG100" s="114"/>
      <c r="AH100" s="54">
        <f t="shared" si="16"/>
        <v>92</v>
      </c>
      <c r="AI100" s="108">
        <f t="shared" si="17"/>
        <v>0.875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 t="s">
        <v>231</v>
      </c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1330.04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14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2079/02/14)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2079/02/14)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1385.64</v>
      </c>
      <c r="U214" s="161">
        <f t="shared" si="54"/>
        <v>1383.44</v>
      </c>
      <c r="V214" s="161">
        <f t="shared" si="54"/>
        <v>1328.44</v>
      </c>
      <c r="W214" s="161">
        <f t="shared" si="54"/>
        <v>1309.44</v>
      </c>
      <c r="X214" s="161">
        <f t="shared" si="54"/>
        <v>1299.44</v>
      </c>
      <c r="Y214" s="161">
        <f t="shared" si="54"/>
        <v>1295.44</v>
      </c>
      <c r="Z214" s="161">
        <f t="shared" si="54"/>
        <v>1270.44</v>
      </c>
      <c r="AA214" s="161">
        <f t="shared" si="54"/>
        <v>1272.44</v>
      </c>
      <c r="AB214" s="161">
        <f t="shared" si="54"/>
        <v>1253.44</v>
      </c>
      <c r="AC214" s="161">
        <f t="shared" si="54"/>
        <v>1307.2400000000002</v>
      </c>
      <c r="AD214" s="161">
        <f t="shared" si="54"/>
        <v>1330.04</v>
      </c>
      <c r="AE214" s="161">
        <f t="shared" si="54"/>
        <v>1306.54</v>
      </c>
      <c r="AF214" s="161">
        <f t="shared" si="54"/>
        <v>1324.8400000000001</v>
      </c>
      <c r="AG214" s="161">
        <f t="shared" si="54"/>
        <v>1334.0400000000002</v>
      </c>
      <c r="AH214" s="161">
        <f t="shared" si="54"/>
        <v>1316.94</v>
      </c>
      <c r="AI214" s="161">
        <f t="shared" si="54"/>
        <v>1302.2400000000002</v>
      </c>
      <c r="AJ214" s="161">
        <f t="shared" si="54"/>
        <v>1289.5400000000002</v>
      </c>
      <c r="AK214" s="161">
        <f t="shared" si="54"/>
        <v>1296.44</v>
      </c>
      <c r="AL214" s="161">
        <f t="shared" si="54"/>
        <v>1322.44</v>
      </c>
      <c r="AM214" s="161">
        <f t="shared" si="54"/>
        <v>1326.8400000000001</v>
      </c>
      <c r="AN214" s="161">
        <f t="shared" si="54"/>
        <v>1302.94</v>
      </c>
      <c r="AO214" s="161">
        <f t="shared" si="54"/>
        <v>1249.3400000000001</v>
      </c>
      <c r="AP214" s="161">
        <f t="shared" si="54"/>
        <v>1291.6399999999999</v>
      </c>
      <c r="AQ214" s="161">
        <f t="shared" si="54"/>
        <v>1306.04</v>
      </c>
      <c r="AR214" s="161">
        <f t="shared" si="54"/>
        <v>1352.8400000000001</v>
      </c>
      <c r="AS214" s="161">
        <f t="shared" si="54"/>
        <v>1520.8</v>
      </c>
      <c r="AT214" s="161">
        <f t="shared" si="54"/>
        <v>1526.04</v>
      </c>
      <c r="AU214" s="161">
        <f t="shared" si="54"/>
        <v>1517.94</v>
      </c>
      <c r="AV214" s="161">
        <f t="shared" si="54"/>
        <v>1521.94</v>
      </c>
      <c r="AW214" s="161">
        <f t="shared" si="54"/>
        <v>1431.3400000000001</v>
      </c>
      <c r="AX214" s="161">
        <f t="shared" si="54"/>
        <v>1291.8399999999999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3478" priority="211">
      <formula>B$9&gt;=20/24</formula>
    </cfRule>
    <cfRule type="expression" dxfId="3477" priority="212">
      <formula>AND(B$9&gt;=14/24,B$9&lt;20/24)</formula>
    </cfRule>
    <cfRule type="expression" dxfId="3476" priority="213">
      <formula>AND(B$9&gt;=8/24,B$9&lt;14/24)</formula>
    </cfRule>
    <cfRule type="expression" dxfId="3475" priority="214">
      <formula>B$9&lt;8/24</formula>
    </cfRule>
  </conditionalFormatting>
  <conditionalFormatting sqref="AL4:AL6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U37:AF37">
    <cfRule type="expression" dxfId="3474" priority="206">
      <formula>U$9&gt;=20/24</formula>
    </cfRule>
    <cfRule type="expression" dxfId="3473" priority="207">
      <formula>AND(U$9&gt;=14/24,U$9&lt;20/24)</formula>
    </cfRule>
    <cfRule type="expression" dxfId="3472" priority="208">
      <formula>AND(U$9&gt;=8/24,U$9&lt;14/24)</formula>
    </cfRule>
    <cfRule type="expression" dxfId="3471" priority="209">
      <formula>U$9&lt;8/24</formula>
    </cfRule>
  </conditionalFormatting>
  <conditionalFormatting sqref="AG51 J11:AF11 U37:AF37">
    <cfRule type="expression" dxfId="3470" priority="205">
      <formula>J11&gt;$AG11</formula>
    </cfRule>
  </conditionalFormatting>
  <conditionalFormatting sqref="A101:A157 A84:A97 A11:A14 A16:A32 A45:A72 A80:A82 A74:A78 A35:A43 A170:A200">
    <cfRule type="expression" dxfId="3469" priority="204">
      <formula>$AH11=0</formula>
    </cfRule>
  </conditionalFormatting>
  <conditionalFormatting sqref="A98">
    <cfRule type="expression" dxfId="3468" priority="203">
      <formula>$AH98=0</formula>
    </cfRule>
  </conditionalFormatting>
  <conditionalFormatting sqref="AL32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467" priority="201">
      <formula>$AH34=0</formula>
    </cfRule>
  </conditionalFormatting>
  <conditionalFormatting sqref="A83">
    <cfRule type="expression" dxfId="3466" priority="200">
      <formula>$AH83=0</formula>
    </cfRule>
  </conditionalFormatting>
  <conditionalFormatting sqref="A15">
    <cfRule type="expression" dxfId="3465" priority="199">
      <formula>$AH15=0</formula>
    </cfRule>
  </conditionalFormatting>
  <conditionalFormatting sqref="A164:A169">
    <cfRule type="expression" dxfId="3464" priority="198">
      <formula>$AH164=0</formula>
    </cfRule>
  </conditionalFormatting>
  <conditionalFormatting sqref="A158:A163">
    <cfRule type="expression" dxfId="3463" priority="197">
      <formula>$AH158=0</formula>
    </cfRule>
  </conditionalFormatting>
  <conditionalFormatting sqref="A44">
    <cfRule type="expression" dxfId="3462" priority="196">
      <formula>$AH44=0</formula>
    </cfRule>
  </conditionalFormatting>
  <conditionalFormatting sqref="A79">
    <cfRule type="expression" dxfId="3461" priority="195">
      <formula>$AH79=0</formula>
    </cfRule>
  </conditionalFormatting>
  <conditionalFormatting sqref="A73">
    <cfRule type="expression" dxfId="3460" priority="194">
      <formula>$AH73=0</formula>
    </cfRule>
  </conditionalFormatting>
  <conditionalFormatting sqref="AL34:AL35 AL7:AL31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459" priority="190">
      <formula>C$9&gt;=20/24</formula>
    </cfRule>
    <cfRule type="expression" dxfId="3458" priority="191">
      <formula>AND(C$9&gt;=14/24,C$9&lt;20/24)</formula>
    </cfRule>
    <cfRule type="expression" dxfId="3457" priority="192">
      <formula>AND(C$9&gt;=8/24,C$9&lt;14/24)</formula>
    </cfRule>
    <cfRule type="expression" dxfId="3456" priority="193">
      <formula>C$9&lt;8/24</formula>
    </cfRule>
  </conditionalFormatting>
  <conditionalFormatting sqref="AL33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55" priority="218">
      <formula>C$9&gt;=20/24</formula>
    </cfRule>
    <cfRule type="expression" dxfId="3454" priority="219">
      <formula>AND(C$9&gt;=14/24,C$9&lt;20/24)</formula>
    </cfRule>
    <cfRule type="expression" dxfId="3453" priority="220">
      <formula>AND(C$9&gt;=8/24,C$9&lt;14/24)</formula>
    </cfRule>
    <cfRule type="expression" dxfId="3452" priority="221">
      <formula>C$9&lt;8/24</formula>
    </cfRule>
  </conditionalFormatting>
  <conditionalFormatting sqref="A201">
    <cfRule type="expression" dxfId="3451" priority="222">
      <formula>$AH201=0</formula>
    </cfRule>
  </conditionalFormatting>
  <conditionalFormatting sqref="AG213">
    <cfRule type="expression" dxfId="3450" priority="223">
      <formula>B$9&gt;=20/24</formula>
    </cfRule>
    <cfRule type="expression" dxfId="3449" priority="224">
      <formula>AND(B$9&gt;=14/24,B$9&lt;20/24)</formula>
    </cfRule>
    <cfRule type="expression" dxfId="3448" priority="225">
      <formula>AND(B$9&gt;=8/24,B$9&lt;14/24)</formula>
    </cfRule>
    <cfRule type="expression" dxfId="3447" priority="226">
      <formula>B$9&lt;8/24</formula>
    </cfRule>
  </conditionalFormatting>
  <conditionalFormatting sqref="S8">
    <cfRule type="expression" dxfId="3446" priority="184">
      <formula>U$9&gt;=20/24</formula>
    </cfRule>
    <cfRule type="expression" dxfId="3445" priority="185">
      <formula>AND(U$9&gt;=14/24,U$9&lt;20/24)</formula>
    </cfRule>
    <cfRule type="expression" dxfId="3444" priority="186">
      <formula>AND(U$9&gt;=8/24,U$9&lt;14/24)</formula>
    </cfRule>
    <cfRule type="expression" dxfId="3443" priority="187">
      <formula>U$9&lt;8/24</formula>
    </cfRule>
  </conditionalFormatting>
  <conditionalFormatting sqref="AB8">
    <cfRule type="expression" dxfId="3442" priority="180">
      <formula>AD$9&gt;=20/24</formula>
    </cfRule>
    <cfRule type="expression" dxfId="3441" priority="181">
      <formula>AND(AD$9&gt;=14/24,AD$9&lt;20/24)</formula>
    </cfRule>
    <cfRule type="expression" dxfId="3440" priority="182">
      <formula>AND(AD$9&gt;=8/24,AD$9&lt;14/24)</formula>
    </cfRule>
    <cfRule type="expression" dxfId="3439" priority="183">
      <formula>AD$9&lt;8/24</formula>
    </cfRule>
  </conditionalFormatting>
  <conditionalFormatting sqref="AH213:AX213">
    <cfRule type="expression" dxfId="3438" priority="227">
      <formula>AG$9&gt;=20/24</formula>
    </cfRule>
    <cfRule type="expression" dxfId="3437" priority="228">
      <formula>AND(AG$9&gt;=14/24,AG$9&lt;20/24)</formula>
    </cfRule>
    <cfRule type="expression" dxfId="3436" priority="229">
      <formula>AND(AG$9&gt;=8/24,AG$9&lt;14/24)</formula>
    </cfRule>
    <cfRule type="expression" dxfId="3435" priority="230">
      <formula>AG$9&lt;8/24</formula>
    </cfRule>
  </conditionalFormatting>
  <conditionalFormatting sqref="T213">
    <cfRule type="expression" dxfId="3434" priority="231">
      <formula>AX$9&gt;=20/24</formula>
    </cfRule>
    <cfRule type="expression" dxfId="3433" priority="232">
      <formula>AND(AX$9&gt;=14/24,AX$9&lt;20/24)</formula>
    </cfRule>
    <cfRule type="expression" dxfId="3432" priority="233">
      <formula>AND(AX$9&gt;=8/24,AX$9&lt;14/24)</formula>
    </cfRule>
    <cfRule type="expression" dxfId="3431" priority="234">
      <formula>AX$9&lt;8/24</formula>
    </cfRule>
  </conditionalFormatting>
  <conditionalFormatting sqref="A99:A100">
    <cfRule type="expression" dxfId="3430" priority="179">
      <formula>$AH99=0</formula>
    </cfRule>
  </conditionalFormatting>
  <conditionalFormatting sqref="E11:I11 K40:L41 W40:W41 C57:AF57 AA36:AF36 Z40:AF41">
    <cfRule type="expression" dxfId="3429" priority="175">
      <formula>C$9&gt;=20/24</formula>
    </cfRule>
    <cfRule type="expression" dxfId="3428" priority="176">
      <formula>AND(C$9&gt;=14/24,C$9&lt;20/24)</formula>
    </cfRule>
    <cfRule type="expression" dxfId="3427" priority="177">
      <formula>AND(C$9&gt;=8/24,C$9&lt;14/24)</formula>
    </cfRule>
    <cfRule type="expression" dxfId="3426" priority="178">
      <formula>C$9&lt;8/24</formula>
    </cfRule>
  </conditionalFormatting>
  <conditionalFormatting sqref="F39:L39 S39:W39 Z39:AF39">
    <cfRule type="expression" dxfId="3425" priority="171">
      <formula>F$9&gt;=20/24</formula>
    </cfRule>
    <cfRule type="expression" dxfId="3424" priority="172">
      <formula>AND(F$9&gt;=14/24,F$9&lt;20/24)</formula>
    </cfRule>
    <cfRule type="expression" dxfId="3423" priority="173">
      <formula>AND(F$9&gt;=8/24,F$9&lt;14/24)</formula>
    </cfRule>
    <cfRule type="expression" dxfId="3422" priority="174">
      <formula>F$9&lt;8/24</formula>
    </cfRule>
  </conditionalFormatting>
  <conditionalFormatting sqref="E11:I11 F39:L39 K40:L41 W39:W41 S39:V39 AA36:AF36 Z39:AF41">
    <cfRule type="expression" dxfId="3421" priority="170">
      <formula>E11&gt;$AG11</formula>
    </cfRule>
  </conditionalFormatting>
  <conditionalFormatting sqref="C83:AF83 C75:AF81 C68:AF73 K58:AF59 C58:J60 K60:L60 N11:R11 Z12:AF12 AA16:AF16 AA28:AF31 AA18:AF22 AA24:AF26 AA13:AF14 C53:AF56 M60:AF67 C85:AF91">
    <cfRule type="expression" dxfId="3420" priority="166">
      <formula>C$9&gt;=20/24</formula>
    </cfRule>
    <cfRule type="expression" dxfId="3419" priority="167">
      <formula>AND(C$9&gt;=14/24,C$9&lt;20/24)</formula>
    </cfRule>
    <cfRule type="expression" dxfId="3418" priority="168">
      <formula>AND(C$9&gt;=8/24,C$9&lt;14/24)</formula>
    </cfRule>
    <cfRule type="expression" dxfId="3417" priority="169">
      <formula>C$9&lt;8/24</formula>
    </cfRule>
  </conditionalFormatting>
  <conditionalFormatting sqref="AA32:AF32">
    <cfRule type="expression" dxfId="3416" priority="162">
      <formula>AA$9&gt;=20/24</formula>
    </cfRule>
    <cfRule type="expression" dxfId="3415" priority="163">
      <formula>AND(AA$9&gt;=14/24,AA$9&lt;20/24)</formula>
    </cfRule>
    <cfRule type="expression" dxfId="3414" priority="164">
      <formula>AND(AA$9&gt;=8/24,AA$9&lt;14/24)</formula>
    </cfRule>
    <cfRule type="expression" dxfId="3413" priority="165">
      <formula>AA$9&lt;8/24</formula>
    </cfRule>
  </conditionalFormatting>
  <conditionalFormatting sqref="AA35:AF35">
    <cfRule type="expression" dxfId="3412" priority="158">
      <formula>AA$9&gt;=20/24</formula>
    </cfRule>
    <cfRule type="expression" dxfId="3411" priority="159">
      <formula>AND(AA$9&gt;=14/24,AA$9&lt;20/24)</formula>
    </cfRule>
    <cfRule type="expression" dxfId="3410" priority="160">
      <formula>AND(AA$9&gt;=8/24,AA$9&lt;14/24)</formula>
    </cfRule>
    <cfRule type="expression" dxfId="3409" priority="161">
      <formula>AA$9&lt;8/24</formula>
    </cfRule>
  </conditionalFormatting>
  <conditionalFormatting sqref="K42:L43 N11:R11 N37:T37 Z12:AF12 AA34:AF35 AA18:AF22 AA24:AF32 AA13:AF16 C38:AF38 AB42:AF43 C51:AF56">
    <cfRule type="expression" dxfId="3408" priority="157">
      <formula>C11&gt;$AG11</formula>
    </cfRule>
  </conditionalFormatting>
  <conditionalFormatting sqref="AA34:AF34">
    <cfRule type="expression" dxfId="3407" priority="153">
      <formula>AA$9&gt;=20/24</formula>
    </cfRule>
    <cfRule type="expression" dxfId="3406" priority="154">
      <formula>AND(AA$9&gt;=14/24,AA$9&lt;20/24)</formula>
    </cfRule>
    <cfRule type="expression" dxfId="3405" priority="155">
      <formula>AND(AA$9&gt;=8/24,AA$9&lt;14/24)</formula>
    </cfRule>
    <cfRule type="expression" dxfId="3404" priority="156">
      <formula>AA$9&lt;8/24</formula>
    </cfRule>
  </conditionalFormatting>
  <conditionalFormatting sqref="AA15:AF15">
    <cfRule type="expression" dxfId="3403" priority="149">
      <formula>AA$9&gt;=20/24</formula>
    </cfRule>
    <cfRule type="expression" dxfId="3402" priority="150">
      <formula>AND(AA$9&gt;=14/24,AA$9&lt;20/24)</formula>
    </cfRule>
    <cfRule type="expression" dxfId="3401" priority="151">
      <formula>AND(AA$9&gt;=8/24,AA$9&lt;14/24)</formula>
    </cfRule>
    <cfRule type="expression" dxfId="3400" priority="152">
      <formula>AA$9&lt;8/24</formula>
    </cfRule>
  </conditionalFormatting>
  <conditionalFormatting sqref="AA33:AF33">
    <cfRule type="expression" dxfId="3399" priority="145">
      <formula>AA$9&gt;=20/24</formula>
    </cfRule>
    <cfRule type="expression" dxfId="3398" priority="146">
      <formula>AND(AA$9&gt;=14/24,AA$9&lt;20/24)</formula>
    </cfRule>
    <cfRule type="expression" dxfId="3397" priority="147">
      <formula>AND(AA$9&gt;=8/24,AA$9&lt;14/24)</formula>
    </cfRule>
    <cfRule type="expression" dxfId="3396" priority="148">
      <formula>AA$9&lt;8/24</formula>
    </cfRule>
  </conditionalFormatting>
  <conditionalFormatting sqref="AA33:AF33">
    <cfRule type="expression" dxfId="3395" priority="144">
      <formula>AA33&gt;$AG33</formula>
    </cfRule>
  </conditionalFormatting>
  <conditionalFormatting sqref="S11">
    <cfRule type="expression" dxfId="3394" priority="140">
      <formula>S$9&gt;=20/24</formula>
    </cfRule>
    <cfRule type="expression" dxfId="3393" priority="141">
      <formula>AND(S$9&gt;=14/24,S$9&lt;20/24)</formula>
    </cfRule>
    <cfRule type="expression" dxfId="3392" priority="142">
      <formula>AND(S$9&gt;=8/24,S$9&lt;14/24)</formula>
    </cfRule>
    <cfRule type="expression" dxfId="3391" priority="143">
      <formula>S$9&lt;8/24</formula>
    </cfRule>
  </conditionalFormatting>
  <conditionalFormatting sqref="AA42:AA43 AB44:AF49">
    <cfRule type="expression" dxfId="3390" priority="136">
      <formula>AA$9&gt;=20/24</formula>
    </cfRule>
    <cfRule type="expression" dxfId="3389" priority="137">
      <formula>AND(AA$9&gt;=14/24,AA$9&lt;20/24)</formula>
    </cfRule>
    <cfRule type="expression" dxfId="3388" priority="138">
      <formula>AND(AA$9&gt;=8/24,AA$9&lt;14/24)</formula>
    </cfRule>
    <cfRule type="expression" dxfId="3387" priority="139">
      <formula>AA$9&lt;8/24</formula>
    </cfRule>
  </conditionalFormatting>
  <conditionalFormatting sqref="AA42:AA43 AB44:AF49">
    <cfRule type="expression" dxfId="3386" priority="135">
      <formula>AA42&gt;$AG42</formula>
    </cfRule>
  </conditionalFormatting>
  <conditionalFormatting sqref="AA44:AA50 M39:R50 S40:V50 W42:Z50 AB50:AF50">
    <cfRule type="expression" dxfId="3385" priority="131">
      <formula>M$9&gt;=20/24</formula>
    </cfRule>
    <cfRule type="expression" dxfId="3384" priority="132">
      <formula>AND(M$9&gt;=14/24,M$9&lt;20/24)</formula>
    </cfRule>
    <cfRule type="expression" dxfId="3383" priority="133">
      <formula>AND(M$9&gt;=8/24,M$9&lt;14/24)</formula>
    </cfRule>
    <cfRule type="expression" dxfId="3382" priority="134">
      <formula>M$9&lt;8/24</formula>
    </cfRule>
  </conditionalFormatting>
  <conditionalFormatting sqref="AA44:AA50 M39:R50 S40:V50 W42:Z50 AB50:AF50">
    <cfRule type="expression" dxfId="3381" priority="130">
      <formula>M39&gt;$AG39</formula>
    </cfRule>
  </conditionalFormatting>
  <conditionalFormatting sqref="AA27:AF27">
    <cfRule type="expression" dxfId="3380" priority="126">
      <formula>AA$9&gt;=20/24</formula>
    </cfRule>
    <cfRule type="expression" dxfId="3379" priority="127">
      <formula>AND(AA$9&gt;=14/24,AA$9&lt;20/24)</formula>
    </cfRule>
    <cfRule type="expression" dxfId="3378" priority="128">
      <formula>AND(AA$9&gt;=8/24,AA$9&lt;14/24)</formula>
    </cfRule>
    <cfRule type="expression" dxfId="3377" priority="129">
      <formula>AA$9&lt;8/24</formula>
    </cfRule>
  </conditionalFormatting>
  <conditionalFormatting sqref="C11:D11 F74:I74 AA17:AF17 AA23:AF23">
    <cfRule type="expression" dxfId="3376" priority="122">
      <formula>C$9&gt;=20/24</formula>
    </cfRule>
    <cfRule type="expression" dxfId="3375" priority="123">
      <formula>AND(C$9&gt;=14/24,C$9&lt;20/24)</formula>
    </cfRule>
    <cfRule type="expression" dxfId="3374" priority="124">
      <formula>AND(C$9&gt;=8/24,C$9&lt;14/24)</formula>
    </cfRule>
    <cfRule type="expression" dxfId="3373" priority="125">
      <formula>C$9&lt;8/24</formula>
    </cfRule>
  </conditionalFormatting>
  <conditionalFormatting sqref="C11:D11 AA17:AF17 AA23:AF23">
    <cfRule type="expression" dxfId="3372" priority="113">
      <formula>C11&gt;$AG11</formula>
    </cfRule>
  </conditionalFormatting>
  <conditionalFormatting sqref="C40:J41">
    <cfRule type="expression" dxfId="3371" priority="96">
      <formula>C$9&gt;=20/24</formula>
    </cfRule>
    <cfRule type="expression" dxfId="3370" priority="97">
      <formula>AND(C$9&gt;=14/24,C$9&lt;20/24)</formula>
    </cfRule>
    <cfRule type="expression" dxfId="3369" priority="98">
      <formula>AND(C$9&gt;=8/24,C$9&lt;14/24)</formula>
    </cfRule>
    <cfRule type="expression" dxfId="3368" priority="99">
      <formula>C$9&lt;8/24</formula>
    </cfRule>
  </conditionalFormatting>
  <conditionalFormatting sqref="C39:E39">
    <cfRule type="expression" dxfId="3367" priority="92">
      <formula>C$9&gt;=20/24</formula>
    </cfRule>
    <cfRule type="expression" dxfId="3366" priority="93">
      <formula>AND(C$9&gt;=14/24,C$9&lt;20/24)</formula>
    </cfRule>
    <cfRule type="expression" dxfId="3365" priority="94">
      <formula>AND(C$9&gt;=8/24,C$9&lt;14/24)</formula>
    </cfRule>
    <cfRule type="expression" dxfId="3364" priority="95">
      <formula>C$9&lt;8/24</formula>
    </cfRule>
  </conditionalFormatting>
  <conditionalFormatting sqref="C39:E41 F40:J41">
    <cfRule type="expression" dxfId="3363" priority="91">
      <formula>C39&gt;$AG39</formula>
    </cfRule>
  </conditionalFormatting>
  <conditionalFormatting sqref="X39:Y39">
    <cfRule type="expression" dxfId="3362" priority="73">
      <formula>X$9&gt;=20/24</formula>
    </cfRule>
    <cfRule type="expression" dxfId="3361" priority="74">
      <formula>AND(X$9&gt;=14/24,X$9&lt;20/24)</formula>
    </cfRule>
    <cfRule type="expression" dxfId="3360" priority="75">
      <formula>AND(X$9&gt;=8/24,X$9&lt;14/24)</formula>
    </cfRule>
    <cfRule type="expression" dxfId="3359" priority="76">
      <formula>X$9&lt;8/24</formula>
    </cfRule>
  </conditionalFormatting>
  <conditionalFormatting sqref="X39:Y41">
    <cfRule type="expression" dxfId="3358" priority="72">
      <formula>X39&gt;$AG39</formula>
    </cfRule>
  </conditionalFormatting>
  <conditionalFormatting sqref="X40:Y41">
    <cfRule type="expression" dxfId="3357" priority="77">
      <formula>X$9&gt;=20/24</formula>
    </cfRule>
    <cfRule type="expression" dxfId="3356" priority="78">
      <formula>AND(X$9&gt;=14/24,X$9&lt;20/24)</formula>
    </cfRule>
    <cfRule type="expression" dxfId="3355" priority="79">
      <formula>AND(X$9&gt;=8/24,X$9&lt;14/24)</formula>
    </cfRule>
    <cfRule type="expression" dxfId="3354" priority="80">
      <formula>X$9&lt;8/24</formula>
    </cfRule>
  </conditionalFormatting>
  <conditionalFormatting sqref="B82 B94:B100 B11 B74:E74">
    <cfRule type="expression" dxfId="3353" priority="68">
      <formula>B$9&gt;=20/24</formula>
    </cfRule>
    <cfRule type="expression" dxfId="3352" priority="69">
      <formula>AND(B$9&gt;=14/24,B$9&lt;20/24)</formula>
    </cfRule>
    <cfRule type="expression" dxfId="3351" priority="70">
      <formula>AND(B$9&gt;=8/24,B$9&lt;14/24)</formula>
    </cfRule>
    <cfRule type="expression" dxfId="3350" priority="71">
      <formula>B$9&lt;8/24</formula>
    </cfRule>
  </conditionalFormatting>
  <conditionalFormatting sqref="B37:M37">
    <cfRule type="expression" dxfId="3349" priority="64">
      <formula>B$9&gt;=20/24</formula>
    </cfRule>
    <cfRule type="expression" dxfId="3348" priority="65">
      <formula>AND(B$9&gt;=14/24,B$9&lt;20/24)</formula>
    </cfRule>
    <cfRule type="expression" dxfId="3347" priority="66">
      <formula>AND(B$9&gt;=8/24,B$9&lt;14/24)</formula>
    </cfRule>
    <cfRule type="expression" dxfId="3346" priority="67">
      <formula>B$9&lt;8/24</formula>
    </cfRule>
  </conditionalFormatting>
  <conditionalFormatting sqref="B11 B37:M37">
    <cfRule type="expression" dxfId="3345" priority="63">
      <formula>B11&gt;$AG11</formula>
    </cfRule>
  </conditionalFormatting>
  <conditionalFormatting sqref="B84">
    <cfRule type="expression" dxfId="3344" priority="59">
      <formula>B$9&gt;=20/24</formula>
    </cfRule>
    <cfRule type="expression" dxfId="3343" priority="60">
      <formula>AND(B$9&gt;=14/24,B$9&lt;20/24)</formula>
    </cfRule>
    <cfRule type="expression" dxfId="3342" priority="61">
      <formula>AND(B$9&gt;=8/24,B$9&lt;14/24)</formula>
    </cfRule>
    <cfRule type="expression" dxfId="3341" priority="62">
      <formula>B$9&lt;8/24</formula>
    </cfRule>
  </conditionalFormatting>
  <conditionalFormatting sqref="B40:B41 B57 B36:Z36">
    <cfRule type="expression" dxfId="3340" priority="55">
      <formula>B$9&gt;=20/24</formula>
    </cfRule>
    <cfRule type="expression" dxfId="3339" priority="56">
      <formula>AND(B$9&gt;=14/24,B$9&lt;20/24)</formula>
    </cfRule>
    <cfRule type="expression" dxfId="3338" priority="57">
      <formula>AND(B$9&gt;=8/24,B$9&lt;14/24)</formula>
    </cfRule>
    <cfRule type="expression" dxfId="3337" priority="58">
      <formula>B$9&lt;8/24</formula>
    </cfRule>
  </conditionalFormatting>
  <conditionalFormatting sqref="B39">
    <cfRule type="expression" dxfId="3336" priority="51">
      <formula>B$9&gt;=20/24</formula>
    </cfRule>
    <cfRule type="expression" dxfId="3335" priority="52">
      <formula>AND(B$9&gt;=14/24,B$9&lt;20/24)</formula>
    </cfRule>
    <cfRule type="expression" dxfId="3334" priority="53">
      <formula>AND(B$9&gt;=8/24,B$9&lt;14/24)</formula>
    </cfRule>
    <cfRule type="expression" dxfId="3333" priority="54">
      <formula>B$9&lt;8/24</formula>
    </cfRule>
  </conditionalFormatting>
  <conditionalFormatting sqref="B39:B41 B36:Z36">
    <cfRule type="expression" dxfId="3332" priority="50">
      <formula>B36&gt;$AG36</formula>
    </cfRule>
  </conditionalFormatting>
  <conditionalFormatting sqref="B83 B75:B81 B85:B91 B53:B56 B58:B73 C61:L67 B12:Y12 B28:Z31 B18:Z22 B24:Z26 B16:Z16 B13:Z14">
    <cfRule type="expression" dxfId="3331" priority="46">
      <formula>B$9&gt;=20/24</formula>
    </cfRule>
    <cfRule type="expression" dxfId="3330" priority="47">
      <formula>AND(B$9&gt;=14/24,B$9&lt;20/24)</formula>
    </cfRule>
    <cfRule type="expression" dxfId="3329" priority="48">
      <formula>AND(B$9&gt;=8/24,B$9&lt;14/24)</formula>
    </cfRule>
    <cfRule type="expression" dxfId="3328" priority="49">
      <formula>B$9&lt;8/24</formula>
    </cfRule>
  </conditionalFormatting>
  <conditionalFormatting sqref="B32:Z32">
    <cfRule type="expression" dxfId="3327" priority="42">
      <formula>B$9&gt;=20/24</formula>
    </cfRule>
    <cfRule type="expression" dxfId="3326" priority="43">
      <formula>AND(B$9&gt;=14/24,B$9&lt;20/24)</formula>
    </cfRule>
    <cfRule type="expression" dxfId="3325" priority="44">
      <formula>AND(B$9&gt;=8/24,B$9&lt;14/24)</formula>
    </cfRule>
    <cfRule type="expression" dxfId="3324" priority="45">
      <formula>B$9&lt;8/24</formula>
    </cfRule>
  </conditionalFormatting>
  <conditionalFormatting sqref="B35:Z35">
    <cfRule type="expression" dxfId="3323" priority="38">
      <formula>B$9&gt;=20/24</formula>
    </cfRule>
    <cfRule type="expression" dxfId="3322" priority="39">
      <formula>AND(B$9&gt;=14/24,B$9&lt;20/24)</formula>
    </cfRule>
    <cfRule type="expression" dxfId="3321" priority="40">
      <formula>AND(B$9&gt;=8/24,B$9&lt;14/24)</formula>
    </cfRule>
    <cfRule type="expression" dxfId="3320" priority="41">
      <formula>B$9&lt;8/24</formula>
    </cfRule>
  </conditionalFormatting>
  <conditionalFormatting sqref="B38 B51:B56 B42:J43 B12:Y12 B34:Z35 B18:Z22 B24:Z32 B13:Z16">
    <cfRule type="expression" dxfId="3319" priority="37">
      <formula>B12&gt;$AG12</formula>
    </cfRule>
  </conditionalFormatting>
  <conditionalFormatting sqref="B34:Z34">
    <cfRule type="expression" dxfId="3318" priority="33">
      <formula>B$9&gt;=20/24</formula>
    </cfRule>
    <cfRule type="expression" dxfId="3317" priority="34">
      <formula>AND(B$9&gt;=14/24,B$9&lt;20/24)</formula>
    </cfRule>
    <cfRule type="expression" dxfId="3316" priority="35">
      <formula>AND(B$9&gt;=8/24,B$9&lt;14/24)</formula>
    </cfRule>
    <cfRule type="expression" dxfId="3315" priority="36">
      <formula>B$9&lt;8/24</formula>
    </cfRule>
  </conditionalFormatting>
  <conditionalFormatting sqref="B15:Z15">
    <cfRule type="expression" dxfId="3314" priority="29">
      <formula>B$9&gt;=20/24</formula>
    </cfRule>
    <cfRule type="expression" dxfId="3313" priority="30">
      <formula>AND(B$9&gt;=14/24,B$9&lt;20/24)</formula>
    </cfRule>
    <cfRule type="expression" dxfId="3312" priority="31">
      <formula>AND(B$9&gt;=8/24,B$9&lt;14/24)</formula>
    </cfRule>
    <cfRule type="expression" dxfId="3311" priority="32">
      <formula>B$9&lt;8/24</formula>
    </cfRule>
  </conditionalFormatting>
  <conditionalFormatting sqref="B33:Z33">
    <cfRule type="expression" dxfId="3310" priority="25">
      <formula>B$9&gt;=20/24</formula>
    </cfRule>
    <cfRule type="expression" dxfId="3309" priority="26">
      <formula>AND(B$9&gt;=14/24,B$9&lt;20/24)</formula>
    </cfRule>
    <cfRule type="expression" dxfId="3308" priority="27">
      <formula>AND(B$9&gt;=8/24,B$9&lt;14/24)</formula>
    </cfRule>
    <cfRule type="expression" dxfId="3307" priority="28">
      <formula>B$9&lt;8/24</formula>
    </cfRule>
  </conditionalFormatting>
  <conditionalFormatting sqref="B33:Z33">
    <cfRule type="expression" dxfId="3306" priority="24">
      <formula>B33&gt;$AG33</formula>
    </cfRule>
  </conditionalFormatting>
  <conditionalFormatting sqref="B44:L50">
    <cfRule type="expression" dxfId="3305" priority="20">
      <formula>B$9&gt;=20/24</formula>
    </cfRule>
    <cfRule type="expression" dxfId="3304" priority="21">
      <formula>AND(B$9&gt;=14/24,B$9&lt;20/24)</formula>
    </cfRule>
    <cfRule type="expression" dxfId="3303" priority="22">
      <formula>AND(B$9&gt;=8/24,B$9&lt;14/24)</formula>
    </cfRule>
    <cfRule type="expression" dxfId="3302" priority="23">
      <formula>B$9&lt;8/24</formula>
    </cfRule>
  </conditionalFormatting>
  <conditionalFormatting sqref="B44:L50">
    <cfRule type="expression" dxfId="3301" priority="19">
      <formula>B44&gt;$AG44</formula>
    </cfRule>
  </conditionalFormatting>
  <conditionalFormatting sqref="B27:Z27">
    <cfRule type="expression" dxfId="3300" priority="15">
      <formula>B$9&gt;=20/24</formula>
    </cfRule>
    <cfRule type="expression" dxfId="3299" priority="16">
      <formula>AND(B$9&gt;=14/24,B$9&lt;20/24)</formula>
    </cfRule>
    <cfRule type="expression" dxfId="3298" priority="17">
      <formula>AND(B$9&gt;=8/24,B$9&lt;14/24)</formula>
    </cfRule>
    <cfRule type="expression" dxfId="3297" priority="18">
      <formula>B$9&lt;8/24</formula>
    </cfRule>
  </conditionalFormatting>
  <conditionalFormatting sqref="B17:Z17 B23:Z23">
    <cfRule type="expression" dxfId="3296" priority="11">
      <formula>B$9&gt;=20/24</formula>
    </cfRule>
    <cfRule type="expression" dxfId="3295" priority="12">
      <formula>AND(B$9&gt;=14/24,B$9&lt;20/24)</formula>
    </cfRule>
    <cfRule type="expression" dxfId="3294" priority="13">
      <formula>AND(B$9&gt;=8/24,B$9&lt;14/24)</formula>
    </cfRule>
    <cfRule type="expression" dxfId="3293" priority="14">
      <formula>B$9&lt;8/24</formula>
    </cfRule>
  </conditionalFormatting>
  <conditionalFormatting sqref="B17:Z17 B23:Z23">
    <cfRule type="expression" dxfId="3292" priority="10">
      <formula>B17&gt;$AG17</formula>
    </cfRule>
  </conditionalFormatting>
  <conditionalFormatting sqref="N37:T37">
    <cfRule type="expression" dxfId="3291" priority="1">
      <formula>N$9&gt;=20/24</formula>
    </cfRule>
    <cfRule type="expression" dxfId="3290" priority="2">
      <formula>AND(N$9&gt;=14/24,N$9&lt;20/24)</formula>
    </cfRule>
    <cfRule type="expression" dxfId="3289" priority="3">
      <formula>AND(N$9&gt;=8/24,N$9&lt;14/24)</formula>
    </cfRule>
    <cfRule type="expression" dxfId="3288" priority="4">
      <formula>N$9&lt;8/24</formula>
    </cfRule>
  </conditionalFormatting>
  <conditionalFormatting sqref="M11">
    <cfRule type="expression" dxfId="3287" priority="6">
      <formula>M$9&gt;=20/24</formula>
    </cfRule>
    <cfRule type="expression" dxfId="3286" priority="7">
      <formula>AND(M$9&gt;=14/24,M$9&lt;20/24)</formula>
    </cfRule>
    <cfRule type="expression" dxfId="3285" priority="8">
      <formula>AND(M$9&gt;=8/24,M$9&lt;14/24)</formula>
    </cfRule>
    <cfRule type="expression" dxfId="3284" priority="9">
      <formula>M$9&lt;8/24</formula>
    </cfRule>
  </conditionalFormatting>
  <conditionalFormatting sqref="M11">
    <cfRule type="expression" dxfId="3283" priority="5">
      <formula>M11&gt;$AG11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9" id="{DF0217C8-1F83-42E6-89C2-7CEA7BC3D79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89" activePane="bottomRight" state="frozen"/>
      <selection activeCell="AF88" sqref="AF88"/>
      <selection pane="topRight" activeCell="AF88" sqref="AF88"/>
      <selection pane="bottomLeft" activeCell="AF88" sqref="AF88"/>
      <selection pane="bottomRight" activeCell="AF34" sqref="AF3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28" width="6.42578125" bestFit="1" customWidth="1"/>
    <col min="29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2079/02/15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128</v>
      </c>
      <c r="C5" s="32">
        <f t="shared" si="0"/>
        <v>118.9</v>
      </c>
      <c r="D5" s="32">
        <f t="shared" si="0"/>
        <v>116.8</v>
      </c>
      <c r="E5" s="32">
        <f t="shared" si="0"/>
        <v>117</v>
      </c>
      <c r="F5" s="32">
        <f t="shared" si="0"/>
        <v>112</v>
      </c>
      <c r="G5" s="32">
        <f t="shared" si="0"/>
        <v>99.699999999999989</v>
      </c>
      <c r="H5" s="32">
        <f t="shared" si="0"/>
        <v>212.2</v>
      </c>
      <c r="I5" s="32">
        <f t="shared" si="0"/>
        <v>202.2</v>
      </c>
      <c r="J5" s="32">
        <f t="shared" si="0"/>
        <v>207.2</v>
      </c>
      <c r="K5" s="32">
        <f t="shared" si="0"/>
        <v>250.5</v>
      </c>
      <c r="L5" s="32">
        <f t="shared" si="0"/>
        <v>271</v>
      </c>
      <c r="M5" s="32">
        <f t="shared" si="0"/>
        <v>290</v>
      </c>
      <c r="N5" s="32">
        <f t="shared" si="0"/>
        <v>260</v>
      </c>
      <c r="O5" s="32">
        <f t="shared" si="0"/>
        <v>280</v>
      </c>
      <c r="P5" s="32">
        <f t="shared" si="0"/>
        <v>275</v>
      </c>
      <c r="Q5" s="32">
        <f t="shared" si="0"/>
        <v>285</v>
      </c>
      <c r="R5" s="32">
        <f t="shared" si="0"/>
        <v>309.39999999999998</v>
      </c>
      <c r="S5" s="32">
        <f t="shared" si="0"/>
        <v>287.35000000000002</v>
      </c>
      <c r="T5" s="32">
        <f t="shared" si="0"/>
        <v>300.60000000000002</v>
      </c>
      <c r="U5" s="32">
        <f t="shared" si="0"/>
        <v>271.39999999999998</v>
      </c>
      <c r="V5" s="32">
        <f t="shared" si="0"/>
        <v>281.3</v>
      </c>
      <c r="W5" s="32">
        <f t="shared" si="0"/>
        <v>279</v>
      </c>
      <c r="X5" s="32">
        <f t="shared" si="0"/>
        <v>170.7</v>
      </c>
      <c r="Y5" s="32">
        <f t="shared" si="0"/>
        <v>165.3</v>
      </c>
      <c r="Z5" s="32">
        <f t="shared" si="0"/>
        <v>192.1</v>
      </c>
      <c r="AA5" s="32">
        <f t="shared" si="0"/>
        <v>183.4</v>
      </c>
      <c r="AB5" s="32">
        <f t="shared" si="0"/>
        <v>117</v>
      </c>
      <c r="AC5" s="32">
        <f t="shared" si="0"/>
        <v>121.4</v>
      </c>
      <c r="AD5" s="32">
        <f t="shared" si="0"/>
        <v>121</v>
      </c>
      <c r="AE5" s="32">
        <f t="shared" si="0"/>
        <v>106</v>
      </c>
      <c r="AF5" s="32">
        <f>B68</f>
        <v>85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Load=1151</v>
      </c>
      <c r="B7" s="37">
        <f>B75</f>
        <v>1335.34</v>
      </c>
      <c r="C7" s="37">
        <f t="shared" ref="C7:AF7" si="1">C75</f>
        <v>1193.24</v>
      </c>
      <c r="D7" s="37">
        <f t="shared" si="1"/>
        <v>1230.1399999999999</v>
      </c>
      <c r="E7" s="37">
        <f t="shared" si="1"/>
        <v>1179.04</v>
      </c>
      <c r="F7" s="37">
        <f t="shared" si="1"/>
        <v>1163.94</v>
      </c>
      <c r="G7" s="37">
        <f t="shared" si="1"/>
        <v>1151.3400000000001</v>
      </c>
      <c r="H7" s="37">
        <f t="shared" si="1"/>
        <v>1161.8399999999999</v>
      </c>
      <c r="I7" s="37">
        <f t="shared" si="1"/>
        <v>1181.44</v>
      </c>
      <c r="J7" s="37">
        <f t="shared" si="1"/>
        <v>1238.44</v>
      </c>
      <c r="K7" s="37">
        <f t="shared" si="1"/>
        <v>1232.6399999999999</v>
      </c>
      <c r="L7" s="37">
        <f t="shared" si="1"/>
        <v>1331.94</v>
      </c>
      <c r="M7" s="37">
        <f t="shared" si="1"/>
        <v>1343.24</v>
      </c>
      <c r="N7" s="37">
        <f t="shared" si="1"/>
        <v>1385.1399999999999</v>
      </c>
      <c r="O7" s="37">
        <f t="shared" si="1"/>
        <v>1316.04</v>
      </c>
      <c r="P7" s="37">
        <f t="shared" si="1"/>
        <v>1400.74</v>
      </c>
      <c r="Q7" s="37">
        <f t="shared" si="1"/>
        <v>1440.7399999999998</v>
      </c>
      <c r="R7" s="37">
        <f t="shared" si="1"/>
        <v>1449.9399999999998</v>
      </c>
      <c r="S7" s="37">
        <f t="shared" si="1"/>
        <v>1470.6399999999999</v>
      </c>
      <c r="T7" s="37">
        <f t="shared" si="1"/>
        <v>1363.4899999999998</v>
      </c>
      <c r="U7" s="37">
        <f t="shared" si="1"/>
        <v>1437.1399999999999</v>
      </c>
      <c r="V7" s="37">
        <f t="shared" si="1"/>
        <v>1402.7399999999998</v>
      </c>
      <c r="W7" s="37">
        <f t="shared" si="1"/>
        <v>1365.94</v>
      </c>
      <c r="X7" s="37">
        <f t="shared" si="1"/>
        <v>1393.6399999999999</v>
      </c>
      <c r="Y7" s="37">
        <f t="shared" si="1"/>
        <v>1385.34</v>
      </c>
      <c r="Z7" s="37">
        <f t="shared" si="1"/>
        <v>1453.24</v>
      </c>
      <c r="AA7" s="37">
        <f t="shared" si="1"/>
        <v>1458.24</v>
      </c>
      <c r="AB7" s="37">
        <f t="shared" si="1"/>
        <v>1581.3400000000001</v>
      </c>
      <c r="AC7" s="37">
        <f t="shared" si="1"/>
        <v>1550.94</v>
      </c>
      <c r="AD7" s="37">
        <f t="shared" si="1"/>
        <v>1518.04</v>
      </c>
      <c r="AE7" s="37">
        <f t="shared" si="1"/>
        <v>1384.24</v>
      </c>
      <c r="AF7" s="37">
        <f t="shared" si="1"/>
        <v>1345.94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220</v>
      </c>
      <c r="C11" s="50">
        <v>150</v>
      </c>
      <c r="D11" s="50">
        <v>140</v>
      </c>
      <c r="E11" s="51">
        <v>110</v>
      </c>
      <c r="F11" s="51">
        <v>130</v>
      </c>
      <c r="G11" s="51">
        <v>100</v>
      </c>
      <c r="H11" s="51">
        <v>100</v>
      </c>
      <c r="I11" s="51">
        <v>40</v>
      </c>
      <c r="J11" s="51">
        <v>70</v>
      </c>
      <c r="K11" s="51">
        <v>60</v>
      </c>
      <c r="L11" s="51">
        <v>107</v>
      </c>
      <c r="M11" s="51">
        <v>96</v>
      </c>
      <c r="N11" s="51">
        <v>120</v>
      </c>
      <c r="O11" s="51">
        <v>130</v>
      </c>
      <c r="P11" s="51">
        <v>200</v>
      </c>
      <c r="Q11" s="51">
        <v>235</v>
      </c>
      <c r="R11" s="51">
        <v>235</v>
      </c>
      <c r="S11" s="49">
        <v>214</v>
      </c>
      <c r="T11" s="49">
        <v>200</v>
      </c>
      <c r="U11" s="49">
        <v>160</v>
      </c>
      <c r="V11" s="49">
        <v>160</v>
      </c>
      <c r="W11" s="49">
        <v>90</v>
      </c>
      <c r="X11" s="49">
        <v>120</v>
      </c>
      <c r="Y11" s="49">
        <v>220</v>
      </c>
      <c r="Z11" s="49">
        <v>270</v>
      </c>
      <c r="AA11" s="49">
        <v>220</v>
      </c>
      <c r="AB11" s="49">
        <v>330</v>
      </c>
      <c r="AC11" s="49">
        <v>350</v>
      </c>
      <c r="AD11" s="49">
        <v>370</v>
      </c>
      <c r="AE11" s="49">
        <v>250</v>
      </c>
      <c r="AF11" s="49">
        <v>250</v>
      </c>
      <c r="AG11" s="53">
        <v>456</v>
      </c>
      <c r="AH11" s="54">
        <f>MAX(B11:AF11)</f>
        <v>370</v>
      </c>
      <c r="AI11" s="55">
        <f>MIN(B11:AF11)</f>
        <v>40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39</v>
      </c>
      <c r="C12" s="51">
        <v>39</v>
      </c>
      <c r="D12" s="51">
        <v>39</v>
      </c>
      <c r="E12" s="51">
        <v>42</v>
      </c>
      <c r="F12" s="51">
        <v>42</v>
      </c>
      <c r="G12" s="51">
        <v>42</v>
      </c>
      <c r="H12" s="51">
        <v>42</v>
      </c>
      <c r="I12" s="51">
        <v>42</v>
      </c>
      <c r="J12" s="51">
        <v>42</v>
      </c>
      <c r="K12" s="51">
        <v>42</v>
      </c>
      <c r="L12" s="51">
        <v>42</v>
      </c>
      <c r="M12" s="51">
        <v>42</v>
      </c>
      <c r="N12" s="51">
        <v>42</v>
      </c>
      <c r="O12" s="51">
        <v>42</v>
      </c>
      <c r="P12" s="51">
        <v>42</v>
      </c>
      <c r="Q12" s="51">
        <v>42</v>
      </c>
      <c r="R12" s="51">
        <v>42</v>
      </c>
      <c r="S12" s="51">
        <v>30</v>
      </c>
      <c r="T12" s="51">
        <v>30</v>
      </c>
      <c r="U12" s="51">
        <v>30</v>
      </c>
      <c r="V12" s="51">
        <v>30</v>
      </c>
      <c r="W12" s="51">
        <v>45</v>
      </c>
      <c r="X12" s="51">
        <v>45</v>
      </c>
      <c r="Y12" s="51">
        <v>45</v>
      </c>
      <c r="Z12" s="51">
        <v>37</v>
      </c>
      <c r="AA12" s="51">
        <v>37</v>
      </c>
      <c r="AB12" s="51">
        <v>37</v>
      </c>
      <c r="AC12" s="51">
        <v>37</v>
      </c>
      <c r="AD12" s="51">
        <v>37</v>
      </c>
      <c r="AE12" s="51">
        <v>37</v>
      </c>
      <c r="AF12" s="51">
        <v>37</v>
      </c>
      <c r="AG12" s="58">
        <v>60</v>
      </c>
      <c r="AH12" s="54">
        <f t="shared" ref="AH12:AH75" si="2">MAX(B12:AF12)</f>
        <v>45</v>
      </c>
      <c r="AI12" s="55">
        <f t="shared" ref="AI12:AI75" si="3">MIN(B12:AF12)</f>
        <v>30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18</v>
      </c>
      <c r="C13" s="51">
        <v>19.7</v>
      </c>
      <c r="D13" s="51">
        <v>19.7</v>
      </c>
      <c r="E13" s="51">
        <v>18.8</v>
      </c>
      <c r="F13" s="51">
        <v>18.8</v>
      </c>
      <c r="G13" s="51">
        <v>18.8</v>
      </c>
      <c r="H13" s="51">
        <v>18.8</v>
      </c>
      <c r="I13" s="51">
        <v>18.8</v>
      </c>
      <c r="J13" s="51">
        <v>18.8</v>
      </c>
      <c r="K13" s="51">
        <v>18.8</v>
      </c>
      <c r="L13" s="51">
        <v>18.8</v>
      </c>
      <c r="M13" s="51">
        <v>18.8</v>
      </c>
      <c r="N13" s="51">
        <v>18.8</v>
      </c>
      <c r="O13" s="51">
        <v>18.8</v>
      </c>
      <c r="P13" s="51">
        <v>18.5</v>
      </c>
      <c r="Q13" s="51">
        <v>18.3</v>
      </c>
      <c r="R13" s="51">
        <v>18.3</v>
      </c>
      <c r="S13" s="51">
        <v>18.3</v>
      </c>
      <c r="T13" s="51">
        <v>18.3</v>
      </c>
      <c r="U13" s="51">
        <v>18.3</v>
      </c>
      <c r="V13" s="51">
        <v>18.3</v>
      </c>
      <c r="W13" s="51">
        <v>19.2</v>
      </c>
      <c r="X13" s="51">
        <v>19.2</v>
      </c>
      <c r="Y13" s="51">
        <v>19.2</v>
      </c>
      <c r="Z13" s="51">
        <v>19.2</v>
      </c>
      <c r="AA13" s="51">
        <v>19.2</v>
      </c>
      <c r="AB13" s="51">
        <v>19.2</v>
      </c>
      <c r="AC13" s="51">
        <v>19.2</v>
      </c>
      <c r="AD13" s="51">
        <v>19.2</v>
      </c>
      <c r="AE13" s="51">
        <v>19.2</v>
      </c>
      <c r="AF13" s="51">
        <v>19.2</v>
      </c>
      <c r="AG13" s="58">
        <v>52.4</v>
      </c>
      <c r="AH13" s="54">
        <f t="shared" si="2"/>
        <v>19.7</v>
      </c>
      <c r="AI13" s="55">
        <f t="shared" si="3"/>
        <v>18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50.3</v>
      </c>
      <c r="C14" s="51">
        <v>50.2</v>
      </c>
      <c r="D14" s="51">
        <v>50.2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50.2</v>
      </c>
      <c r="Q14" s="51">
        <v>50.2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50.6</v>
      </c>
      <c r="AG14" s="58">
        <v>50</v>
      </c>
      <c r="AH14" s="54">
        <f t="shared" si="2"/>
        <v>50.6</v>
      </c>
      <c r="AI14" s="55">
        <f t="shared" si="3"/>
        <v>50.2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39</v>
      </c>
      <c r="C15" s="51">
        <v>40</v>
      </c>
      <c r="D15" s="51">
        <v>40</v>
      </c>
      <c r="E15" s="51">
        <v>39</v>
      </c>
      <c r="F15" s="51">
        <v>39</v>
      </c>
      <c r="G15" s="51">
        <v>39</v>
      </c>
      <c r="H15" s="51">
        <v>39</v>
      </c>
      <c r="I15" s="51">
        <v>39</v>
      </c>
      <c r="J15" s="51">
        <v>39</v>
      </c>
      <c r="K15" s="51">
        <v>39</v>
      </c>
      <c r="L15" s="51">
        <v>39</v>
      </c>
      <c r="M15" s="51">
        <v>39</v>
      </c>
      <c r="N15" s="51">
        <v>39</v>
      </c>
      <c r="O15" s="51">
        <v>39</v>
      </c>
      <c r="P15" s="51">
        <v>34.6</v>
      </c>
      <c r="Q15" s="51">
        <v>34.700000000000003</v>
      </c>
      <c r="R15" s="51">
        <v>34.700000000000003</v>
      </c>
      <c r="S15" s="51">
        <v>34.700000000000003</v>
      </c>
      <c r="T15" s="51">
        <v>34.700000000000003</v>
      </c>
      <c r="U15" s="51">
        <v>34.700000000000003</v>
      </c>
      <c r="V15" s="51">
        <v>34.700000000000003</v>
      </c>
      <c r="W15" s="51">
        <v>32.1</v>
      </c>
      <c r="X15" s="51">
        <v>32.1</v>
      </c>
      <c r="Y15" s="51">
        <v>32.1</v>
      </c>
      <c r="Z15" s="51">
        <v>32.1</v>
      </c>
      <c r="AA15" s="51">
        <v>32.1</v>
      </c>
      <c r="AB15" s="51">
        <v>32.1</v>
      </c>
      <c r="AC15" s="51">
        <v>32.1</v>
      </c>
      <c r="AD15" s="51">
        <v>32.1</v>
      </c>
      <c r="AE15" s="51">
        <v>32.1</v>
      </c>
      <c r="AF15" s="51">
        <v>32.1</v>
      </c>
      <c r="AG15" s="59">
        <v>45</v>
      </c>
      <c r="AH15" s="54">
        <f t="shared" si="2"/>
        <v>40</v>
      </c>
      <c r="AI15" s="55">
        <f t="shared" si="3"/>
        <v>32.1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38</v>
      </c>
      <c r="C16" s="51">
        <v>38</v>
      </c>
      <c r="D16" s="51">
        <v>38</v>
      </c>
      <c r="E16" s="51">
        <v>38</v>
      </c>
      <c r="F16" s="51">
        <v>38</v>
      </c>
      <c r="G16" s="51">
        <v>38</v>
      </c>
      <c r="H16" s="51">
        <v>38</v>
      </c>
      <c r="I16" s="51">
        <v>38</v>
      </c>
      <c r="J16" s="51">
        <v>38</v>
      </c>
      <c r="K16" s="51">
        <v>38</v>
      </c>
      <c r="L16" s="51">
        <v>38</v>
      </c>
      <c r="M16" s="51">
        <v>38</v>
      </c>
      <c r="N16" s="51">
        <v>38</v>
      </c>
      <c r="O16" s="51">
        <v>38</v>
      </c>
      <c r="P16" s="51">
        <v>36</v>
      </c>
      <c r="Q16" s="51">
        <v>36</v>
      </c>
      <c r="R16" s="51">
        <v>36</v>
      </c>
      <c r="S16" s="51">
        <v>32</v>
      </c>
      <c r="T16" s="51">
        <v>0</v>
      </c>
      <c r="U16" s="51">
        <v>28</v>
      </c>
      <c r="V16" s="51">
        <v>28</v>
      </c>
      <c r="W16" s="51">
        <v>37</v>
      </c>
      <c r="X16" s="51">
        <v>37</v>
      </c>
      <c r="Y16" s="51">
        <v>37</v>
      </c>
      <c r="Z16" s="51">
        <v>37</v>
      </c>
      <c r="AA16" s="51">
        <v>37</v>
      </c>
      <c r="AB16" s="51">
        <v>37</v>
      </c>
      <c r="AC16" s="51">
        <v>37</v>
      </c>
      <c r="AD16" s="51">
        <v>38</v>
      </c>
      <c r="AE16" s="51">
        <v>38</v>
      </c>
      <c r="AF16" s="51">
        <v>38</v>
      </c>
      <c r="AG16" s="58">
        <v>45</v>
      </c>
      <c r="AH16" s="54">
        <f t="shared" si="2"/>
        <v>38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8.5</v>
      </c>
      <c r="C18" s="51">
        <v>8.5</v>
      </c>
      <c r="D18" s="51">
        <v>8.5</v>
      </c>
      <c r="E18" s="51">
        <v>8.5</v>
      </c>
      <c r="F18" s="51">
        <v>8.5</v>
      </c>
      <c r="G18" s="51">
        <v>8.5</v>
      </c>
      <c r="H18" s="51">
        <v>8.5</v>
      </c>
      <c r="I18" s="51">
        <v>8.5</v>
      </c>
      <c r="J18" s="51">
        <v>8.5</v>
      </c>
      <c r="K18" s="51">
        <v>8.5</v>
      </c>
      <c r="L18" s="51">
        <v>8.5</v>
      </c>
      <c r="M18" s="51">
        <v>8.5</v>
      </c>
      <c r="N18" s="51">
        <v>8.5</v>
      </c>
      <c r="O18" s="51">
        <v>8.5</v>
      </c>
      <c r="P18" s="51">
        <v>8.5</v>
      </c>
      <c r="Q18" s="51">
        <v>8.5</v>
      </c>
      <c r="R18" s="51">
        <v>8.5</v>
      </c>
      <c r="S18" s="51">
        <v>8.5</v>
      </c>
      <c r="T18" s="51">
        <v>8.5</v>
      </c>
      <c r="U18" s="51">
        <v>8.5</v>
      </c>
      <c r="V18" s="51">
        <v>8.5</v>
      </c>
      <c r="W18" s="51">
        <v>8.5</v>
      </c>
      <c r="X18" s="51">
        <v>8.5</v>
      </c>
      <c r="Y18" s="51">
        <v>8.5</v>
      </c>
      <c r="Z18" s="51">
        <v>8.5</v>
      </c>
      <c r="AA18" s="51">
        <v>8.5</v>
      </c>
      <c r="AB18" s="51">
        <v>8.5</v>
      </c>
      <c r="AC18" s="51">
        <v>8.5</v>
      </c>
      <c r="AD18" s="51">
        <v>8.5</v>
      </c>
      <c r="AE18" s="51">
        <v>8.5</v>
      </c>
      <c r="AF18" s="51">
        <v>8.5</v>
      </c>
      <c r="AG18" s="58">
        <v>36</v>
      </c>
      <c r="AH18" s="54">
        <f t="shared" si="2"/>
        <v>8.5</v>
      </c>
      <c r="AI18" s="55">
        <f t="shared" si="3"/>
        <v>8.5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17</v>
      </c>
      <c r="C19" s="51">
        <v>17</v>
      </c>
      <c r="D19" s="51">
        <v>17</v>
      </c>
      <c r="E19" s="51">
        <v>17</v>
      </c>
      <c r="F19" s="51">
        <v>17</v>
      </c>
      <c r="G19" s="51">
        <v>17</v>
      </c>
      <c r="H19" s="51">
        <v>17</v>
      </c>
      <c r="I19" s="51">
        <v>17</v>
      </c>
      <c r="J19" s="51">
        <v>17</v>
      </c>
      <c r="K19" s="51">
        <v>17</v>
      </c>
      <c r="L19" s="51">
        <v>17</v>
      </c>
      <c r="M19" s="51">
        <v>17</v>
      </c>
      <c r="N19" s="51">
        <v>17</v>
      </c>
      <c r="O19" s="51">
        <v>17</v>
      </c>
      <c r="P19" s="51">
        <v>16.600000000000001</v>
      </c>
      <c r="Q19" s="51">
        <v>15.9</v>
      </c>
      <c r="R19" s="51">
        <v>15.9</v>
      </c>
      <c r="S19" s="51">
        <v>15.9</v>
      </c>
      <c r="T19" s="51">
        <v>15.9</v>
      </c>
      <c r="U19" s="51">
        <v>15.9</v>
      </c>
      <c r="V19" s="51">
        <v>15.9</v>
      </c>
      <c r="W19" s="51">
        <v>15.9</v>
      </c>
      <c r="X19" s="51">
        <v>15.9</v>
      </c>
      <c r="Y19" s="51">
        <v>15.9</v>
      </c>
      <c r="Z19" s="51">
        <v>15.9</v>
      </c>
      <c r="AA19" s="51">
        <v>15.9</v>
      </c>
      <c r="AB19" s="51">
        <v>15.9</v>
      </c>
      <c r="AC19" s="51">
        <v>15.9</v>
      </c>
      <c r="AD19" s="51">
        <v>15.9</v>
      </c>
      <c r="AE19" s="51">
        <v>15.9</v>
      </c>
      <c r="AF19" s="51">
        <v>15.9</v>
      </c>
      <c r="AG19" s="58">
        <v>30</v>
      </c>
      <c r="AH19" s="54">
        <f t="shared" si="2"/>
        <v>17</v>
      </c>
      <c r="AI19" s="55">
        <f t="shared" si="3"/>
        <v>15.9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8</v>
      </c>
      <c r="C20" s="51">
        <v>8</v>
      </c>
      <c r="D20" s="51">
        <v>8</v>
      </c>
      <c r="E20" s="51">
        <v>8</v>
      </c>
      <c r="F20" s="51">
        <v>8</v>
      </c>
      <c r="G20" s="51">
        <v>8</v>
      </c>
      <c r="H20" s="51">
        <v>8</v>
      </c>
      <c r="I20" s="51">
        <v>8</v>
      </c>
      <c r="J20" s="51">
        <v>8</v>
      </c>
      <c r="K20" s="51">
        <v>8</v>
      </c>
      <c r="L20" s="51">
        <v>8</v>
      </c>
      <c r="M20" s="51">
        <v>8</v>
      </c>
      <c r="N20" s="51">
        <v>8</v>
      </c>
      <c r="O20" s="51">
        <v>8</v>
      </c>
      <c r="P20" s="51">
        <v>8</v>
      </c>
      <c r="Q20" s="51">
        <v>8</v>
      </c>
      <c r="R20" s="51">
        <v>8</v>
      </c>
      <c r="S20" s="51">
        <v>8</v>
      </c>
      <c r="T20" s="51">
        <v>8</v>
      </c>
      <c r="U20" s="51">
        <v>8</v>
      </c>
      <c r="V20" s="51">
        <v>8</v>
      </c>
      <c r="W20" s="51">
        <v>8</v>
      </c>
      <c r="X20" s="51">
        <v>8</v>
      </c>
      <c r="Y20" s="51">
        <v>8</v>
      </c>
      <c r="Z20" s="51">
        <v>8</v>
      </c>
      <c r="AA20" s="51">
        <v>8</v>
      </c>
      <c r="AB20" s="51">
        <v>8</v>
      </c>
      <c r="AC20" s="51">
        <v>8</v>
      </c>
      <c r="AD20" s="51">
        <v>8</v>
      </c>
      <c r="AE20" s="51">
        <v>8</v>
      </c>
      <c r="AF20" s="51">
        <v>8</v>
      </c>
      <c r="AG20" s="58">
        <v>27</v>
      </c>
      <c r="AH20" s="54">
        <f t="shared" si="2"/>
        <v>8</v>
      </c>
      <c r="AI20" s="55">
        <f t="shared" si="3"/>
        <v>8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21.5</v>
      </c>
      <c r="Q22" s="51">
        <v>21.7</v>
      </c>
      <c r="R22" s="51">
        <v>21.7</v>
      </c>
      <c r="S22" s="51">
        <v>21.7</v>
      </c>
      <c r="T22" s="51">
        <v>21.7</v>
      </c>
      <c r="U22" s="51">
        <v>21.7</v>
      </c>
      <c r="V22" s="51">
        <v>21.7</v>
      </c>
      <c r="W22" s="51">
        <v>21.7</v>
      </c>
      <c r="X22" s="51">
        <v>21.7</v>
      </c>
      <c r="Y22" s="51">
        <v>21.7</v>
      </c>
      <c r="Z22" s="51">
        <v>21.7</v>
      </c>
      <c r="AA22" s="51">
        <v>21.7</v>
      </c>
      <c r="AB22" s="51">
        <v>21.7</v>
      </c>
      <c r="AC22" s="51">
        <v>21.7</v>
      </c>
      <c r="AD22" s="51">
        <v>21.7</v>
      </c>
      <c r="AE22" s="51">
        <v>21.7</v>
      </c>
      <c r="AF22" s="51">
        <v>21.7</v>
      </c>
      <c r="AG22" s="58">
        <v>25</v>
      </c>
      <c r="AH22" s="54">
        <f t="shared" si="2"/>
        <v>22</v>
      </c>
      <c r="AI22" s="55">
        <f t="shared" si="3"/>
        <v>21.5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6.5</v>
      </c>
      <c r="C23" s="51">
        <v>6.5</v>
      </c>
      <c r="D23" s="51">
        <v>6.5</v>
      </c>
      <c r="E23" s="51">
        <v>6.5</v>
      </c>
      <c r="F23" s="51">
        <v>6.5</v>
      </c>
      <c r="G23" s="51">
        <v>6.5</v>
      </c>
      <c r="H23" s="51">
        <v>6.5</v>
      </c>
      <c r="I23" s="51">
        <v>6.5</v>
      </c>
      <c r="J23" s="51">
        <v>6.5</v>
      </c>
      <c r="K23" s="51">
        <v>6.5</v>
      </c>
      <c r="L23" s="51">
        <v>6.5</v>
      </c>
      <c r="M23" s="51">
        <v>6.5</v>
      </c>
      <c r="N23" s="51">
        <v>6.5</v>
      </c>
      <c r="O23" s="51">
        <v>6.5</v>
      </c>
      <c r="P23" s="51">
        <v>6.5</v>
      </c>
      <c r="Q23" s="51">
        <v>6.5</v>
      </c>
      <c r="R23" s="51">
        <v>6.5</v>
      </c>
      <c r="S23" s="51">
        <v>6.5</v>
      </c>
      <c r="T23" s="51">
        <v>6.5</v>
      </c>
      <c r="U23" s="51">
        <v>6.5</v>
      </c>
      <c r="V23" s="51">
        <v>6.5</v>
      </c>
      <c r="W23" s="51">
        <v>6.5</v>
      </c>
      <c r="X23" s="51">
        <v>6.5</v>
      </c>
      <c r="Y23" s="51">
        <v>6.5</v>
      </c>
      <c r="Z23" s="51">
        <v>6.5</v>
      </c>
      <c r="AA23" s="51">
        <v>6.5</v>
      </c>
      <c r="AB23" s="51">
        <v>6.5</v>
      </c>
      <c r="AC23" s="51">
        <v>6.5</v>
      </c>
      <c r="AD23" s="51">
        <v>6.5</v>
      </c>
      <c r="AE23" s="51">
        <v>6.5</v>
      </c>
      <c r="AF23" s="51">
        <v>6.5</v>
      </c>
      <c r="AG23" s="58">
        <v>25</v>
      </c>
      <c r="AH23" s="54">
        <f t="shared" si="2"/>
        <v>6.5</v>
      </c>
      <c r="AI23" s="55">
        <f t="shared" si="3"/>
        <v>6.5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23</v>
      </c>
      <c r="C24" s="51">
        <v>23</v>
      </c>
      <c r="D24" s="51">
        <v>23</v>
      </c>
      <c r="E24" s="51">
        <v>23</v>
      </c>
      <c r="F24" s="51">
        <v>23</v>
      </c>
      <c r="G24" s="51">
        <v>23</v>
      </c>
      <c r="H24" s="51">
        <v>23</v>
      </c>
      <c r="I24" s="51">
        <v>23</v>
      </c>
      <c r="J24" s="51">
        <v>23</v>
      </c>
      <c r="K24" s="51">
        <v>23</v>
      </c>
      <c r="L24" s="51">
        <v>23</v>
      </c>
      <c r="M24" s="51">
        <v>23</v>
      </c>
      <c r="N24" s="51">
        <v>23</v>
      </c>
      <c r="O24" s="51">
        <v>23</v>
      </c>
      <c r="P24" s="51">
        <v>18.2</v>
      </c>
      <c r="Q24" s="51">
        <v>18.3</v>
      </c>
      <c r="R24" s="51">
        <v>18.3</v>
      </c>
      <c r="S24" s="51">
        <v>18.3</v>
      </c>
      <c r="T24" s="51">
        <v>18.3</v>
      </c>
      <c r="U24" s="51">
        <v>18.3</v>
      </c>
      <c r="V24" s="51">
        <v>18.3</v>
      </c>
      <c r="W24" s="51">
        <v>18.3</v>
      </c>
      <c r="X24" s="51">
        <v>18.3</v>
      </c>
      <c r="Y24" s="51">
        <v>18.3</v>
      </c>
      <c r="Z24" s="51">
        <v>18.3</v>
      </c>
      <c r="AA24" s="51">
        <v>18.3</v>
      </c>
      <c r="AB24" s="51">
        <v>18.3</v>
      </c>
      <c r="AC24" s="51">
        <v>18.3</v>
      </c>
      <c r="AD24" s="51">
        <v>18.3</v>
      </c>
      <c r="AE24" s="51">
        <v>18.3</v>
      </c>
      <c r="AF24" s="51">
        <v>18.3</v>
      </c>
      <c r="AG24" s="58">
        <v>25</v>
      </c>
      <c r="AH24" s="54">
        <f t="shared" si="2"/>
        <v>23</v>
      </c>
      <c r="AI24" s="55">
        <f t="shared" si="3"/>
        <v>18.2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9.5</v>
      </c>
      <c r="C25" s="51">
        <v>9.5</v>
      </c>
      <c r="D25" s="51">
        <v>9.5</v>
      </c>
      <c r="E25" s="51">
        <v>9.5</v>
      </c>
      <c r="F25" s="51">
        <v>9.5</v>
      </c>
      <c r="G25" s="51">
        <v>9.5</v>
      </c>
      <c r="H25" s="51">
        <v>9.5</v>
      </c>
      <c r="I25" s="51">
        <v>9.5</v>
      </c>
      <c r="J25" s="51">
        <v>9.5</v>
      </c>
      <c r="K25" s="51">
        <v>9.5</v>
      </c>
      <c r="L25" s="51">
        <v>9.5</v>
      </c>
      <c r="M25" s="51">
        <v>9.5</v>
      </c>
      <c r="N25" s="51">
        <v>9.5</v>
      </c>
      <c r="O25" s="51">
        <v>9.5</v>
      </c>
      <c r="P25" s="51">
        <v>9.5</v>
      </c>
      <c r="Q25" s="51">
        <v>9.5</v>
      </c>
      <c r="R25" s="51">
        <v>9.5</v>
      </c>
      <c r="S25" s="51">
        <v>9.5</v>
      </c>
      <c r="T25" s="51">
        <v>9.5</v>
      </c>
      <c r="U25" s="51">
        <v>9.5</v>
      </c>
      <c r="V25" s="51">
        <v>9.5</v>
      </c>
      <c r="W25" s="51">
        <v>9.5</v>
      </c>
      <c r="X25" s="51">
        <v>9.5</v>
      </c>
      <c r="Y25" s="51">
        <v>9.5</v>
      </c>
      <c r="Z25" s="51">
        <v>9.5</v>
      </c>
      <c r="AA25" s="51">
        <v>9.5</v>
      </c>
      <c r="AB25" s="51">
        <v>9.5</v>
      </c>
      <c r="AC25" s="51">
        <v>9.5</v>
      </c>
      <c r="AD25" s="51">
        <v>9.5</v>
      </c>
      <c r="AE25" s="51">
        <v>9.5</v>
      </c>
      <c r="AF25" s="51">
        <v>9.5</v>
      </c>
      <c r="AG25" s="58">
        <v>24.2</v>
      </c>
      <c r="AH25" s="54">
        <f t="shared" si="2"/>
        <v>9.5</v>
      </c>
      <c r="AI25" s="55">
        <f t="shared" si="3"/>
        <v>9.5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11</v>
      </c>
      <c r="C26" s="51">
        <v>11</v>
      </c>
      <c r="D26" s="51">
        <v>11</v>
      </c>
      <c r="E26" s="51">
        <v>11</v>
      </c>
      <c r="F26" s="51">
        <v>11</v>
      </c>
      <c r="G26" s="51">
        <v>11</v>
      </c>
      <c r="H26" s="51">
        <v>11</v>
      </c>
      <c r="I26" s="51">
        <v>11</v>
      </c>
      <c r="J26" s="51">
        <v>11</v>
      </c>
      <c r="K26" s="51">
        <v>11</v>
      </c>
      <c r="L26" s="51">
        <v>11</v>
      </c>
      <c r="M26" s="51">
        <v>11</v>
      </c>
      <c r="N26" s="51">
        <v>11</v>
      </c>
      <c r="O26" s="51">
        <v>11</v>
      </c>
      <c r="P26" s="51">
        <v>11</v>
      </c>
      <c r="Q26" s="51">
        <v>11</v>
      </c>
      <c r="R26" s="51">
        <v>11</v>
      </c>
      <c r="S26" s="51">
        <v>11</v>
      </c>
      <c r="T26" s="51">
        <v>11</v>
      </c>
      <c r="U26" s="51">
        <v>11</v>
      </c>
      <c r="V26" s="51">
        <v>11</v>
      </c>
      <c r="W26" s="51">
        <v>11</v>
      </c>
      <c r="X26" s="51">
        <v>11</v>
      </c>
      <c r="Y26" s="51">
        <v>11</v>
      </c>
      <c r="Z26" s="51">
        <v>11</v>
      </c>
      <c r="AA26" s="51">
        <v>11</v>
      </c>
      <c r="AB26" s="51">
        <v>11</v>
      </c>
      <c r="AC26" s="51">
        <v>11</v>
      </c>
      <c r="AD26" s="51">
        <v>11</v>
      </c>
      <c r="AE26" s="51">
        <v>10</v>
      </c>
      <c r="AF26" s="51">
        <v>9</v>
      </c>
      <c r="AG26" s="58">
        <v>20</v>
      </c>
      <c r="AH26" s="54">
        <f t="shared" si="2"/>
        <v>11</v>
      </c>
      <c r="AI26" s="55">
        <f t="shared" si="3"/>
        <v>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5.5</v>
      </c>
      <c r="C30" s="51">
        <v>5.5</v>
      </c>
      <c r="D30" s="51">
        <v>5.5</v>
      </c>
      <c r="E30" s="51">
        <v>5.5</v>
      </c>
      <c r="F30" s="51">
        <v>5.5</v>
      </c>
      <c r="G30" s="51">
        <v>5.5</v>
      </c>
      <c r="H30" s="51">
        <v>5.5</v>
      </c>
      <c r="I30" s="51">
        <v>5.5</v>
      </c>
      <c r="J30" s="51">
        <v>5.5</v>
      </c>
      <c r="K30" s="51">
        <v>5.5</v>
      </c>
      <c r="L30" s="51">
        <v>5.5</v>
      </c>
      <c r="M30" s="51">
        <v>5.5</v>
      </c>
      <c r="N30" s="51">
        <v>5.5</v>
      </c>
      <c r="O30" s="51">
        <v>5.5</v>
      </c>
      <c r="P30" s="51">
        <v>5.5</v>
      </c>
      <c r="Q30" s="51">
        <v>5.5</v>
      </c>
      <c r="R30" s="51">
        <v>5.5</v>
      </c>
      <c r="S30" s="51">
        <v>5.5</v>
      </c>
      <c r="T30" s="51">
        <v>5.5</v>
      </c>
      <c r="U30" s="51">
        <v>5.5</v>
      </c>
      <c r="V30" s="51">
        <v>5.5</v>
      </c>
      <c r="W30" s="51">
        <v>5.5</v>
      </c>
      <c r="X30" s="51">
        <v>5.5</v>
      </c>
      <c r="Y30" s="51">
        <v>5.5</v>
      </c>
      <c r="Z30" s="51">
        <v>5.5</v>
      </c>
      <c r="AA30" s="51">
        <v>5.5</v>
      </c>
      <c r="AB30" s="51">
        <v>5.5</v>
      </c>
      <c r="AC30" s="51">
        <v>5.5</v>
      </c>
      <c r="AD30" s="51">
        <v>5.5</v>
      </c>
      <c r="AE30" s="51">
        <v>5.5</v>
      </c>
      <c r="AF30" s="51">
        <v>5.5</v>
      </c>
      <c r="AG30" s="58">
        <v>22.1</v>
      </c>
      <c r="AH30" s="54">
        <f t="shared" si="2"/>
        <v>5.5</v>
      </c>
      <c r="AI30" s="55">
        <f t="shared" si="3"/>
        <v>5.5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6.5</v>
      </c>
      <c r="C32" s="51">
        <v>6.5</v>
      </c>
      <c r="D32" s="51">
        <v>6.5</v>
      </c>
      <c r="E32" s="51">
        <v>6.5</v>
      </c>
      <c r="F32" s="51">
        <v>6.5</v>
      </c>
      <c r="G32" s="51">
        <v>6.5</v>
      </c>
      <c r="H32" s="51">
        <v>6.5</v>
      </c>
      <c r="I32" s="51">
        <v>6.5</v>
      </c>
      <c r="J32" s="51">
        <v>6.5</v>
      </c>
      <c r="K32" s="51">
        <v>6.5</v>
      </c>
      <c r="L32" s="51">
        <v>6.5</v>
      </c>
      <c r="M32" s="51">
        <v>6.5</v>
      </c>
      <c r="N32" s="51">
        <v>6.5</v>
      </c>
      <c r="O32" s="51">
        <v>6.5</v>
      </c>
      <c r="P32" s="51">
        <v>6.5</v>
      </c>
      <c r="Q32" s="51">
        <v>6.5</v>
      </c>
      <c r="R32" s="51">
        <v>6.5</v>
      </c>
      <c r="S32" s="51">
        <v>6.5</v>
      </c>
      <c r="T32" s="51">
        <v>6.5</v>
      </c>
      <c r="U32" s="51">
        <v>6.5</v>
      </c>
      <c r="V32" s="51">
        <v>6.5</v>
      </c>
      <c r="W32" s="51">
        <v>6.5</v>
      </c>
      <c r="X32" s="51">
        <v>6.5</v>
      </c>
      <c r="Y32" s="51">
        <v>6.5</v>
      </c>
      <c r="Z32" s="51">
        <v>6.5</v>
      </c>
      <c r="AA32" s="51">
        <v>6.5</v>
      </c>
      <c r="AB32" s="51">
        <v>6.5</v>
      </c>
      <c r="AC32" s="51">
        <v>6.5</v>
      </c>
      <c r="AD32" s="51">
        <v>6.5</v>
      </c>
      <c r="AE32" s="51">
        <v>6.5</v>
      </c>
      <c r="AF32" s="51">
        <v>6.5</v>
      </c>
      <c r="AG32" s="63">
        <v>22</v>
      </c>
      <c r="AH32" s="54">
        <f t="shared" si="2"/>
        <v>6.5</v>
      </c>
      <c r="AI32" s="55">
        <f t="shared" si="3"/>
        <v>6.5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6</v>
      </c>
      <c r="C34" s="51">
        <v>6</v>
      </c>
      <c r="D34" s="51">
        <v>6</v>
      </c>
      <c r="E34" s="51">
        <v>6</v>
      </c>
      <c r="F34" s="51">
        <v>6</v>
      </c>
      <c r="G34" s="51">
        <v>6</v>
      </c>
      <c r="H34" s="51">
        <v>6</v>
      </c>
      <c r="I34" s="51">
        <v>6</v>
      </c>
      <c r="J34" s="51">
        <v>6</v>
      </c>
      <c r="K34" s="51">
        <v>6</v>
      </c>
      <c r="L34" s="51">
        <v>6</v>
      </c>
      <c r="M34" s="51">
        <v>6</v>
      </c>
      <c r="N34" s="51">
        <v>6</v>
      </c>
      <c r="O34" s="51">
        <v>6</v>
      </c>
      <c r="P34" s="51">
        <v>6</v>
      </c>
      <c r="Q34" s="51">
        <v>6</v>
      </c>
      <c r="R34" s="51">
        <v>6</v>
      </c>
      <c r="S34" s="51">
        <v>6</v>
      </c>
      <c r="T34" s="51">
        <v>6</v>
      </c>
      <c r="U34" s="51">
        <v>6</v>
      </c>
      <c r="V34" s="51">
        <v>6</v>
      </c>
      <c r="W34" s="51">
        <v>6</v>
      </c>
      <c r="X34" s="51">
        <v>6</v>
      </c>
      <c r="Y34" s="51">
        <v>6</v>
      </c>
      <c r="Z34" s="51">
        <v>6</v>
      </c>
      <c r="AA34" s="51">
        <v>6</v>
      </c>
      <c r="AB34" s="51">
        <v>6</v>
      </c>
      <c r="AC34" s="51">
        <v>6</v>
      </c>
      <c r="AD34" s="51">
        <v>6</v>
      </c>
      <c r="AE34" s="51">
        <v>6</v>
      </c>
      <c r="AF34" s="51">
        <v>6</v>
      </c>
      <c r="AG34" s="63">
        <v>20</v>
      </c>
      <c r="AH34" s="54">
        <f t="shared" si="2"/>
        <v>6</v>
      </c>
      <c r="AI34" s="55">
        <f t="shared" si="3"/>
        <v>6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90</v>
      </c>
      <c r="C37" s="67">
        <v>92</v>
      </c>
      <c r="D37" s="67">
        <f>48.2+43.8</f>
        <v>92</v>
      </c>
      <c r="E37" s="67">
        <f>47.7+43.5</f>
        <v>91.2</v>
      </c>
      <c r="F37" s="67">
        <f>46+42.6</f>
        <v>88.6</v>
      </c>
      <c r="G37" s="67">
        <f>45.2+40.6</f>
        <v>85.800000000000011</v>
      </c>
      <c r="H37" s="67">
        <f>45.2+40.6</f>
        <v>85.800000000000011</v>
      </c>
      <c r="I37" s="67">
        <f>43.6+42</f>
        <v>85.6</v>
      </c>
      <c r="J37" s="67">
        <f>43.8+41.9</f>
        <v>85.699999999999989</v>
      </c>
      <c r="K37" s="67">
        <f>46.5+41.7</f>
        <v>88.2</v>
      </c>
      <c r="L37" s="67">
        <f>46.5+41.7</f>
        <v>88.2</v>
      </c>
      <c r="M37" s="65">
        <v>85</v>
      </c>
      <c r="N37" s="65">
        <v>85</v>
      </c>
      <c r="O37" s="65">
        <v>85</v>
      </c>
      <c r="P37" s="65">
        <f>45.8+33.4</f>
        <v>79.199999999999989</v>
      </c>
      <c r="Q37" s="65">
        <f>44.9+30.7</f>
        <v>75.599999999999994</v>
      </c>
      <c r="R37" s="65">
        <v>76</v>
      </c>
      <c r="S37" s="67">
        <f>43.9+48.4</f>
        <v>92.3</v>
      </c>
      <c r="T37" s="67">
        <v>87.8</v>
      </c>
      <c r="U37" s="67">
        <v>88</v>
      </c>
      <c r="V37" s="67">
        <v>86</v>
      </c>
      <c r="W37" s="67">
        <f>43.9+41.2</f>
        <v>85.1</v>
      </c>
      <c r="X37" s="67">
        <v>86</v>
      </c>
      <c r="Y37" s="67">
        <v>90</v>
      </c>
      <c r="Z37" s="67">
        <v>91</v>
      </c>
      <c r="AA37" s="67">
        <v>95</v>
      </c>
      <c r="AB37" s="67">
        <v>97</v>
      </c>
      <c r="AC37" s="67">
        <v>97</v>
      </c>
      <c r="AD37" s="67">
        <v>100</v>
      </c>
      <c r="AE37" s="67">
        <v>100</v>
      </c>
      <c r="AF37" s="67">
        <v>100</v>
      </c>
      <c r="AG37" s="63">
        <v>240</v>
      </c>
      <c r="AH37" s="54">
        <f t="shared" si="2"/>
        <v>100</v>
      </c>
      <c r="AI37" s="55">
        <f t="shared" si="3"/>
        <v>75.599999999999994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782.8</v>
      </c>
      <c r="C38" s="69">
        <f t="shared" si="4"/>
        <v>715.4</v>
      </c>
      <c r="D38" s="69">
        <f t="shared" si="4"/>
        <v>705.4</v>
      </c>
      <c r="E38" s="69">
        <f t="shared" si="4"/>
        <v>676.8</v>
      </c>
      <c r="F38" s="69">
        <f t="shared" si="4"/>
        <v>696.8</v>
      </c>
      <c r="G38" s="69">
        <f t="shared" ref="G38" si="5">SUM(G11:G36)</f>
        <v>666.8</v>
      </c>
      <c r="H38" s="69">
        <f t="shared" si="4"/>
        <v>666.8</v>
      </c>
      <c r="I38" s="69">
        <f t="shared" si="4"/>
        <v>606.79999999999995</v>
      </c>
      <c r="J38" s="69">
        <f t="shared" si="4"/>
        <v>636.79999999999995</v>
      </c>
      <c r="K38" s="69">
        <f t="shared" si="4"/>
        <v>626.79999999999995</v>
      </c>
      <c r="L38" s="69">
        <f t="shared" si="4"/>
        <v>673.8</v>
      </c>
      <c r="M38" s="69">
        <f t="shared" si="4"/>
        <v>662.8</v>
      </c>
      <c r="N38" s="69">
        <f t="shared" si="4"/>
        <v>686.8</v>
      </c>
      <c r="O38" s="69">
        <f t="shared" si="4"/>
        <v>696.8</v>
      </c>
      <c r="P38" s="69">
        <f t="shared" si="4"/>
        <v>754.1</v>
      </c>
      <c r="Q38" s="69">
        <f t="shared" si="4"/>
        <v>788.59999999999991</v>
      </c>
      <c r="R38" s="69">
        <f t="shared" si="4"/>
        <v>788.59999999999991</v>
      </c>
      <c r="S38" s="69">
        <f t="shared" si="4"/>
        <v>751.59999999999991</v>
      </c>
      <c r="T38" s="69">
        <f t="shared" si="4"/>
        <v>705.59999999999991</v>
      </c>
      <c r="U38" s="69">
        <f t="shared" si="4"/>
        <v>693.59999999999991</v>
      </c>
      <c r="V38" s="69">
        <f t="shared" si="4"/>
        <v>693.59999999999991</v>
      </c>
      <c r="W38" s="69">
        <f t="shared" si="4"/>
        <v>646.29999999999995</v>
      </c>
      <c r="X38" s="69">
        <f t="shared" si="4"/>
        <v>676.3</v>
      </c>
      <c r="Y38" s="69">
        <f t="shared" si="4"/>
        <v>776.3</v>
      </c>
      <c r="Z38" s="69">
        <f t="shared" si="4"/>
        <v>818.3</v>
      </c>
      <c r="AA38" s="69">
        <f t="shared" si="4"/>
        <v>768.3</v>
      </c>
      <c r="AB38" s="69">
        <f t="shared" si="4"/>
        <v>878.30000000000007</v>
      </c>
      <c r="AC38" s="69">
        <f t="shared" si="4"/>
        <v>898.30000000000007</v>
      </c>
      <c r="AD38" s="69">
        <f t="shared" si="4"/>
        <v>919.30000000000007</v>
      </c>
      <c r="AE38" s="69">
        <f t="shared" si="4"/>
        <v>798.3</v>
      </c>
      <c r="AF38" s="69">
        <f t="shared" si="4"/>
        <v>797.3</v>
      </c>
      <c r="AG38" s="63">
        <f>SUM(AG11:AG37)</f>
        <v>1492.8299999999997</v>
      </c>
      <c r="AH38" s="54">
        <f t="shared" si="2"/>
        <v>919.30000000000007</v>
      </c>
      <c r="AI38" s="55">
        <f t="shared" si="3"/>
        <v>606.79999999999995</v>
      </c>
      <c r="AK38" s="56"/>
    </row>
    <row r="39" spans="1:88" x14ac:dyDescent="0.25">
      <c r="A39" s="57" t="s">
        <v>47</v>
      </c>
      <c r="B39" s="51">
        <v>131</v>
      </c>
      <c r="C39" s="51">
        <v>111</v>
      </c>
      <c r="D39" s="51">
        <v>131.4</v>
      </c>
      <c r="E39" s="51">
        <v>120</v>
      </c>
      <c r="F39" s="51">
        <v>112</v>
      </c>
      <c r="G39" s="51">
        <v>112</v>
      </c>
      <c r="H39" s="51">
        <v>112.7</v>
      </c>
      <c r="I39" s="51">
        <v>112.7</v>
      </c>
      <c r="J39" s="51">
        <v>135.80000000000001</v>
      </c>
      <c r="K39" s="51">
        <v>131</v>
      </c>
      <c r="L39" s="51">
        <v>140</v>
      </c>
      <c r="M39" s="51">
        <v>141</v>
      </c>
      <c r="N39" s="51">
        <v>143.80000000000001</v>
      </c>
      <c r="O39" s="51">
        <v>143.80000000000001</v>
      </c>
      <c r="P39" s="51">
        <v>145.4</v>
      </c>
      <c r="Q39" s="51">
        <v>145.80000000000001</v>
      </c>
      <c r="R39" s="51">
        <v>145</v>
      </c>
      <c r="S39" s="51">
        <v>145.6</v>
      </c>
      <c r="T39" s="51">
        <v>0</v>
      </c>
      <c r="U39" s="51">
        <v>145.6</v>
      </c>
      <c r="V39" s="51">
        <v>145.6</v>
      </c>
      <c r="W39" s="51">
        <v>145.69999999999999</v>
      </c>
      <c r="X39" s="51">
        <v>145.69999999999999</v>
      </c>
      <c r="Y39" s="51">
        <v>145.69999999999999</v>
      </c>
      <c r="Z39" s="51">
        <v>145.69999999999999</v>
      </c>
      <c r="AA39" s="51">
        <v>145.69999999999999</v>
      </c>
      <c r="AB39" s="51">
        <v>145.69999999999999</v>
      </c>
      <c r="AC39" s="51">
        <v>145.69999999999999</v>
      </c>
      <c r="AD39" s="51">
        <v>145.4</v>
      </c>
      <c r="AE39" s="51">
        <v>145.4</v>
      </c>
      <c r="AF39" s="51">
        <v>145.4</v>
      </c>
      <c r="AG39" s="59">
        <v>144</v>
      </c>
      <c r="AH39" s="54">
        <f t="shared" si="2"/>
        <v>145.80000000000001</v>
      </c>
      <c r="AI39" s="55">
        <f t="shared" si="3"/>
        <v>0</v>
      </c>
      <c r="AK39" s="56"/>
    </row>
    <row r="40" spans="1:88" x14ac:dyDescent="0.25">
      <c r="A40" s="62" t="s">
        <v>48</v>
      </c>
      <c r="B40" s="70">
        <v>50</v>
      </c>
      <c r="C40" s="70">
        <v>55</v>
      </c>
      <c r="D40" s="70">
        <v>59.4</v>
      </c>
      <c r="E40" s="70">
        <v>59.8</v>
      </c>
      <c r="F40" s="70">
        <v>49.7</v>
      </c>
      <c r="G40" s="70">
        <v>59</v>
      </c>
      <c r="H40" s="70">
        <v>70.2</v>
      </c>
      <c r="I40" s="70">
        <v>70.2</v>
      </c>
      <c r="J40" s="70">
        <v>70.2</v>
      </c>
      <c r="K40" s="70">
        <v>69.900000000000006</v>
      </c>
      <c r="L40" s="70">
        <v>69.900000000000006</v>
      </c>
      <c r="M40" s="51">
        <v>70</v>
      </c>
      <c r="N40" s="51">
        <v>66.599999999999994</v>
      </c>
      <c r="O40" s="51">
        <v>21</v>
      </c>
      <c r="P40" s="51">
        <v>0</v>
      </c>
      <c r="Q40" s="51">
        <v>0</v>
      </c>
      <c r="R40" s="51">
        <v>0</v>
      </c>
      <c r="S40" s="70">
        <v>69.7</v>
      </c>
      <c r="T40" s="70">
        <v>70.599999999999994</v>
      </c>
      <c r="U40" s="70">
        <v>70.599999999999994</v>
      </c>
      <c r="V40" s="70">
        <v>70.599999999999994</v>
      </c>
      <c r="W40" s="70">
        <v>69.400000000000006</v>
      </c>
      <c r="X40" s="70">
        <v>69.400000000000006</v>
      </c>
      <c r="Y40" s="70">
        <v>69.400000000000006</v>
      </c>
      <c r="Z40" s="70">
        <v>69.400000000000006</v>
      </c>
      <c r="AA40" s="70">
        <v>69.400000000000006</v>
      </c>
      <c r="AB40" s="70">
        <v>69.400000000000006</v>
      </c>
      <c r="AC40" s="70">
        <v>69.400000000000006</v>
      </c>
      <c r="AD40" s="70">
        <v>71.7</v>
      </c>
      <c r="AE40" s="70">
        <v>71.7</v>
      </c>
      <c r="AF40" s="70">
        <v>71.7</v>
      </c>
      <c r="AG40" s="63">
        <v>70</v>
      </c>
      <c r="AH40" s="54">
        <f t="shared" si="2"/>
        <v>71.7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68</v>
      </c>
      <c r="C41" s="70">
        <v>68</v>
      </c>
      <c r="D41" s="70">
        <v>67.7</v>
      </c>
      <c r="E41" s="70">
        <v>61.6</v>
      </c>
      <c r="F41" s="70">
        <v>50.3</v>
      </c>
      <c r="G41" s="70">
        <v>50.3</v>
      </c>
      <c r="H41" s="70">
        <v>50.1</v>
      </c>
      <c r="I41" s="70">
        <v>50.1</v>
      </c>
      <c r="J41" s="70">
        <v>69</v>
      </c>
      <c r="K41" s="70">
        <v>68.400000000000006</v>
      </c>
      <c r="L41" s="70">
        <v>68.400000000000006</v>
      </c>
      <c r="M41" s="51">
        <v>50</v>
      </c>
      <c r="N41" s="51">
        <v>58.5</v>
      </c>
      <c r="O41" s="51">
        <v>52</v>
      </c>
      <c r="P41" s="51">
        <v>46</v>
      </c>
      <c r="Q41" s="51">
        <v>56</v>
      </c>
      <c r="R41" s="51">
        <v>56</v>
      </c>
      <c r="S41" s="70">
        <v>70.400000000000006</v>
      </c>
      <c r="T41" s="70">
        <v>70</v>
      </c>
      <c r="U41" s="70">
        <v>70</v>
      </c>
      <c r="V41" s="70">
        <v>65.8</v>
      </c>
      <c r="W41" s="70">
        <v>68.3</v>
      </c>
      <c r="X41" s="70">
        <v>68.3</v>
      </c>
      <c r="Y41" s="70">
        <v>68.3</v>
      </c>
      <c r="Z41" s="70">
        <v>68.3</v>
      </c>
      <c r="AA41" s="70">
        <v>68.3</v>
      </c>
      <c r="AB41" s="70">
        <v>68.3</v>
      </c>
      <c r="AC41" s="70">
        <v>68.3</v>
      </c>
      <c r="AD41" s="70">
        <v>62.3</v>
      </c>
      <c r="AE41" s="70">
        <v>62.3</v>
      </c>
      <c r="AF41" s="70">
        <v>62.3</v>
      </c>
      <c r="AG41" s="63">
        <v>69</v>
      </c>
      <c r="AH41" s="54">
        <f t="shared" si="2"/>
        <v>70.400000000000006</v>
      </c>
      <c r="AI41" s="55">
        <f t="shared" si="3"/>
        <v>46</v>
      </c>
      <c r="AK41" s="56"/>
    </row>
    <row r="42" spans="1:88" x14ac:dyDescent="0.25">
      <c r="A42" s="62" t="s">
        <v>50</v>
      </c>
      <c r="B42" s="65">
        <v>60.4</v>
      </c>
      <c r="C42" s="65">
        <v>60.7</v>
      </c>
      <c r="D42" s="65">
        <v>60.7</v>
      </c>
      <c r="E42" s="65">
        <v>60.7</v>
      </c>
      <c r="F42" s="65">
        <v>60.7</v>
      </c>
      <c r="G42" s="65">
        <v>60.7</v>
      </c>
      <c r="H42" s="65">
        <v>60.4</v>
      </c>
      <c r="I42" s="65">
        <v>60.4</v>
      </c>
      <c r="J42" s="65">
        <v>60.4</v>
      </c>
      <c r="K42" s="65">
        <v>60.4</v>
      </c>
      <c r="L42" s="65">
        <v>60.4</v>
      </c>
      <c r="M42" s="65">
        <v>60.4</v>
      </c>
      <c r="N42" s="65">
        <v>60.4</v>
      </c>
      <c r="O42" s="65">
        <v>60.4</v>
      </c>
      <c r="P42" s="51">
        <v>60.9</v>
      </c>
      <c r="Q42" s="51">
        <v>60.7</v>
      </c>
      <c r="R42" s="51">
        <v>60.7</v>
      </c>
      <c r="S42" s="51">
        <v>29.5</v>
      </c>
      <c r="T42" s="51">
        <v>30.2</v>
      </c>
      <c r="U42" s="51">
        <v>61</v>
      </c>
      <c r="V42" s="51">
        <v>61</v>
      </c>
      <c r="W42" s="70">
        <v>61.2</v>
      </c>
      <c r="X42" s="70">
        <v>61.2</v>
      </c>
      <c r="Y42" s="70">
        <v>61.2</v>
      </c>
      <c r="Z42" s="70">
        <v>61.2</v>
      </c>
      <c r="AA42" s="70">
        <v>61.2</v>
      </c>
      <c r="AB42" s="65">
        <v>61.2</v>
      </c>
      <c r="AC42" s="65">
        <v>61.2</v>
      </c>
      <c r="AD42" s="65">
        <v>61.2</v>
      </c>
      <c r="AE42" s="65">
        <v>61.2</v>
      </c>
      <c r="AF42" s="65">
        <v>61.2</v>
      </c>
      <c r="AG42" s="63">
        <v>60</v>
      </c>
      <c r="AH42" s="54">
        <f t="shared" si="2"/>
        <v>61.2</v>
      </c>
      <c r="AI42" s="55">
        <f t="shared" si="3"/>
        <v>29.5</v>
      </c>
      <c r="AK42" s="56"/>
    </row>
    <row r="43" spans="1:88" x14ac:dyDescent="0.25">
      <c r="A43" s="62" t="s">
        <v>51</v>
      </c>
      <c r="B43" s="65">
        <v>10</v>
      </c>
      <c r="C43" s="65">
        <v>0</v>
      </c>
      <c r="D43" s="65">
        <v>0</v>
      </c>
      <c r="E43" s="65">
        <v>0</v>
      </c>
      <c r="F43" s="65">
        <v>0</v>
      </c>
      <c r="G43" s="65">
        <v>15</v>
      </c>
      <c r="H43" s="65">
        <v>15</v>
      </c>
      <c r="I43" s="65">
        <v>15</v>
      </c>
      <c r="J43" s="65">
        <v>10</v>
      </c>
      <c r="K43" s="65">
        <v>14.9</v>
      </c>
      <c r="L43" s="65">
        <v>14.9</v>
      </c>
      <c r="M43" s="65">
        <v>29</v>
      </c>
      <c r="N43" s="65">
        <v>20</v>
      </c>
      <c r="O43" s="65">
        <v>20</v>
      </c>
      <c r="P43" s="51">
        <v>29.4</v>
      </c>
      <c r="Q43" s="51">
        <v>29.2</v>
      </c>
      <c r="R43" s="51">
        <v>29.2</v>
      </c>
      <c r="S43" s="51">
        <v>10</v>
      </c>
      <c r="T43" s="51">
        <v>10</v>
      </c>
      <c r="U43" s="51">
        <v>10</v>
      </c>
      <c r="V43" s="51">
        <v>10</v>
      </c>
      <c r="W43" s="70">
        <v>10.1</v>
      </c>
      <c r="X43" s="70">
        <v>10.1</v>
      </c>
      <c r="Y43" s="70">
        <v>10.1</v>
      </c>
      <c r="Z43" s="70">
        <v>10.1</v>
      </c>
      <c r="AA43" s="70">
        <v>15</v>
      </c>
      <c r="AB43" s="65">
        <v>30</v>
      </c>
      <c r="AC43" s="65">
        <v>30</v>
      </c>
      <c r="AD43" s="65">
        <v>30</v>
      </c>
      <c r="AE43" s="65">
        <v>18</v>
      </c>
      <c r="AF43" s="65">
        <v>18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5</v>
      </c>
      <c r="N44" s="65">
        <v>5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18.3</v>
      </c>
      <c r="C45" s="70">
        <v>18.3</v>
      </c>
      <c r="D45" s="70">
        <v>18.100000000000001</v>
      </c>
      <c r="E45" s="70">
        <v>18.100000000000001</v>
      </c>
      <c r="F45" s="70">
        <v>18.100000000000001</v>
      </c>
      <c r="G45" s="70">
        <v>18.100000000000001</v>
      </c>
      <c r="H45" s="70">
        <v>18.100000000000001</v>
      </c>
      <c r="I45" s="70">
        <v>18.100000000000001</v>
      </c>
      <c r="J45" s="70">
        <v>18.100000000000001</v>
      </c>
      <c r="K45" s="70">
        <v>18.100000000000001</v>
      </c>
      <c r="L45" s="70">
        <v>18.100000000000001</v>
      </c>
      <c r="M45" s="70">
        <v>18.100000000000001</v>
      </c>
      <c r="N45" s="70">
        <v>18.100000000000001</v>
      </c>
      <c r="O45" s="70">
        <v>18.100000000000001</v>
      </c>
      <c r="P45" s="51">
        <v>15.4</v>
      </c>
      <c r="Q45" s="51">
        <v>18.5</v>
      </c>
      <c r="R45" s="51">
        <v>18.5</v>
      </c>
      <c r="S45" s="51">
        <v>18.5</v>
      </c>
      <c r="T45" s="51">
        <v>18.5</v>
      </c>
      <c r="U45" s="51">
        <v>18.5</v>
      </c>
      <c r="V45" s="51">
        <v>18.5</v>
      </c>
      <c r="W45" s="51">
        <v>18.5</v>
      </c>
      <c r="X45" s="51">
        <v>18.5</v>
      </c>
      <c r="Y45" s="51">
        <v>18.5</v>
      </c>
      <c r="Z45" s="51">
        <v>18.5</v>
      </c>
      <c r="AA45" s="51">
        <v>18.5</v>
      </c>
      <c r="AB45" s="70">
        <v>18.5</v>
      </c>
      <c r="AC45" s="70">
        <v>18.5</v>
      </c>
      <c r="AD45" s="70">
        <v>18.5</v>
      </c>
      <c r="AE45" s="70">
        <v>18.5</v>
      </c>
      <c r="AF45" s="70">
        <v>18.5</v>
      </c>
      <c r="AG45" s="63">
        <v>24</v>
      </c>
      <c r="AH45" s="54">
        <f t="shared" si="2"/>
        <v>18.5</v>
      </c>
      <c r="AI45" s="55">
        <f t="shared" si="3"/>
        <v>15.4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14.2</v>
      </c>
      <c r="C47" s="70">
        <v>14.2</v>
      </c>
      <c r="D47" s="70">
        <v>13.9</v>
      </c>
      <c r="E47" s="70">
        <v>13.9</v>
      </c>
      <c r="F47" s="70">
        <v>13.3</v>
      </c>
      <c r="G47" s="70">
        <v>13.3</v>
      </c>
      <c r="H47" s="70">
        <v>13.4</v>
      </c>
      <c r="I47" s="70">
        <v>13.4</v>
      </c>
      <c r="J47" s="70">
        <v>13.4</v>
      </c>
      <c r="K47" s="70">
        <v>13.4</v>
      </c>
      <c r="L47" s="70">
        <v>13.4</v>
      </c>
      <c r="M47" s="70">
        <v>13.4</v>
      </c>
      <c r="N47" s="70">
        <v>13.4</v>
      </c>
      <c r="O47" s="70">
        <v>13.4</v>
      </c>
      <c r="P47" s="51">
        <v>14.5</v>
      </c>
      <c r="Q47" s="51">
        <v>10.7</v>
      </c>
      <c r="R47" s="51">
        <v>10.7</v>
      </c>
      <c r="S47" s="51">
        <v>10.7</v>
      </c>
      <c r="T47" s="51">
        <v>10.7</v>
      </c>
      <c r="U47" s="51">
        <v>10.7</v>
      </c>
      <c r="V47" s="51">
        <v>10.7</v>
      </c>
      <c r="W47" s="51">
        <v>10.7</v>
      </c>
      <c r="X47" s="51">
        <v>10.7</v>
      </c>
      <c r="Y47" s="51">
        <v>10.7</v>
      </c>
      <c r="Z47" s="51">
        <v>10.7</v>
      </c>
      <c r="AA47" s="51">
        <v>10.7</v>
      </c>
      <c r="AB47" s="70">
        <v>10.7</v>
      </c>
      <c r="AC47" s="70">
        <v>10.7</v>
      </c>
      <c r="AD47" s="70">
        <v>10.7</v>
      </c>
      <c r="AE47" s="70">
        <v>10.7</v>
      </c>
      <c r="AF47" s="70">
        <v>10.7</v>
      </c>
      <c r="AG47" s="63">
        <v>14.1</v>
      </c>
      <c r="AH47" s="54">
        <f t="shared" si="2"/>
        <v>14.5</v>
      </c>
      <c r="AI47" s="55">
        <f t="shared" si="3"/>
        <v>10.7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8.5</v>
      </c>
      <c r="C48" s="70">
        <v>8.5</v>
      </c>
      <c r="D48" s="70">
        <v>8.5</v>
      </c>
      <c r="E48" s="70">
        <v>8.5</v>
      </c>
      <c r="F48" s="70">
        <v>8.5</v>
      </c>
      <c r="G48" s="70">
        <v>8.5</v>
      </c>
      <c r="H48" s="70">
        <v>8.5</v>
      </c>
      <c r="I48" s="70">
        <v>8.5</v>
      </c>
      <c r="J48" s="70">
        <v>8.5</v>
      </c>
      <c r="K48" s="70">
        <v>8.5</v>
      </c>
      <c r="L48" s="70">
        <v>8.5</v>
      </c>
      <c r="M48" s="70">
        <v>8.5</v>
      </c>
      <c r="N48" s="70">
        <v>8.5</v>
      </c>
      <c r="O48" s="70">
        <v>8.5</v>
      </c>
      <c r="P48" s="51">
        <v>10.9</v>
      </c>
      <c r="Q48" s="51">
        <v>10.7</v>
      </c>
      <c r="R48" s="51">
        <v>10.7</v>
      </c>
      <c r="S48" s="51">
        <v>10.7</v>
      </c>
      <c r="T48" s="51">
        <v>10.7</v>
      </c>
      <c r="U48" s="51">
        <v>10.7</v>
      </c>
      <c r="V48" s="51">
        <v>10.7</v>
      </c>
      <c r="W48" s="51">
        <v>10.7</v>
      </c>
      <c r="X48" s="51">
        <v>10.7</v>
      </c>
      <c r="Y48" s="51">
        <v>10.7</v>
      </c>
      <c r="Z48" s="51">
        <v>10.7</v>
      </c>
      <c r="AA48" s="51">
        <v>10.7</v>
      </c>
      <c r="AB48" s="70">
        <v>10.7</v>
      </c>
      <c r="AC48" s="70">
        <v>10.7</v>
      </c>
      <c r="AD48" s="70">
        <v>10.7</v>
      </c>
      <c r="AE48" s="70">
        <v>10.7</v>
      </c>
      <c r="AF48" s="70">
        <v>10.7</v>
      </c>
      <c r="AG48" s="63">
        <v>14</v>
      </c>
      <c r="AH48" s="54">
        <f t="shared" si="2"/>
        <v>10.9</v>
      </c>
      <c r="AI48" s="55">
        <f t="shared" si="3"/>
        <v>8.5</v>
      </c>
      <c r="AK48" s="56"/>
    </row>
    <row r="49" spans="1:37" x14ac:dyDescent="0.25">
      <c r="A49" s="62" t="s">
        <v>57</v>
      </c>
      <c r="B49" s="70">
        <v>7.5</v>
      </c>
      <c r="C49" s="70">
        <v>7.5</v>
      </c>
      <c r="D49" s="70">
        <v>7.5</v>
      </c>
      <c r="E49" s="70">
        <v>7.5</v>
      </c>
      <c r="F49" s="70">
        <v>7.5</v>
      </c>
      <c r="G49" s="70">
        <v>7.5</v>
      </c>
      <c r="H49" s="70">
        <v>7.4</v>
      </c>
      <c r="I49" s="70">
        <v>7.4</v>
      </c>
      <c r="J49" s="70">
        <v>7.4</v>
      </c>
      <c r="K49" s="70">
        <v>7.4</v>
      </c>
      <c r="L49" s="70">
        <v>7.4</v>
      </c>
      <c r="M49" s="70">
        <v>7.4</v>
      </c>
      <c r="N49" s="70">
        <v>7.4</v>
      </c>
      <c r="O49" s="70">
        <v>7.4</v>
      </c>
      <c r="P49" s="51">
        <v>7.4</v>
      </c>
      <c r="Q49" s="51">
        <v>7.5</v>
      </c>
      <c r="R49" s="51">
        <v>7.5</v>
      </c>
      <c r="S49" s="51">
        <v>7.5</v>
      </c>
      <c r="T49" s="51">
        <v>7.5</v>
      </c>
      <c r="U49" s="51">
        <v>7.5</v>
      </c>
      <c r="V49" s="51">
        <v>7.5</v>
      </c>
      <c r="W49" s="51">
        <v>7.5</v>
      </c>
      <c r="X49" s="51">
        <v>7.5</v>
      </c>
      <c r="Y49" s="51">
        <v>7.5</v>
      </c>
      <c r="Z49" s="51">
        <v>7.5</v>
      </c>
      <c r="AA49" s="51">
        <v>7.5</v>
      </c>
      <c r="AB49" s="70">
        <v>7.5</v>
      </c>
      <c r="AC49" s="70">
        <v>7.5</v>
      </c>
      <c r="AD49" s="70">
        <v>7.5</v>
      </c>
      <c r="AE49" s="70">
        <v>7.5</v>
      </c>
      <c r="AF49" s="70">
        <v>7.5</v>
      </c>
      <c r="AG49" s="63">
        <v>10.050000000000001</v>
      </c>
      <c r="AH49" s="54">
        <f t="shared" si="2"/>
        <v>7.5</v>
      </c>
      <c r="AI49" s="55">
        <f t="shared" si="3"/>
        <v>7.4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70">
        <v>3.1</v>
      </c>
      <c r="AC50" s="70">
        <v>3.1</v>
      </c>
      <c r="AD50" s="70">
        <v>3.1</v>
      </c>
      <c r="AE50" s="70">
        <v>3.1</v>
      </c>
      <c r="AF50" s="70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7">SUM(B39:B51)</f>
        <v>374.54</v>
      </c>
      <c r="C52" s="69">
        <f t="shared" si="7"/>
        <v>349.84000000000003</v>
      </c>
      <c r="D52" s="69">
        <f t="shared" si="7"/>
        <v>373.84000000000003</v>
      </c>
      <c r="E52" s="69">
        <f t="shared" si="7"/>
        <v>356.74000000000007</v>
      </c>
      <c r="F52" s="69">
        <f t="shared" si="7"/>
        <v>326.74000000000007</v>
      </c>
      <c r="G52" s="69">
        <f t="shared" ref="G52" si="8">SUM(G39:G51)</f>
        <v>351.04000000000008</v>
      </c>
      <c r="H52" s="69">
        <f t="shared" si="7"/>
        <v>362.44</v>
      </c>
      <c r="I52" s="69">
        <f t="shared" si="7"/>
        <v>362.44</v>
      </c>
      <c r="J52" s="69">
        <f t="shared" si="7"/>
        <v>399.44</v>
      </c>
      <c r="K52" s="69">
        <f t="shared" si="7"/>
        <v>398.64</v>
      </c>
      <c r="L52" s="69">
        <f t="shared" si="7"/>
        <v>407.64</v>
      </c>
      <c r="M52" s="69">
        <f t="shared" si="7"/>
        <v>409.44</v>
      </c>
      <c r="N52" s="69">
        <f t="shared" si="7"/>
        <v>408.34</v>
      </c>
      <c r="O52" s="69">
        <f t="shared" si="7"/>
        <v>359.24</v>
      </c>
      <c r="P52" s="69">
        <f t="shared" si="7"/>
        <v>344.53999999999996</v>
      </c>
      <c r="Q52" s="69">
        <f t="shared" si="7"/>
        <v>353.74</v>
      </c>
      <c r="R52" s="69">
        <f t="shared" ref="R52" si="9">SUM(R39:R51)</f>
        <v>352.94</v>
      </c>
      <c r="S52" s="69">
        <f t="shared" si="7"/>
        <v>387.24000000000007</v>
      </c>
      <c r="T52" s="69">
        <f t="shared" si="7"/>
        <v>242.83999999999995</v>
      </c>
      <c r="U52" s="69">
        <f t="shared" si="7"/>
        <v>419.24</v>
      </c>
      <c r="V52" s="69">
        <f t="shared" si="7"/>
        <v>415.04</v>
      </c>
      <c r="W52" s="69">
        <f t="shared" si="7"/>
        <v>416.74</v>
      </c>
      <c r="X52" s="69">
        <f>SUM(X39:X51)</f>
        <v>416.74</v>
      </c>
      <c r="Y52" s="69">
        <f t="shared" si="7"/>
        <v>416.74</v>
      </c>
      <c r="Z52" s="69">
        <f t="shared" si="7"/>
        <v>416.74</v>
      </c>
      <c r="AA52" s="69">
        <f t="shared" si="7"/>
        <v>413.64</v>
      </c>
      <c r="AB52" s="69">
        <f t="shared" si="7"/>
        <v>428.64</v>
      </c>
      <c r="AC52" s="69">
        <f t="shared" si="7"/>
        <v>428.64</v>
      </c>
      <c r="AD52" s="69">
        <f t="shared" si="7"/>
        <v>424.64000000000004</v>
      </c>
      <c r="AE52" s="69">
        <f t="shared" si="7"/>
        <v>412.64000000000004</v>
      </c>
      <c r="AF52" s="69">
        <f t="shared" si="7"/>
        <v>412.64000000000004</v>
      </c>
      <c r="AG52" s="74">
        <f>SUM(AG39:AG51)</f>
        <v>489.91</v>
      </c>
      <c r="AH52" s="54">
        <f t="shared" si="2"/>
        <v>428.64</v>
      </c>
      <c r="AI52" s="55">
        <f t="shared" si="3"/>
        <v>242.83999999999995</v>
      </c>
      <c r="AK52" s="56"/>
    </row>
    <row r="53" spans="1:37" x14ac:dyDescent="0.25">
      <c r="A53" s="57" t="s">
        <v>61</v>
      </c>
      <c r="B53" s="51">
        <v>55</v>
      </c>
      <c r="C53" s="51">
        <v>0</v>
      </c>
      <c r="D53" s="51">
        <v>20</v>
      </c>
      <c r="E53" s="51">
        <v>14</v>
      </c>
      <c r="F53" s="51">
        <v>13.9</v>
      </c>
      <c r="G53" s="51">
        <v>14</v>
      </c>
      <c r="H53" s="51">
        <v>24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14</v>
      </c>
      <c r="Q53" s="51">
        <v>14</v>
      </c>
      <c r="R53" s="51">
        <v>14</v>
      </c>
      <c r="S53" s="51">
        <v>14.2</v>
      </c>
      <c r="T53" s="51">
        <v>20</v>
      </c>
      <c r="U53" s="51">
        <v>14</v>
      </c>
      <c r="V53" s="51">
        <v>14</v>
      </c>
      <c r="W53" s="51">
        <v>14</v>
      </c>
      <c r="X53" s="51">
        <v>14</v>
      </c>
      <c r="Y53" s="51">
        <v>14</v>
      </c>
      <c r="Z53" s="51">
        <v>34.700000000000003</v>
      </c>
      <c r="AA53" s="51">
        <v>34.700000000000003</v>
      </c>
      <c r="AB53" s="51">
        <v>40</v>
      </c>
      <c r="AC53" s="51">
        <v>50</v>
      </c>
      <c r="AD53" s="51">
        <v>14</v>
      </c>
      <c r="AE53" s="51">
        <v>14</v>
      </c>
      <c r="AF53" s="51">
        <v>0</v>
      </c>
      <c r="AG53" s="59">
        <v>60</v>
      </c>
      <c r="AH53" s="54">
        <f t="shared" si="2"/>
        <v>55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28</v>
      </c>
      <c r="C54" s="70">
        <v>0</v>
      </c>
      <c r="D54" s="70">
        <v>8</v>
      </c>
      <c r="E54" s="70">
        <v>10.5</v>
      </c>
      <c r="F54" s="70">
        <v>7</v>
      </c>
      <c r="G54" s="70">
        <v>5.5</v>
      </c>
      <c r="H54" s="70">
        <v>6.5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5.9</v>
      </c>
      <c r="Q54" s="70">
        <v>6.9</v>
      </c>
      <c r="R54" s="70">
        <v>6.9</v>
      </c>
      <c r="S54" s="70">
        <v>6</v>
      </c>
      <c r="T54" s="70">
        <v>9.3000000000000007</v>
      </c>
      <c r="U54" s="70">
        <v>7.1</v>
      </c>
      <c r="V54" s="70">
        <v>6.4</v>
      </c>
      <c r="W54" s="70">
        <v>5.6</v>
      </c>
      <c r="X54" s="70">
        <v>5.6</v>
      </c>
      <c r="Y54" s="70">
        <v>5.6</v>
      </c>
      <c r="Z54" s="70">
        <v>13.3</v>
      </c>
      <c r="AA54" s="70">
        <v>14.6</v>
      </c>
      <c r="AB54" s="70">
        <v>15.4</v>
      </c>
      <c r="AC54" s="70">
        <v>19</v>
      </c>
      <c r="AD54" s="70">
        <v>6.4</v>
      </c>
      <c r="AE54" s="70">
        <v>6</v>
      </c>
      <c r="AF54" s="70">
        <v>0</v>
      </c>
      <c r="AG54" s="63">
        <v>32</v>
      </c>
      <c r="AH54" s="54">
        <f t="shared" si="2"/>
        <v>28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10</v>
      </c>
      <c r="C55" s="75">
        <v>0</v>
      </c>
      <c r="D55" s="75">
        <v>4</v>
      </c>
      <c r="E55" s="75">
        <v>4.2</v>
      </c>
      <c r="F55" s="75">
        <v>2.5</v>
      </c>
      <c r="G55" s="75">
        <v>2</v>
      </c>
      <c r="H55" s="75">
        <v>2.4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2.2000000000000002</v>
      </c>
      <c r="Q55" s="75">
        <v>2.5</v>
      </c>
      <c r="R55" s="75">
        <v>2.5</v>
      </c>
      <c r="S55" s="75">
        <v>2.2000000000000002</v>
      </c>
      <c r="T55" s="75">
        <v>3.4</v>
      </c>
      <c r="U55" s="75">
        <v>2.6</v>
      </c>
      <c r="V55" s="75">
        <v>2.2999999999999998</v>
      </c>
      <c r="W55" s="75">
        <v>2</v>
      </c>
      <c r="X55" s="75">
        <v>2</v>
      </c>
      <c r="Y55" s="75">
        <v>2</v>
      </c>
      <c r="Z55" s="75">
        <v>4.9000000000000004</v>
      </c>
      <c r="AA55" s="75">
        <v>4.9000000000000004</v>
      </c>
      <c r="AB55" s="75">
        <v>5.6</v>
      </c>
      <c r="AC55" s="75">
        <v>8</v>
      </c>
      <c r="AD55" s="75">
        <v>2.2999999999999998</v>
      </c>
      <c r="AE55" s="75">
        <v>2.2999999999999998</v>
      </c>
      <c r="AF55" s="75">
        <v>0</v>
      </c>
      <c r="AG55" s="76">
        <v>14</v>
      </c>
      <c r="AH55" s="54">
        <f t="shared" si="2"/>
        <v>10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10">SUM(B53:B55)</f>
        <v>93</v>
      </c>
      <c r="C56" s="69">
        <f t="shared" si="10"/>
        <v>0</v>
      </c>
      <c r="D56" s="69">
        <f t="shared" si="10"/>
        <v>32</v>
      </c>
      <c r="E56" s="69">
        <f t="shared" si="10"/>
        <v>28.7</v>
      </c>
      <c r="F56" s="69">
        <f t="shared" si="10"/>
        <v>23.4</v>
      </c>
      <c r="G56" s="69">
        <f t="shared" ref="G56" si="11">SUM(G53:G55)</f>
        <v>21.5</v>
      </c>
      <c r="H56" s="69">
        <f t="shared" si="10"/>
        <v>32.9</v>
      </c>
      <c r="I56" s="69">
        <f t="shared" si="10"/>
        <v>0</v>
      </c>
      <c r="J56" s="69">
        <f t="shared" si="10"/>
        <v>0</v>
      </c>
      <c r="K56" s="69">
        <f t="shared" si="10"/>
        <v>0</v>
      </c>
      <c r="L56" s="69">
        <f t="shared" si="10"/>
        <v>0</v>
      </c>
      <c r="M56" s="69">
        <f t="shared" si="10"/>
        <v>0</v>
      </c>
      <c r="N56" s="69">
        <f t="shared" si="10"/>
        <v>0</v>
      </c>
      <c r="O56" s="69">
        <f t="shared" si="10"/>
        <v>0</v>
      </c>
      <c r="P56" s="69">
        <f t="shared" si="10"/>
        <v>22.099999999999998</v>
      </c>
      <c r="Q56" s="69">
        <f t="shared" si="10"/>
        <v>23.4</v>
      </c>
      <c r="R56" s="69">
        <f t="shared" si="10"/>
        <v>23.4</v>
      </c>
      <c r="S56" s="69">
        <f t="shared" si="10"/>
        <v>22.4</v>
      </c>
      <c r="T56" s="69">
        <f t="shared" si="10"/>
        <v>32.700000000000003</v>
      </c>
      <c r="U56" s="69">
        <f t="shared" si="10"/>
        <v>23.700000000000003</v>
      </c>
      <c r="V56" s="69">
        <f t="shared" si="10"/>
        <v>22.7</v>
      </c>
      <c r="W56" s="69">
        <f t="shared" si="10"/>
        <v>21.6</v>
      </c>
      <c r="X56" s="69">
        <f t="shared" si="10"/>
        <v>21.6</v>
      </c>
      <c r="Y56" s="69">
        <f t="shared" si="10"/>
        <v>21.6</v>
      </c>
      <c r="Z56" s="69">
        <f t="shared" si="10"/>
        <v>52.9</v>
      </c>
      <c r="AA56" s="69">
        <f t="shared" si="10"/>
        <v>54.2</v>
      </c>
      <c r="AB56" s="69">
        <f t="shared" si="10"/>
        <v>61</v>
      </c>
      <c r="AC56" s="69">
        <f t="shared" si="10"/>
        <v>77</v>
      </c>
      <c r="AD56" s="69">
        <f t="shared" si="10"/>
        <v>22.7</v>
      </c>
      <c r="AE56" s="69">
        <f t="shared" si="10"/>
        <v>22.3</v>
      </c>
      <c r="AF56" s="69">
        <f t="shared" si="10"/>
        <v>0</v>
      </c>
      <c r="AG56" s="74">
        <f>SUM(AG53:AG55)</f>
        <v>106</v>
      </c>
      <c r="AH56" s="54">
        <f t="shared" si="2"/>
        <v>93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57</v>
      </c>
      <c r="C57" s="51">
        <v>61</v>
      </c>
      <c r="D57" s="51">
        <v>59.9</v>
      </c>
      <c r="E57" s="51">
        <v>58.8</v>
      </c>
      <c r="F57" s="51">
        <v>65</v>
      </c>
      <c r="G57" s="51">
        <v>60</v>
      </c>
      <c r="H57" s="51">
        <v>52.9</v>
      </c>
      <c r="I57" s="51">
        <v>53.2</v>
      </c>
      <c r="J57" s="51">
        <v>58.2</v>
      </c>
      <c r="K57" s="51">
        <v>50.2</v>
      </c>
      <c r="L57" s="51">
        <v>50.5</v>
      </c>
      <c r="M57" s="51">
        <v>55</v>
      </c>
      <c r="N57" s="51">
        <v>65</v>
      </c>
      <c r="O57" s="51">
        <v>60</v>
      </c>
      <c r="P57" s="51">
        <v>70</v>
      </c>
      <c r="Q57" s="51">
        <v>66</v>
      </c>
      <c r="R57" s="51">
        <v>70</v>
      </c>
      <c r="S57" s="51">
        <v>71</v>
      </c>
      <c r="T57" s="51">
        <v>73.150000000000006</v>
      </c>
      <c r="U57" s="51">
        <v>72</v>
      </c>
      <c r="V57" s="51">
        <v>73.400000000000006</v>
      </c>
      <c r="W57" s="51">
        <v>74</v>
      </c>
      <c r="X57" s="51">
        <v>73</v>
      </c>
      <c r="Y57" s="51">
        <v>71.2</v>
      </c>
      <c r="Z57" s="51">
        <v>70.3</v>
      </c>
      <c r="AA57" s="51">
        <v>69</v>
      </c>
      <c r="AB57" s="51">
        <v>66</v>
      </c>
      <c r="AC57" s="51">
        <v>69</v>
      </c>
      <c r="AD57" s="51">
        <v>68.400000000000006</v>
      </c>
      <c r="AE57" s="51">
        <v>63</v>
      </c>
      <c r="AF57" s="51">
        <v>63</v>
      </c>
      <c r="AG57" s="59"/>
      <c r="AH57" s="54">
        <f t="shared" si="2"/>
        <v>74</v>
      </c>
      <c r="AI57" s="55">
        <f t="shared" si="3"/>
        <v>50.2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8</v>
      </c>
      <c r="C59" s="70">
        <v>67</v>
      </c>
      <c r="D59" s="70">
        <v>59</v>
      </c>
      <c r="E59" s="70">
        <v>58</v>
      </c>
      <c r="F59" s="70">
        <v>52</v>
      </c>
      <c r="G59" s="70">
        <v>52</v>
      </c>
      <c r="H59" s="70">
        <v>46.8</v>
      </c>
      <c r="I59" s="70">
        <v>159</v>
      </c>
      <c r="J59" s="70">
        <v>144</v>
      </c>
      <c r="K59" s="70">
        <v>157</v>
      </c>
      <c r="L59" s="70">
        <v>200</v>
      </c>
      <c r="M59" s="70">
        <v>216</v>
      </c>
      <c r="N59" s="70">
        <v>225</v>
      </c>
      <c r="O59" s="70">
        <v>200</v>
      </c>
      <c r="P59" s="70">
        <v>210</v>
      </c>
      <c r="Q59" s="70">
        <v>201</v>
      </c>
      <c r="R59" s="70">
        <v>207</v>
      </c>
      <c r="S59" s="70">
        <v>230.4</v>
      </c>
      <c r="T59" s="70">
        <v>206.2</v>
      </c>
      <c r="U59" s="70">
        <v>220.6</v>
      </c>
      <c r="V59" s="70">
        <v>190</v>
      </c>
      <c r="W59" s="70">
        <v>199.3</v>
      </c>
      <c r="X59" s="70">
        <v>198</v>
      </c>
      <c r="Y59" s="70">
        <v>91.5</v>
      </c>
      <c r="Z59" s="70">
        <v>87</v>
      </c>
      <c r="AA59" s="70">
        <v>115.1</v>
      </c>
      <c r="AB59" s="70">
        <v>109.4</v>
      </c>
      <c r="AC59" s="70">
        <v>40</v>
      </c>
      <c r="AD59" s="70">
        <v>45</v>
      </c>
      <c r="AE59" s="70">
        <v>35</v>
      </c>
      <c r="AF59" s="70">
        <v>35</v>
      </c>
      <c r="AG59" s="77"/>
      <c r="AH59" s="54">
        <f t="shared" si="2"/>
        <v>230.4</v>
      </c>
      <c r="AI59" s="55">
        <f t="shared" si="3"/>
        <v>8</v>
      </c>
      <c r="AK59" s="56"/>
    </row>
    <row r="60" spans="1:37" x14ac:dyDescent="0.25">
      <c r="A60" s="62" t="s">
        <v>68</v>
      </c>
      <c r="B60" s="78">
        <v>12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15</v>
      </c>
      <c r="AF60" s="78">
        <v>0</v>
      </c>
      <c r="AG60" s="77"/>
      <c r="AH60" s="54">
        <f t="shared" si="2"/>
        <v>15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51">
        <v>0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51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51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51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  <c r="X65" s="79">
        <v>0</v>
      </c>
      <c r="Y65" s="79">
        <v>0</v>
      </c>
      <c r="Z65" s="79">
        <v>0</v>
      </c>
      <c r="AA65" s="79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51">
        <v>0</v>
      </c>
      <c r="Q66" s="79">
        <v>0</v>
      </c>
      <c r="R66" s="79">
        <v>0</v>
      </c>
      <c r="S66" s="79">
        <v>0</v>
      </c>
      <c r="T66" s="79">
        <v>0</v>
      </c>
      <c r="U66" s="79">
        <v>0</v>
      </c>
      <c r="V66" s="79">
        <v>0</v>
      </c>
      <c r="W66" s="79">
        <v>0</v>
      </c>
      <c r="X66" s="79">
        <v>0</v>
      </c>
      <c r="Y66" s="79">
        <v>0</v>
      </c>
      <c r="Z66" s="79">
        <v>0</v>
      </c>
      <c r="AA66" s="79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78">
        <v>0</v>
      </c>
      <c r="N67" s="78">
        <v>0</v>
      </c>
      <c r="O67" s="78">
        <v>0</v>
      </c>
      <c r="P67" s="51">
        <v>0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79">
        <v>0</v>
      </c>
      <c r="Y67" s="79">
        <v>0</v>
      </c>
      <c r="Z67" s="79">
        <v>0</v>
      </c>
      <c r="AA67" s="79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12">SUM(B57:B67)</f>
        <v>85</v>
      </c>
      <c r="C68" s="69">
        <f t="shared" si="12"/>
        <v>128</v>
      </c>
      <c r="D68" s="69">
        <f t="shared" si="12"/>
        <v>118.9</v>
      </c>
      <c r="E68" s="69">
        <f t="shared" si="12"/>
        <v>116.8</v>
      </c>
      <c r="F68" s="69">
        <f t="shared" si="12"/>
        <v>117</v>
      </c>
      <c r="G68" s="69">
        <f t="shared" ref="G68" si="13">SUM(G57:G67)</f>
        <v>112</v>
      </c>
      <c r="H68" s="69">
        <f t="shared" si="12"/>
        <v>99.699999999999989</v>
      </c>
      <c r="I68" s="69">
        <f t="shared" si="12"/>
        <v>212.2</v>
      </c>
      <c r="J68" s="69">
        <f t="shared" si="12"/>
        <v>202.2</v>
      </c>
      <c r="K68" s="69">
        <f t="shared" si="12"/>
        <v>207.2</v>
      </c>
      <c r="L68" s="69">
        <f t="shared" si="12"/>
        <v>250.5</v>
      </c>
      <c r="M68" s="69">
        <f t="shared" si="12"/>
        <v>271</v>
      </c>
      <c r="N68" s="69">
        <f t="shared" si="12"/>
        <v>290</v>
      </c>
      <c r="O68" s="69">
        <f t="shared" si="12"/>
        <v>260</v>
      </c>
      <c r="P68" s="69">
        <f t="shared" si="12"/>
        <v>280</v>
      </c>
      <c r="Q68" s="69">
        <f t="shared" si="12"/>
        <v>275</v>
      </c>
      <c r="R68" s="69">
        <f t="shared" si="12"/>
        <v>285</v>
      </c>
      <c r="S68" s="69">
        <f t="shared" si="12"/>
        <v>309.39999999999998</v>
      </c>
      <c r="T68" s="69">
        <f t="shared" si="12"/>
        <v>287.35000000000002</v>
      </c>
      <c r="U68" s="69">
        <f t="shared" si="12"/>
        <v>300.60000000000002</v>
      </c>
      <c r="V68" s="69">
        <f>SUM(V57:V67)</f>
        <v>271.39999999999998</v>
      </c>
      <c r="W68" s="69">
        <f t="shared" si="12"/>
        <v>281.3</v>
      </c>
      <c r="X68" s="69">
        <f t="shared" si="12"/>
        <v>279</v>
      </c>
      <c r="Y68" s="69">
        <f t="shared" si="12"/>
        <v>170.7</v>
      </c>
      <c r="Z68" s="69">
        <f t="shared" si="12"/>
        <v>165.3</v>
      </c>
      <c r="AA68" s="69">
        <f t="shared" si="12"/>
        <v>192.1</v>
      </c>
      <c r="AB68" s="69">
        <f t="shared" si="12"/>
        <v>183.4</v>
      </c>
      <c r="AC68" s="69">
        <f t="shared" si="12"/>
        <v>117</v>
      </c>
      <c r="AD68" s="69">
        <f t="shared" si="12"/>
        <v>121.4</v>
      </c>
      <c r="AE68" s="69">
        <f t="shared" si="12"/>
        <v>121</v>
      </c>
      <c r="AF68" s="69">
        <f t="shared" si="12"/>
        <v>106</v>
      </c>
      <c r="AG68" s="74">
        <f>SUM(AG57:AG67)</f>
        <v>0</v>
      </c>
      <c r="AH68" s="54">
        <f t="shared" si="2"/>
        <v>309.39999999999998</v>
      </c>
      <c r="AI68" s="55">
        <f t="shared" si="3"/>
        <v>85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4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>
        <v>95</v>
      </c>
      <c r="U74" s="86"/>
      <c r="V74" s="86"/>
      <c r="W74" s="86"/>
      <c r="X74" s="86"/>
      <c r="Y74" s="86"/>
      <c r="Z74" s="86"/>
      <c r="AA74" s="86">
        <v>30</v>
      </c>
      <c r="AB74" s="86">
        <v>30</v>
      </c>
      <c r="AC74" s="86">
        <v>30</v>
      </c>
      <c r="AD74" s="86">
        <v>30</v>
      </c>
      <c r="AE74" s="86">
        <v>30</v>
      </c>
      <c r="AF74" s="86">
        <v>30</v>
      </c>
      <c r="AG74" s="74"/>
      <c r="AH74" s="54">
        <f t="shared" si="2"/>
        <v>95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5">B72+B68+B56+B52+B38+B74</f>
        <v>1335.34</v>
      </c>
      <c r="C75" s="84">
        <f t="shared" si="15"/>
        <v>1193.24</v>
      </c>
      <c r="D75" s="84">
        <f t="shared" si="15"/>
        <v>1230.1399999999999</v>
      </c>
      <c r="E75" s="84">
        <f t="shared" si="15"/>
        <v>1179.04</v>
      </c>
      <c r="F75" s="84">
        <f t="shared" si="15"/>
        <v>1163.94</v>
      </c>
      <c r="G75" s="84">
        <f t="shared" ref="G75" si="16">G72+G68+G56+G52+G38+G74</f>
        <v>1151.3400000000001</v>
      </c>
      <c r="H75" s="84">
        <f t="shared" si="15"/>
        <v>1161.8399999999999</v>
      </c>
      <c r="I75" s="84">
        <f t="shared" si="15"/>
        <v>1181.44</v>
      </c>
      <c r="J75" s="84">
        <f t="shared" si="15"/>
        <v>1238.44</v>
      </c>
      <c r="K75" s="84">
        <f t="shared" si="15"/>
        <v>1232.6399999999999</v>
      </c>
      <c r="L75" s="84">
        <f t="shared" si="15"/>
        <v>1331.94</v>
      </c>
      <c r="M75" s="84">
        <f t="shared" si="15"/>
        <v>1343.24</v>
      </c>
      <c r="N75" s="84">
        <f t="shared" si="15"/>
        <v>1385.1399999999999</v>
      </c>
      <c r="O75" s="84">
        <f t="shared" si="15"/>
        <v>1316.04</v>
      </c>
      <c r="P75" s="84">
        <f t="shared" si="15"/>
        <v>1400.74</v>
      </c>
      <c r="Q75" s="84">
        <f t="shared" si="15"/>
        <v>1440.7399999999998</v>
      </c>
      <c r="R75" s="84">
        <f t="shared" si="15"/>
        <v>1449.9399999999998</v>
      </c>
      <c r="S75" s="84">
        <f t="shared" si="15"/>
        <v>1470.6399999999999</v>
      </c>
      <c r="T75" s="84">
        <f t="shared" si="15"/>
        <v>1363.4899999999998</v>
      </c>
      <c r="U75" s="84">
        <f t="shared" si="15"/>
        <v>1437.1399999999999</v>
      </c>
      <c r="V75" s="84">
        <f t="shared" si="15"/>
        <v>1402.7399999999998</v>
      </c>
      <c r="W75" s="84">
        <f t="shared" si="15"/>
        <v>1365.94</v>
      </c>
      <c r="X75" s="84">
        <f t="shared" si="15"/>
        <v>1393.6399999999999</v>
      </c>
      <c r="Y75" s="84">
        <f t="shared" si="15"/>
        <v>1385.34</v>
      </c>
      <c r="Z75" s="84">
        <f t="shared" si="15"/>
        <v>1453.24</v>
      </c>
      <c r="AA75" s="84">
        <f t="shared" si="15"/>
        <v>1458.24</v>
      </c>
      <c r="AB75" s="84">
        <f t="shared" si="15"/>
        <v>1581.3400000000001</v>
      </c>
      <c r="AC75" s="84">
        <f t="shared" si="15"/>
        <v>1550.94</v>
      </c>
      <c r="AD75" s="84">
        <f t="shared" si="15"/>
        <v>1518.04</v>
      </c>
      <c r="AE75" s="84">
        <f t="shared" si="15"/>
        <v>1384.24</v>
      </c>
      <c r="AF75" s="84">
        <f t="shared" si="15"/>
        <v>1345.94</v>
      </c>
      <c r="AG75" s="74">
        <f>AG72+AG68+AG56+AG52+AG38+AG74</f>
        <v>2144.14</v>
      </c>
      <c r="AH75" s="54">
        <f t="shared" si="2"/>
        <v>1581.3400000000001</v>
      </c>
      <c r="AI75" s="55">
        <f t="shared" si="3"/>
        <v>1151.3400000000001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7">MAX(B76:AF76)</f>
        <v>0</v>
      </c>
      <c r="AI76" s="55">
        <f t="shared" ref="AI76:AI91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7"/>
        <v>0</v>
      </c>
      <c r="AI77" s="55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7"/>
        <v>0</v>
      </c>
      <c r="AI78" s="55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7"/>
        <v>0</v>
      </c>
      <c r="AI79" s="55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7"/>
        <v>0</v>
      </c>
      <c r="AI80" s="55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7"/>
        <v>0</v>
      </c>
      <c r="AI81" s="55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9">SUM(AG76:AG81)</f>
        <v>0</v>
      </c>
      <c r="AH82" s="54">
        <f t="shared" si="17"/>
        <v>0</v>
      </c>
      <c r="AI82" s="55">
        <f t="shared" si="18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20">SUM(B70:B82)</f>
        <v>2537.2299999999996</v>
      </c>
      <c r="C83" s="69">
        <f t="shared" si="20"/>
        <v>2395.13</v>
      </c>
      <c r="D83" s="69">
        <f t="shared" si="20"/>
        <v>2432.0299999999997</v>
      </c>
      <c r="E83" s="69">
        <f t="shared" si="20"/>
        <v>2380.9299999999998</v>
      </c>
      <c r="F83" s="69">
        <f t="shared" si="20"/>
        <v>2365.83</v>
      </c>
      <c r="G83" s="69">
        <f t="shared" si="20"/>
        <v>2353.23</v>
      </c>
      <c r="H83" s="69">
        <f t="shared" si="20"/>
        <v>2363.7299999999996</v>
      </c>
      <c r="I83" s="69">
        <f t="shared" si="20"/>
        <v>2383.33</v>
      </c>
      <c r="J83" s="69">
        <f t="shared" si="20"/>
        <v>2440.33</v>
      </c>
      <c r="K83" s="69">
        <f t="shared" si="20"/>
        <v>2434.5299999999997</v>
      </c>
      <c r="L83" s="69">
        <f t="shared" si="20"/>
        <v>2533.83</v>
      </c>
      <c r="M83" s="69">
        <f t="shared" si="20"/>
        <v>2545.13</v>
      </c>
      <c r="N83" s="69">
        <f t="shared" si="20"/>
        <v>2587.0299999999997</v>
      </c>
      <c r="O83" s="69">
        <f t="shared" si="20"/>
        <v>2517.9299999999998</v>
      </c>
      <c r="P83" s="69">
        <f t="shared" si="20"/>
        <v>2602.63</v>
      </c>
      <c r="Q83" s="69">
        <f t="shared" si="20"/>
        <v>2642.6299999999997</v>
      </c>
      <c r="R83" s="69">
        <f t="shared" si="20"/>
        <v>2651.83</v>
      </c>
      <c r="S83" s="69">
        <f t="shared" si="20"/>
        <v>2672.5299999999997</v>
      </c>
      <c r="T83" s="69">
        <f t="shared" si="20"/>
        <v>2660.3799999999997</v>
      </c>
      <c r="U83" s="69">
        <f t="shared" si="20"/>
        <v>2639.0299999999997</v>
      </c>
      <c r="V83" s="69">
        <f t="shared" si="20"/>
        <v>2604.6299999999997</v>
      </c>
      <c r="W83" s="69">
        <f t="shared" si="20"/>
        <v>2567.83</v>
      </c>
      <c r="X83" s="69">
        <f t="shared" si="20"/>
        <v>2595.5299999999997</v>
      </c>
      <c r="Y83" s="69">
        <f t="shared" si="20"/>
        <v>2587.2299999999996</v>
      </c>
      <c r="Z83" s="69">
        <f t="shared" si="20"/>
        <v>2655.13</v>
      </c>
      <c r="AA83" s="69">
        <f t="shared" si="20"/>
        <v>2690.13</v>
      </c>
      <c r="AB83" s="69">
        <f t="shared" si="20"/>
        <v>2813.23</v>
      </c>
      <c r="AC83" s="69">
        <f t="shared" si="20"/>
        <v>2782.83</v>
      </c>
      <c r="AD83" s="69">
        <f t="shared" si="20"/>
        <v>2749.93</v>
      </c>
      <c r="AE83" s="69">
        <f t="shared" si="20"/>
        <v>2616.13</v>
      </c>
      <c r="AF83" s="69">
        <f t="shared" si="20"/>
        <v>2577.83</v>
      </c>
      <c r="AG83" s="74">
        <f t="shared" si="20"/>
        <v>4360.08</v>
      </c>
      <c r="AH83" s="54">
        <f t="shared" si="17"/>
        <v>2813.23</v>
      </c>
      <c r="AI83" s="55">
        <f t="shared" si="18"/>
        <v>2353.23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50.024000000000001</v>
      </c>
      <c r="C84" s="90">
        <v>49.985999999999997</v>
      </c>
      <c r="D84" s="90">
        <v>50.01</v>
      </c>
      <c r="E84" s="90">
        <v>49.97</v>
      </c>
      <c r="F84" s="90">
        <v>50.03</v>
      </c>
      <c r="G84" s="90">
        <v>49.99</v>
      </c>
      <c r="H84" s="90">
        <v>49.96</v>
      </c>
      <c r="I84" s="90">
        <v>50</v>
      </c>
      <c r="J84" s="90">
        <v>50.04</v>
      </c>
      <c r="K84" s="90">
        <v>50.04</v>
      </c>
      <c r="L84" s="90">
        <v>50.04</v>
      </c>
      <c r="M84" s="90">
        <v>50.066000000000003</v>
      </c>
      <c r="N84" s="90">
        <v>50.037999999999997</v>
      </c>
      <c r="O84" s="90">
        <v>49.954999999999998</v>
      </c>
      <c r="P84" s="90">
        <v>50.02</v>
      </c>
      <c r="Q84" s="90">
        <v>49.92</v>
      </c>
      <c r="R84" s="90">
        <v>49.889000000000003</v>
      </c>
      <c r="S84" s="90">
        <v>49.996000000000002</v>
      </c>
      <c r="T84" s="90">
        <v>49.93</v>
      </c>
      <c r="U84" s="90">
        <v>49.987000000000002</v>
      </c>
      <c r="V84" s="90">
        <v>49.962000000000003</v>
      </c>
      <c r="W84" s="90">
        <v>50.026000000000003</v>
      </c>
      <c r="X84" s="90">
        <v>50.094000000000001</v>
      </c>
      <c r="Y84" s="90">
        <v>50.104999999999997</v>
      </c>
      <c r="Z84" s="90">
        <v>50.09</v>
      </c>
      <c r="AA84" s="90">
        <v>50.030999999999999</v>
      </c>
      <c r="AB84" s="90">
        <v>49.975999999999999</v>
      </c>
      <c r="AC84" s="90">
        <v>49.975999999999999</v>
      </c>
      <c r="AD84" s="90">
        <v>49.92</v>
      </c>
      <c r="AE84" s="90">
        <v>49.92</v>
      </c>
      <c r="AF84" s="90">
        <v>49.78</v>
      </c>
      <c r="AG84" s="91"/>
      <c r="AH84" s="54">
        <f t="shared" si="17"/>
        <v>50.104999999999997</v>
      </c>
      <c r="AI84" s="55">
        <f t="shared" si="18"/>
        <v>49.78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125</v>
      </c>
      <c r="C85" s="70">
        <v>125</v>
      </c>
      <c r="D85" s="70">
        <v>124.7</v>
      </c>
      <c r="E85" s="70">
        <v>127.8</v>
      </c>
      <c r="F85" s="70">
        <v>127.4</v>
      </c>
      <c r="G85" s="70">
        <v>128</v>
      </c>
      <c r="H85" s="70">
        <v>127.4</v>
      </c>
      <c r="I85" s="70">
        <v>127</v>
      </c>
      <c r="J85" s="70">
        <v>126.3</v>
      </c>
      <c r="K85" s="70">
        <v>124</v>
      </c>
      <c r="L85" s="70">
        <v>123.3</v>
      </c>
      <c r="M85" s="70">
        <v>123.3</v>
      </c>
      <c r="N85" s="70">
        <v>122.4</v>
      </c>
      <c r="O85" s="70">
        <v>122.4</v>
      </c>
      <c r="P85" s="70">
        <v>121.8</v>
      </c>
      <c r="Q85" s="70">
        <v>120.8</v>
      </c>
      <c r="R85" s="70">
        <v>119</v>
      </c>
      <c r="S85" s="70">
        <v>120.2</v>
      </c>
      <c r="T85" s="70">
        <v>122.2</v>
      </c>
      <c r="U85" s="70">
        <v>119.5</v>
      </c>
      <c r="V85" s="70">
        <v>122.5</v>
      </c>
      <c r="W85" s="70">
        <v>123.5</v>
      </c>
      <c r="X85" s="70">
        <v>124.4</v>
      </c>
      <c r="Y85" s="70">
        <v>123.5</v>
      </c>
      <c r="Z85" s="70">
        <v>124.7</v>
      </c>
      <c r="AA85" s="70">
        <v>128</v>
      </c>
      <c r="AB85" s="70">
        <v>125.2</v>
      </c>
      <c r="AC85" s="70">
        <v>125.2</v>
      </c>
      <c r="AD85" s="70">
        <v>124</v>
      </c>
      <c r="AE85" s="70">
        <v>124</v>
      </c>
      <c r="AF85" s="70">
        <v>125</v>
      </c>
      <c r="AG85" s="93"/>
      <c r="AH85" s="54">
        <f t="shared" si="17"/>
        <v>128</v>
      </c>
      <c r="AI85" s="55">
        <f t="shared" si="18"/>
        <v>119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130</v>
      </c>
      <c r="C86" s="70">
        <v>130</v>
      </c>
      <c r="D86" s="70">
        <v>128.9</v>
      </c>
      <c r="E86" s="70">
        <v>131.19999999999999</v>
      </c>
      <c r="F86" s="70">
        <v>131.19999999999999</v>
      </c>
      <c r="G86" s="70">
        <v>131.4</v>
      </c>
      <c r="H86" s="70">
        <v>130.4</v>
      </c>
      <c r="I86" s="70">
        <v>129.4</v>
      </c>
      <c r="J86" s="70">
        <v>129.6</v>
      </c>
      <c r="K86" s="70">
        <v>126.7</v>
      </c>
      <c r="L86" s="70">
        <v>126.8</v>
      </c>
      <c r="M86" s="70">
        <v>126.8</v>
      </c>
      <c r="N86" s="70">
        <v>125.4</v>
      </c>
      <c r="O86" s="70">
        <v>125.4</v>
      </c>
      <c r="P86" s="70">
        <v>126.3</v>
      </c>
      <c r="Q86" s="70">
        <v>125.7</v>
      </c>
      <c r="R86" s="70">
        <v>125</v>
      </c>
      <c r="S86" s="70">
        <v>125.1</v>
      </c>
      <c r="T86" s="70">
        <v>126.4</v>
      </c>
      <c r="U86" s="70">
        <v>125.1</v>
      </c>
      <c r="V86" s="70">
        <v>127.3</v>
      </c>
      <c r="W86" s="70">
        <v>128.5</v>
      </c>
      <c r="X86" s="70">
        <v>128.80000000000001</v>
      </c>
      <c r="Y86" s="70">
        <v>128</v>
      </c>
      <c r="Z86" s="70">
        <v>128.69999999999999</v>
      </c>
      <c r="AA86" s="70">
        <v>130.19999999999999</v>
      </c>
      <c r="AB86" s="70">
        <v>129.1</v>
      </c>
      <c r="AC86" s="70">
        <v>129.1</v>
      </c>
      <c r="AD86" s="70">
        <v>128.5</v>
      </c>
      <c r="AE86" s="70">
        <v>128.5</v>
      </c>
      <c r="AF86" s="70">
        <v>129</v>
      </c>
      <c r="AG86" s="93"/>
      <c r="AH86" s="54">
        <f t="shared" si="17"/>
        <v>131.4</v>
      </c>
      <c r="AI86" s="55">
        <f t="shared" si="18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127</v>
      </c>
      <c r="C87" s="70">
        <v>127</v>
      </c>
      <c r="D87" s="70">
        <v>127.4</v>
      </c>
      <c r="E87" s="70">
        <v>128.30000000000001</v>
      </c>
      <c r="F87" s="70">
        <v>131.4</v>
      </c>
      <c r="G87" s="70">
        <v>13.2</v>
      </c>
      <c r="H87" s="70">
        <v>130.4</v>
      </c>
      <c r="I87" s="70">
        <v>129.5</v>
      </c>
      <c r="J87" s="70">
        <v>129.1</v>
      </c>
      <c r="K87" s="70">
        <v>129.1</v>
      </c>
      <c r="L87" s="70">
        <v>124.5</v>
      </c>
      <c r="M87" s="70">
        <v>124.5</v>
      </c>
      <c r="N87" s="70">
        <v>127.8</v>
      </c>
      <c r="O87" s="70">
        <v>127.8</v>
      </c>
      <c r="P87" s="70">
        <v>127.4</v>
      </c>
      <c r="Q87" s="70">
        <v>127</v>
      </c>
      <c r="R87" s="70">
        <v>126</v>
      </c>
      <c r="S87" s="70">
        <v>125.3</v>
      </c>
      <c r="T87" s="70">
        <v>127.5</v>
      </c>
      <c r="U87" s="70">
        <v>126.8</v>
      </c>
      <c r="V87" s="70">
        <v>127.6</v>
      </c>
      <c r="W87" s="70">
        <v>131.19999999999999</v>
      </c>
      <c r="X87" s="70">
        <v>129.30000000000001</v>
      </c>
      <c r="Y87" s="70">
        <v>129.69999999999999</v>
      </c>
      <c r="Z87" s="70">
        <v>129</v>
      </c>
      <c r="AA87" s="70">
        <v>126.1</v>
      </c>
      <c r="AB87" s="70">
        <v>125</v>
      </c>
      <c r="AC87" s="70">
        <v>125</v>
      </c>
      <c r="AD87" s="70">
        <v>126.4</v>
      </c>
      <c r="AE87" s="70">
        <v>126.4</v>
      </c>
      <c r="AF87" s="70">
        <v>128</v>
      </c>
      <c r="AG87" s="93"/>
      <c r="AH87" s="54">
        <f t="shared" si="17"/>
        <v>131.4</v>
      </c>
      <c r="AI87" s="55">
        <f t="shared" si="18"/>
        <v>13.2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</v>
      </c>
      <c r="C88" s="70">
        <v>132</v>
      </c>
      <c r="D88" s="70">
        <v>131.4</v>
      </c>
      <c r="E88" s="70">
        <v>132.1</v>
      </c>
      <c r="F88" s="70">
        <v>134.5</v>
      </c>
      <c r="G88" s="70">
        <v>134.5</v>
      </c>
      <c r="H88" s="70">
        <v>134.1</v>
      </c>
      <c r="I88" s="70">
        <v>133.1</v>
      </c>
      <c r="J88" s="70">
        <v>131</v>
      </c>
      <c r="K88" s="70">
        <v>131</v>
      </c>
      <c r="L88" s="70">
        <v>125.5</v>
      </c>
      <c r="M88" s="70">
        <v>125.5</v>
      </c>
      <c r="N88" s="70">
        <v>129.6</v>
      </c>
      <c r="O88" s="70">
        <v>129.6</v>
      </c>
      <c r="P88" s="70">
        <v>128</v>
      </c>
      <c r="Q88" s="70">
        <v>128</v>
      </c>
      <c r="R88" s="70">
        <v>128</v>
      </c>
      <c r="S88" s="70">
        <v>127.4</v>
      </c>
      <c r="T88" s="70">
        <v>128.5</v>
      </c>
      <c r="U88" s="70">
        <v>128.1</v>
      </c>
      <c r="V88" s="70">
        <v>129.19999999999999</v>
      </c>
      <c r="W88" s="70">
        <v>133.9</v>
      </c>
      <c r="X88" s="70">
        <v>131.30000000000001</v>
      </c>
      <c r="Y88" s="70">
        <v>131.69999999999999</v>
      </c>
      <c r="Z88" s="70">
        <v>131.19999999999999</v>
      </c>
      <c r="AA88" s="70">
        <v>127.8</v>
      </c>
      <c r="AB88" s="70">
        <v>127.5</v>
      </c>
      <c r="AC88" s="70">
        <v>127.5</v>
      </c>
      <c r="AD88" s="70">
        <v>129</v>
      </c>
      <c r="AE88" s="70">
        <v>129</v>
      </c>
      <c r="AF88" s="70">
        <v>1323</v>
      </c>
      <c r="AG88" s="93"/>
      <c r="AH88" s="54">
        <f t="shared" si="17"/>
        <v>1323</v>
      </c>
      <c r="AI88" s="55">
        <f t="shared" si="18"/>
        <v>125.5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135</v>
      </c>
      <c r="C89" s="95">
        <v>135</v>
      </c>
      <c r="D89" s="95">
        <v>133.69999999999999</v>
      </c>
      <c r="E89" s="95">
        <v>134.19999999999999</v>
      </c>
      <c r="F89" s="95">
        <v>131.6</v>
      </c>
      <c r="G89" s="95">
        <v>132.19999999999999</v>
      </c>
      <c r="H89" s="95">
        <v>130.19999999999999</v>
      </c>
      <c r="I89" s="95">
        <v>132.9</v>
      </c>
      <c r="J89" s="95">
        <v>135.5</v>
      </c>
      <c r="K89" s="95">
        <v>135.5</v>
      </c>
      <c r="L89" s="95">
        <v>130.5</v>
      </c>
      <c r="M89" s="95">
        <v>130.5</v>
      </c>
      <c r="N89" s="95">
        <v>133.6</v>
      </c>
      <c r="O89" s="95">
        <v>133.6</v>
      </c>
      <c r="P89" s="95">
        <v>131.80000000000001</v>
      </c>
      <c r="Q89" s="95">
        <v>135</v>
      </c>
      <c r="R89" s="95">
        <v>133</v>
      </c>
      <c r="S89" s="95">
        <v>132.30000000000001</v>
      </c>
      <c r="T89" s="95">
        <v>128.6</v>
      </c>
      <c r="U89" s="95">
        <v>129.19999999999999</v>
      </c>
      <c r="V89" s="95">
        <v>133.4</v>
      </c>
      <c r="W89" s="95">
        <v>134.6</v>
      </c>
      <c r="X89" s="95">
        <v>136.5</v>
      </c>
      <c r="Y89" s="95">
        <v>133.30000000000001</v>
      </c>
      <c r="Z89" s="95">
        <v>134.6</v>
      </c>
      <c r="AA89" s="95">
        <v>131.1</v>
      </c>
      <c r="AB89" s="95">
        <v>133.4</v>
      </c>
      <c r="AC89" s="95">
        <v>133.4</v>
      </c>
      <c r="AD89" s="95">
        <v>130.6</v>
      </c>
      <c r="AE89" s="95">
        <v>130.6</v>
      </c>
      <c r="AF89" s="95">
        <v>132.6</v>
      </c>
      <c r="AG89" s="96"/>
      <c r="AH89" s="54">
        <f t="shared" si="17"/>
        <v>136.5</v>
      </c>
      <c r="AI89" s="55">
        <f t="shared" si="18"/>
        <v>128.6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135</v>
      </c>
      <c r="C90" s="70">
        <v>135</v>
      </c>
      <c r="D90" s="70">
        <v>129.30000000000001</v>
      </c>
      <c r="E90" s="70">
        <v>131.19999999999999</v>
      </c>
      <c r="F90" s="70">
        <v>132</v>
      </c>
      <c r="G90" s="70">
        <v>132.1</v>
      </c>
      <c r="H90" s="70">
        <v>134.6</v>
      </c>
      <c r="I90" s="70">
        <v>130.19999999999999</v>
      </c>
      <c r="J90" s="70">
        <v>136</v>
      </c>
      <c r="K90" s="70">
        <v>136</v>
      </c>
      <c r="L90" s="70">
        <v>136</v>
      </c>
      <c r="M90" s="70">
        <v>136</v>
      </c>
      <c r="N90" s="70">
        <v>127.8</v>
      </c>
      <c r="O90" s="70">
        <v>127.8</v>
      </c>
      <c r="P90" s="70">
        <v>127.9</v>
      </c>
      <c r="Q90" s="70">
        <v>133.1</v>
      </c>
      <c r="R90" s="70">
        <v>131</v>
      </c>
      <c r="S90" s="70">
        <v>128.69999999999999</v>
      </c>
      <c r="T90" s="70">
        <v>129.69999999999999</v>
      </c>
      <c r="U90" s="70">
        <v>127.7</v>
      </c>
      <c r="V90" s="70">
        <v>134</v>
      </c>
      <c r="W90" s="70">
        <v>134.80000000000001</v>
      </c>
      <c r="X90" s="70">
        <v>137.19999999999999</v>
      </c>
      <c r="Y90" s="70">
        <v>130.80000000000001</v>
      </c>
      <c r="Z90" s="70">
        <v>132.1</v>
      </c>
      <c r="AA90" s="70">
        <v>126.5</v>
      </c>
      <c r="AB90" s="70">
        <v>136</v>
      </c>
      <c r="AC90" s="70">
        <v>136</v>
      </c>
      <c r="AD90" s="70">
        <v>126.9</v>
      </c>
      <c r="AE90" s="70">
        <v>126.9</v>
      </c>
      <c r="AF90" s="70">
        <v>129.4</v>
      </c>
      <c r="AG90" s="93"/>
      <c r="AH90" s="54">
        <f t="shared" si="17"/>
        <v>137.19999999999999</v>
      </c>
      <c r="AI90" s="55">
        <f t="shared" si="18"/>
        <v>126.5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66</v>
      </c>
      <c r="C91" s="97">
        <v>65</v>
      </c>
      <c r="D91" s="97">
        <v>65.400000000000006</v>
      </c>
      <c r="E91" s="97">
        <v>66.400000000000006</v>
      </c>
      <c r="F91" s="97">
        <v>66.5</v>
      </c>
      <c r="G91" s="97">
        <v>66.3</v>
      </c>
      <c r="H91" s="97">
        <v>65.2</v>
      </c>
      <c r="I91" s="97">
        <v>65.3</v>
      </c>
      <c r="J91" s="97">
        <v>66</v>
      </c>
      <c r="K91" s="97">
        <v>66</v>
      </c>
      <c r="L91" s="97">
        <v>64.400000000000006</v>
      </c>
      <c r="M91" s="97">
        <v>64.400000000000006</v>
      </c>
      <c r="N91" s="97">
        <v>63.5</v>
      </c>
      <c r="O91" s="97">
        <v>63.5</v>
      </c>
      <c r="P91" s="97">
        <v>63.5</v>
      </c>
      <c r="Q91" s="97">
        <v>63.1</v>
      </c>
      <c r="R91" s="97">
        <v>69</v>
      </c>
      <c r="S91" s="97">
        <v>62.7</v>
      </c>
      <c r="T91" s="97">
        <v>63.1</v>
      </c>
      <c r="U91" s="97">
        <v>62.7</v>
      </c>
      <c r="V91" s="97">
        <v>63.6</v>
      </c>
      <c r="W91" s="97">
        <v>64.3</v>
      </c>
      <c r="X91" s="97">
        <v>64.5</v>
      </c>
      <c r="Y91" s="97">
        <v>64.2</v>
      </c>
      <c r="Z91" s="97">
        <v>64.3</v>
      </c>
      <c r="AA91" s="97">
        <v>65.099999999999994</v>
      </c>
      <c r="AB91" s="97">
        <v>64.900000000000006</v>
      </c>
      <c r="AC91" s="97">
        <v>64.900000000000006</v>
      </c>
      <c r="AD91" s="97">
        <v>64.8</v>
      </c>
      <c r="AE91" s="97">
        <v>64.8</v>
      </c>
      <c r="AF91" s="97">
        <v>65.3</v>
      </c>
      <c r="AG91" s="98"/>
      <c r="AH91" s="54">
        <f t="shared" si="17"/>
        <v>69</v>
      </c>
      <c r="AI91" s="55">
        <f t="shared" si="18"/>
        <v>62.7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21">SUM(B15,B18,B21:B22,B42,B44:B45,B47,B49,B94:B97,B103,B109,B115,B124,B126,B138,B145,B148:B149,B156,B158,B160,B164:B166,B168:B170,B175,B181:B182,B184:B186,B194,B199)</f>
        <v>158.30999999999997</v>
      </c>
      <c r="C93" s="103">
        <f t="shared" si="21"/>
        <v>150.23999999999998</v>
      </c>
      <c r="D93" s="103">
        <f t="shared" si="21"/>
        <v>140.23999999999995</v>
      </c>
      <c r="E93" s="103">
        <f t="shared" si="21"/>
        <v>139.93999999999997</v>
      </c>
      <c r="F93" s="103">
        <f t="shared" si="21"/>
        <v>144.33999999999997</v>
      </c>
      <c r="G93" s="103">
        <f t="shared" si="21"/>
        <v>174.53999999999994</v>
      </c>
      <c r="H93" s="103">
        <f t="shared" si="21"/>
        <v>198.34</v>
      </c>
      <c r="I93" s="103">
        <f t="shared" si="21"/>
        <v>231.14</v>
      </c>
      <c r="J93" s="103">
        <f>SUM(J15,J18,J21:J22,J42,J44:J45,J47,J49,J94:J97,J103,J109,J115,J124,J126,J138,J145,J148:J149,J156,J158,J160,J164:J166,J168:J170,J175,J181:J182,J184:J186,J194,J199)</f>
        <v>244.54</v>
      </c>
      <c r="K93" s="103">
        <f t="shared" si="21"/>
        <v>245.54</v>
      </c>
      <c r="L93" s="103">
        <f>SUM(L15,L18,L21:L22,L42,L44:L45,L47,L49,L94:L97,L103,L109,L115,L124,L126,L138,L145,L148:L149,L156,L158,L160,L164:L166,L168:L170,L175,L181:L182,L184:L186,L194,L199)</f>
        <v>287.44000000000005</v>
      </c>
      <c r="M93" s="103">
        <f t="shared" si="21"/>
        <v>301.64000000000004</v>
      </c>
      <c r="N93" s="103">
        <f t="shared" si="21"/>
        <v>310.64000000000004</v>
      </c>
      <c r="O93" s="103">
        <f t="shared" si="21"/>
        <v>309.64000000000004</v>
      </c>
      <c r="P93" s="103">
        <f t="shared" si="21"/>
        <v>309.74</v>
      </c>
      <c r="Q93" s="103">
        <f t="shared" si="21"/>
        <v>291.74000000000007</v>
      </c>
      <c r="R93" s="103">
        <f t="shared" si="21"/>
        <v>293.14000000000004</v>
      </c>
      <c r="S93" s="103">
        <f t="shared" si="21"/>
        <v>285.84000000000003</v>
      </c>
      <c r="T93" s="103">
        <f t="shared" si="21"/>
        <v>285.44000000000005</v>
      </c>
      <c r="U93" s="103">
        <f t="shared" si="21"/>
        <v>292.74</v>
      </c>
      <c r="V93" s="103">
        <f t="shared" si="21"/>
        <v>301.24</v>
      </c>
      <c r="W93" s="103">
        <f>SUM(W15,W18,W21:W22,W42,W44:W45,W47,W49,W94:W97,W103,W109,W115,W124,W126,W138,W145,W148:W149,W156,W158,W160,W164:W166,W168:W170,W175,W181:W182,W184:W186,W194,W199)</f>
        <v>282.54000000000002</v>
      </c>
      <c r="X93" s="103">
        <f>SUM(X15,X18,X21:X22,X42,X44:X45,X47,X49,X94:X97,X103,X109,X115,X124,X126,X138,X145,X148:X149,X156,X158,X160,X164:X166,X168:X170,X175,X181:X182,X184:X186,X194,X199)</f>
        <v>291.54000000000002</v>
      </c>
      <c r="Y93" s="103">
        <f t="shared" si="21"/>
        <v>305.84000000000003</v>
      </c>
      <c r="Z93" s="103">
        <f t="shared" si="21"/>
        <v>343.04</v>
      </c>
      <c r="AA93" s="103">
        <f t="shared" si="21"/>
        <v>351.54</v>
      </c>
      <c r="AB93" s="103">
        <f t="shared" si="21"/>
        <v>324.74</v>
      </c>
      <c r="AC93" s="103">
        <f t="shared" si="21"/>
        <v>306.04000000000002</v>
      </c>
      <c r="AD93" s="103">
        <f t="shared" si="21"/>
        <v>269.03999999999996</v>
      </c>
      <c r="AE93" s="103">
        <f t="shared" si="21"/>
        <v>269.03999999999996</v>
      </c>
      <c r="AF93" s="103">
        <f t="shared" si="21"/>
        <v>157.03999999999996</v>
      </c>
      <c r="AG93" s="104"/>
      <c r="AH93" s="54">
        <f>MAX(C93:AF93)</f>
        <v>351.54</v>
      </c>
      <c r="AI93" s="55">
        <f>MIN(C93:AF93)</f>
        <v>139.93999999999997</v>
      </c>
    </row>
    <row r="94" spans="1:88" x14ac:dyDescent="0.25">
      <c r="A94" s="105" t="s">
        <v>99</v>
      </c>
      <c r="B94" s="106">
        <v>29.47</v>
      </c>
      <c r="C94" s="106">
        <v>48.4</v>
      </c>
      <c r="D94" s="106">
        <v>49.5</v>
      </c>
      <c r="E94" s="106">
        <v>45.1</v>
      </c>
      <c r="F94" s="106">
        <v>38.6</v>
      </c>
      <c r="G94" s="106">
        <v>50.1</v>
      </c>
      <c r="H94" s="106">
        <v>53.1</v>
      </c>
      <c r="I94" s="106">
        <v>48.1</v>
      </c>
      <c r="J94" s="106">
        <v>68.8</v>
      </c>
      <c r="K94" s="106">
        <v>69.8</v>
      </c>
      <c r="L94" s="106">
        <v>57.8</v>
      </c>
      <c r="M94" s="106">
        <v>62</v>
      </c>
      <c r="N94" s="106">
        <v>60</v>
      </c>
      <c r="O94" s="106">
        <v>62</v>
      </c>
      <c r="P94" s="106">
        <v>38.5</v>
      </c>
      <c r="Q94" s="106">
        <v>31.3</v>
      </c>
      <c r="R94" s="106">
        <v>36</v>
      </c>
      <c r="S94" s="106">
        <v>38.700000000000003</v>
      </c>
      <c r="T94" s="106">
        <v>19.8</v>
      </c>
      <c r="U94" s="106">
        <v>45.1</v>
      </c>
      <c r="V94" s="106">
        <v>52</v>
      </c>
      <c r="W94" s="106">
        <v>53.8</v>
      </c>
      <c r="X94" s="106">
        <v>48</v>
      </c>
      <c r="Y94" s="106">
        <v>59</v>
      </c>
      <c r="Z94" s="106">
        <v>59</v>
      </c>
      <c r="AA94" s="106">
        <v>44.9</v>
      </c>
      <c r="AB94" s="106">
        <v>34</v>
      </c>
      <c r="AC94" s="106">
        <v>31</v>
      </c>
      <c r="AD94" s="106">
        <v>28</v>
      </c>
      <c r="AE94" s="106">
        <v>28</v>
      </c>
      <c r="AF94" s="106">
        <v>27</v>
      </c>
      <c r="AG94" s="107">
        <v>75</v>
      </c>
      <c r="AH94" s="54">
        <f t="shared" ref="AH94:AH100" si="22">IF(ABS(MAX(C94:AF94))&gt;ABS(MIN(C94:AF94)),MAX(C94:AF94),MIN(C94:AF94))</f>
        <v>69.8</v>
      </c>
      <c r="AI94" s="108">
        <f t="shared" ref="AI94:AI100" si="23">INDEX($C$9:$AF$9,1,MATCH(AH94,C94:AF94,0))</f>
        <v>0.29166666666666669</v>
      </c>
    </row>
    <row r="95" spans="1:88" x14ac:dyDescent="0.25">
      <c r="A95" s="109" t="s">
        <v>100</v>
      </c>
      <c r="B95" s="110">
        <v>-110</v>
      </c>
      <c r="C95" s="110">
        <v>-115</v>
      </c>
      <c r="D95" s="110">
        <f>-41.2-46.6</f>
        <v>-87.800000000000011</v>
      </c>
      <c r="E95" s="110">
        <f>-36.2-43</f>
        <v>-79.2</v>
      </c>
      <c r="F95" s="110">
        <f>-51.2-57.4</f>
        <v>-108.6</v>
      </c>
      <c r="G95" s="110">
        <f>-43.1-48.2</f>
        <v>-91.300000000000011</v>
      </c>
      <c r="H95" s="110">
        <f>-38.3-43.4</f>
        <v>-81.699999999999989</v>
      </c>
      <c r="I95" s="110">
        <f>-30-31.9</f>
        <v>-61.9</v>
      </c>
      <c r="J95" s="110">
        <f>-31-33.9</f>
        <v>-64.900000000000006</v>
      </c>
      <c r="K95" s="110">
        <f t="shared" ref="K95" si="24">-31-33.9</f>
        <v>-64.900000000000006</v>
      </c>
      <c r="L95" s="110">
        <f>-22.1-24.6</f>
        <v>-46.7</v>
      </c>
      <c r="M95" s="110">
        <v>-42</v>
      </c>
      <c r="N95" s="110">
        <v>-38</v>
      </c>
      <c r="O95" s="110">
        <v>-42</v>
      </c>
      <c r="P95" s="110">
        <f>-21.2-24.8</f>
        <v>-46</v>
      </c>
      <c r="Q95" s="110">
        <f>-26-31.3</f>
        <v>-57.3</v>
      </c>
      <c r="R95" s="110">
        <v>-60</v>
      </c>
      <c r="S95" s="110">
        <v>-40</v>
      </c>
      <c r="T95" s="110">
        <f>-13.6-17.6</f>
        <v>-31.200000000000003</v>
      </c>
      <c r="U95" s="110">
        <f>-25.2-28</f>
        <v>-53.2</v>
      </c>
      <c r="V95" s="110">
        <f>-23-28</f>
        <v>-51</v>
      </c>
      <c r="W95" s="110">
        <f>-28.9-25.5</f>
        <v>-54.4</v>
      </c>
      <c r="X95" s="110">
        <f>-23.8-28</f>
        <v>-51.8</v>
      </c>
      <c r="Y95" s="110">
        <f>-21.9-25.1</f>
        <v>-47</v>
      </c>
      <c r="Z95" s="110">
        <f>-14-22</f>
        <v>-36</v>
      </c>
      <c r="AA95" s="110">
        <v>2.5</v>
      </c>
      <c r="AB95" s="110">
        <v>-25</v>
      </c>
      <c r="AC95" s="110">
        <v>-32</v>
      </c>
      <c r="AD95" s="110">
        <v>-52</v>
      </c>
      <c r="AE95" s="110">
        <v>-52</v>
      </c>
      <c r="AF95" s="110">
        <v>-100</v>
      </c>
      <c r="AG95" s="107">
        <v>240</v>
      </c>
      <c r="AH95" s="54">
        <f t="shared" si="22"/>
        <v>-115</v>
      </c>
      <c r="AI95" s="108">
        <f t="shared" si="23"/>
        <v>4.1666666666666664E-2</v>
      </c>
    </row>
    <row r="96" spans="1:88" x14ac:dyDescent="0.25">
      <c r="A96" s="109" t="s">
        <v>101</v>
      </c>
      <c r="B96" s="110">
        <v>33</v>
      </c>
      <c r="C96" s="110">
        <v>4.5</v>
      </c>
      <c r="D96" s="110">
        <v>20.6</v>
      </c>
      <c r="E96" s="110">
        <v>17.3</v>
      </c>
      <c r="F96" s="110">
        <v>12.7</v>
      </c>
      <c r="G96" s="110">
        <v>17.2</v>
      </c>
      <c r="H96" s="110">
        <v>24.9</v>
      </c>
      <c r="I96" s="110">
        <v>14.9</v>
      </c>
      <c r="J96" s="110">
        <v>13.9</v>
      </c>
      <c r="K96" s="110">
        <v>13.9</v>
      </c>
      <c r="L96" s="110">
        <v>18.8</v>
      </c>
      <c r="M96" s="110">
        <v>19</v>
      </c>
      <c r="N96" s="110">
        <v>19</v>
      </c>
      <c r="O96" s="110">
        <v>22</v>
      </c>
      <c r="P96" s="110">
        <v>28</v>
      </c>
      <c r="Q96" s="110">
        <v>25.4</v>
      </c>
      <c r="R96" s="110">
        <v>25</v>
      </c>
      <c r="S96" s="110">
        <v>25</v>
      </c>
      <c r="T96" s="110">
        <v>25.5</v>
      </c>
      <c r="U96" s="110">
        <v>21</v>
      </c>
      <c r="V96" s="110">
        <v>21.1</v>
      </c>
      <c r="W96" s="110">
        <v>22.8</v>
      </c>
      <c r="X96" s="110">
        <v>23.3</v>
      </c>
      <c r="Y96" s="110">
        <v>22.9</v>
      </c>
      <c r="Z96" s="110">
        <v>40.1</v>
      </c>
      <c r="AA96" s="110">
        <v>41.1</v>
      </c>
      <c r="AB96" s="110">
        <v>41.7</v>
      </c>
      <c r="AC96" s="110">
        <v>38</v>
      </c>
      <c r="AD96" s="110">
        <v>22</v>
      </c>
      <c r="AE96" s="110">
        <v>22</v>
      </c>
      <c r="AF96" s="110">
        <v>5</v>
      </c>
      <c r="AG96" s="107">
        <v>60</v>
      </c>
      <c r="AH96" s="54">
        <f t="shared" si="22"/>
        <v>41.7</v>
      </c>
      <c r="AI96" s="108">
        <f t="shared" si="23"/>
        <v>0.83333333333333337</v>
      </c>
    </row>
    <row r="97" spans="1:37" x14ac:dyDescent="0.25">
      <c r="A97" s="111" t="s">
        <v>102</v>
      </c>
      <c r="B97" s="112">
        <v>-2.9</v>
      </c>
      <c r="C97" s="112">
        <v>2.2999999999999998</v>
      </c>
      <c r="D97" s="112">
        <v>-51.6</v>
      </c>
      <c r="E97" s="112">
        <v>-51.8</v>
      </c>
      <c r="F97" s="112">
        <v>-6.3</v>
      </c>
      <c r="G97" s="112">
        <v>-9.4</v>
      </c>
      <c r="H97" s="112">
        <v>-5.6</v>
      </c>
      <c r="I97" s="112">
        <v>22.4</v>
      </c>
      <c r="J97" s="112">
        <v>19.100000000000001</v>
      </c>
      <c r="K97" s="112">
        <v>19.100000000000001</v>
      </c>
      <c r="L97" s="112">
        <v>49.9</v>
      </c>
      <c r="M97" s="112">
        <v>50</v>
      </c>
      <c r="N97" s="112">
        <v>57</v>
      </c>
      <c r="O97" s="112">
        <v>52</v>
      </c>
      <c r="P97" s="112">
        <v>79.599999999999994</v>
      </c>
      <c r="Q97" s="112">
        <v>83.2</v>
      </c>
      <c r="R97" s="112">
        <v>83</v>
      </c>
      <c r="S97" s="112">
        <v>84.2</v>
      </c>
      <c r="T97" s="112">
        <v>92.7</v>
      </c>
      <c r="U97" s="112">
        <v>70.400000000000006</v>
      </c>
      <c r="V97" s="112">
        <v>69.7</v>
      </c>
      <c r="W97" s="112">
        <v>53.3</v>
      </c>
      <c r="X97" s="112">
        <v>65</v>
      </c>
      <c r="Y97" s="112">
        <v>63.9</v>
      </c>
      <c r="Z97" s="112">
        <v>72.900000000000006</v>
      </c>
      <c r="AA97" s="112">
        <v>64</v>
      </c>
      <c r="AB97" s="112">
        <v>75</v>
      </c>
      <c r="AC97" s="112">
        <v>70</v>
      </c>
      <c r="AD97" s="112">
        <v>72</v>
      </c>
      <c r="AE97" s="112">
        <v>72</v>
      </c>
      <c r="AF97" s="112">
        <v>26</v>
      </c>
      <c r="AG97" s="113">
        <v>120</v>
      </c>
      <c r="AH97" s="54">
        <f t="shared" si="22"/>
        <v>92.7</v>
      </c>
      <c r="AI97" s="108">
        <f t="shared" si="23"/>
        <v>0.625</v>
      </c>
    </row>
    <row r="98" spans="1:37" x14ac:dyDescent="0.25">
      <c r="A98" s="111" t="s">
        <v>103</v>
      </c>
      <c r="B98" s="112">
        <v>28.7</v>
      </c>
      <c r="C98" s="112">
        <v>36.5</v>
      </c>
      <c r="D98" s="112">
        <v>49.2</v>
      </c>
      <c r="E98" s="112">
        <v>36.4</v>
      </c>
      <c r="F98" s="112">
        <v>25.8</v>
      </c>
      <c r="G98" s="112">
        <v>15.9</v>
      </c>
      <c r="H98" s="112">
        <v>15.5</v>
      </c>
      <c r="I98" s="112">
        <v>39.5</v>
      </c>
      <c r="J98" s="112">
        <v>37</v>
      </c>
      <c r="K98" s="112">
        <v>37</v>
      </c>
      <c r="L98" s="112">
        <v>60.4</v>
      </c>
      <c r="M98" s="112">
        <v>62</v>
      </c>
      <c r="N98" s="112">
        <v>66</v>
      </c>
      <c r="O98" s="112">
        <v>62</v>
      </c>
      <c r="P98" s="112">
        <v>86.5</v>
      </c>
      <c r="Q98" s="112">
        <v>95</v>
      </c>
      <c r="R98" s="112">
        <v>95</v>
      </c>
      <c r="S98" s="112">
        <v>88.6</v>
      </c>
      <c r="T98" s="112">
        <v>93.6</v>
      </c>
      <c r="U98" s="112">
        <v>84</v>
      </c>
      <c r="V98" s="112">
        <v>74</v>
      </c>
      <c r="W98" s="112">
        <v>66.7</v>
      </c>
      <c r="X98" s="112">
        <v>76</v>
      </c>
      <c r="Y98" s="112">
        <v>70.599999999999994</v>
      </c>
      <c r="Z98" s="112">
        <v>72</v>
      </c>
      <c r="AA98" s="112">
        <v>42</v>
      </c>
      <c r="AB98" s="112">
        <v>66</v>
      </c>
      <c r="AC98" s="112">
        <v>60</v>
      </c>
      <c r="AD98" s="112">
        <v>70</v>
      </c>
      <c r="AE98" s="112">
        <v>70</v>
      </c>
      <c r="AF98" s="112">
        <v>44</v>
      </c>
      <c r="AG98" s="113"/>
      <c r="AH98" s="54">
        <f t="shared" si="22"/>
        <v>95</v>
      </c>
      <c r="AI98" s="108">
        <f t="shared" si="23"/>
        <v>0.5</v>
      </c>
    </row>
    <row r="99" spans="1:37" x14ac:dyDescent="0.25">
      <c r="A99" s="111" t="s">
        <v>104</v>
      </c>
      <c r="B99" s="112">
        <v>55.7</v>
      </c>
      <c r="C99" s="112">
        <v>53.5</v>
      </c>
      <c r="D99" s="112">
        <v>59.6</v>
      </c>
      <c r="E99" s="112">
        <v>77.400000000000006</v>
      </c>
      <c r="F99" s="112">
        <v>64.400000000000006</v>
      </c>
      <c r="G99" s="112">
        <v>59.7</v>
      </c>
      <c r="H99" s="112">
        <v>60.5</v>
      </c>
      <c r="I99" s="112">
        <v>63.1</v>
      </c>
      <c r="J99" s="112">
        <v>46.5</v>
      </c>
      <c r="K99" s="112">
        <v>46.5</v>
      </c>
      <c r="L99" s="112">
        <v>52.8</v>
      </c>
      <c r="M99" s="112">
        <v>37</v>
      </c>
      <c r="N99" s="112">
        <v>44</v>
      </c>
      <c r="O99" s="112">
        <v>-10</v>
      </c>
      <c r="P99" s="112">
        <v>-4.0999999999999996</v>
      </c>
      <c r="Q99" s="112">
        <v>15.8</v>
      </c>
      <c r="R99" s="112">
        <v>12</v>
      </c>
      <c r="S99" s="112">
        <v>56.6</v>
      </c>
      <c r="T99" s="112">
        <v>62.6</v>
      </c>
      <c r="U99" s="112">
        <v>69</v>
      </c>
      <c r="V99" s="112">
        <v>63.5</v>
      </c>
      <c r="W99" s="112">
        <v>60.3</v>
      </c>
      <c r="X99" s="112">
        <v>55</v>
      </c>
      <c r="Y99" s="112">
        <v>51.2</v>
      </c>
      <c r="Z99" s="112">
        <v>54.3</v>
      </c>
      <c r="AA99" s="112">
        <v>74.2</v>
      </c>
      <c r="AB99" s="112">
        <v>72.3</v>
      </c>
      <c r="AC99" s="112">
        <v>83</v>
      </c>
      <c r="AD99" s="112">
        <v>85</v>
      </c>
      <c r="AE99" s="112">
        <v>85</v>
      </c>
      <c r="AF99" s="112">
        <v>85</v>
      </c>
      <c r="AG99" s="114"/>
      <c r="AH99" s="54">
        <f t="shared" si="22"/>
        <v>85</v>
      </c>
      <c r="AI99" s="108">
        <f t="shared" si="23"/>
        <v>0.875</v>
      </c>
    </row>
    <row r="100" spans="1:37" ht="15.75" thickBot="1" x14ac:dyDescent="0.3">
      <c r="A100" s="115" t="s">
        <v>105</v>
      </c>
      <c r="B100" s="95">
        <v>79.7</v>
      </c>
      <c r="C100" s="95">
        <v>75.400000000000006</v>
      </c>
      <c r="D100" s="95">
        <v>74.900000000000006</v>
      </c>
      <c r="E100" s="95">
        <v>76.099999999999994</v>
      </c>
      <c r="F100" s="95">
        <v>69.599999999999994</v>
      </c>
      <c r="G100" s="95">
        <v>62.5</v>
      </c>
      <c r="H100" s="95">
        <v>60.7</v>
      </c>
      <c r="I100" s="95">
        <v>60.3</v>
      </c>
      <c r="J100" s="95">
        <v>60.9</v>
      </c>
      <c r="K100" s="95">
        <v>60.9</v>
      </c>
      <c r="L100" s="95">
        <v>73.900000000000006</v>
      </c>
      <c r="M100" s="95">
        <v>77</v>
      </c>
      <c r="N100" s="95">
        <v>81</v>
      </c>
      <c r="O100" s="95">
        <v>81</v>
      </c>
      <c r="P100" s="95">
        <v>87.5</v>
      </c>
      <c r="Q100" s="95"/>
      <c r="R100" s="95">
        <v>87</v>
      </c>
      <c r="S100" s="95">
        <v>80.400000000000006</v>
      </c>
      <c r="T100" s="95">
        <v>84.5</v>
      </c>
      <c r="U100" s="95">
        <v>76</v>
      </c>
      <c r="V100" s="95">
        <v>82</v>
      </c>
      <c r="W100" s="95">
        <v>63.5</v>
      </c>
      <c r="X100" s="95">
        <v>73</v>
      </c>
      <c r="Y100" s="95">
        <v>73</v>
      </c>
      <c r="Z100" s="95">
        <v>85</v>
      </c>
      <c r="AA100" s="95">
        <v>98</v>
      </c>
      <c r="AB100" s="95">
        <v>98</v>
      </c>
      <c r="AC100" s="95">
        <v>102</v>
      </c>
      <c r="AD100" s="95">
        <v>101</v>
      </c>
      <c r="AE100" s="95">
        <v>101</v>
      </c>
      <c r="AF100" s="95">
        <v>85</v>
      </c>
      <c r="AG100" s="114"/>
      <c r="AH100" s="54">
        <f t="shared" si="22"/>
        <v>102</v>
      </c>
      <c r="AI100" s="108">
        <f t="shared" si="23"/>
        <v>0.85416666666666663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5">AF102</f>
        <v>9.9</v>
      </c>
      <c r="C102" s="53">
        <v>9.9</v>
      </c>
      <c r="D102" s="121">
        <f t="shared" ref="D102:S107" si="26">C102</f>
        <v>9.9</v>
      </c>
      <c r="E102" s="121">
        <f t="shared" si="26"/>
        <v>9.9</v>
      </c>
      <c r="F102" s="121">
        <f t="shared" si="26"/>
        <v>9.9</v>
      </c>
      <c r="G102" s="121">
        <f t="shared" si="26"/>
        <v>9.9</v>
      </c>
      <c r="H102" s="121">
        <f t="shared" si="26"/>
        <v>9.9</v>
      </c>
      <c r="I102" s="121">
        <f t="shared" si="26"/>
        <v>9.9</v>
      </c>
      <c r="J102" s="121">
        <f t="shared" si="26"/>
        <v>9.9</v>
      </c>
      <c r="K102" s="121">
        <f t="shared" si="26"/>
        <v>9.9</v>
      </c>
      <c r="L102" s="121">
        <f t="shared" si="26"/>
        <v>9.9</v>
      </c>
      <c r="M102" s="121">
        <f t="shared" si="26"/>
        <v>9.9</v>
      </c>
      <c r="N102" s="121">
        <f t="shared" si="26"/>
        <v>9.9</v>
      </c>
      <c r="O102" s="121">
        <f t="shared" si="26"/>
        <v>9.9</v>
      </c>
      <c r="P102" s="121">
        <f t="shared" si="26"/>
        <v>9.9</v>
      </c>
      <c r="Q102" s="121">
        <f t="shared" si="26"/>
        <v>9.9</v>
      </c>
      <c r="R102" s="121">
        <f t="shared" si="26"/>
        <v>9.9</v>
      </c>
      <c r="S102" s="121">
        <f t="shared" si="26"/>
        <v>9.9</v>
      </c>
      <c r="T102" s="121">
        <f t="shared" ref="T102:AF107" si="27">S102</f>
        <v>9.9</v>
      </c>
      <c r="U102" s="121">
        <f t="shared" si="27"/>
        <v>9.9</v>
      </c>
      <c r="V102" s="121">
        <f t="shared" si="27"/>
        <v>9.9</v>
      </c>
      <c r="W102" s="121">
        <f t="shared" si="27"/>
        <v>9.9</v>
      </c>
      <c r="X102" s="121">
        <f t="shared" si="27"/>
        <v>9.9</v>
      </c>
      <c r="Y102" s="121">
        <f t="shared" si="27"/>
        <v>9.9</v>
      </c>
      <c r="Z102" s="121">
        <f t="shared" si="27"/>
        <v>9.9</v>
      </c>
      <c r="AA102" s="121">
        <f t="shared" si="27"/>
        <v>9.9</v>
      </c>
      <c r="AB102" s="121">
        <f t="shared" si="27"/>
        <v>9.9</v>
      </c>
      <c r="AC102" s="121">
        <f t="shared" si="27"/>
        <v>9.9</v>
      </c>
      <c r="AD102" s="121">
        <f t="shared" si="27"/>
        <v>9.9</v>
      </c>
      <c r="AE102" s="121">
        <f t="shared" si="27"/>
        <v>9.9</v>
      </c>
      <c r="AF102" s="121">
        <f t="shared" si="27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5"/>
        <v>9.6</v>
      </c>
      <c r="C103" s="124">
        <v>9.6</v>
      </c>
      <c r="D103" s="123">
        <f t="shared" si="26"/>
        <v>9.6</v>
      </c>
      <c r="E103" s="123">
        <f t="shared" si="26"/>
        <v>9.6</v>
      </c>
      <c r="F103" s="123">
        <f t="shared" si="26"/>
        <v>9.6</v>
      </c>
      <c r="G103" s="123">
        <f t="shared" si="26"/>
        <v>9.6</v>
      </c>
      <c r="H103" s="123">
        <f t="shared" si="26"/>
        <v>9.6</v>
      </c>
      <c r="I103" s="123">
        <f t="shared" si="26"/>
        <v>9.6</v>
      </c>
      <c r="J103" s="123">
        <f t="shared" si="26"/>
        <v>9.6</v>
      </c>
      <c r="K103" s="123">
        <f t="shared" si="26"/>
        <v>9.6</v>
      </c>
      <c r="L103" s="123">
        <f t="shared" si="26"/>
        <v>9.6</v>
      </c>
      <c r="M103" s="123">
        <f t="shared" si="26"/>
        <v>9.6</v>
      </c>
      <c r="N103" s="123">
        <f t="shared" si="26"/>
        <v>9.6</v>
      </c>
      <c r="O103" s="123">
        <f t="shared" si="26"/>
        <v>9.6</v>
      </c>
      <c r="P103" s="123">
        <f t="shared" si="26"/>
        <v>9.6</v>
      </c>
      <c r="Q103" s="123">
        <f t="shared" si="26"/>
        <v>9.6</v>
      </c>
      <c r="R103" s="123">
        <f t="shared" si="26"/>
        <v>9.6</v>
      </c>
      <c r="S103" s="123">
        <f t="shared" si="26"/>
        <v>9.6</v>
      </c>
      <c r="T103" s="123">
        <f t="shared" si="27"/>
        <v>9.6</v>
      </c>
      <c r="U103" s="123">
        <f t="shared" si="27"/>
        <v>9.6</v>
      </c>
      <c r="V103" s="123">
        <f t="shared" si="27"/>
        <v>9.6</v>
      </c>
      <c r="W103" s="123">
        <f t="shared" si="27"/>
        <v>9.6</v>
      </c>
      <c r="X103" s="123">
        <f t="shared" si="27"/>
        <v>9.6</v>
      </c>
      <c r="Y103" s="123">
        <f t="shared" si="27"/>
        <v>9.6</v>
      </c>
      <c r="Z103" s="123">
        <f t="shared" si="27"/>
        <v>9.6</v>
      </c>
      <c r="AA103" s="123">
        <f t="shared" si="27"/>
        <v>9.6</v>
      </c>
      <c r="AB103" s="123">
        <f t="shared" si="27"/>
        <v>9.6</v>
      </c>
      <c r="AC103" s="123">
        <f t="shared" si="27"/>
        <v>9.6</v>
      </c>
      <c r="AD103" s="123">
        <f t="shared" si="27"/>
        <v>9.6</v>
      </c>
      <c r="AE103" s="123">
        <f t="shared" si="27"/>
        <v>9.6</v>
      </c>
      <c r="AF103" s="123">
        <f t="shared" si="27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5"/>
        <v>9.98</v>
      </c>
      <c r="C104" s="124">
        <v>9.98</v>
      </c>
      <c r="D104" s="123">
        <f t="shared" si="26"/>
        <v>9.98</v>
      </c>
      <c r="E104" s="123">
        <f t="shared" si="26"/>
        <v>9.98</v>
      </c>
      <c r="F104" s="123">
        <f t="shared" si="26"/>
        <v>9.98</v>
      </c>
      <c r="G104" s="123">
        <f t="shared" si="26"/>
        <v>9.98</v>
      </c>
      <c r="H104" s="123">
        <f t="shared" si="26"/>
        <v>9.98</v>
      </c>
      <c r="I104" s="123">
        <f t="shared" si="26"/>
        <v>9.98</v>
      </c>
      <c r="J104" s="123">
        <f t="shared" si="26"/>
        <v>9.98</v>
      </c>
      <c r="K104" s="123">
        <f t="shared" si="26"/>
        <v>9.98</v>
      </c>
      <c r="L104" s="123">
        <f t="shared" si="26"/>
        <v>9.98</v>
      </c>
      <c r="M104" s="123">
        <f t="shared" si="26"/>
        <v>9.98</v>
      </c>
      <c r="N104" s="123">
        <f t="shared" si="26"/>
        <v>9.98</v>
      </c>
      <c r="O104" s="123">
        <f t="shared" si="26"/>
        <v>9.98</v>
      </c>
      <c r="P104" s="123">
        <f t="shared" si="26"/>
        <v>9.98</v>
      </c>
      <c r="Q104" s="123">
        <f t="shared" si="26"/>
        <v>9.98</v>
      </c>
      <c r="R104" s="123">
        <f t="shared" si="26"/>
        <v>9.98</v>
      </c>
      <c r="S104" s="123">
        <f t="shared" si="26"/>
        <v>9.98</v>
      </c>
      <c r="T104" s="123">
        <f t="shared" si="27"/>
        <v>9.98</v>
      </c>
      <c r="U104" s="123">
        <f t="shared" si="27"/>
        <v>9.98</v>
      </c>
      <c r="V104" s="123">
        <f t="shared" si="27"/>
        <v>9.98</v>
      </c>
      <c r="W104" s="123">
        <f t="shared" si="27"/>
        <v>9.98</v>
      </c>
      <c r="X104" s="123">
        <f t="shared" si="27"/>
        <v>9.98</v>
      </c>
      <c r="Y104" s="123">
        <f t="shared" si="27"/>
        <v>9.98</v>
      </c>
      <c r="Z104" s="123">
        <f t="shared" si="27"/>
        <v>9.98</v>
      </c>
      <c r="AA104" s="123">
        <f t="shared" si="27"/>
        <v>9.98</v>
      </c>
      <c r="AB104" s="123">
        <f t="shared" si="27"/>
        <v>9.98</v>
      </c>
      <c r="AC104" s="123">
        <f t="shared" si="27"/>
        <v>9.98</v>
      </c>
      <c r="AD104" s="123">
        <f t="shared" si="27"/>
        <v>9.98</v>
      </c>
      <c r="AE104" s="123">
        <f t="shared" si="27"/>
        <v>9.98</v>
      </c>
      <c r="AF104" s="123">
        <f t="shared" si="27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5"/>
        <v>9.1</v>
      </c>
      <c r="C105" s="124">
        <v>9.1</v>
      </c>
      <c r="D105" s="123">
        <f t="shared" si="26"/>
        <v>9.1</v>
      </c>
      <c r="E105" s="123">
        <f t="shared" si="26"/>
        <v>9.1</v>
      </c>
      <c r="F105" s="123">
        <f t="shared" si="26"/>
        <v>9.1</v>
      </c>
      <c r="G105" s="123">
        <f t="shared" si="26"/>
        <v>9.1</v>
      </c>
      <c r="H105" s="123">
        <f t="shared" si="26"/>
        <v>9.1</v>
      </c>
      <c r="I105" s="123">
        <f t="shared" si="26"/>
        <v>9.1</v>
      </c>
      <c r="J105" s="123">
        <f t="shared" si="26"/>
        <v>9.1</v>
      </c>
      <c r="K105" s="123">
        <f t="shared" si="26"/>
        <v>9.1</v>
      </c>
      <c r="L105" s="123">
        <f t="shared" si="26"/>
        <v>9.1</v>
      </c>
      <c r="M105" s="123">
        <f t="shared" si="26"/>
        <v>9.1</v>
      </c>
      <c r="N105" s="123">
        <f t="shared" si="26"/>
        <v>9.1</v>
      </c>
      <c r="O105" s="123">
        <f t="shared" si="26"/>
        <v>9.1</v>
      </c>
      <c r="P105" s="123">
        <f t="shared" si="26"/>
        <v>9.1</v>
      </c>
      <c r="Q105" s="123">
        <f t="shared" si="26"/>
        <v>9.1</v>
      </c>
      <c r="R105" s="123">
        <f t="shared" si="26"/>
        <v>9.1</v>
      </c>
      <c r="S105" s="123">
        <f t="shared" si="26"/>
        <v>9.1</v>
      </c>
      <c r="T105" s="123">
        <f t="shared" si="27"/>
        <v>9.1</v>
      </c>
      <c r="U105" s="123">
        <f t="shared" si="27"/>
        <v>9.1</v>
      </c>
      <c r="V105" s="123">
        <f t="shared" si="27"/>
        <v>9.1</v>
      </c>
      <c r="W105" s="123">
        <f t="shared" si="27"/>
        <v>9.1</v>
      </c>
      <c r="X105" s="123">
        <f t="shared" si="27"/>
        <v>9.1</v>
      </c>
      <c r="Y105" s="123">
        <f t="shared" si="27"/>
        <v>9.1</v>
      </c>
      <c r="Z105" s="123">
        <f t="shared" si="27"/>
        <v>9.1</v>
      </c>
      <c r="AA105" s="123">
        <f t="shared" si="27"/>
        <v>9.1</v>
      </c>
      <c r="AB105" s="123">
        <f t="shared" si="27"/>
        <v>9.1</v>
      </c>
      <c r="AC105" s="123">
        <f t="shared" si="27"/>
        <v>9.1</v>
      </c>
      <c r="AD105" s="123">
        <f t="shared" si="27"/>
        <v>9.1</v>
      </c>
      <c r="AE105" s="123">
        <f t="shared" si="27"/>
        <v>9.1</v>
      </c>
      <c r="AF105" s="123">
        <f t="shared" si="27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5"/>
        <v>9.18</v>
      </c>
      <c r="C106" s="124">
        <v>9.18</v>
      </c>
      <c r="D106" s="123">
        <f t="shared" si="26"/>
        <v>9.18</v>
      </c>
      <c r="E106" s="123">
        <f t="shared" si="26"/>
        <v>9.18</v>
      </c>
      <c r="F106" s="123">
        <f t="shared" si="26"/>
        <v>9.18</v>
      </c>
      <c r="G106" s="123">
        <f t="shared" si="26"/>
        <v>9.18</v>
      </c>
      <c r="H106" s="123">
        <f t="shared" si="26"/>
        <v>9.18</v>
      </c>
      <c r="I106" s="123">
        <f t="shared" si="26"/>
        <v>9.18</v>
      </c>
      <c r="J106" s="123">
        <f t="shared" si="26"/>
        <v>9.18</v>
      </c>
      <c r="K106" s="123">
        <f t="shared" si="26"/>
        <v>9.18</v>
      </c>
      <c r="L106" s="123">
        <f t="shared" si="26"/>
        <v>9.18</v>
      </c>
      <c r="M106" s="123">
        <f t="shared" si="26"/>
        <v>9.18</v>
      </c>
      <c r="N106" s="123">
        <f t="shared" si="26"/>
        <v>9.18</v>
      </c>
      <c r="O106" s="123">
        <f t="shared" si="26"/>
        <v>9.18</v>
      </c>
      <c r="P106" s="123">
        <f t="shared" si="26"/>
        <v>9.18</v>
      </c>
      <c r="Q106" s="123">
        <f t="shared" si="26"/>
        <v>9.18</v>
      </c>
      <c r="R106" s="123">
        <f t="shared" si="26"/>
        <v>9.18</v>
      </c>
      <c r="S106" s="123">
        <f t="shared" si="26"/>
        <v>9.18</v>
      </c>
      <c r="T106" s="123">
        <f t="shared" si="27"/>
        <v>9.18</v>
      </c>
      <c r="U106" s="123">
        <f t="shared" si="27"/>
        <v>9.18</v>
      </c>
      <c r="V106" s="123">
        <f t="shared" si="27"/>
        <v>9.18</v>
      </c>
      <c r="W106" s="123">
        <f t="shared" si="27"/>
        <v>9.18</v>
      </c>
      <c r="X106" s="123">
        <f t="shared" si="27"/>
        <v>9.18</v>
      </c>
      <c r="Y106" s="123">
        <f t="shared" si="27"/>
        <v>9.18</v>
      </c>
      <c r="Z106" s="123">
        <f t="shared" si="27"/>
        <v>9.18</v>
      </c>
      <c r="AA106" s="123">
        <f t="shared" si="27"/>
        <v>9.18</v>
      </c>
      <c r="AB106" s="123">
        <f t="shared" si="27"/>
        <v>9.18</v>
      </c>
      <c r="AC106" s="123">
        <f t="shared" si="27"/>
        <v>9.18</v>
      </c>
      <c r="AD106" s="123">
        <f t="shared" si="27"/>
        <v>9.18</v>
      </c>
      <c r="AE106" s="123">
        <f t="shared" si="27"/>
        <v>9.18</v>
      </c>
      <c r="AF106" s="123">
        <f t="shared" si="27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5"/>
        <v>7</v>
      </c>
      <c r="C107" s="124">
        <v>7</v>
      </c>
      <c r="D107" s="123">
        <f t="shared" si="26"/>
        <v>7</v>
      </c>
      <c r="E107" s="123">
        <f t="shared" si="26"/>
        <v>7</v>
      </c>
      <c r="F107" s="123">
        <f t="shared" si="26"/>
        <v>7</v>
      </c>
      <c r="G107" s="123">
        <f t="shared" si="26"/>
        <v>7</v>
      </c>
      <c r="H107" s="123">
        <f t="shared" si="26"/>
        <v>7</v>
      </c>
      <c r="I107" s="123">
        <f t="shared" si="26"/>
        <v>7</v>
      </c>
      <c r="J107" s="123">
        <f t="shared" si="26"/>
        <v>7</v>
      </c>
      <c r="K107" s="123">
        <f t="shared" si="26"/>
        <v>7</v>
      </c>
      <c r="L107" s="123">
        <f t="shared" si="26"/>
        <v>7</v>
      </c>
      <c r="M107" s="123">
        <f t="shared" si="26"/>
        <v>7</v>
      </c>
      <c r="N107" s="123">
        <f t="shared" si="26"/>
        <v>7</v>
      </c>
      <c r="O107" s="123">
        <f t="shared" si="26"/>
        <v>7</v>
      </c>
      <c r="P107" s="123">
        <f t="shared" si="26"/>
        <v>7</v>
      </c>
      <c r="Q107" s="123">
        <f t="shared" si="26"/>
        <v>7</v>
      </c>
      <c r="R107" s="123">
        <f t="shared" si="26"/>
        <v>7</v>
      </c>
      <c r="S107" s="123">
        <f t="shared" si="26"/>
        <v>7</v>
      </c>
      <c r="T107" s="123">
        <f t="shared" si="27"/>
        <v>7</v>
      </c>
      <c r="U107" s="123">
        <f t="shared" si="27"/>
        <v>7</v>
      </c>
      <c r="V107" s="123">
        <f t="shared" si="27"/>
        <v>7</v>
      </c>
      <c r="W107" s="123">
        <f t="shared" si="27"/>
        <v>7</v>
      </c>
      <c r="X107" s="123">
        <f t="shared" si="27"/>
        <v>7</v>
      </c>
      <c r="Y107" s="123">
        <f t="shared" si="27"/>
        <v>7</v>
      </c>
      <c r="Z107" s="123">
        <f t="shared" si="27"/>
        <v>7</v>
      </c>
      <c r="AA107" s="123">
        <f t="shared" si="27"/>
        <v>7</v>
      </c>
      <c r="AB107" s="123">
        <f t="shared" si="27"/>
        <v>7</v>
      </c>
      <c r="AC107" s="123">
        <f t="shared" si="27"/>
        <v>7</v>
      </c>
      <c r="AD107" s="123">
        <f t="shared" si="27"/>
        <v>7</v>
      </c>
      <c r="AE107" s="123">
        <f t="shared" si="27"/>
        <v>7</v>
      </c>
      <c r="AF107" s="123">
        <f t="shared" si="27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8">C109</f>
        <v>2.25</v>
      </c>
      <c r="E109" s="123">
        <f t="shared" si="28"/>
        <v>2.25</v>
      </c>
      <c r="F109" s="123">
        <f t="shared" si="28"/>
        <v>2.25</v>
      </c>
      <c r="G109" s="123">
        <f t="shared" si="28"/>
        <v>2.25</v>
      </c>
      <c r="H109" s="123">
        <f t="shared" si="28"/>
        <v>2.25</v>
      </c>
      <c r="I109" s="123">
        <f t="shared" si="28"/>
        <v>2.25</v>
      </c>
      <c r="J109" s="123">
        <f t="shared" si="28"/>
        <v>2.25</v>
      </c>
      <c r="K109" s="123">
        <f t="shared" si="28"/>
        <v>2.25</v>
      </c>
      <c r="L109" s="123">
        <f t="shared" si="28"/>
        <v>2.25</v>
      </c>
      <c r="M109" s="123">
        <f t="shared" si="28"/>
        <v>2.25</v>
      </c>
      <c r="N109" s="123">
        <f t="shared" si="28"/>
        <v>2.25</v>
      </c>
      <c r="O109" s="123">
        <f t="shared" si="28"/>
        <v>2.25</v>
      </c>
      <c r="P109" s="123">
        <f t="shared" si="28"/>
        <v>2.25</v>
      </c>
      <c r="Q109" s="123">
        <f t="shared" si="28"/>
        <v>2.25</v>
      </c>
      <c r="R109" s="123">
        <f t="shared" si="28"/>
        <v>2.25</v>
      </c>
      <c r="S109" s="123">
        <f t="shared" si="28"/>
        <v>2.25</v>
      </c>
      <c r="T109" s="123">
        <f t="shared" ref="T109:AF110" si="29">S109</f>
        <v>2.25</v>
      </c>
      <c r="U109" s="123">
        <f t="shared" si="29"/>
        <v>2.25</v>
      </c>
      <c r="V109" s="123">
        <f t="shared" si="29"/>
        <v>2.25</v>
      </c>
      <c r="W109" s="123">
        <f t="shared" si="29"/>
        <v>2.25</v>
      </c>
      <c r="X109" s="123">
        <f t="shared" si="29"/>
        <v>2.25</v>
      </c>
      <c r="Y109" s="123">
        <f t="shared" si="29"/>
        <v>2.25</v>
      </c>
      <c r="Z109" s="123">
        <f t="shared" si="29"/>
        <v>2.25</v>
      </c>
      <c r="AA109" s="123">
        <f t="shared" si="29"/>
        <v>2.25</v>
      </c>
      <c r="AB109" s="123">
        <f t="shared" si="29"/>
        <v>2.25</v>
      </c>
      <c r="AC109" s="123">
        <f t="shared" si="29"/>
        <v>2.25</v>
      </c>
      <c r="AD109" s="123">
        <f t="shared" si="29"/>
        <v>2.25</v>
      </c>
      <c r="AE109" s="123">
        <f t="shared" si="29"/>
        <v>2.25</v>
      </c>
      <c r="AF109" s="123">
        <f t="shared" si="29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8"/>
        <v>1.64</v>
      </c>
      <c r="E110" s="123">
        <f t="shared" si="28"/>
        <v>1.64</v>
      </c>
      <c r="F110" s="123">
        <f t="shared" si="28"/>
        <v>1.64</v>
      </c>
      <c r="G110" s="123">
        <f t="shared" si="28"/>
        <v>1.64</v>
      </c>
      <c r="H110" s="123">
        <f t="shared" si="28"/>
        <v>1.64</v>
      </c>
      <c r="I110" s="123">
        <f t="shared" si="28"/>
        <v>1.64</v>
      </c>
      <c r="J110" s="123">
        <f t="shared" si="28"/>
        <v>1.64</v>
      </c>
      <c r="K110" s="123">
        <f t="shared" si="28"/>
        <v>1.64</v>
      </c>
      <c r="L110" s="123">
        <f t="shared" si="28"/>
        <v>1.64</v>
      </c>
      <c r="M110" s="123">
        <f t="shared" si="28"/>
        <v>1.64</v>
      </c>
      <c r="N110" s="123">
        <f t="shared" si="28"/>
        <v>1.64</v>
      </c>
      <c r="O110" s="123">
        <f t="shared" si="28"/>
        <v>1.64</v>
      </c>
      <c r="P110" s="123">
        <f t="shared" si="28"/>
        <v>1.64</v>
      </c>
      <c r="Q110" s="123">
        <f t="shared" si="28"/>
        <v>1.64</v>
      </c>
      <c r="R110" s="123">
        <f t="shared" si="28"/>
        <v>1.64</v>
      </c>
      <c r="S110" s="123">
        <f t="shared" si="28"/>
        <v>1.64</v>
      </c>
      <c r="T110" s="123">
        <f t="shared" si="29"/>
        <v>1.64</v>
      </c>
      <c r="U110" s="123">
        <f t="shared" si="29"/>
        <v>1.64</v>
      </c>
      <c r="V110" s="123">
        <f t="shared" si="29"/>
        <v>1.64</v>
      </c>
      <c r="W110" s="123">
        <f t="shared" si="29"/>
        <v>1.64</v>
      </c>
      <c r="X110" s="123">
        <f t="shared" si="29"/>
        <v>1.64</v>
      </c>
      <c r="Y110" s="123">
        <f t="shared" si="29"/>
        <v>1.64</v>
      </c>
      <c r="Z110" s="123">
        <f t="shared" si="29"/>
        <v>1.64</v>
      </c>
      <c r="AA110" s="123">
        <f t="shared" si="29"/>
        <v>1.64</v>
      </c>
      <c r="AB110" s="123">
        <f t="shared" si="29"/>
        <v>1.64</v>
      </c>
      <c r="AC110" s="123">
        <f t="shared" si="29"/>
        <v>1.64</v>
      </c>
      <c r="AD110" s="123">
        <f t="shared" si="29"/>
        <v>1.64</v>
      </c>
      <c r="AE110" s="123">
        <f t="shared" si="29"/>
        <v>1.64</v>
      </c>
      <c r="AF110" s="123">
        <f t="shared" si="29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0">AF112</f>
        <v>1.62</v>
      </c>
      <c r="C112" s="124">
        <v>1.62</v>
      </c>
      <c r="D112" s="123">
        <f t="shared" ref="D112:S119" si="31">C112</f>
        <v>1.62</v>
      </c>
      <c r="E112" s="123">
        <f t="shared" si="31"/>
        <v>1.62</v>
      </c>
      <c r="F112" s="123">
        <f t="shared" si="31"/>
        <v>1.62</v>
      </c>
      <c r="G112" s="123">
        <f t="shared" si="31"/>
        <v>1.62</v>
      </c>
      <c r="H112" s="123">
        <f t="shared" si="31"/>
        <v>1.62</v>
      </c>
      <c r="I112" s="123">
        <f t="shared" si="31"/>
        <v>1.62</v>
      </c>
      <c r="J112" s="123">
        <f t="shared" si="31"/>
        <v>1.62</v>
      </c>
      <c r="K112" s="123">
        <f t="shared" si="31"/>
        <v>1.62</v>
      </c>
      <c r="L112" s="123">
        <f t="shared" si="31"/>
        <v>1.62</v>
      </c>
      <c r="M112" s="123">
        <f t="shared" si="31"/>
        <v>1.62</v>
      </c>
      <c r="N112" s="123">
        <f t="shared" si="31"/>
        <v>1.62</v>
      </c>
      <c r="O112" s="123">
        <f t="shared" si="31"/>
        <v>1.62</v>
      </c>
      <c r="P112" s="123">
        <f t="shared" si="31"/>
        <v>1.62</v>
      </c>
      <c r="Q112" s="123">
        <f t="shared" si="31"/>
        <v>1.62</v>
      </c>
      <c r="R112" s="123">
        <f t="shared" si="31"/>
        <v>1.62</v>
      </c>
      <c r="S112" s="123">
        <f t="shared" si="31"/>
        <v>1.62</v>
      </c>
      <c r="T112" s="123">
        <f t="shared" ref="T112:AF127" si="32">S112</f>
        <v>1.62</v>
      </c>
      <c r="U112" s="123">
        <f t="shared" si="32"/>
        <v>1.62</v>
      </c>
      <c r="V112" s="123">
        <f t="shared" si="32"/>
        <v>1.62</v>
      </c>
      <c r="W112" s="123">
        <f t="shared" si="32"/>
        <v>1.62</v>
      </c>
      <c r="X112" s="123">
        <f t="shared" si="32"/>
        <v>1.62</v>
      </c>
      <c r="Y112" s="123">
        <f t="shared" si="32"/>
        <v>1.62</v>
      </c>
      <c r="Z112" s="123">
        <f t="shared" si="32"/>
        <v>1.62</v>
      </c>
      <c r="AA112" s="123">
        <f t="shared" si="32"/>
        <v>1.62</v>
      </c>
      <c r="AB112" s="123">
        <f t="shared" si="32"/>
        <v>1.62</v>
      </c>
      <c r="AC112" s="123">
        <f t="shared" si="32"/>
        <v>1.62</v>
      </c>
      <c r="AD112" s="123">
        <f t="shared" si="32"/>
        <v>1.62</v>
      </c>
      <c r="AE112" s="123">
        <f t="shared" si="32"/>
        <v>1.62</v>
      </c>
      <c r="AF112" s="123">
        <f t="shared" si="32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0"/>
        <v>8.36</v>
      </c>
      <c r="C113" s="124">
        <v>8.36</v>
      </c>
      <c r="D113" s="123">
        <f t="shared" si="31"/>
        <v>8.36</v>
      </c>
      <c r="E113" s="123">
        <f t="shared" si="31"/>
        <v>8.36</v>
      </c>
      <c r="F113" s="123">
        <f t="shared" si="31"/>
        <v>8.36</v>
      </c>
      <c r="G113" s="123">
        <f t="shared" si="31"/>
        <v>8.36</v>
      </c>
      <c r="H113" s="123">
        <f t="shared" si="31"/>
        <v>8.36</v>
      </c>
      <c r="I113" s="123">
        <f t="shared" si="31"/>
        <v>8.36</v>
      </c>
      <c r="J113" s="123">
        <f t="shared" si="31"/>
        <v>8.36</v>
      </c>
      <c r="K113" s="123">
        <f t="shared" si="31"/>
        <v>8.36</v>
      </c>
      <c r="L113" s="123">
        <f t="shared" si="31"/>
        <v>8.36</v>
      </c>
      <c r="M113" s="123">
        <f t="shared" si="31"/>
        <v>8.36</v>
      </c>
      <c r="N113" s="123">
        <f t="shared" si="31"/>
        <v>8.36</v>
      </c>
      <c r="O113" s="123">
        <f t="shared" si="31"/>
        <v>8.36</v>
      </c>
      <c r="P113" s="123">
        <f t="shared" si="31"/>
        <v>8.36</v>
      </c>
      <c r="Q113" s="123">
        <f t="shared" si="31"/>
        <v>8.36</v>
      </c>
      <c r="R113" s="123">
        <f t="shared" si="31"/>
        <v>8.36</v>
      </c>
      <c r="S113" s="123">
        <f t="shared" si="31"/>
        <v>8.36</v>
      </c>
      <c r="T113" s="123">
        <f t="shared" si="32"/>
        <v>8.36</v>
      </c>
      <c r="U113" s="123">
        <f t="shared" si="32"/>
        <v>8.36</v>
      </c>
      <c r="V113" s="123">
        <f t="shared" si="32"/>
        <v>8.36</v>
      </c>
      <c r="W113" s="123">
        <f t="shared" si="32"/>
        <v>8.36</v>
      </c>
      <c r="X113" s="123">
        <f t="shared" si="32"/>
        <v>8.36</v>
      </c>
      <c r="Y113" s="123">
        <f t="shared" si="32"/>
        <v>8.36</v>
      </c>
      <c r="Z113" s="123">
        <f t="shared" si="32"/>
        <v>8.36</v>
      </c>
      <c r="AA113" s="123">
        <f t="shared" si="32"/>
        <v>8.36</v>
      </c>
      <c r="AB113" s="123">
        <f t="shared" si="32"/>
        <v>8.36</v>
      </c>
      <c r="AC113" s="123">
        <f t="shared" si="32"/>
        <v>8.36</v>
      </c>
      <c r="AD113" s="123">
        <f t="shared" si="32"/>
        <v>8.36</v>
      </c>
      <c r="AE113" s="123">
        <f t="shared" si="32"/>
        <v>8.36</v>
      </c>
      <c r="AF113" s="123">
        <f t="shared" si="32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0"/>
        <v>5.4</v>
      </c>
      <c r="C114" s="124">
        <v>8</v>
      </c>
      <c r="D114" s="123">
        <f t="shared" si="31"/>
        <v>8</v>
      </c>
      <c r="E114" s="123">
        <f t="shared" si="31"/>
        <v>8</v>
      </c>
      <c r="F114" s="123">
        <f t="shared" si="31"/>
        <v>8</v>
      </c>
      <c r="G114" s="123">
        <f t="shared" si="31"/>
        <v>8</v>
      </c>
      <c r="H114" s="123">
        <f t="shared" si="31"/>
        <v>8</v>
      </c>
      <c r="I114" s="123">
        <f t="shared" si="31"/>
        <v>8</v>
      </c>
      <c r="J114" s="123">
        <v>5.4</v>
      </c>
      <c r="K114" s="123">
        <f t="shared" si="31"/>
        <v>5.4</v>
      </c>
      <c r="L114" s="123">
        <f t="shared" si="31"/>
        <v>5.4</v>
      </c>
      <c r="M114" s="123">
        <f t="shared" si="31"/>
        <v>5.4</v>
      </c>
      <c r="N114" s="123">
        <f t="shared" si="31"/>
        <v>5.4</v>
      </c>
      <c r="O114" s="123">
        <f t="shared" si="31"/>
        <v>5.4</v>
      </c>
      <c r="P114" s="123">
        <f t="shared" si="31"/>
        <v>5.4</v>
      </c>
      <c r="Q114" s="123">
        <f t="shared" si="31"/>
        <v>5.4</v>
      </c>
      <c r="R114" s="123">
        <f t="shared" si="31"/>
        <v>5.4</v>
      </c>
      <c r="S114" s="123">
        <f t="shared" si="31"/>
        <v>5.4</v>
      </c>
      <c r="T114" s="123">
        <f t="shared" si="32"/>
        <v>5.4</v>
      </c>
      <c r="U114" s="123">
        <f t="shared" si="32"/>
        <v>5.4</v>
      </c>
      <c r="V114" s="123">
        <f t="shared" si="32"/>
        <v>5.4</v>
      </c>
      <c r="W114" s="123">
        <f t="shared" si="32"/>
        <v>5.4</v>
      </c>
      <c r="X114" s="123">
        <f t="shared" si="32"/>
        <v>5.4</v>
      </c>
      <c r="Y114" s="123">
        <f t="shared" si="32"/>
        <v>5.4</v>
      </c>
      <c r="Z114" s="123">
        <f t="shared" si="32"/>
        <v>5.4</v>
      </c>
      <c r="AA114" s="123">
        <f t="shared" si="32"/>
        <v>5.4</v>
      </c>
      <c r="AB114" s="123">
        <f t="shared" si="32"/>
        <v>5.4</v>
      </c>
      <c r="AC114" s="123">
        <f t="shared" si="32"/>
        <v>5.4</v>
      </c>
      <c r="AD114" s="123">
        <f t="shared" si="32"/>
        <v>5.4</v>
      </c>
      <c r="AE114" s="123">
        <f t="shared" si="32"/>
        <v>5.4</v>
      </c>
      <c r="AF114" s="123">
        <f t="shared" si="32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0"/>
        <v>6.57</v>
      </c>
      <c r="C115" s="124">
        <v>6.57</v>
      </c>
      <c r="D115" s="123">
        <f t="shared" si="31"/>
        <v>6.57</v>
      </c>
      <c r="E115" s="123">
        <f t="shared" si="31"/>
        <v>6.57</v>
      </c>
      <c r="F115" s="123">
        <f t="shared" si="31"/>
        <v>6.57</v>
      </c>
      <c r="G115" s="123">
        <f t="shared" si="31"/>
        <v>6.57</v>
      </c>
      <c r="H115" s="123">
        <f t="shared" si="31"/>
        <v>6.57</v>
      </c>
      <c r="I115" s="123">
        <f t="shared" si="31"/>
        <v>6.57</v>
      </c>
      <c r="J115" s="123">
        <f t="shared" si="31"/>
        <v>6.57</v>
      </c>
      <c r="K115" s="123">
        <f t="shared" si="31"/>
        <v>6.57</v>
      </c>
      <c r="L115" s="123">
        <f t="shared" si="31"/>
        <v>6.57</v>
      </c>
      <c r="M115" s="123">
        <f t="shared" si="31"/>
        <v>6.57</v>
      </c>
      <c r="N115" s="123">
        <f t="shared" si="31"/>
        <v>6.57</v>
      </c>
      <c r="O115" s="123">
        <f t="shared" si="31"/>
        <v>6.57</v>
      </c>
      <c r="P115" s="123">
        <f t="shared" si="31"/>
        <v>6.57</v>
      </c>
      <c r="Q115" s="123">
        <f t="shared" si="31"/>
        <v>6.57</v>
      </c>
      <c r="R115" s="123">
        <f t="shared" si="31"/>
        <v>6.57</v>
      </c>
      <c r="S115" s="123">
        <f t="shared" si="31"/>
        <v>6.57</v>
      </c>
      <c r="T115" s="123">
        <f t="shared" si="32"/>
        <v>6.57</v>
      </c>
      <c r="U115" s="123">
        <f t="shared" si="32"/>
        <v>6.57</v>
      </c>
      <c r="V115" s="123">
        <f t="shared" si="32"/>
        <v>6.57</v>
      </c>
      <c r="W115" s="123">
        <f t="shared" si="32"/>
        <v>6.57</v>
      </c>
      <c r="X115" s="123">
        <f t="shared" si="32"/>
        <v>6.57</v>
      </c>
      <c r="Y115" s="123">
        <f t="shared" si="32"/>
        <v>6.57</v>
      </c>
      <c r="Z115" s="123">
        <f t="shared" si="32"/>
        <v>6.57</v>
      </c>
      <c r="AA115" s="123">
        <f t="shared" si="32"/>
        <v>6.57</v>
      </c>
      <c r="AB115" s="123">
        <f t="shared" si="32"/>
        <v>6.57</v>
      </c>
      <c r="AC115" s="123">
        <f t="shared" si="32"/>
        <v>6.57</v>
      </c>
      <c r="AD115" s="123">
        <f t="shared" si="32"/>
        <v>6.57</v>
      </c>
      <c r="AE115" s="123">
        <f t="shared" si="32"/>
        <v>6.57</v>
      </c>
      <c r="AF115" s="123">
        <f t="shared" si="32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0"/>
        <v>3.43</v>
      </c>
      <c r="C116" s="124">
        <v>3.43</v>
      </c>
      <c r="D116" s="123">
        <f t="shared" si="31"/>
        <v>3.43</v>
      </c>
      <c r="E116" s="123">
        <f t="shared" si="31"/>
        <v>3.43</v>
      </c>
      <c r="F116" s="123">
        <f t="shared" si="31"/>
        <v>3.43</v>
      </c>
      <c r="G116" s="123">
        <f t="shared" si="31"/>
        <v>3.43</v>
      </c>
      <c r="H116" s="123">
        <f t="shared" si="31"/>
        <v>3.43</v>
      </c>
      <c r="I116" s="123">
        <f t="shared" si="31"/>
        <v>3.43</v>
      </c>
      <c r="J116" s="123">
        <f t="shared" si="31"/>
        <v>3.43</v>
      </c>
      <c r="K116" s="123">
        <f t="shared" si="31"/>
        <v>3.43</v>
      </c>
      <c r="L116" s="123">
        <f t="shared" si="31"/>
        <v>3.43</v>
      </c>
      <c r="M116" s="123">
        <f t="shared" si="31"/>
        <v>3.43</v>
      </c>
      <c r="N116" s="123">
        <f t="shared" si="31"/>
        <v>3.43</v>
      </c>
      <c r="O116" s="123">
        <f t="shared" si="31"/>
        <v>3.43</v>
      </c>
      <c r="P116" s="123">
        <f t="shared" si="31"/>
        <v>3.43</v>
      </c>
      <c r="Q116" s="123">
        <f t="shared" si="31"/>
        <v>3.43</v>
      </c>
      <c r="R116" s="123">
        <f t="shared" si="31"/>
        <v>3.43</v>
      </c>
      <c r="S116" s="123">
        <f t="shared" si="31"/>
        <v>3.43</v>
      </c>
      <c r="T116" s="123">
        <f t="shared" si="32"/>
        <v>3.43</v>
      </c>
      <c r="U116" s="123">
        <f t="shared" si="32"/>
        <v>3.43</v>
      </c>
      <c r="V116" s="123">
        <f t="shared" si="32"/>
        <v>3.43</v>
      </c>
      <c r="W116" s="123">
        <f t="shared" si="32"/>
        <v>3.43</v>
      </c>
      <c r="X116" s="123">
        <f t="shared" si="32"/>
        <v>3.43</v>
      </c>
      <c r="Y116" s="123">
        <f t="shared" si="32"/>
        <v>3.43</v>
      </c>
      <c r="Z116" s="123">
        <f t="shared" si="32"/>
        <v>3.43</v>
      </c>
      <c r="AA116" s="123">
        <f t="shared" si="32"/>
        <v>3.43</v>
      </c>
      <c r="AB116" s="123">
        <f t="shared" si="32"/>
        <v>3.43</v>
      </c>
      <c r="AC116" s="123">
        <f t="shared" si="32"/>
        <v>3.43</v>
      </c>
      <c r="AD116" s="123">
        <f t="shared" si="32"/>
        <v>3.43</v>
      </c>
      <c r="AE116" s="123">
        <f t="shared" si="32"/>
        <v>3.43</v>
      </c>
      <c r="AF116" s="123">
        <f t="shared" si="32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0"/>
        <v>2.96</v>
      </c>
      <c r="C117" s="124">
        <v>2.96</v>
      </c>
      <c r="D117" s="123">
        <f t="shared" si="31"/>
        <v>2.96</v>
      </c>
      <c r="E117" s="123">
        <f t="shared" si="31"/>
        <v>2.96</v>
      </c>
      <c r="F117" s="123">
        <f t="shared" si="31"/>
        <v>2.96</v>
      </c>
      <c r="G117" s="123">
        <f t="shared" si="31"/>
        <v>2.96</v>
      </c>
      <c r="H117" s="123">
        <f t="shared" si="31"/>
        <v>2.96</v>
      </c>
      <c r="I117" s="123">
        <f t="shared" si="31"/>
        <v>2.96</v>
      </c>
      <c r="J117" s="123">
        <f t="shared" si="31"/>
        <v>2.96</v>
      </c>
      <c r="K117" s="123">
        <f t="shared" si="31"/>
        <v>2.96</v>
      </c>
      <c r="L117" s="123">
        <f t="shared" si="31"/>
        <v>2.96</v>
      </c>
      <c r="M117" s="123">
        <f t="shared" si="31"/>
        <v>2.96</v>
      </c>
      <c r="N117" s="123">
        <f t="shared" si="31"/>
        <v>2.96</v>
      </c>
      <c r="O117" s="123">
        <f t="shared" si="31"/>
        <v>2.96</v>
      </c>
      <c r="P117" s="123">
        <f t="shared" si="31"/>
        <v>2.96</v>
      </c>
      <c r="Q117" s="123">
        <f t="shared" si="31"/>
        <v>2.96</v>
      </c>
      <c r="R117" s="123">
        <f t="shared" si="31"/>
        <v>2.96</v>
      </c>
      <c r="S117" s="123">
        <f t="shared" si="31"/>
        <v>2.96</v>
      </c>
      <c r="T117" s="123">
        <f t="shared" si="32"/>
        <v>2.96</v>
      </c>
      <c r="U117" s="123">
        <f t="shared" si="32"/>
        <v>2.96</v>
      </c>
      <c r="V117" s="123">
        <f t="shared" si="32"/>
        <v>2.96</v>
      </c>
      <c r="W117" s="123">
        <f t="shared" si="32"/>
        <v>2.96</v>
      </c>
      <c r="X117" s="123">
        <f t="shared" si="32"/>
        <v>2.96</v>
      </c>
      <c r="Y117" s="123">
        <f t="shared" si="32"/>
        <v>2.96</v>
      </c>
      <c r="Z117" s="123">
        <f t="shared" si="32"/>
        <v>2.96</v>
      </c>
      <c r="AA117" s="123">
        <f t="shared" si="32"/>
        <v>2.96</v>
      </c>
      <c r="AB117" s="123">
        <f t="shared" si="32"/>
        <v>2.96</v>
      </c>
      <c r="AC117" s="123">
        <f t="shared" si="32"/>
        <v>2.96</v>
      </c>
      <c r="AD117" s="123">
        <f t="shared" si="32"/>
        <v>2.96</v>
      </c>
      <c r="AE117" s="123">
        <f t="shared" si="32"/>
        <v>2.96</v>
      </c>
      <c r="AF117" s="123">
        <f t="shared" si="32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0"/>
        <v>8</v>
      </c>
      <c r="C118" s="124">
        <v>8</v>
      </c>
      <c r="D118" s="123">
        <f t="shared" si="31"/>
        <v>8</v>
      </c>
      <c r="E118" s="123">
        <f t="shared" si="31"/>
        <v>8</v>
      </c>
      <c r="F118" s="123">
        <f t="shared" si="31"/>
        <v>8</v>
      </c>
      <c r="G118" s="123">
        <f t="shared" si="31"/>
        <v>8</v>
      </c>
      <c r="H118" s="123">
        <f t="shared" si="31"/>
        <v>8</v>
      </c>
      <c r="I118" s="123">
        <f t="shared" si="31"/>
        <v>8</v>
      </c>
      <c r="J118" s="123">
        <f t="shared" si="31"/>
        <v>8</v>
      </c>
      <c r="K118" s="123">
        <f t="shared" si="31"/>
        <v>8</v>
      </c>
      <c r="L118" s="123">
        <f t="shared" si="31"/>
        <v>8</v>
      </c>
      <c r="M118" s="123">
        <f t="shared" si="31"/>
        <v>8</v>
      </c>
      <c r="N118" s="123">
        <f t="shared" si="31"/>
        <v>8</v>
      </c>
      <c r="O118" s="123">
        <f t="shared" si="31"/>
        <v>8</v>
      </c>
      <c r="P118" s="123">
        <f t="shared" si="31"/>
        <v>8</v>
      </c>
      <c r="Q118" s="123">
        <f t="shared" si="31"/>
        <v>8</v>
      </c>
      <c r="R118" s="123">
        <f t="shared" si="31"/>
        <v>8</v>
      </c>
      <c r="S118" s="123">
        <f t="shared" si="31"/>
        <v>8</v>
      </c>
      <c r="T118" s="123">
        <f t="shared" si="32"/>
        <v>8</v>
      </c>
      <c r="U118" s="123">
        <f t="shared" si="32"/>
        <v>8</v>
      </c>
      <c r="V118" s="123">
        <f t="shared" si="32"/>
        <v>8</v>
      </c>
      <c r="W118" s="123">
        <f t="shared" si="32"/>
        <v>8</v>
      </c>
      <c r="X118" s="123">
        <f t="shared" si="32"/>
        <v>8</v>
      </c>
      <c r="Y118" s="123">
        <f t="shared" si="32"/>
        <v>8</v>
      </c>
      <c r="Z118" s="123">
        <f t="shared" si="32"/>
        <v>8</v>
      </c>
      <c r="AA118" s="123">
        <f t="shared" si="32"/>
        <v>8</v>
      </c>
      <c r="AB118" s="123">
        <f t="shared" si="32"/>
        <v>8</v>
      </c>
      <c r="AC118" s="123">
        <f t="shared" si="32"/>
        <v>8</v>
      </c>
      <c r="AD118" s="123">
        <f t="shared" si="32"/>
        <v>8</v>
      </c>
      <c r="AE118" s="123">
        <f t="shared" si="32"/>
        <v>8</v>
      </c>
      <c r="AF118" s="123">
        <f t="shared" si="32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0"/>
        <v>7</v>
      </c>
      <c r="C119" s="124">
        <v>7</v>
      </c>
      <c r="D119" s="123">
        <f>C119</f>
        <v>7</v>
      </c>
      <c r="E119" s="123">
        <f t="shared" si="31"/>
        <v>7</v>
      </c>
      <c r="F119" s="123">
        <f t="shared" si="31"/>
        <v>7</v>
      </c>
      <c r="G119" s="123">
        <f t="shared" si="31"/>
        <v>7</v>
      </c>
      <c r="H119" s="123">
        <f t="shared" si="31"/>
        <v>7</v>
      </c>
      <c r="I119" s="123">
        <f t="shared" si="31"/>
        <v>7</v>
      </c>
      <c r="J119" s="123">
        <f t="shared" si="31"/>
        <v>7</v>
      </c>
      <c r="K119" s="123">
        <f t="shared" si="31"/>
        <v>7</v>
      </c>
      <c r="L119" s="123">
        <f t="shared" si="31"/>
        <v>7</v>
      </c>
      <c r="M119" s="123">
        <f t="shared" si="31"/>
        <v>7</v>
      </c>
      <c r="N119" s="123">
        <f t="shared" si="31"/>
        <v>7</v>
      </c>
      <c r="O119" s="123">
        <f t="shared" si="31"/>
        <v>7</v>
      </c>
      <c r="P119" s="123">
        <f t="shared" si="31"/>
        <v>7</v>
      </c>
      <c r="Q119" s="123">
        <f t="shared" si="31"/>
        <v>7</v>
      </c>
      <c r="R119" s="123">
        <f t="shared" si="31"/>
        <v>7</v>
      </c>
      <c r="S119" s="123">
        <f t="shared" si="31"/>
        <v>7</v>
      </c>
      <c r="T119" s="123">
        <f t="shared" si="32"/>
        <v>7</v>
      </c>
      <c r="U119" s="123">
        <f t="shared" si="32"/>
        <v>7</v>
      </c>
      <c r="V119" s="123">
        <f t="shared" si="32"/>
        <v>7</v>
      </c>
      <c r="W119" s="123">
        <f t="shared" si="32"/>
        <v>7</v>
      </c>
      <c r="X119" s="123">
        <f t="shared" si="32"/>
        <v>7</v>
      </c>
      <c r="Y119" s="123">
        <f t="shared" si="32"/>
        <v>7</v>
      </c>
      <c r="Z119" s="123">
        <f t="shared" si="32"/>
        <v>7</v>
      </c>
      <c r="AA119" s="123">
        <f t="shared" si="32"/>
        <v>7</v>
      </c>
      <c r="AB119" s="123">
        <f t="shared" si="32"/>
        <v>7</v>
      </c>
      <c r="AC119" s="123">
        <f t="shared" si="32"/>
        <v>7</v>
      </c>
      <c r="AD119" s="123">
        <f t="shared" si="32"/>
        <v>7</v>
      </c>
      <c r="AE119" s="123">
        <f t="shared" si="32"/>
        <v>7</v>
      </c>
      <c r="AF119" s="123">
        <f t="shared" si="32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0"/>
        <v>3.47</v>
      </c>
      <c r="C120" s="124">
        <v>3.47</v>
      </c>
      <c r="D120" s="123">
        <f t="shared" ref="D120:S129" si="33">C120</f>
        <v>3.47</v>
      </c>
      <c r="E120" s="123">
        <f t="shared" si="33"/>
        <v>3.47</v>
      </c>
      <c r="F120" s="123">
        <f t="shared" si="33"/>
        <v>3.47</v>
      </c>
      <c r="G120" s="123">
        <f t="shared" si="33"/>
        <v>3.47</v>
      </c>
      <c r="H120" s="123">
        <f t="shared" si="33"/>
        <v>3.47</v>
      </c>
      <c r="I120" s="123">
        <f t="shared" si="33"/>
        <v>3.47</v>
      </c>
      <c r="J120" s="123">
        <f t="shared" si="33"/>
        <v>3.47</v>
      </c>
      <c r="K120" s="123">
        <f t="shared" si="33"/>
        <v>3.47</v>
      </c>
      <c r="L120" s="123">
        <f t="shared" si="33"/>
        <v>3.47</v>
      </c>
      <c r="M120" s="123">
        <f t="shared" si="33"/>
        <v>3.47</v>
      </c>
      <c r="N120" s="123">
        <f t="shared" si="33"/>
        <v>3.47</v>
      </c>
      <c r="O120" s="123">
        <f t="shared" si="33"/>
        <v>3.47</v>
      </c>
      <c r="P120" s="123">
        <f t="shared" si="33"/>
        <v>3.47</v>
      </c>
      <c r="Q120" s="123">
        <f t="shared" si="33"/>
        <v>3.47</v>
      </c>
      <c r="R120" s="123">
        <f t="shared" si="33"/>
        <v>3.47</v>
      </c>
      <c r="S120" s="123">
        <f t="shared" si="33"/>
        <v>3.47</v>
      </c>
      <c r="T120" s="123">
        <f t="shared" si="32"/>
        <v>3.47</v>
      </c>
      <c r="U120" s="123">
        <f t="shared" si="32"/>
        <v>3.47</v>
      </c>
      <c r="V120" s="123">
        <f t="shared" si="32"/>
        <v>3.47</v>
      </c>
      <c r="W120" s="123">
        <f t="shared" si="32"/>
        <v>3.47</v>
      </c>
      <c r="X120" s="123">
        <f t="shared" si="32"/>
        <v>3.47</v>
      </c>
      <c r="Y120" s="123">
        <f t="shared" si="32"/>
        <v>3.47</v>
      </c>
      <c r="Z120" s="123">
        <f t="shared" si="32"/>
        <v>3.47</v>
      </c>
      <c r="AA120" s="123">
        <f t="shared" si="32"/>
        <v>3.47</v>
      </c>
      <c r="AB120" s="123">
        <f t="shared" si="32"/>
        <v>3.47</v>
      </c>
      <c r="AC120" s="123">
        <f t="shared" si="32"/>
        <v>3.47</v>
      </c>
      <c r="AD120" s="123">
        <f t="shared" si="32"/>
        <v>3.47</v>
      </c>
      <c r="AE120" s="123">
        <f t="shared" si="32"/>
        <v>3.47</v>
      </c>
      <c r="AF120" s="123">
        <f t="shared" si="32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0"/>
        <v>2.1</v>
      </c>
      <c r="C121" s="124">
        <v>2.1</v>
      </c>
      <c r="D121" s="123">
        <f t="shared" si="33"/>
        <v>2.1</v>
      </c>
      <c r="E121" s="123">
        <f t="shared" si="33"/>
        <v>2.1</v>
      </c>
      <c r="F121" s="123">
        <f t="shared" si="33"/>
        <v>2.1</v>
      </c>
      <c r="G121" s="123">
        <f t="shared" si="33"/>
        <v>2.1</v>
      </c>
      <c r="H121" s="123">
        <f t="shared" si="33"/>
        <v>2.1</v>
      </c>
      <c r="I121" s="123">
        <f t="shared" si="33"/>
        <v>2.1</v>
      </c>
      <c r="J121" s="123">
        <f t="shared" si="33"/>
        <v>2.1</v>
      </c>
      <c r="K121" s="123">
        <f t="shared" si="33"/>
        <v>2.1</v>
      </c>
      <c r="L121" s="123">
        <f t="shared" si="33"/>
        <v>2.1</v>
      </c>
      <c r="M121" s="123">
        <f t="shared" si="33"/>
        <v>2.1</v>
      </c>
      <c r="N121" s="123">
        <f t="shared" si="33"/>
        <v>2.1</v>
      </c>
      <c r="O121" s="123">
        <f t="shared" si="33"/>
        <v>2.1</v>
      </c>
      <c r="P121" s="123">
        <f t="shared" si="33"/>
        <v>2.1</v>
      </c>
      <c r="Q121" s="123">
        <f t="shared" si="33"/>
        <v>2.1</v>
      </c>
      <c r="R121" s="123">
        <f t="shared" si="33"/>
        <v>2.1</v>
      </c>
      <c r="S121" s="123">
        <f t="shared" si="33"/>
        <v>2.1</v>
      </c>
      <c r="T121" s="123">
        <f t="shared" si="32"/>
        <v>2.1</v>
      </c>
      <c r="U121" s="123">
        <f t="shared" si="32"/>
        <v>2.1</v>
      </c>
      <c r="V121" s="123">
        <f t="shared" si="32"/>
        <v>2.1</v>
      </c>
      <c r="W121" s="123">
        <f t="shared" si="32"/>
        <v>2.1</v>
      </c>
      <c r="X121" s="123">
        <f t="shared" si="32"/>
        <v>2.1</v>
      </c>
      <c r="Y121" s="123">
        <f t="shared" si="32"/>
        <v>2.1</v>
      </c>
      <c r="Z121" s="123">
        <f t="shared" si="32"/>
        <v>2.1</v>
      </c>
      <c r="AA121" s="123">
        <f t="shared" si="32"/>
        <v>2.1</v>
      </c>
      <c r="AB121" s="123">
        <f t="shared" si="32"/>
        <v>2.1</v>
      </c>
      <c r="AC121" s="123">
        <f t="shared" si="32"/>
        <v>2.1</v>
      </c>
      <c r="AD121" s="123">
        <f t="shared" si="32"/>
        <v>2.1</v>
      </c>
      <c r="AE121" s="123">
        <f t="shared" si="32"/>
        <v>2.1</v>
      </c>
      <c r="AF121" s="123">
        <f t="shared" si="32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0"/>
        <v>9.3000000000000007</v>
      </c>
      <c r="C122" s="124">
        <v>9.3000000000000007</v>
      </c>
      <c r="D122" s="123">
        <f t="shared" si="33"/>
        <v>9.3000000000000007</v>
      </c>
      <c r="E122" s="123">
        <f t="shared" si="33"/>
        <v>9.3000000000000007</v>
      </c>
      <c r="F122" s="123">
        <f t="shared" si="33"/>
        <v>9.3000000000000007</v>
      </c>
      <c r="G122" s="123">
        <f t="shared" si="33"/>
        <v>9.3000000000000007</v>
      </c>
      <c r="H122" s="123">
        <f t="shared" si="33"/>
        <v>9.3000000000000007</v>
      </c>
      <c r="I122" s="123">
        <f t="shared" si="33"/>
        <v>9.3000000000000007</v>
      </c>
      <c r="J122" s="123">
        <f t="shared" si="33"/>
        <v>9.3000000000000007</v>
      </c>
      <c r="K122" s="123">
        <f t="shared" si="33"/>
        <v>9.3000000000000007</v>
      </c>
      <c r="L122" s="123">
        <f t="shared" si="33"/>
        <v>9.3000000000000007</v>
      </c>
      <c r="M122" s="123">
        <f t="shared" si="33"/>
        <v>9.3000000000000007</v>
      </c>
      <c r="N122" s="123">
        <f t="shared" si="33"/>
        <v>9.3000000000000007</v>
      </c>
      <c r="O122" s="123">
        <f t="shared" si="33"/>
        <v>9.3000000000000007</v>
      </c>
      <c r="P122" s="123">
        <f t="shared" si="33"/>
        <v>9.3000000000000007</v>
      </c>
      <c r="Q122" s="123">
        <f t="shared" si="33"/>
        <v>9.3000000000000007</v>
      </c>
      <c r="R122" s="123">
        <f t="shared" si="33"/>
        <v>9.3000000000000007</v>
      </c>
      <c r="S122" s="123">
        <f t="shared" si="33"/>
        <v>9.3000000000000007</v>
      </c>
      <c r="T122" s="123">
        <f t="shared" si="32"/>
        <v>9.3000000000000007</v>
      </c>
      <c r="U122" s="123">
        <f t="shared" si="32"/>
        <v>9.3000000000000007</v>
      </c>
      <c r="V122" s="123">
        <f t="shared" si="32"/>
        <v>9.3000000000000007</v>
      </c>
      <c r="W122" s="123">
        <f t="shared" si="32"/>
        <v>9.3000000000000007</v>
      </c>
      <c r="X122" s="123">
        <f t="shared" si="32"/>
        <v>9.3000000000000007</v>
      </c>
      <c r="Y122" s="123">
        <f t="shared" si="32"/>
        <v>9.3000000000000007</v>
      </c>
      <c r="Z122" s="123">
        <f t="shared" si="32"/>
        <v>9.3000000000000007</v>
      </c>
      <c r="AA122" s="123">
        <f t="shared" si="32"/>
        <v>9.3000000000000007</v>
      </c>
      <c r="AB122" s="123">
        <f t="shared" si="32"/>
        <v>9.3000000000000007</v>
      </c>
      <c r="AC122" s="123">
        <f t="shared" si="32"/>
        <v>9.3000000000000007</v>
      </c>
      <c r="AD122" s="123">
        <f t="shared" si="32"/>
        <v>9.3000000000000007</v>
      </c>
      <c r="AE122" s="123">
        <f t="shared" si="32"/>
        <v>9.3000000000000007</v>
      </c>
      <c r="AF122" s="123">
        <f t="shared" si="32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0"/>
        <v>0</v>
      </c>
      <c r="C123" s="124">
        <v>0</v>
      </c>
      <c r="D123" s="123">
        <f t="shared" si="33"/>
        <v>0</v>
      </c>
      <c r="E123" s="123">
        <f t="shared" si="33"/>
        <v>0</v>
      </c>
      <c r="F123" s="123">
        <f t="shared" si="33"/>
        <v>0</v>
      </c>
      <c r="G123" s="123">
        <f t="shared" si="33"/>
        <v>0</v>
      </c>
      <c r="H123" s="123">
        <f t="shared" si="33"/>
        <v>0</v>
      </c>
      <c r="I123" s="123">
        <f t="shared" si="33"/>
        <v>0</v>
      </c>
      <c r="J123" s="123">
        <f t="shared" si="33"/>
        <v>0</v>
      </c>
      <c r="K123" s="123">
        <f t="shared" si="33"/>
        <v>0</v>
      </c>
      <c r="L123" s="123">
        <f t="shared" si="33"/>
        <v>0</v>
      </c>
      <c r="M123" s="123">
        <f t="shared" si="33"/>
        <v>0</v>
      </c>
      <c r="N123" s="123">
        <f t="shared" si="33"/>
        <v>0</v>
      </c>
      <c r="O123" s="123">
        <f t="shared" si="33"/>
        <v>0</v>
      </c>
      <c r="P123" s="123">
        <f t="shared" si="33"/>
        <v>0</v>
      </c>
      <c r="Q123" s="123">
        <f t="shared" si="33"/>
        <v>0</v>
      </c>
      <c r="R123" s="123">
        <f t="shared" si="33"/>
        <v>0</v>
      </c>
      <c r="S123" s="123">
        <f t="shared" si="33"/>
        <v>0</v>
      </c>
      <c r="T123" s="123">
        <f t="shared" si="32"/>
        <v>0</v>
      </c>
      <c r="U123" s="123">
        <f t="shared" si="32"/>
        <v>0</v>
      </c>
      <c r="V123" s="123">
        <f t="shared" si="32"/>
        <v>0</v>
      </c>
      <c r="W123" s="123">
        <f t="shared" si="32"/>
        <v>0</v>
      </c>
      <c r="X123" s="123">
        <f t="shared" si="32"/>
        <v>0</v>
      </c>
      <c r="Y123" s="123">
        <f t="shared" si="32"/>
        <v>0</v>
      </c>
      <c r="Z123" s="123">
        <f t="shared" si="32"/>
        <v>0</v>
      </c>
      <c r="AA123" s="123">
        <f t="shared" si="32"/>
        <v>0</v>
      </c>
      <c r="AB123" s="123">
        <f t="shared" si="32"/>
        <v>0</v>
      </c>
      <c r="AC123" s="123">
        <f t="shared" si="32"/>
        <v>0</v>
      </c>
      <c r="AD123" s="123">
        <f t="shared" si="32"/>
        <v>0</v>
      </c>
      <c r="AE123" s="123">
        <f t="shared" si="32"/>
        <v>0</v>
      </c>
      <c r="AF123" s="123">
        <f t="shared" si="32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0"/>
        <v>;/</v>
      </c>
      <c r="C125" s="124">
        <v>5</v>
      </c>
      <c r="D125" s="123">
        <f t="shared" si="33"/>
        <v>5</v>
      </c>
      <c r="E125" s="123">
        <f t="shared" si="33"/>
        <v>5</v>
      </c>
      <c r="F125" s="123">
        <f t="shared" si="33"/>
        <v>5</v>
      </c>
      <c r="G125" s="123">
        <f t="shared" si="33"/>
        <v>5</v>
      </c>
      <c r="H125" s="123">
        <f t="shared" si="33"/>
        <v>5</v>
      </c>
      <c r="I125" s="123" t="s">
        <v>131</v>
      </c>
      <c r="J125" s="123" t="str">
        <f t="shared" si="33"/>
        <v>;/</v>
      </c>
      <c r="K125" s="123" t="str">
        <f t="shared" si="33"/>
        <v>;/</v>
      </c>
      <c r="L125" s="123" t="str">
        <f t="shared" si="33"/>
        <v>;/</v>
      </c>
      <c r="M125" s="123" t="str">
        <f t="shared" si="33"/>
        <v>;/</v>
      </c>
      <c r="N125" s="123" t="str">
        <f t="shared" si="33"/>
        <v>;/</v>
      </c>
      <c r="O125" s="123" t="str">
        <f t="shared" si="33"/>
        <v>;/</v>
      </c>
      <c r="P125" s="123" t="str">
        <f t="shared" si="33"/>
        <v>;/</v>
      </c>
      <c r="Q125" s="123" t="str">
        <f t="shared" si="33"/>
        <v>;/</v>
      </c>
      <c r="R125" s="123" t="str">
        <f t="shared" si="33"/>
        <v>;/</v>
      </c>
      <c r="S125" s="123" t="str">
        <f t="shared" si="33"/>
        <v>;/</v>
      </c>
      <c r="T125" s="123" t="str">
        <f t="shared" si="32"/>
        <v>;/</v>
      </c>
      <c r="U125" s="123" t="str">
        <f t="shared" si="32"/>
        <v>;/</v>
      </c>
      <c r="V125" s="123" t="str">
        <f t="shared" si="32"/>
        <v>;/</v>
      </c>
      <c r="W125" s="123" t="str">
        <f t="shared" si="32"/>
        <v>;/</v>
      </c>
      <c r="X125" s="123" t="str">
        <f t="shared" si="32"/>
        <v>;/</v>
      </c>
      <c r="Y125" s="123" t="str">
        <f t="shared" si="32"/>
        <v>;/</v>
      </c>
      <c r="Z125" s="123" t="str">
        <f t="shared" si="32"/>
        <v>;/</v>
      </c>
      <c r="AA125" s="123" t="str">
        <f t="shared" si="32"/>
        <v>;/</v>
      </c>
      <c r="AB125" s="123" t="str">
        <f t="shared" si="32"/>
        <v>;/</v>
      </c>
      <c r="AC125" s="123" t="str">
        <f t="shared" si="32"/>
        <v>;/</v>
      </c>
      <c r="AD125" s="123" t="str">
        <f t="shared" si="32"/>
        <v>;/</v>
      </c>
      <c r="AE125" s="123" t="str">
        <f t="shared" si="32"/>
        <v>;/</v>
      </c>
      <c r="AF125" s="123" t="str">
        <f t="shared" si="32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0"/>
        <v>1</v>
      </c>
      <c r="C126" s="124">
        <v>1</v>
      </c>
      <c r="D126" s="123">
        <f t="shared" si="33"/>
        <v>1</v>
      </c>
      <c r="E126" s="123">
        <f t="shared" si="33"/>
        <v>1</v>
      </c>
      <c r="F126" s="123">
        <f t="shared" si="33"/>
        <v>1</v>
      </c>
      <c r="G126" s="123">
        <f t="shared" si="33"/>
        <v>1</v>
      </c>
      <c r="H126" s="123">
        <f t="shared" si="33"/>
        <v>1</v>
      </c>
      <c r="I126" s="123">
        <f t="shared" si="33"/>
        <v>1</v>
      </c>
      <c r="J126" s="123">
        <f t="shared" si="33"/>
        <v>1</v>
      </c>
      <c r="K126" s="123">
        <f t="shared" si="33"/>
        <v>1</v>
      </c>
      <c r="L126" s="123">
        <f t="shared" si="33"/>
        <v>1</v>
      </c>
      <c r="M126" s="123">
        <f t="shared" si="33"/>
        <v>1</v>
      </c>
      <c r="N126" s="123">
        <f t="shared" si="33"/>
        <v>1</v>
      </c>
      <c r="O126" s="123">
        <f t="shared" si="33"/>
        <v>1</v>
      </c>
      <c r="P126" s="123">
        <f t="shared" si="33"/>
        <v>1</v>
      </c>
      <c r="Q126" s="123">
        <f t="shared" si="33"/>
        <v>1</v>
      </c>
      <c r="R126" s="123">
        <f t="shared" si="33"/>
        <v>1</v>
      </c>
      <c r="S126" s="123">
        <f t="shared" si="33"/>
        <v>1</v>
      </c>
      <c r="T126" s="123">
        <f t="shared" si="32"/>
        <v>1</v>
      </c>
      <c r="U126" s="123">
        <f t="shared" si="32"/>
        <v>1</v>
      </c>
      <c r="V126" s="123">
        <f t="shared" si="32"/>
        <v>1</v>
      </c>
      <c r="W126" s="123">
        <f t="shared" si="32"/>
        <v>1</v>
      </c>
      <c r="X126" s="123">
        <f t="shared" si="32"/>
        <v>1</v>
      </c>
      <c r="Y126" s="123">
        <f t="shared" si="32"/>
        <v>1</v>
      </c>
      <c r="Z126" s="123">
        <f t="shared" si="32"/>
        <v>1</v>
      </c>
      <c r="AA126" s="123">
        <f t="shared" si="32"/>
        <v>1</v>
      </c>
      <c r="AB126" s="123">
        <f t="shared" si="32"/>
        <v>1</v>
      </c>
      <c r="AC126" s="123">
        <f t="shared" si="32"/>
        <v>1</v>
      </c>
      <c r="AD126" s="123">
        <f t="shared" si="32"/>
        <v>1</v>
      </c>
      <c r="AE126" s="123">
        <f t="shared" si="32"/>
        <v>1</v>
      </c>
      <c r="AF126" s="123">
        <f t="shared" si="32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0"/>
        <v>1.58</v>
      </c>
      <c r="C127" s="124">
        <v>1.58</v>
      </c>
      <c r="D127" s="123">
        <f t="shared" si="33"/>
        <v>1.58</v>
      </c>
      <c r="E127" s="123">
        <f t="shared" si="33"/>
        <v>1.58</v>
      </c>
      <c r="F127" s="123">
        <f t="shared" si="33"/>
        <v>1.58</v>
      </c>
      <c r="G127" s="123">
        <f t="shared" si="33"/>
        <v>1.58</v>
      </c>
      <c r="H127" s="123">
        <f t="shared" si="33"/>
        <v>1.58</v>
      </c>
      <c r="I127" s="123">
        <f t="shared" si="33"/>
        <v>1.58</v>
      </c>
      <c r="J127" s="123">
        <f t="shared" si="33"/>
        <v>1.58</v>
      </c>
      <c r="K127" s="123">
        <f t="shared" si="33"/>
        <v>1.58</v>
      </c>
      <c r="L127" s="123">
        <f t="shared" si="33"/>
        <v>1.58</v>
      </c>
      <c r="M127" s="123">
        <f t="shared" si="33"/>
        <v>1.58</v>
      </c>
      <c r="N127" s="123">
        <f t="shared" si="33"/>
        <v>1.58</v>
      </c>
      <c r="O127" s="123">
        <f t="shared" si="33"/>
        <v>1.58</v>
      </c>
      <c r="P127" s="123">
        <f t="shared" si="33"/>
        <v>1.58</v>
      </c>
      <c r="Q127" s="123">
        <f t="shared" si="33"/>
        <v>1.58</v>
      </c>
      <c r="R127" s="123">
        <f t="shared" si="33"/>
        <v>1.58</v>
      </c>
      <c r="S127" s="123">
        <f t="shared" si="33"/>
        <v>1.58</v>
      </c>
      <c r="T127" s="123">
        <f t="shared" si="32"/>
        <v>1.58</v>
      </c>
      <c r="U127" s="123">
        <f t="shared" si="32"/>
        <v>1.58</v>
      </c>
      <c r="V127" s="123">
        <f t="shared" si="32"/>
        <v>1.58</v>
      </c>
      <c r="W127" s="123">
        <f t="shared" si="32"/>
        <v>1.58</v>
      </c>
      <c r="X127" s="123">
        <f t="shared" si="32"/>
        <v>1.58</v>
      </c>
      <c r="Y127" s="123">
        <f t="shared" si="32"/>
        <v>1.58</v>
      </c>
      <c r="Z127" s="123">
        <f t="shared" si="32"/>
        <v>1.58</v>
      </c>
      <c r="AA127" s="123">
        <f t="shared" si="32"/>
        <v>1.58</v>
      </c>
      <c r="AB127" s="123">
        <f t="shared" si="32"/>
        <v>1.58</v>
      </c>
      <c r="AC127" s="123">
        <f t="shared" si="32"/>
        <v>1.58</v>
      </c>
      <c r="AD127" s="123">
        <f t="shared" si="32"/>
        <v>1.58</v>
      </c>
      <c r="AE127" s="123">
        <f t="shared" si="32"/>
        <v>1.58</v>
      </c>
      <c r="AF127" s="123">
        <f t="shared" si="32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0"/>
        <v>1.46</v>
      </c>
      <c r="C128" s="124">
        <v>1.46</v>
      </c>
      <c r="D128" s="123">
        <f t="shared" si="33"/>
        <v>1.46</v>
      </c>
      <c r="E128" s="123">
        <f t="shared" si="33"/>
        <v>1.46</v>
      </c>
      <c r="F128" s="123">
        <f t="shared" si="33"/>
        <v>1.46</v>
      </c>
      <c r="G128" s="123">
        <f t="shared" si="33"/>
        <v>1.46</v>
      </c>
      <c r="H128" s="123">
        <f t="shared" si="33"/>
        <v>1.46</v>
      </c>
      <c r="I128" s="123">
        <f t="shared" si="33"/>
        <v>1.46</v>
      </c>
      <c r="J128" s="123">
        <f t="shared" si="33"/>
        <v>1.46</v>
      </c>
      <c r="K128" s="123">
        <f t="shared" si="33"/>
        <v>1.46</v>
      </c>
      <c r="L128" s="123">
        <f t="shared" si="33"/>
        <v>1.46</v>
      </c>
      <c r="M128" s="123">
        <f t="shared" si="33"/>
        <v>1.46</v>
      </c>
      <c r="N128" s="123">
        <f t="shared" si="33"/>
        <v>1.46</v>
      </c>
      <c r="O128" s="123">
        <f t="shared" si="33"/>
        <v>1.46</v>
      </c>
      <c r="P128" s="123">
        <f t="shared" si="33"/>
        <v>1.46</v>
      </c>
      <c r="Q128" s="123">
        <f t="shared" si="33"/>
        <v>1.46</v>
      </c>
      <c r="R128" s="123">
        <f t="shared" si="33"/>
        <v>1.46</v>
      </c>
      <c r="S128" s="123">
        <f t="shared" si="33"/>
        <v>1.46</v>
      </c>
      <c r="T128" s="123">
        <f t="shared" ref="T128:AF129" si="34">S128</f>
        <v>1.46</v>
      </c>
      <c r="U128" s="123">
        <f t="shared" si="34"/>
        <v>1.46</v>
      </c>
      <c r="V128" s="123">
        <f t="shared" si="34"/>
        <v>1.46</v>
      </c>
      <c r="W128" s="123">
        <f t="shared" si="34"/>
        <v>1.46</v>
      </c>
      <c r="X128" s="123">
        <f t="shared" si="34"/>
        <v>1.46</v>
      </c>
      <c r="Y128" s="123">
        <f t="shared" si="34"/>
        <v>1.46</v>
      </c>
      <c r="Z128" s="123">
        <f t="shared" si="34"/>
        <v>1.46</v>
      </c>
      <c r="AA128" s="123">
        <f t="shared" si="34"/>
        <v>1.46</v>
      </c>
      <c r="AB128" s="123">
        <f t="shared" si="34"/>
        <v>1.46</v>
      </c>
      <c r="AC128" s="123">
        <f t="shared" si="34"/>
        <v>1.46</v>
      </c>
      <c r="AD128" s="123">
        <f t="shared" si="34"/>
        <v>1.46</v>
      </c>
      <c r="AE128" s="123">
        <f t="shared" si="34"/>
        <v>1.46</v>
      </c>
      <c r="AF128" s="123">
        <f t="shared" si="34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0"/>
        <v>1.48</v>
      </c>
      <c r="C129" s="124">
        <v>1.48</v>
      </c>
      <c r="D129" s="123">
        <f t="shared" si="33"/>
        <v>1.48</v>
      </c>
      <c r="E129" s="123">
        <f t="shared" si="33"/>
        <v>1.48</v>
      </c>
      <c r="F129" s="123">
        <f t="shared" si="33"/>
        <v>1.48</v>
      </c>
      <c r="G129" s="123">
        <f t="shared" si="33"/>
        <v>1.48</v>
      </c>
      <c r="H129" s="123">
        <f t="shared" si="33"/>
        <v>1.48</v>
      </c>
      <c r="I129" s="123">
        <f t="shared" si="33"/>
        <v>1.48</v>
      </c>
      <c r="J129" s="123">
        <f t="shared" si="33"/>
        <v>1.48</v>
      </c>
      <c r="K129" s="123">
        <f t="shared" si="33"/>
        <v>1.48</v>
      </c>
      <c r="L129" s="123">
        <f t="shared" si="33"/>
        <v>1.48</v>
      </c>
      <c r="M129" s="123">
        <f t="shared" si="33"/>
        <v>1.48</v>
      </c>
      <c r="N129" s="123">
        <f t="shared" si="33"/>
        <v>1.48</v>
      </c>
      <c r="O129" s="123">
        <f t="shared" si="33"/>
        <v>1.48</v>
      </c>
      <c r="P129" s="123">
        <f t="shared" si="33"/>
        <v>1.48</v>
      </c>
      <c r="Q129" s="123">
        <f t="shared" si="33"/>
        <v>1.48</v>
      </c>
      <c r="R129" s="123">
        <f t="shared" si="33"/>
        <v>1.48</v>
      </c>
      <c r="S129" s="123">
        <f t="shared" si="33"/>
        <v>1.48</v>
      </c>
      <c r="T129" s="123">
        <f t="shared" si="34"/>
        <v>1.48</v>
      </c>
      <c r="U129" s="123">
        <f t="shared" si="34"/>
        <v>1.48</v>
      </c>
      <c r="V129" s="123">
        <f t="shared" si="34"/>
        <v>1.48</v>
      </c>
      <c r="W129" s="123">
        <f t="shared" si="34"/>
        <v>1.48</v>
      </c>
      <c r="X129" s="123">
        <f t="shared" si="34"/>
        <v>1.48</v>
      </c>
      <c r="Y129" s="123">
        <f t="shared" si="34"/>
        <v>1.48</v>
      </c>
      <c r="Z129" s="123">
        <f t="shared" si="34"/>
        <v>1.48</v>
      </c>
      <c r="AA129" s="123">
        <f t="shared" si="34"/>
        <v>1.48</v>
      </c>
      <c r="AB129" s="123">
        <f t="shared" si="34"/>
        <v>1.48</v>
      </c>
      <c r="AC129" s="123">
        <f t="shared" si="34"/>
        <v>1.48</v>
      </c>
      <c r="AD129" s="123">
        <f t="shared" si="34"/>
        <v>1.48</v>
      </c>
      <c r="AE129" s="123">
        <f t="shared" si="34"/>
        <v>1.48</v>
      </c>
      <c r="AF129" s="123">
        <f t="shared" si="34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5">AF131</f>
        <v>2.2000000000000002</v>
      </c>
      <c r="C131" s="124">
        <v>2.2000000000000002</v>
      </c>
      <c r="D131" s="123">
        <f t="shared" ref="D131:S138" si="36">C131</f>
        <v>2.2000000000000002</v>
      </c>
      <c r="E131" s="123">
        <f t="shared" si="36"/>
        <v>2.2000000000000002</v>
      </c>
      <c r="F131" s="123">
        <f t="shared" si="36"/>
        <v>2.2000000000000002</v>
      </c>
      <c r="G131" s="123">
        <f t="shared" si="36"/>
        <v>2.2000000000000002</v>
      </c>
      <c r="H131" s="123">
        <f t="shared" si="36"/>
        <v>2.2000000000000002</v>
      </c>
      <c r="I131" s="123">
        <f t="shared" si="36"/>
        <v>2.2000000000000002</v>
      </c>
      <c r="J131" s="123">
        <f t="shared" si="36"/>
        <v>2.2000000000000002</v>
      </c>
      <c r="K131" s="123">
        <f t="shared" si="36"/>
        <v>2.2000000000000002</v>
      </c>
      <c r="L131" s="123">
        <f t="shared" si="36"/>
        <v>2.2000000000000002</v>
      </c>
      <c r="M131" s="123">
        <f t="shared" si="36"/>
        <v>2.2000000000000002</v>
      </c>
      <c r="N131" s="123">
        <f t="shared" si="36"/>
        <v>2.2000000000000002</v>
      </c>
      <c r="O131" s="123">
        <f t="shared" si="36"/>
        <v>2.2000000000000002</v>
      </c>
      <c r="P131" s="123">
        <f t="shared" si="36"/>
        <v>2.2000000000000002</v>
      </c>
      <c r="Q131" s="123">
        <f t="shared" si="36"/>
        <v>2.2000000000000002</v>
      </c>
      <c r="R131" s="123">
        <f t="shared" si="36"/>
        <v>2.2000000000000002</v>
      </c>
      <c r="S131" s="123">
        <f t="shared" si="36"/>
        <v>2.2000000000000002</v>
      </c>
      <c r="T131" s="123">
        <f t="shared" ref="T131:AF138" si="37">S131</f>
        <v>2.2000000000000002</v>
      </c>
      <c r="U131" s="123">
        <f t="shared" si="37"/>
        <v>2.2000000000000002</v>
      </c>
      <c r="V131" s="123">
        <f t="shared" si="37"/>
        <v>2.2000000000000002</v>
      </c>
      <c r="W131" s="123">
        <f t="shared" si="37"/>
        <v>2.2000000000000002</v>
      </c>
      <c r="X131" s="123">
        <f t="shared" si="37"/>
        <v>2.2000000000000002</v>
      </c>
      <c r="Y131" s="123">
        <f t="shared" si="37"/>
        <v>2.2000000000000002</v>
      </c>
      <c r="Z131" s="123">
        <f t="shared" si="37"/>
        <v>2.2000000000000002</v>
      </c>
      <c r="AA131" s="123">
        <f t="shared" si="37"/>
        <v>2.2000000000000002</v>
      </c>
      <c r="AB131" s="123">
        <f t="shared" si="37"/>
        <v>2.2000000000000002</v>
      </c>
      <c r="AC131" s="123">
        <f t="shared" si="37"/>
        <v>2.2000000000000002</v>
      </c>
      <c r="AD131" s="123">
        <f t="shared" si="37"/>
        <v>2.2000000000000002</v>
      </c>
      <c r="AE131" s="123">
        <f t="shared" si="37"/>
        <v>2.2000000000000002</v>
      </c>
      <c r="AF131" s="123">
        <f t="shared" si="37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5"/>
        <v>2</v>
      </c>
      <c r="C132" s="124">
        <v>2</v>
      </c>
      <c r="D132" s="123">
        <f t="shared" si="36"/>
        <v>2</v>
      </c>
      <c r="E132" s="123">
        <f t="shared" si="36"/>
        <v>2</v>
      </c>
      <c r="F132" s="123">
        <f t="shared" si="36"/>
        <v>2</v>
      </c>
      <c r="G132" s="123">
        <f t="shared" si="36"/>
        <v>2</v>
      </c>
      <c r="H132" s="123">
        <f t="shared" si="36"/>
        <v>2</v>
      </c>
      <c r="I132" s="123">
        <f t="shared" si="36"/>
        <v>2</v>
      </c>
      <c r="J132" s="123">
        <f t="shared" si="36"/>
        <v>2</v>
      </c>
      <c r="K132" s="123">
        <f t="shared" si="36"/>
        <v>2</v>
      </c>
      <c r="L132" s="123">
        <f t="shared" si="36"/>
        <v>2</v>
      </c>
      <c r="M132" s="123">
        <f t="shared" si="36"/>
        <v>2</v>
      </c>
      <c r="N132" s="123">
        <f t="shared" si="36"/>
        <v>2</v>
      </c>
      <c r="O132" s="123">
        <f t="shared" si="36"/>
        <v>2</v>
      </c>
      <c r="P132" s="123">
        <f t="shared" si="36"/>
        <v>2</v>
      </c>
      <c r="Q132" s="123">
        <f t="shared" si="36"/>
        <v>2</v>
      </c>
      <c r="R132" s="123">
        <f t="shared" si="36"/>
        <v>2</v>
      </c>
      <c r="S132" s="123">
        <f t="shared" si="36"/>
        <v>2</v>
      </c>
      <c r="T132" s="123">
        <f t="shared" si="37"/>
        <v>2</v>
      </c>
      <c r="U132" s="123">
        <f t="shared" si="37"/>
        <v>2</v>
      </c>
      <c r="V132" s="123">
        <f t="shared" si="37"/>
        <v>2</v>
      </c>
      <c r="W132" s="123">
        <f t="shared" si="37"/>
        <v>2</v>
      </c>
      <c r="X132" s="123">
        <f t="shared" si="37"/>
        <v>2</v>
      </c>
      <c r="Y132" s="123">
        <f t="shared" si="37"/>
        <v>2</v>
      </c>
      <c r="Z132" s="123">
        <f t="shared" si="37"/>
        <v>2</v>
      </c>
      <c r="AA132" s="123">
        <f t="shared" si="37"/>
        <v>2</v>
      </c>
      <c r="AB132" s="123">
        <f t="shared" si="37"/>
        <v>2</v>
      </c>
      <c r="AC132" s="123">
        <f t="shared" si="37"/>
        <v>2</v>
      </c>
      <c r="AD132" s="123">
        <f t="shared" si="37"/>
        <v>2</v>
      </c>
      <c r="AE132" s="123">
        <f t="shared" si="37"/>
        <v>2</v>
      </c>
      <c r="AF132" s="123">
        <f t="shared" si="37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5"/>
        <v>1.25</v>
      </c>
      <c r="C133" s="124">
        <v>1.25</v>
      </c>
      <c r="D133" s="123">
        <f t="shared" si="36"/>
        <v>1.25</v>
      </c>
      <c r="E133" s="123">
        <f t="shared" si="36"/>
        <v>1.25</v>
      </c>
      <c r="F133" s="123">
        <f t="shared" si="36"/>
        <v>1.25</v>
      </c>
      <c r="G133" s="123">
        <f t="shared" si="36"/>
        <v>1.25</v>
      </c>
      <c r="H133" s="123">
        <f t="shared" si="36"/>
        <v>1.25</v>
      </c>
      <c r="I133" s="123">
        <f t="shared" si="36"/>
        <v>1.25</v>
      </c>
      <c r="J133" s="123">
        <f t="shared" si="36"/>
        <v>1.25</v>
      </c>
      <c r="K133" s="123">
        <f t="shared" si="36"/>
        <v>1.25</v>
      </c>
      <c r="L133" s="123">
        <f t="shared" si="36"/>
        <v>1.25</v>
      </c>
      <c r="M133" s="123">
        <f t="shared" si="36"/>
        <v>1.25</v>
      </c>
      <c r="N133" s="123">
        <f t="shared" si="36"/>
        <v>1.25</v>
      </c>
      <c r="O133" s="123">
        <f t="shared" si="36"/>
        <v>1.25</v>
      </c>
      <c r="P133" s="123">
        <f t="shared" si="36"/>
        <v>1.25</v>
      </c>
      <c r="Q133" s="123">
        <f t="shared" si="36"/>
        <v>1.25</v>
      </c>
      <c r="R133" s="123">
        <f t="shared" si="36"/>
        <v>1.25</v>
      </c>
      <c r="S133" s="123">
        <f t="shared" si="36"/>
        <v>1.25</v>
      </c>
      <c r="T133" s="123">
        <f t="shared" si="37"/>
        <v>1.25</v>
      </c>
      <c r="U133" s="123">
        <f t="shared" si="37"/>
        <v>1.25</v>
      </c>
      <c r="V133" s="123">
        <f t="shared" si="37"/>
        <v>1.25</v>
      </c>
      <c r="W133" s="123">
        <f t="shared" si="37"/>
        <v>1.25</v>
      </c>
      <c r="X133" s="123">
        <f t="shared" si="37"/>
        <v>1.25</v>
      </c>
      <c r="Y133" s="123">
        <f t="shared" si="37"/>
        <v>1.25</v>
      </c>
      <c r="Z133" s="123">
        <f t="shared" si="37"/>
        <v>1.25</v>
      </c>
      <c r="AA133" s="123">
        <f t="shared" si="37"/>
        <v>1.25</v>
      </c>
      <c r="AB133" s="123">
        <f t="shared" si="37"/>
        <v>1.25</v>
      </c>
      <c r="AC133" s="123">
        <f t="shared" si="37"/>
        <v>1.25</v>
      </c>
      <c r="AD133" s="123">
        <f t="shared" si="37"/>
        <v>1.25</v>
      </c>
      <c r="AE133" s="123">
        <f t="shared" si="37"/>
        <v>1.25</v>
      </c>
      <c r="AF133" s="123">
        <f t="shared" si="37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5"/>
        <v>1.1499999999999999</v>
      </c>
      <c r="C134" s="124">
        <v>1.1499999999999999</v>
      </c>
      <c r="D134" s="123">
        <f t="shared" si="36"/>
        <v>1.1499999999999999</v>
      </c>
      <c r="E134" s="123">
        <f t="shared" si="36"/>
        <v>1.1499999999999999</v>
      </c>
      <c r="F134" s="123">
        <f t="shared" si="36"/>
        <v>1.1499999999999999</v>
      </c>
      <c r="G134" s="123">
        <f t="shared" si="36"/>
        <v>1.1499999999999999</v>
      </c>
      <c r="H134" s="123">
        <f t="shared" si="36"/>
        <v>1.1499999999999999</v>
      </c>
      <c r="I134" s="123">
        <f t="shared" si="36"/>
        <v>1.1499999999999999</v>
      </c>
      <c r="J134" s="123">
        <f t="shared" si="36"/>
        <v>1.1499999999999999</v>
      </c>
      <c r="K134" s="123">
        <f t="shared" si="36"/>
        <v>1.1499999999999999</v>
      </c>
      <c r="L134" s="123">
        <f t="shared" si="36"/>
        <v>1.1499999999999999</v>
      </c>
      <c r="M134" s="123">
        <f t="shared" si="36"/>
        <v>1.1499999999999999</v>
      </c>
      <c r="N134" s="123">
        <f t="shared" si="36"/>
        <v>1.1499999999999999</v>
      </c>
      <c r="O134" s="123">
        <f t="shared" si="36"/>
        <v>1.1499999999999999</v>
      </c>
      <c r="P134" s="123">
        <f t="shared" si="36"/>
        <v>1.1499999999999999</v>
      </c>
      <c r="Q134" s="123">
        <f t="shared" si="36"/>
        <v>1.1499999999999999</v>
      </c>
      <c r="R134" s="123">
        <f t="shared" si="36"/>
        <v>1.1499999999999999</v>
      </c>
      <c r="S134" s="123">
        <f t="shared" si="36"/>
        <v>1.1499999999999999</v>
      </c>
      <c r="T134" s="123">
        <f t="shared" si="37"/>
        <v>1.1499999999999999</v>
      </c>
      <c r="U134" s="123">
        <f t="shared" si="37"/>
        <v>1.1499999999999999</v>
      </c>
      <c r="V134" s="123">
        <f t="shared" si="37"/>
        <v>1.1499999999999999</v>
      </c>
      <c r="W134" s="123">
        <f t="shared" si="37"/>
        <v>1.1499999999999999</v>
      </c>
      <c r="X134" s="123">
        <f t="shared" si="37"/>
        <v>1.1499999999999999</v>
      </c>
      <c r="Y134" s="123">
        <f t="shared" si="37"/>
        <v>1.1499999999999999</v>
      </c>
      <c r="Z134" s="123">
        <f t="shared" si="37"/>
        <v>1.1499999999999999</v>
      </c>
      <c r="AA134" s="123">
        <f t="shared" si="37"/>
        <v>1.1499999999999999</v>
      </c>
      <c r="AB134" s="123">
        <f t="shared" si="37"/>
        <v>1.1499999999999999</v>
      </c>
      <c r="AC134" s="123">
        <f t="shared" si="37"/>
        <v>1.1499999999999999</v>
      </c>
      <c r="AD134" s="123">
        <f t="shared" si="37"/>
        <v>1.1499999999999999</v>
      </c>
      <c r="AE134" s="123">
        <f t="shared" si="37"/>
        <v>1.1499999999999999</v>
      </c>
      <c r="AF134" s="123">
        <f t="shared" si="37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5"/>
        <v>2.133</v>
      </c>
      <c r="C135" s="124">
        <v>2.133</v>
      </c>
      <c r="D135" s="123">
        <f t="shared" si="36"/>
        <v>2.133</v>
      </c>
      <c r="E135" s="123">
        <f t="shared" si="36"/>
        <v>2.133</v>
      </c>
      <c r="F135" s="123">
        <f t="shared" si="36"/>
        <v>2.133</v>
      </c>
      <c r="G135" s="123">
        <f t="shared" si="36"/>
        <v>2.133</v>
      </c>
      <c r="H135" s="123">
        <f t="shared" si="36"/>
        <v>2.133</v>
      </c>
      <c r="I135" s="123">
        <f t="shared" si="36"/>
        <v>2.133</v>
      </c>
      <c r="J135" s="123">
        <f t="shared" si="36"/>
        <v>2.133</v>
      </c>
      <c r="K135" s="123">
        <f t="shared" si="36"/>
        <v>2.133</v>
      </c>
      <c r="L135" s="123">
        <f t="shared" si="36"/>
        <v>2.133</v>
      </c>
      <c r="M135" s="123">
        <f t="shared" si="36"/>
        <v>2.133</v>
      </c>
      <c r="N135" s="123">
        <f t="shared" si="36"/>
        <v>2.133</v>
      </c>
      <c r="O135" s="123">
        <f t="shared" si="36"/>
        <v>2.133</v>
      </c>
      <c r="P135" s="123">
        <f t="shared" si="36"/>
        <v>2.133</v>
      </c>
      <c r="Q135" s="123">
        <f t="shared" si="36"/>
        <v>2.133</v>
      </c>
      <c r="R135" s="123">
        <f t="shared" si="36"/>
        <v>2.133</v>
      </c>
      <c r="S135" s="123">
        <f t="shared" si="36"/>
        <v>2.133</v>
      </c>
      <c r="T135" s="123">
        <f t="shared" si="37"/>
        <v>2.133</v>
      </c>
      <c r="U135" s="123">
        <f t="shared" si="37"/>
        <v>2.133</v>
      </c>
      <c r="V135" s="123">
        <f t="shared" si="37"/>
        <v>2.133</v>
      </c>
      <c r="W135" s="123">
        <f t="shared" si="37"/>
        <v>2.133</v>
      </c>
      <c r="X135" s="123">
        <f t="shared" si="37"/>
        <v>2.133</v>
      </c>
      <c r="Y135" s="123">
        <f t="shared" si="37"/>
        <v>2.133</v>
      </c>
      <c r="Z135" s="123">
        <f t="shared" si="37"/>
        <v>2.133</v>
      </c>
      <c r="AA135" s="123">
        <f t="shared" si="37"/>
        <v>2.133</v>
      </c>
      <c r="AB135" s="123">
        <f t="shared" si="37"/>
        <v>2.133</v>
      </c>
      <c r="AC135" s="123">
        <f t="shared" si="37"/>
        <v>2.133</v>
      </c>
      <c r="AD135" s="123">
        <f t="shared" si="37"/>
        <v>2.133</v>
      </c>
      <c r="AE135" s="123">
        <f t="shared" si="37"/>
        <v>2.133</v>
      </c>
      <c r="AF135" s="123">
        <f t="shared" si="37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5"/>
        <v>2.09</v>
      </c>
      <c r="C136" s="124">
        <v>2.09</v>
      </c>
      <c r="D136" s="123">
        <f t="shared" si="36"/>
        <v>2.09</v>
      </c>
      <c r="E136" s="123">
        <f t="shared" si="36"/>
        <v>2.09</v>
      </c>
      <c r="F136" s="123">
        <f t="shared" si="36"/>
        <v>2.09</v>
      </c>
      <c r="G136" s="123">
        <f t="shared" si="36"/>
        <v>2.09</v>
      </c>
      <c r="H136" s="123">
        <f t="shared" si="36"/>
        <v>2.09</v>
      </c>
      <c r="I136" s="123">
        <f t="shared" si="36"/>
        <v>2.09</v>
      </c>
      <c r="J136" s="123">
        <f t="shared" si="36"/>
        <v>2.09</v>
      </c>
      <c r="K136" s="123">
        <f t="shared" si="36"/>
        <v>2.09</v>
      </c>
      <c r="L136" s="123">
        <f t="shared" si="36"/>
        <v>2.09</v>
      </c>
      <c r="M136" s="123">
        <f t="shared" si="36"/>
        <v>2.09</v>
      </c>
      <c r="N136" s="123">
        <f t="shared" si="36"/>
        <v>2.09</v>
      </c>
      <c r="O136" s="123">
        <f t="shared" si="36"/>
        <v>2.09</v>
      </c>
      <c r="P136" s="123">
        <f t="shared" si="36"/>
        <v>2.09</v>
      </c>
      <c r="Q136" s="123">
        <f t="shared" si="36"/>
        <v>2.09</v>
      </c>
      <c r="R136" s="123">
        <f t="shared" si="36"/>
        <v>2.09</v>
      </c>
      <c r="S136" s="123">
        <f t="shared" si="36"/>
        <v>2.09</v>
      </c>
      <c r="T136" s="123">
        <f t="shared" si="37"/>
        <v>2.09</v>
      </c>
      <c r="U136" s="123">
        <f t="shared" si="37"/>
        <v>2.09</v>
      </c>
      <c r="V136" s="123">
        <f t="shared" si="37"/>
        <v>2.09</v>
      </c>
      <c r="W136" s="123">
        <f t="shared" si="37"/>
        <v>2.09</v>
      </c>
      <c r="X136" s="123">
        <f t="shared" si="37"/>
        <v>2.09</v>
      </c>
      <c r="Y136" s="123">
        <f t="shared" si="37"/>
        <v>2.09</v>
      </c>
      <c r="Z136" s="123">
        <f t="shared" si="37"/>
        <v>2.09</v>
      </c>
      <c r="AA136" s="123">
        <f t="shared" si="37"/>
        <v>2.09</v>
      </c>
      <c r="AB136" s="123">
        <f t="shared" si="37"/>
        <v>2.09</v>
      </c>
      <c r="AC136" s="123">
        <f t="shared" si="37"/>
        <v>2.09</v>
      </c>
      <c r="AD136" s="123">
        <f t="shared" si="37"/>
        <v>2.09</v>
      </c>
      <c r="AE136" s="123">
        <f t="shared" si="37"/>
        <v>2.09</v>
      </c>
      <c r="AF136" s="123">
        <f t="shared" si="37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5"/>
        <v>1.1399999999999999</v>
      </c>
      <c r="C137" s="124">
        <v>1.1399999999999999</v>
      </c>
      <c r="D137" s="123">
        <f t="shared" si="36"/>
        <v>1.1399999999999999</v>
      </c>
      <c r="E137" s="123">
        <f t="shared" si="36"/>
        <v>1.1399999999999999</v>
      </c>
      <c r="F137" s="123">
        <f t="shared" si="36"/>
        <v>1.1399999999999999</v>
      </c>
      <c r="G137" s="123">
        <f t="shared" si="36"/>
        <v>1.1399999999999999</v>
      </c>
      <c r="H137" s="123">
        <f t="shared" si="36"/>
        <v>1.1399999999999999</v>
      </c>
      <c r="I137" s="123">
        <f t="shared" si="36"/>
        <v>1.1399999999999999</v>
      </c>
      <c r="J137" s="123">
        <f t="shared" si="36"/>
        <v>1.1399999999999999</v>
      </c>
      <c r="K137" s="123">
        <f t="shared" si="36"/>
        <v>1.1399999999999999</v>
      </c>
      <c r="L137" s="123">
        <f t="shared" si="36"/>
        <v>1.1399999999999999</v>
      </c>
      <c r="M137" s="123">
        <f t="shared" si="36"/>
        <v>1.1399999999999999</v>
      </c>
      <c r="N137" s="123">
        <f t="shared" si="36"/>
        <v>1.1399999999999999</v>
      </c>
      <c r="O137" s="123">
        <f t="shared" si="36"/>
        <v>1.1399999999999999</v>
      </c>
      <c r="P137" s="123">
        <f t="shared" si="36"/>
        <v>1.1399999999999999</v>
      </c>
      <c r="Q137" s="123">
        <f t="shared" si="36"/>
        <v>1.1399999999999999</v>
      </c>
      <c r="R137" s="123">
        <f t="shared" si="36"/>
        <v>1.1399999999999999</v>
      </c>
      <c r="S137" s="123">
        <f t="shared" si="36"/>
        <v>1.1399999999999999</v>
      </c>
      <c r="T137" s="123">
        <f t="shared" si="37"/>
        <v>1.1399999999999999</v>
      </c>
      <c r="U137" s="123">
        <f t="shared" si="37"/>
        <v>1.1399999999999999</v>
      </c>
      <c r="V137" s="123">
        <f t="shared" si="37"/>
        <v>1.1399999999999999</v>
      </c>
      <c r="W137" s="123">
        <f t="shared" si="37"/>
        <v>1.1399999999999999</v>
      </c>
      <c r="X137" s="123">
        <f t="shared" si="37"/>
        <v>1.1399999999999999</v>
      </c>
      <c r="Y137" s="123">
        <f t="shared" si="37"/>
        <v>1.1399999999999999</v>
      </c>
      <c r="Z137" s="123">
        <f t="shared" si="37"/>
        <v>1.1399999999999999</v>
      </c>
      <c r="AA137" s="123">
        <f t="shared" si="37"/>
        <v>1.1399999999999999</v>
      </c>
      <c r="AB137" s="123">
        <f t="shared" si="37"/>
        <v>1.1399999999999999</v>
      </c>
      <c r="AC137" s="123">
        <f t="shared" si="37"/>
        <v>1.1399999999999999</v>
      </c>
      <c r="AD137" s="123">
        <f t="shared" si="37"/>
        <v>1.1399999999999999</v>
      </c>
      <c r="AE137" s="123">
        <f t="shared" si="37"/>
        <v>1.1399999999999999</v>
      </c>
      <c r="AF137" s="123">
        <f t="shared" si="37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5"/>
        <v>0.82</v>
      </c>
      <c r="C138" s="124">
        <v>0.82</v>
      </c>
      <c r="D138" s="123">
        <f t="shared" si="36"/>
        <v>0.82</v>
      </c>
      <c r="E138" s="123">
        <f t="shared" si="36"/>
        <v>0.82</v>
      </c>
      <c r="F138" s="123">
        <f t="shared" si="36"/>
        <v>0.82</v>
      </c>
      <c r="G138" s="123">
        <f t="shared" si="36"/>
        <v>0.82</v>
      </c>
      <c r="H138" s="123">
        <f t="shared" si="36"/>
        <v>0.82</v>
      </c>
      <c r="I138" s="123">
        <f t="shared" si="36"/>
        <v>0.82</v>
      </c>
      <c r="J138" s="123">
        <f t="shared" si="36"/>
        <v>0.82</v>
      </c>
      <c r="K138" s="123">
        <f t="shared" si="36"/>
        <v>0.82</v>
      </c>
      <c r="L138" s="123">
        <f t="shared" si="36"/>
        <v>0.82</v>
      </c>
      <c r="M138" s="123">
        <f t="shared" si="36"/>
        <v>0.82</v>
      </c>
      <c r="N138" s="123">
        <f t="shared" si="36"/>
        <v>0.82</v>
      </c>
      <c r="O138" s="123">
        <f t="shared" si="36"/>
        <v>0.82</v>
      </c>
      <c r="P138" s="123">
        <f t="shared" si="36"/>
        <v>0.82</v>
      </c>
      <c r="Q138" s="123">
        <f t="shared" si="36"/>
        <v>0.82</v>
      </c>
      <c r="R138" s="123">
        <f t="shared" si="36"/>
        <v>0.82</v>
      </c>
      <c r="S138" s="123">
        <f t="shared" si="36"/>
        <v>0.82</v>
      </c>
      <c r="T138" s="123">
        <f t="shared" si="37"/>
        <v>0.82</v>
      </c>
      <c r="U138" s="123">
        <f t="shared" si="37"/>
        <v>0.82</v>
      </c>
      <c r="V138" s="123">
        <f t="shared" si="37"/>
        <v>0.82</v>
      </c>
      <c r="W138" s="123">
        <f t="shared" si="37"/>
        <v>0.82</v>
      </c>
      <c r="X138" s="123">
        <f t="shared" si="37"/>
        <v>0.82</v>
      </c>
      <c r="Y138" s="123">
        <f t="shared" si="37"/>
        <v>0.82</v>
      </c>
      <c r="Z138" s="123">
        <f t="shared" si="37"/>
        <v>0.82</v>
      </c>
      <c r="AA138" s="123">
        <f t="shared" si="37"/>
        <v>0.82</v>
      </c>
      <c r="AB138" s="123">
        <f t="shared" si="37"/>
        <v>0.82</v>
      </c>
      <c r="AC138" s="123">
        <f t="shared" si="37"/>
        <v>0.82</v>
      </c>
      <c r="AD138" s="123">
        <f t="shared" si="37"/>
        <v>0.82</v>
      </c>
      <c r="AE138" s="123">
        <f t="shared" si="37"/>
        <v>0.82</v>
      </c>
      <c r="AF138" s="123">
        <f t="shared" si="37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8">AF140</f>
        <v>2</v>
      </c>
      <c r="C140" s="124">
        <v>2</v>
      </c>
      <c r="D140" s="123">
        <f t="shared" ref="D140:S146" si="39">C140</f>
        <v>2</v>
      </c>
      <c r="E140" s="123">
        <f t="shared" si="39"/>
        <v>2</v>
      </c>
      <c r="F140" s="123">
        <f t="shared" si="39"/>
        <v>2</v>
      </c>
      <c r="G140" s="123">
        <f t="shared" si="39"/>
        <v>2</v>
      </c>
      <c r="H140" s="123">
        <f t="shared" si="39"/>
        <v>2</v>
      </c>
      <c r="I140" s="123">
        <f t="shared" si="39"/>
        <v>2</v>
      </c>
      <c r="J140" s="123">
        <f t="shared" si="39"/>
        <v>2</v>
      </c>
      <c r="K140" s="123">
        <f t="shared" si="39"/>
        <v>2</v>
      </c>
      <c r="L140" s="123">
        <f t="shared" si="39"/>
        <v>2</v>
      </c>
      <c r="M140" s="123">
        <f t="shared" si="39"/>
        <v>2</v>
      </c>
      <c r="N140" s="123">
        <f t="shared" si="39"/>
        <v>2</v>
      </c>
      <c r="O140" s="123">
        <f t="shared" si="39"/>
        <v>2</v>
      </c>
      <c r="P140" s="123">
        <f t="shared" si="39"/>
        <v>2</v>
      </c>
      <c r="Q140" s="123">
        <f t="shared" si="39"/>
        <v>2</v>
      </c>
      <c r="R140" s="123">
        <f t="shared" si="39"/>
        <v>2</v>
      </c>
      <c r="S140" s="123">
        <f t="shared" si="39"/>
        <v>2</v>
      </c>
      <c r="T140" s="123">
        <f t="shared" ref="T140:AF146" si="40">S140</f>
        <v>2</v>
      </c>
      <c r="U140" s="123">
        <f t="shared" si="40"/>
        <v>2</v>
      </c>
      <c r="V140" s="123">
        <f t="shared" si="40"/>
        <v>2</v>
      </c>
      <c r="W140" s="123">
        <f t="shared" si="40"/>
        <v>2</v>
      </c>
      <c r="X140" s="123">
        <f t="shared" si="40"/>
        <v>2</v>
      </c>
      <c r="Y140" s="123">
        <f t="shared" si="40"/>
        <v>2</v>
      </c>
      <c r="Z140" s="123">
        <f t="shared" si="40"/>
        <v>2</v>
      </c>
      <c r="AA140" s="123">
        <f t="shared" si="40"/>
        <v>2</v>
      </c>
      <c r="AB140" s="123">
        <f t="shared" si="40"/>
        <v>2</v>
      </c>
      <c r="AC140" s="123">
        <f t="shared" si="40"/>
        <v>2</v>
      </c>
      <c r="AD140" s="123">
        <f t="shared" si="40"/>
        <v>2</v>
      </c>
      <c r="AE140" s="123">
        <f t="shared" si="40"/>
        <v>2</v>
      </c>
      <c r="AF140" s="123">
        <f t="shared" si="40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8"/>
        <v>5.61</v>
      </c>
      <c r="C141" s="124">
        <v>5.61</v>
      </c>
      <c r="D141" s="123">
        <f t="shared" si="39"/>
        <v>5.61</v>
      </c>
      <c r="E141" s="123">
        <f t="shared" si="39"/>
        <v>5.61</v>
      </c>
      <c r="F141" s="123">
        <f t="shared" si="39"/>
        <v>5.61</v>
      </c>
      <c r="G141" s="123">
        <f t="shared" si="39"/>
        <v>5.61</v>
      </c>
      <c r="H141" s="123">
        <f t="shared" si="39"/>
        <v>5.61</v>
      </c>
      <c r="I141" s="123">
        <f t="shared" si="39"/>
        <v>5.61</v>
      </c>
      <c r="J141" s="123">
        <f t="shared" si="39"/>
        <v>5.61</v>
      </c>
      <c r="K141" s="123">
        <f t="shared" si="39"/>
        <v>5.61</v>
      </c>
      <c r="L141" s="123">
        <f t="shared" si="39"/>
        <v>5.61</v>
      </c>
      <c r="M141" s="123">
        <f t="shared" si="39"/>
        <v>5.61</v>
      </c>
      <c r="N141" s="123">
        <f t="shared" si="39"/>
        <v>5.61</v>
      </c>
      <c r="O141" s="123">
        <f t="shared" si="39"/>
        <v>5.61</v>
      </c>
      <c r="P141" s="123">
        <f t="shared" si="39"/>
        <v>5.61</v>
      </c>
      <c r="Q141" s="123">
        <f t="shared" si="39"/>
        <v>5.61</v>
      </c>
      <c r="R141" s="123">
        <f t="shared" si="39"/>
        <v>5.61</v>
      </c>
      <c r="S141" s="123">
        <f t="shared" si="39"/>
        <v>5.61</v>
      </c>
      <c r="T141" s="123">
        <f t="shared" si="40"/>
        <v>5.61</v>
      </c>
      <c r="U141" s="123">
        <f t="shared" si="40"/>
        <v>5.61</v>
      </c>
      <c r="V141" s="123">
        <f t="shared" si="40"/>
        <v>5.61</v>
      </c>
      <c r="W141" s="123">
        <f t="shared" si="40"/>
        <v>5.61</v>
      </c>
      <c r="X141" s="123">
        <f t="shared" si="40"/>
        <v>5.61</v>
      </c>
      <c r="Y141" s="123">
        <f t="shared" si="40"/>
        <v>5.61</v>
      </c>
      <c r="Z141" s="123">
        <f t="shared" si="40"/>
        <v>5.61</v>
      </c>
      <c r="AA141" s="123">
        <f t="shared" si="40"/>
        <v>5.61</v>
      </c>
      <c r="AB141" s="123">
        <f t="shared" si="40"/>
        <v>5.61</v>
      </c>
      <c r="AC141" s="123">
        <f t="shared" si="40"/>
        <v>5.61</v>
      </c>
      <c r="AD141" s="123">
        <f t="shared" si="40"/>
        <v>5.61</v>
      </c>
      <c r="AE141" s="123">
        <f t="shared" si="40"/>
        <v>5.61</v>
      </c>
      <c r="AF141" s="123">
        <f t="shared" si="40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8"/>
        <v>1.25</v>
      </c>
      <c r="C142" s="124">
        <v>1.25</v>
      </c>
      <c r="D142" s="123">
        <f t="shared" si="39"/>
        <v>1.25</v>
      </c>
      <c r="E142" s="123">
        <f t="shared" si="39"/>
        <v>1.25</v>
      </c>
      <c r="F142" s="123">
        <f t="shared" si="39"/>
        <v>1.25</v>
      </c>
      <c r="G142" s="123">
        <f t="shared" si="39"/>
        <v>1.25</v>
      </c>
      <c r="H142" s="123">
        <f t="shared" si="39"/>
        <v>1.25</v>
      </c>
      <c r="I142" s="123">
        <f t="shared" si="39"/>
        <v>1.25</v>
      </c>
      <c r="J142" s="123">
        <f t="shared" si="39"/>
        <v>1.25</v>
      </c>
      <c r="K142" s="123">
        <f t="shared" si="39"/>
        <v>1.25</v>
      </c>
      <c r="L142" s="123">
        <f t="shared" si="39"/>
        <v>1.25</v>
      </c>
      <c r="M142" s="123">
        <f t="shared" si="39"/>
        <v>1.25</v>
      </c>
      <c r="N142" s="123">
        <f t="shared" si="39"/>
        <v>1.25</v>
      </c>
      <c r="O142" s="123">
        <f t="shared" si="39"/>
        <v>1.25</v>
      </c>
      <c r="P142" s="123">
        <f t="shared" si="39"/>
        <v>1.25</v>
      </c>
      <c r="Q142" s="123">
        <f t="shared" si="39"/>
        <v>1.25</v>
      </c>
      <c r="R142" s="123">
        <f t="shared" si="39"/>
        <v>1.25</v>
      </c>
      <c r="S142" s="123">
        <f t="shared" si="39"/>
        <v>1.25</v>
      </c>
      <c r="T142" s="123">
        <f t="shared" si="40"/>
        <v>1.25</v>
      </c>
      <c r="U142" s="123">
        <f t="shared" si="40"/>
        <v>1.25</v>
      </c>
      <c r="V142" s="123">
        <f t="shared" si="40"/>
        <v>1.25</v>
      </c>
      <c r="W142" s="123">
        <f t="shared" si="40"/>
        <v>1.25</v>
      </c>
      <c r="X142" s="123">
        <f t="shared" si="40"/>
        <v>1.25</v>
      </c>
      <c r="Y142" s="123">
        <f t="shared" si="40"/>
        <v>1.25</v>
      </c>
      <c r="Z142" s="123">
        <f t="shared" si="40"/>
        <v>1.25</v>
      </c>
      <c r="AA142" s="123">
        <f t="shared" si="40"/>
        <v>1.25</v>
      </c>
      <c r="AB142" s="123">
        <f t="shared" si="40"/>
        <v>1.25</v>
      </c>
      <c r="AC142" s="123">
        <f t="shared" si="40"/>
        <v>1.25</v>
      </c>
      <c r="AD142" s="123">
        <f t="shared" si="40"/>
        <v>1.25</v>
      </c>
      <c r="AE142" s="123">
        <f t="shared" si="40"/>
        <v>1.25</v>
      </c>
      <c r="AF142" s="123">
        <f t="shared" si="40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8"/>
        <v>1.46</v>
      </c>
      <c r="C144" s="124">
        <v>1.46</v>
      </c>
      <c r="D144" s="123">
        <f t="shared" si="39"/>
        <v>1.46</v>
      </c>
      <c r="E144" s="123">
        <f t="shared" si="39"/>
        <v>1.46</v>
      </c>
      <c r="F144" s="123">
        <f t="shared" si="39"/>
        <v>1.46</v>
      </c>
      <c r="G144" s="123">
        <f t="shared" si="39"/>
        <v>1.46</v>
      </c>
      <c r="H144" s="123">
        <f t="shared" si="39"/>
        <v>1.46</v>
      </c>
      <c r="I144" s="123">
        <f t="shared" si="39"/>
        <v>1.46</v>
      </c>
      <c r="J144" s="123">
        <f t="shared" si="39"/>
        <v>1.46</v>
      </c>
      <c r="K144" s="123">
        <f t="shared" si="39"/>
        <v>1.46</v>
      </c>
      <c r="L144" s="123">
        <f t="shared" si="39"/>
        <v>1.46</v>
      </c>
      <c r="M144" s="123">
        <f t="shared" si="39"/>
        <v>1.46</v>
      </c>
      <c r="N144" s="123">
        <f t="shared" si="39"/>
        <v>1.46</v>
      </c>
      <c r="O144" s="123">
        <f t="shared" si="39"/>
        <v>1.46</v>
      </c>
      <c r="P144" s="123">
        <f t="shared" si="39"/>
        <v>1.46</v>
      </c>
      <c r="Q144" s="123">
        <f t="shared" si="39"/>
        <v>1.46</v>
      </c>
      <c r="R144" s="123">
        <f t="shared" si="39"/>
        <v>1.46</v>
      </c>
      <c r="S144" s="123">
        <f t="shared" si="39"/>
        <v>1.46</v>
      </c>
      <c r="T144" s="123">
        <f t="shared" si="40"/>
        <v>1.46</v>
      </c>
      <c r="U144" s="123">
        <f t="shared" si="40"/>
        <v>1.46</v>
      </c>
      <c r="V144" s="123">
        <f t="shared" si="40"/>
        <v>1.46</v>
      </c>
      <c r="W144" s="123">
        <f t="shared" si="40"/>
        <v>1.46</v>
      </c>
      <c r="X144" s="123">
        <f t="shared" si="40"/>
        <v>1.46</v>
      </c>
      <c r="Y144" s="123">
        <f t="shared" si="40"/>
        <v>1.46</v>
      </c>
      <c r="Z144" s="123">
        <f t="shared" si="40"/>
        <v>1.46</v>
      </c>
      <c r="AA144" s="123">
        <f t="shared" si="40"/>
        <v>1.46</v>
      </c>
      <c r="AB144" s="123">
        <f t="shared" si="40"/>
        <v>1.46</v>
      </c>
      <c r="AC144" s="123">
        <f t="shared" si="40"/>
        <v>1.46</v>
      </c>
      <c r="AD144" s="123">
        <f t="shared" si="40"/>
        <v>1.46</v>
      </c>
      <c r="AE144" s="123">
        <f t="shared" si="40"/>
        <v>1.46</v>
      </c>
      <c r="AF144" s="123">
        <f t="shared" si="40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8"/>
        <v>3</v>
      </c>
      <c r="C145" s="124">
        <v>3</v>
      </c>
      <c r="D145" s="123">
        <f t="shared" si="39"/>
        <v>3</v>
      </c>
      <c r="E145" s="123">
        <f t="shared" si="39"/>
        <v>3</v>
      </c>
      <c r="F145" s="123">
        <f t="shared" si="39"/>
        <v>3</v>
      </c>
      <c r="G145" s="123">
        <f t="shared" si="39"/>
        <v>3</v>
      </c>
      <c r="H145" s="123">
        <f t="shared" si="39"/>
        <v>3</v>
      </c>
      <c r="I145" s="123">
        <f t="shared" si="39"/>
        <v>3</v>
      </c>
      <c r="J145" s="123">
        <f t="shared" si="39"/>
        <v>3</v>
      </c>
      <c r="K145" s="123">
        <f t="shared" si="39"/>
        <v>3</v>
      </c>
      <c r="L145" s="123">
        <f t="shared" si="39"/>
        <v>3</v>
      </c>
      <c r="M145" s="123">
        <f t="shared" si="39"/>
        <v>3</v>
      </c>
      <c r="N145" s="123">
        <f t="shared" si="39"/>
        <v>3</v>
      </c>
      <c r="O145" s="123">
        <f t="shared" si="39"/>
        <v>3</v>
      </c>
      <c r="P145" s="123">
        <f t="shared" si="39"/>
        <v>3</v>
      </c>
      <c r="Q145" s="123">
        <f t="shared" si="39"/>
        <v>3</v>
      </c>
      <c r="R145" s="123">
        <f t="shared" si="39"/>
        <v>3</v>
      </c>
      <c r="S145" s="123">
        <f t="shared" si="39"/>
        <v>3</v>
      </c>
      <c r="T145" s="123">
        <f t="shared" si="40"/>
        <v>3</v>
      </c>
      <c r="U145" s="123">
        <f t="shared" si="40"/>
        <v>3</v>
      </c>
      <c r="V145" s="123">
        <f t="shared" si="40"/>
        <v>3</v>
      </c>
      <c r="W145" s="123">
        <f t="shared" si="40"/>
        <v>3</v>
      </c>
      <c r="X145" s="123">
        <f t="shared" si="40"/>
        <v>3</v>
      </c>
      <c r="Y145" s="123">
        <f t="shared" si="40"/>
        <v>3</v>
      </c>
      <c r="Z145" s="123">
        <f t="shared" si="40"/>
        <v>3</v>
      </c>
      <c r="AA145" s="123">
        <f t="shared" si="40"/>
        <v>3</v>
      </c>
      <c r="AB145" s="123">
        <f t="shared" si="40"/>
        <v>3</v>
      </c>
      <c r="AC145" s="123">
        <f t="shared" si="40"/>
        <v>3</v>
      </c>
      <c r="AD145" s="123">
        <f t="shared" si="40"/>
        <v>3</v>
      </c>
      <c r="AE145" s="123">
        <f t="shared" si="40"/>
        <v>3</v>
      </c>
      <c r="AF145" s="123">
        <f t="shared" si="40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8"/>
        <v>3.3</v>
      </c>
      <c r="C146" s="124">
        <v>3.3</v>
      </c>
      <c r="D146" s="123">
        <f t="shared" si="39"/>
        <v>3.3</v>
      </c>
      <c r="E146" s="123">
        <f t="shared" si="39"/>
        <v>3.3</v>
      </c>
      <c r="F146" s="123">
        <f t="shared" si="39"/>
        <v>3.3</v>
      </c>
      <c r="G146" s="123">
        <f t="shared" si="39"/>
        <v>3.3</v>
      </c>
      <c r="H146" s="123">
        <f t="shared" si="39"/>
        <v>3.3</v>
      </c>
      <c r="I146" s="123">
        <f t="shared" si="39"/>
        <v>3.3</v>
      </c>
      <c r="J146" s="123">
        <f t="shared" si="39"/>
        <v>3.3</v>
      </c>
      <c r="K146" s="123">
        <f t="shared" si="39"/>
        <v>3.3</v>
      </c>
      <c r="L146" s="123">
        <f t="shared" si="39"/>
        <v>3.3</v>
      </c>
      <c r="M146" s="123">
        <f t="shared" si="39"/>
        <v>3.3</v>
      </c>
      <c r="N146" s="123">
        <f t="shared" si="39"/>
        <v>3.3</v>
      </c>
      <c r="O146" s="123">
        <f t="shared" si="39"/>
        <v>3.3</v>
      </c>
      <c r="P146" s="123">
        <f t="shared" si="39"/>
        <v>3.3</v>
      </c>
      <c r="Q146" s="123">
        <f t="shared" si="39"/>
        <v>3.3</v>
      </c>
      <c r="R146" s="123">
        <f t="shared" si="39"/>
        <v>3.3</v>
      </c>
      <c r="S146" s="123">
        <f t="shared" si="39"/>
        <v>3.3</v>
      </c>
      <c r="T146" s="123">
        <f t="shared" si="40"/>
        <v>3.3</v>
      </c>
      <c r="U146" s="123">
        <f t="shared" si="40"/>
        <v>3.3</v>
      </c>
      <c r="V146" s="123">
        <f t="shared" si="40"/>
        <v>3.3</v>
      </c>
      <c r="W146" s="123">
        <f t="shared" si="40"/>
        <v>3.3</v>
      </c>
      <c r="X146" s="123">
        <f t="shared" si="40"/>
        <v>3.3</v>
      </c>
      <c r="Y146" s="123">
        <f t="shared" si="40"/>
        <v>3.3</v>
      </c>
      <c r="Z146" s="123">
        <f t="shared" si="40"/>
        <v>3.3</v>
      </c>
      <c r="AA146" s="123">
        <f t="shared" si="40"/>
        <v>3.3</v>
      </c>
      <c r="AB146" s="123">
        <f t="shared" si="40"/>
        <v>3.3</v>
      </c>
      <c r="AC146" s="123">
        <f t="shared" si="40"/>
        <v>3.3</v>
      </c>
      <c r="AD146" s="123">
        <f t="shared" si="40"/>
        <v>3.3</v>
      </c>
      <c r="AE146" s="123">
        <f t="shared" si="40"/>
        <v>3.3</v>
      </c>
      <c r="AF146" s="123">
        <f t="shared" si="40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1">C148</f>
        <v>1.76</v>
      </c>
      <c r="E148" s="123">
        <f t="shared" si="41"/>
        <v>1.76</v>
      </c>
      <c r="F148" s="123">
        <f t="shared" si="41"/>
        <v>1.76</v>
      </c>
      <c r="G148" s="123">
        <f t="shared" si="41"/>
        <v>1.76</v>
      </c>
      <c r="H148" s="123">
        <f t="shared" si="41"/>
        <v>1.76</v>
      </c>
      <c r="I148" s="123">
        <f t="shared" si="41"/>
        <v>1.76</v>
      </c>
      <c r="J148" s="123">
        <f t="shared" si="41"/>
        <v>1.76</v>
      </c>
      <c r="K148" s="123">
        <f t="shared" si="41"/>
        <v>1.76</v>
      </c>
      <c r="L148" s="123">
        <f t="shared" si="41"/>
        <v>1.76</v>
      </c>
      <c r="M148" s="123">
        <f t="shared" si="41"/>
        <v>1.76</v>
      </c>
      <c r="N148" s="123">
        <f t="shared" si="41"/>
        <v>1.76</v>
      </c>
      <c r="O148" s="123">
        <f t="shared" si="41"/>
        <v>1.76</v>
      </c>
      <c r="P148" s="123">
        <f t="shared" si="41"/>
        <v>1.76</v>
      </c>
      <c r="Q148" s="123">
        <f t="shared" si="41"/>
        <v>1.76</v>
      </c>
      <c r="R148" s="123">
        <f t="shared" si="41"/>
        <v>1.76</v>
      </c>
      <c r="S148" s="123">
        <f t="shared" si="41"/>
        <v>1.76</v>
      </c>
      <c r="T148" s="123">
        <f t="shared" ref="T148:AF149" si="42">S148</f>
        <v>1.76</v>
      </c>
      <c r="U148" s="123">
        <f t="shared" si="42"/>
        <v>1.76</v>
      </c>
      <c r="V148" s="123">
        <f t="shared" si="42"/>
        <v>1.76</v>
      </c>
      <c r="W148" s="123">
        <f t="shared" si="42"/>
        <v>1.76</v>
      </c>
      <c r="X148" s="123">
        <f t="shared" si="42"/>
        <v>1.76</v>
      </c>
      <c r="Y148" s="123">
        <f t="shared" si="42"/>
        <v>1.76</v>
      </c>
      <c r="Z148" s="123">
        <f t="shared" si="42"/>
        <v>1.76</v>
      </c>
      <c r="AA148" s="123">
        <f t="shared" si="42"/>
        <v>1.76</v>
      </c>
      <c r="AB148" s="123">
        <f t="shared" si="42"/>
        <v>1.76</v>
      </c>
      <c r="AC148" s="123">
        <f t="shared" si="42"/>
        <v>1.76</v>
      </c>
      <c r="AD148" s="123">
        <f t="shared" si="42"/>
        <v>1.76</v>
      </c>
      <c r="AE148" s="123">
        <f t="shared" si="42"/>
        <v>1.76</v>
      </c>
      <c r="AF148" s="123">
        <f t="shared" si="42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1"/>
        <v>0</v>
      </c>
      <c r="E149" s="123">
        <f t="shared" si="41"/>
        <v>0</v>
      </c>
      <c r="F149" s="123">
        <f t="shared" si="41"/>
        <v>0</v>
      </c>
      <c r="G149" s="123">
        <f t="shared" si="41"/>
        <v>0</v>
      </c>
      <c r="H149" s="123">
        <f t="shared" si="41"/>
        <v>0</v>
      </c>
      <c r="I149" s="123">
        <f t="shared" si="41"/>
        <v>0</v>
      </c>
      <c r="J149" s="123">
        <f t="shared" si="41"/>
        <v>0</v>
      </c>
      <c r="K149" s="123">
        <f t="shared" si="41"/>
        <v>0</v>
      </c>
      <c r="L149" s="123">
        <f t="shared" si="41"/>
        <v>0</v>
      </c>
      <c r="M149" s="123">
        <f t="shared" si="41"/>
        <v>0</v>
      </c>
      <c r="N149" s="123">
        <f t="shared" si="41"/>
        <v>0</v>
      </c>
      <c r="O149" s="123">
        <f t="shared" si="41"/>
        <v>0</v>
      </c>
      <c r="P149" s="123">
        <f t="shared" si="41"/>
        <v>0</v>
      </c>
      <c r="Q149" s="123">
        <f t="shared" si="41"/>
        <v>0</v>
      </c>
      <c r="R149" s="123">
        <f t="shared" si="41"/>
        <v>0</v>
      </c>
      <c r="S149" s="123">
        <f t="shared" si="41"/>
        <v>0</v>
      </c>
      <c r="T149" s="123">
        <f t="shared" si="42"/>
        <v>0</v>
      </c>
      <c r="U149" s="123">
        <f t="shared" si="42"/>
        <v>0</v>
      </c>
      <c r="V149" s="123">
        <f t="shared" si="42"/>
        <v>0</v>
      </c>
      <c r="W149" s="123">
        <f t="shared" si="42"/>
        <v>0</v>
      </c>
      <c r="X149" s="123">
        <f t="shared" si="42"/>
        <v>0</v>
      </c>
      <c r="Y149" s="123">
        <f t="shared" si="42"/>
        <v>0</v>
      </c>
      <c r="Z149" s="123">
        <f t="shared" si="42"/>
        <v>0</v>
      </c>
      <c r="AA149" s="123">
        <f t="shared" si="42"/>
        <v>0</v>
      </c>
      <c r="AB149" s="123">
        <f t="shared" si="42"/>
        <v>0</v>
      </c>
      <c r="AC149" s="123">
        <f t="shared" si="42"/>
        <v>0</v>
      </c>
      <c r="AD149" s="123">
        <f t="shared" si="42"/>
        <v>0</v>
      </c>
      <c r="AE149" s="123">
        <f t="shared" si="42"/>
        <v>0</v>
      </c>
      <c r="AF149" s="123">
        <f t="shared" si="42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3">C151</f>
        <v>0.1</v>
      </c>
      <c r="E151" s="123">
        <f t="shared" si="43"/>
        <v>0.1</v>
      </c>
      <c r="F151" s="123">
        <f t="shared" si="43"/>
        <v>0.1</v>
      </c>
      <c r="G151" s="123">
        <f t="shared" si="43"/>
        <v>0.1</v>
      </c>
      <c r="H151" s="123">
        <f t="shared" si="43"/>
        <v>0.1</v>
      </c>
      <c r="I151" s="123">
        <f t="shared" si="43"/>
        <v>0.1</v>
      </c>
      <c r="J151" s="123">
        <f t="shared" si="43"/>
        <v>0.1</v>
      </c>
      <c r="K151" s="123">
        <f t="shared" si="43"/>
        <v>0.1</v>
      </c>
      <c r="L151" s="123">
        <f t="shared" si="43"/>
        <v>0.1</v>
      </c>
      <c r="M151" s="123">
        <f t="shared" si="43"/>
        <v>0.1</v>
      </c>
      <c r="N151" s="123">
        <f t="shared" si="43"/>
        <v>0.1</v>
      </c>
      <c r="O151" s="123">
        <f t="shared" si="43"/>
        <v>0.1</v>
      </c>
      <c r="P151" s="123">
        <f t="shared" si="43"/>
        <v>0.1</v>
      </c>
      <c r="Q151" s="123">
        <f t="shared" si="43"/>
        <v>0.1</v>
      </c>
      <c r="R151" s="123">
        <f t="shared" si="43"/>
        <v>0.1</v>
      </c>
      <c r="S151" s="123">
        <f t="shared" si="43"/>
        <v>0.1</v>
      </c>
      <c r="T151" s="123">
        <f t="shared" ref="T151:AF154" si="44">S151</f>
        <v>0.1</v>
      </c>
      <c r="U151" s="123">
        <f t="shared" si="44"/>
        <v>0.1</v>
      </c>
      <c r="V151" s="123">
        <f t="shared" si="44"/>
        <v>0.1</v>
      </c>
      <c r="W151" s="123">
        <f t="shared" si="44"/>
        <v>0.1</v>
      </c>
      <c r="X151" s="123">
        <f t="shared" si="44"/>
        <v>0.1</v>
      </c>
      <c r="Y151" s="123">
        <f t="shared" si="44"/>
        <v>0.1</v>
      </c>
      <c r="Z151" s="123">
        <f t="shared" si="44"/>
        <v>0.1</v>
      </c>
      <c r="AA151" s="123">
        <f t="shared" si="44"/>
        <v>0.1</v>
      </c>
      <c r="AB151" s="123">
        <f t="shared" si="44"/>
        <v>0.1</v>
      </c>
      <c r="AC151" s="123">
        <f t="shared" si="44"/>
        <v>0.1</v>
      </c>
      <c r="AD151" s="123">
        <f t="shared" si="44"/>
        <v>0.1</v>
      </c>
      <c r="AE151" s="123">
        <f t="shared" si="44"/>
        <v>0.1</v>
      </c>
      <c r="AF151" s="123">
        <f t="shared" si="44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3"/>
        <v>2.0499999999999998</v>
      </c>
      <c r="E152" s="123">
        <f t="shared" si="43"/>
        <v>2.0499999999999998</v>
      </c>
      <c r="F152" s="123">
        <f t="shared" si="43"/>
        <v>2.0499999999999998</v>
      </c>
      <c r="G152" s="123">
        <f t="shared" si="43"/>
        <v>2.0499999999999998</v>
      </c>
      <c r="H152" s="123">
        <f t="shared" si="43"/>
        <v>2.0499999999999998</v>
      </c>
      <c r="I152" s="123">
        <f t="shared" si="43"/>
        <v>2.0499999999999998</v>
      </c>
      <c r="J152" s="123">
        <f t="shared" si="43"/>
        <v>2.0499999999999998</v>
      </c>
      <c r="K152" s="123">
        <f t="shared" si="43"/>
        <v>2.0499999999999998</v>
      </c>
      <c r="L152" s="123">
        <f t="shared" si="43"/>
        <v>2.0499999999999998</v>
      </c>
      <c r="M152" s="123">
        <f t="shared" si="43"/>
        <v>2.0499999999999998</v>
      </c>
      <c r="N152" s="123">
        <f t="shared" si="43"/>
        <v>2.0499999999999998</v>
      </c>
      <c r="O152" s="123">
        <f t="shared" si="43"/>
        <v>2.0499999999999998</v>
      </c>
      <c r="P152" s="123">
        <f t="shared" si="43"/>
        <v>2.0499999999999998</v>
      </c>
      <c r="Q152" s="123">
        <f t="shared" si="43"/>
        <v>2.0499999999999998</v>
      </c>
      <c r="R152" s="123">
        <f t="shared" si="43"/>
        <v>2.0499999999999998</v>
      </c>
      <c r="S152" s="123">
        <f t="shared" si="43"/>
        <v>2.0499999999999998</v>
      </c>
      <c r="T152" s="123">
        <f t="shared" si="44"/>
        <v>2.0499999999999998</v>
      </c>
      <c r="U152" s="123">
        <f t="shared" si="44"/>
        <v>2.0499999999999998</v>
      </c>
      <c r="V152" s="123">
        <f t="shared" si="44"/>
        <v>2.0499999999999998</v>
      </c>
      <c r="W152" s="123">
        <f t="shared" si="44"/>
        <v>2.0499999999999998</v>
      </c>
      <c r="X152" s="123">
        <f t="shared" si="44"/>
        <v>2.0499999999999998</v>
      </c>
      <c r="Y152" s="123">
        <f t="shared" si="44"/>
        <v>2.0499999999999998</v>
      </c>
      <c r="Z152" s="123">
        <f t="shared" si="44"/>
        <v>2.0499999999999998</v>
      </c>
      <c r="AA152" s="123">
        <f t="shared" si="44"/>
        <v>2.0499999999999998</v>
      </c>
      <c r="AB152" s="123">
        <f t="shared" si="44"/>
        <v>2.0499999999999998</v>
      </c>
      <c r="AC152" s="123">
        <f t="shared" si="44"/>
        <v>2.0499999999999998</v>
      </c>
      <c r="AD152" s="123">
        <f t="shared" si="44"/>
        <v>2.0499999999999998</v>
      </c>
      <c r="AE152" s="123">
        <f t="shared" si="44"/>
        <v>2.0499999999999998</v>
      </c>
      <c r="AF152" s="123">
        <f t="shared" si="44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3"/>
        <v>2.7</v>
      </c>
      <c r="E153" s="123">
        <f t="shared" si="43"/>
        <v>2.7</v>
      </c>
      <c r="F153" s="123">
        <f t="shared" si="43"/>
        <v>2.7</v>
      </c>
      <c r="G153" s="123">
        <f t="shared" si="43"/>
        <v>2.7</v>
      </c>
      <c r="H153" s="123">
        <f t="shared" si="43"/>
        <v>2.7</v>
      </c>
      <c r="I153" s="123">
        <f t="shared" si="43"/>
        <v>2.7</v>
      </c>
      <c r="J153" s="123">
        <f t="shared" si="43"/>
        <v>2.7</v>
      </c>
      <c r="K153" s="123">
        <f t="shared" si="43"/>
        <v>2.7</v>
      </c>
      <c r="L153" s="123">
        <f t="shared" si="43"/>
        <v>2.7</v>
      </c>
      <c r="M153" s="123">
        <f t="shared" si="43"/>
        <v>2.7</v>
      </c>
      <c r="N153" s="123">
        <f t="shared" si="43"/>
        <v>2.7</v>
      </c>
      <c r="O153" s="123">
        <f t="shared" si="43"/>
        <v>2.7</v>
      </c>
      <c r="P153" s="123">
        <f t="shared" si="43"/>
        <v>2.7</v>
      </c>
      <c r="Q153" s="123">
        <f t="shared" si="43"/>
        <v>2.7</v>
      </c>
      <c r="R153" s="123">
        <f t="shared" si="43"/>
        <v>2.7</v>
      </c>
      <c r="S153" s="123">
        <f t="shared" si="43"/>
        <v>2.7</v>
      </c>
      <c r="T153" s="123">
        <f t="shared" si="44"/>
        <v>2.7</v>
      </c>
      <c r="U153" s="123">
        <f t="shared" si="44"/>
        <v>2.7</v>
      </c>
      <c r="V153" s="123">
        <f t="shared" si="44"/>
        <v>2.7</v>
      </c>
      <c r="W153" s="123">
        <f t="shared" si="44"/>
        <v>2.7</v>
      </c>
      <c r="X153" s="123">
        <f t="shared" si="44"/>
        <v>2.7</v>
      </c>
      <c r="Y153" s="123">
        <f t="shared" si="44"/>
        <v>2.7</v>
      </c>
      <c r="Z153" s="123">
        <f t="shared" si="44"/>
        <v>2.7</v>
      </c>
      <c r="AA153" s="123">
        <f t="shared" si="44"/>
        <v>2.7</v>
      </c>
      <c r="AB153" s="123">
        <f t="shared" si="44"/>
        <v>2.7</v>
      </c>
      <c r="AC153" s="123">
        <f t="shared" si="44"/>
        <v>2.7</v>
      </c>
      <c r="AD153" s="123">
        <f t="shared" si="44"/>
        <v>2.7</v>
      </c>
      <c r="AE153" s="123">
        <f t="shared" si="44"/>
        <v>2.7</v>
      </c>
      <c r="AF153" s="123">
        <f t="shared" si="44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3"/>
        <v>2.15</v>
      </c>
      <c r="E154" s="123">
        <f t="shared" si="43"/>
        <v>2.15</v>
      </c>
      <c r="F154" s="123">
        <f t="shared" si="43"/>
        <v>2.15</v>
      </c>
      <c r="G154" s="123">
        <f t="shared" si="43"/>
        <v>2.15</v>
      </c>
      <c r="H154" s="123">
        <f t="shared" si="43"/>
        <v>2.15</v>
      </c>
      <c r="I154" s="123">
        <f t="shared" si="43"/>
        <v>2.15</v>
      </c>
      <c r="J154" s="123">
        <f t="shared" si="43"/>
        <v>2.15</v>
      </c>
      <c r="K154" s="123">
        <f t="shared" si="43"/>
        <v>2.15</v>
      </c>
      <c r="L154" s="123">
        <f t="shared" si="43"/>
        <v>2.15</v>
      </c>
      <c r="M154" s="123">
        <f t="shared" si="43"/>
        <v>2.15</v>
      </c>
      <c r="N154" s="123">
        <f t="shared" si="43"/>
        <v>2.15</v>
      </c>
      <c r="O154" s="123">
        <f t="shared" si="43"/>
        <v>2.15</v>
      </c>
      <c r="P154" s="123">
        <f t="shared" si="43"/>
        <v>2.15</v>
      </c>
      <c r="Q154" s="123">
        <f t="shared" si="43"/>
        <v>2.15</v>
      </c>
      <c r="R154" s="123">
        <f t="shared" si="43"/>
        <v>2.15</v>
      </c>
      <c r="S154" s="123">
        <f t="shared" si="43"/>
        <v>2.15</v>
      </c>
      <c r="T154" s="123">
        <f t="shared" si="44"/>
        <v>2.15</v>
      </c>
      <c r="U154" s="123">
        <f t="shared" si="44"/>
        <v>2.15</v>
      </c>
      <c r="V154" s="123">
        <f t="shared" si="44"/>
        <v>2.15</v>
      </c>
      <c r="W154" s="123">
        <f t="shared" si="44"/>
        <v>2.15</v>
      </c>
      <c r="X154" s="123">
        <f t="shared" si="44"/>
        <v>2.15</v>
      </c>
      <c r="Y154" s="123">
        <f t="shared" si="44"/>
        <v>2.15</v>
      </c>
      <c r="Z154" s="123">
        <f t="shared" si="44"/>
        <v>2.15</v>
      </c>
      <c r="AA154" s="123">
        <f t="shared" si="44"/>
        <v>2.15</v>
      </c>
      <c r="AB154" s="123">
        <f t="shared" si="44"/>
        <v>2.15</v>
      </c>
      <c r="AC154" s="123">
        <f t="shared" si="44"/>
        <v>2.15</v>
      </c>
      <c r="AD154" s="123">
        <f t="shared" si="44"/>
        <v>2.15</v>
      </c>
      <c r="AE154" s="123">
        <f t="shared" si="44"/>
        <v>2.15</v>
      </c>
      <c r="AF154" s="123">
        <f t="shared" si="44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5">AF156</f>
        <v>0.9</v>
      </c>
      <c r="C156" s="124">
        <v>0.9</v>
      </c>
      <c r="D156" s="123">
        <f t="shared" ref="D156:S168" si="46">C156</f>
        <v>0.9</v>
      </c>
      <c r="E156" s="123">
        <f t="shared" si="46"/>
        <v>0.9</v>
      </c>
      <c r="F156" s="123">
        <f t="shared" si="46"/>
        <v>0.9</v>
      </c>
      <c r="G156" s="123">
        <f t="shared" si="46"/>
        <v>0.9</v>
      </c>
      <c r="H156" s="123">
        <f t="shared" si="46"/>
        <v>0.9</v>
      </c>
      <c r="I156" s="123">
        <f t="shared" si="46"/>
        <v>0.9</v>
      </c>
      <c r="J156" s="123">
        <f t="shared" si="46"/>
        <v>0.9</v>
      </c>
      <c r="K156" s="123">
        <f t="shared" si="46"/>
        <v>0.9</v>
      </c>
      <c r="L156" s="123">
        <f t="shared" si="46"/>
        <v>0.9</v>
      </c>
      <c r="M156" s="123">
        <f t="shared" si="46"/>
        <v>0.9</v>
      </c>
      <c r="N156" s="123">
        <f t="shared" si="46"/>
        <v>0.9</v>
      </c>
      <c r="O156" s="123">
        <f t="shared" si="46"/>
        <v>0.9</v>
      </c>
      <c r="P156" s="123">
        <f t="shared" si="46"/>
        <v>0.9</v>
      </c>
      <c r="Q156" s="123">
        <f t="shared" si="46"/>
        <v>0.9</v>
      </c>
      <c r="R156" s="123">
        <f t="shared" si="46"/>
        <v>0.9</v>
      </c>
      <c r="S156" s="123">
        <f t="shared" si="46"/>
        <v>0.9</v>
      </c>
      <c r="T156" s="123">
        <f t="shared" ref="S156:AF168" si="47">S156</f>
        <v>0.9</v>
      </c>
      <c r="U156" s="123">
        <f t="shared" si="47"/>
        <v>0.9</v>
      </c>
      <c r="V156" s="123">
        <f t="shared" si="47"/>
        <v>0.9</v>
      </c>
      <c r="W156" s="123">
        <f t="shared" si="47"/>
        <v>0.9</v>
      </c>
      <c r="X156" s="123">
        <f t="shared" si="47"/>
        <v>0.9</v>
      </c>
      <c r="Y156" s="123">
        <f t="shared" si="47"/>
        <v>0.9</v>
      </c>
      <c r="Z156" s="123">
        <f t="shared" si="47"/>
        <v>0.9</v>
      </c>
      <c r="AA156" s="123">
        <f t="shared" si="47"/>
        <v>0.9</v>
      </c>
      <c r="AB156" s="123">
        <f t="shared" si="47"/>
        <v>0.9</v>
      </c>
      <c r="AC156" s="123">
        <f t="shared" si="47"/>
        <v>0.9</v>
      </c>
      <c r="AD156" s="123">
        <f t="shared" si="47"/>
        <v>0.9</v>
      </c>
      <c r="AE156" s="123">
        <f t="shared" si="47"/>
        <v>0.9</v>
      </c>
      <c r="AF156" s="123">
        <f t="shared" si="47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5"/>
        <v>1.08</v>
      </c>
      <c r="C157" s="124">
        <v>1.08</v>
      </c>
      <c r="D157" s="123">
        <f t="shared" si="46"/>
        <v>1.08</v>
      </c>
      <c r="E157" s="123">
        <f t="shared" si="46"/>
        <v>1.08</v>
      </c>
      <c r="F157" s="123">
        <f t="shared" si="46"/>
        <v>1.08</v>
      </c>
      <c r="G157" s="123">
        <f t="shared" si="46"/>
        <v>1.08</v>
      </c>
      <c r="H157" s="123">
        <f t="shared" si="46"/>
        <v>1.08</v>
      </c>
      <c r="I157" s="123">
        <f t="shared" si="46"/>
        <v>1.08</v>
      </c>
      <c r="J157" s="123">
        <f t="shared" si="46"/>
        <v>1.08</v>
      </c>
      <c r="K157" s="123">
        <f t="shared" si="46"/>
        <v>1.08</v>
      </c>
      <c r="L157" s="123">
        <f t="shared" si="46"/>
        <v>1.08</v>
      </c>
      <c r="M157" s="123">
        <f t="shared" si="46"/>
        <v>1.08</v>
      </c>
      <c r="N157" s="123">
        <f t="shared" si="46"/>
        <v>1.08</v>
      </c>
      <c r="O157" s="123">
        <f t="shared" si="46"/>
        <v>1.08</v>
      </c>
      <c r="P157" s="123">
        <f t="shared" si="46"/>
        <v>1.08</v>
      </c>
      <c r="Q157" s="123">
        <f t="shared" si="46"/>
        <v>1.08</v>
      </c>
      <c r="R157" s="123">
        <f t="shared" si="46"/>
        <v>1.08</v>
      </c>
      <c r="S157" s="123">
        <f t="shared" si="46"/>
        <v>1.08</v>
      </c>
      <c r="T157" s="123">
        <f t="shared" si="47"/>
        <v>1.08</v>
      </c>
      <c r="U157" s="123">
        <f t="shared" si="47"/>
        <v>1.08</v>
      </c>
      <c r="V157" s="123">
        <f t="shared" si="47"/>
        <v>1.08</v>
      </c>
      <c r="W157" s="123">
        <f t="shared" si="47"/>
        <v>1.08</v>
      </c>
      <c r="X157" s="123">
        <f t="shared" si="47"/>
        <v>1.08</v>
      </c>
      <c r="Y157" s="123">
        <f t="shared" si="47"/>
        <v>1.08</v>
      </c>
      <c r="Z157" s="123">
        <f t="shared" si="47"/>
        <v>1.08</v>
      </c>
      <c r="AA157" s="123">
        <f t="shared" si="47"/>
        <v>1.08</v>
      </c>
      <c r="AB157" s="123">
        <f t="shared" si="47"/>
        <v>1.08</v>
      </c>
      <c r="AC157" s="123">
        <f t="shared" si="47"/>
        <v>1.08</v>
      </c>
      <c r="AD157" s="123">
        <f t="shared" si="47"/>
        <v>1.08</v>
      </c>
      <c r="AE157" s="123">
        <f t="shared" si="47"/>
        <v>1.08</v>
      </c>
      <c r="AF157" s="123">
        <f t="shared" si="47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5"/>
        <v>2.37</v>
      </c>
      <c r="C158" s="124">
        <v>2.37</v>
      </c>
      <c r="D158" s="123">
        <f t="shared" si="46"/>
        <v>2.37</v>
      </c>
      <c r="E158" s="123">
        <f t="shared" si="46"/>
        <v>2.37</v>
      </c>
      <c r="F158" s="123">
        <f t="shared" si="46"/>
        <v>2.37</v>
      </c>
      <c r="G158" s="123">
        <f t="shared" si="46"/>
        <v>2.37</v>
      </c>
      <c r="H158" s="123">
        <f t="shared" si="46"/>
        <v>2.37</v>
      </c>
      <c r="I158" s="123">
        <f t="shared" si="46"/>
        <v>2.37</v>
      </c>
      <c r="J158" s="123">
        <f t="shared" si="46"/>
        <v>2.37</v>
      </c>
      <c r="K158" s="123">
        <f t="shared" si="46"/>
        <v>2.37</v>
      </c>
      <c r="L158" s="123">
        <f t="shared" si="46"/>
        <v>2.37</v>
      </c>
      <c r="M158" s="123">
        <f t="shared" si="46"/>
        <v>2.37</v>
      </c>
      <c r="N158" s="123">
        <f t="shared" si="46"/>
        <v>2.37</v>
      </c>
      <c r="O158" s="123">
        <f t="shared" si="46"/>
        <v>2.37</v>
      </c>
      <c r="P158" s="123">
        <f t="shared" si="46"/>
        <v>2.37</v>
      </c>
      <c r="Q158" s="123">
        <f t="shared" si="46"/>
        <v>2.37</v>
      </c>
      <c r="R158" s="123">
        <f t="shared" si="46"/>
        <v>2.37</v>
      </c>
      <c r="S158" s="123">
        <f t="shared" si="46"/>
        <v>2.37</v>
      </c>
      <c r="T158" s="123">
        <f t="shared" si="47"/>
        <v>2.37</v>
      </c>
      <c r="U158" s="123">
        <f t="shared" si="47"/>
        <v>2.37</v>
      </c>
      <c r="V158" s="123">
        <f t="shared" si="47"/>
        <v>2.37</v>
      </c>
      <c r="W158" s="123">
        <f t="shared" si="47"/>
        <v>2.37</v>
      </c>
      <c r="X158" s="123">
        <f t="shared" si="47"/>
        <v>2.37</v>
      </c>
      <c r="Y158" s="123">
        <f t="shared" si="47"/>
        <v>2.37</v>
      </c>
      <c r="Z158" s="123">
        <f t="shared" si="47"/>
        <v>2.37</v>
      </c>
      <c r="AA158" s="123">
        <f t="shared" si="47"/>
        <v>2.37</v>
      </c>
      <c r="AB158" s="123">
        <f t="shared" si="47"/>
        <v>2.37</v>
      </c>
      <c r="AC158" s="123">
        <f t="shared" si="47"/>
        <v>2.37</v>
      </c>
      <c r="AD158" s="123">
        <f t="shared" si="47"/>
        <v>2.37</v>
      </c>
      <c r="AE158" s="123">
        <f t="shared" si="47"/>
        <v>2.37</v>
      </c>
      <c r="AF158" s="123">
        <f t="shared" si="47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5"/>
        <v>1.81</v>
      </c>
      <c r="C159" s="124">
        <v>1.81</v>
      </c>
      <c r="D159" s="123">
        <f t="shared" si="46"/>
        <v>1.81</v>
      </c>
      <c r="E159" s="123">
        <f t="shared" si="46"/>
        <v>1.81</v>
      </c>
      <c r="F159" s="123">
        <f t="shared" si="46"/>
        <v>1.81</v>
      </c>
      <c r="G159" s="123">
        <f t="shared" si="46"/>
        <v>1.81</v>
      </c>
      <c r="H159" s="123">
        <f t="shared" si="46"/>
        <v>1.81</v>
      </c>
      <c r="I159" s="123">
        <f t="shared" si="46"/>
        <v>1.81</v>
      </c>
      <c r="J159" s="123">
        <f t="shared" si="46"/>
        <v>1.81</v>
      </c>
      <c r="K159" s="123">
        <f t="shared" si="46"/>
        <v>1.81</v>
      </c>
      <c r="L159" s="123">
        <f t="shared" si="46"/>
        <v>1.81</v>
      </c>
      <c r="M159" s="123">
        <f t="shared" si="46"/>
        <v>1.81</v>
      </c>
      <c r="N159" s="123">
        <f t="shared" si="46"/>
        <v>1.81</v>
      </c>
      <c r="O159" s="123">
        <f t="shared" si="46"/>
        <v>1.81</v>
      </c>
      <c r="P159" s="123">
        <f t="shared" si="46"/>
        <v>1.81</v>
      </c>
      <c r="Q159" s="123">
        <f t="shared" si="46"/>
        <v>1.81</v>
      </c>
      <c r="R159" s="123">
        <f t="shared" si="46"/>
        <v>1.81</v>
      </c>
      <c r="S159" s="123">
        <f t="shared" si="46"/>
        <v>1.81</v>
      </c>
      <c r="T159" s="123">
        <f t="shared" si="47"/>
        <v>1.81</v>
      </c>
      <c r="U159" s="123">
        <f t="shared" si="47"/>
        <v>1.81</v>
      </c>
      <c r="V159" s="123">
        <f t="shared" si="47"/>
        <v>1.81</v>
      </c>
      <c r="W159" s="123">
        <f t="shared" si="47"/>
        <v>1.81</v>
      </c>
      <c r="X159" s="123">
        <f t="shared" si="47"/>
        <v>1.81</v>
      </c>
      <c r="Y159" s="123">
        <f t="shared" si="47"/>
        <v>1.81</v>
      </c>
      <c r="Z159" s="123">
        <f t="shared" si="47"/>
        <v>1.81</v>
      </c>
      <c r="AA159" s="123">
        <f t="shared" si="47"/>
        <v>1.81</v>
      </c>
      <c r="AB159" s="123">
        <f t="shared" si="47"/>
        <v>1.81</v>
      </c>
      <c r="AC159" s="123">
        <f t="shared" si="47"/>
        <v>1.81</v>
      </c>
      <c r="AD159" s="123">
        <f t="shared" si="47"/>
        <v>1.81</v>
      </c>
      <c r="AE159" s="123">
        <f t="shared" si="47"/>
        <v>1.81</v>
      </c>
      <c r="AF159" s="123">
        <f t="shared" si="47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5"/>
        <v>1.0900000000000001</v>
      </c>
      <c r="C160" s="124">
        <v>1.0900000000000001</v>
      </c>
      <c r="D160" s="123">
        <f t="shared" si="46"/>
        <v>1.0900000000000001</v>
      </c>
      <c r="E160" s="123">
        <f t="shared" si="46"/>
        <v>1.0900000000000001</v>
      </c>
      <c r="F160" s="123">
        <f t="shared" si="46"/>
        <v>1.0900000000000001</v>
      </c>
      <c r="G160" s="123">
        <f t="shared" si="46"/>
        <v>1.0900000000000001</v>
      </c>
      <c r="H160" s="123">
        <f t="shared" si="46"/>
        <v>1.0900000000000001</v>
      </c>
      <c r="I160" s="123">
        <f t="shared" si="46"/>
        <v>1.0900000000000001</v>
      </c>
      <c r="J160" s="123">
        <f t="shared" si="46"/>
        <v>1.0900000000000001</v>
      </c>
      <c r="K160" s="123">
        <f t="shared" si="46"/>
        <v>1.0900000000000001</v>
      </c>
      <c r="L160" s="123">
        <f t="shared" si="46"/>
        <v>1.0900000000000001</v>
      </c>
      <c r="M160" s="123">
        <f t="shared" si="46"/>
        <v>1.0900000000000001</v>
      </c>
      <c r="N160" s="123">
        <f t="shared" si="46"/>
        <v>1.0900000000000001</v>
      </c>
      <c r="O160" s="123">
        <f t="shared" si="46"/>
        <v>1.0900000000000001</v>
      </c>
      <c r="P160" s="123">
        <f t="shared" si="46"/>
        <v>1.0900000000000001</v>
      </c>
      <c r="Q160" s="123">
        <f t="shared" si="46"/>
        <v>1.0900000000000001</v>
      </c>
      <c r="R160" s="123">
        <f t="shared" si="46"/>
        <v>1.0900000000000001</v>
      </c>
      <c r="S160" s="123">
        <f t="shared" si="46"/>
        <v>1.0900000000000001</v>
      </c>
      <c r="T160" s="123">
        <f t="shared" si="47"/>
        <v>1.0900000000000001</v>
      </c>
      <c r="U160" s="123">
        <f t="shared" si="47"/>
        <v>1.0900000000000001</v>
      </c>
      <c r="V160" s="123">
        <f t="shared" si="47"/>
        <v>1.0900000000000001</v>
      </c>
      <c r="W160" s="123">
        <f t="shared" si="47"/>
        <v>1.0900000000000001</v>
      </c>
      <c r="X160" s="123">
        <f t="shared" si="47"/>
        <v>1.0900000000000001</v>
      </c>
      <c r="Y160" s="123">
        <f t="shared" si="47"/>
        <v>1.0900000000000001</v>
      </c>
      <c r="Z160" s="123">
        <f t="shared" si="47"/>
        <v>1.0900000000000001</v>
      </c>
      <c r="AA160" s="123">
        <f t="shared" si="47"/>
        <v>1.0900000000000001</v>
      </c>
      <c r="AB160" s="123">
        <f t="shared" si="47"/>
        <v>1.0900000000000001</v>
      </c>
      <c r="AC160" s="123">
        <f t="shared" si="47"/>
        <v>1.0900000000000001</v>
      </c>
      <c r="AD160" s="123">
        <f t="shared" si="47"/>
        <v>1.0900000000000001</v>
      </c>
      <c r="AE160" s="123">
        <f t="shared" si="47"/>
        <v>1.0900000000000001</v>
      </c>
      <c r="AF160" s="123">
        <f t="shared" si="47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5"/>
        <v>1.58</v>
      </c>
      <c r="C161" s="124">
        <v>1.58</v>
      </c>
      <c r="D161" s="123">
        <f t="shared" si="46"/>
        <v>1.58</v>
      </c>
      <c r="E161" s="123">
        <f t="shared" si="46"/>
        <v>1.58</v>
      </c>
      <c r="F161" s="123">
        <f t="shared" si="46"/>
        <v>1.58</v>
      </c>
      <c r="G161" s="123">
        <f t="shared" si="46"/>
        <v>1.58</v>
      </c>
      <c r="H161" s="123">
        <f t="shared" si="46"/>
        <v>1.58</v>
      </c>
      <c r="I161" s="123">
        <f t="shared" si="46"/>
        <v>1.58</v>
      </c>
      <c r="J161" s="123">
        <f t="shared" si="46"/>
        <v>1.58</v>
      </c>
      <c r="K161" s="123">
        <f t="shared" si="46"/>
        <v>1.58</v>
      </c>
      <c r="L161" s="123">
        <f t="shared" si="46"/>
        <v>1.58</v>
      </c>
      <c r="M161" s="123">
        <f t="shared" si="46"/>
        <v>1.58</v>
      </c>
      <c r="N161" s="123">
        <f t="shared" si="46"/>
        <v>1.58</v>
      </c>
      <c r="O161" s="123">
        <f t="shared" si="46"/>
        <v>1.58</v>
      </c>
      <c r="P161" s="123">
        <f t="shared" si="46"/>
        <v>1.58</v>
      </c>
      <c r="Q161" s="123">
        <f t="shared" si="46"/>
        <v>1.58</v>
      </c>
      <c r="R161" s="123">
        <f t="shared" si="46"/>
        <v>1.58</v>
      </c>
      <c r="S161" s="123">
        <f t="shared" si="46"/>
        <v>1.58</v>
      </c>
      <c r="T161" s="123">
        <f t="shared" si="47"/>
        <v>1.58</v>
      </c>
      <c r="U161" s="123">
        <f t="shared" si="47"/>
        <v>1.58</v>
      </c>
      <c r="V161" s="123">
        <f t="shared" si="47"/>
        <v>1.58</v>
      </c>
      <c r="W161" s="123">
        <f t="shared" si="47"/>
        <v>1.58</v>
      </c>
      <c r="X161" s="123">
        <f t="shared" si="47"/>
        <v>1.58</v>
      </c>
      <c r="Y161" s="123">
        <f t="shared" si="47"/>
        <v>1.58</v>
      </c>
      <c r="Z161" s="123">
        <f t="shared" si="47"/>
        <v>1.58</v>
      </c>
      <c r="AA161" s="123">
        <f t="shared" si="47"/>
        <v>1.58</v>
      </c>
      <c r="AB161" s="123">
        <f t="shared" si="47"/>
        <v>1.58</v>
      </c>
      <c r="AC161" s="123">
        <f t="shared" si="47"/>
        <v>1.58</v>
      </c>
      <c r="AD161" s="123">
        <f t="shared" si="47"/>
        <v>1.58</v>
      </c>
      <c r="AE161" s="123">
        <f t="shared" si="47"/>
        <v>1.58</v>
      </c>
      <c r="AF161" s="123">
        <f t="shared" si="47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5"/>
        <v>2</v>
      </c>
      <c r="C162" s="124">
        <v>2</v>
      </c>
      <c r="D162" s="123">
        <f t="shared" si="46"/>
        <v>2</v>
      </c>
      <c r="E162" s="123">
        <f t="shared" si="46"/>
        <v>2</v>
      </c>
      <c r="F162" s="123">
        <f t="shared" si="46"/>
        <v>2</v>
      </c>
      <c r="G162" s="123">
        <f t="shared" si="46"/>
        <v>2</v>
      </c>
      <c r="H162" s="123">
        <f t="shared" si="46"/>
        <v>2</v>
      </c>
      <c r="I162" s="123">
        <f t="shared" si="46"/>
        <v>2</v>
      </c>
      <c r="J162" s="123">
        <f t="shared" si="46"/>
        <v>2</v>
      </c>
      <c r="K162" s="123">
        <f t="shared" si="46"/>
        <v>2</v>
      </c>
      <c r="L162" s="123">
        <f t="shared" si="46"/>
        <v>2</v>
      </c>
      <c r="M162" s="123">
        <f t="shared" si="46"/>
        <v>2</v>
      </c>
      <c r="N162" s="123">
        <f t="shared" si="46"/>
        <v>2</v>
      </c>
      <c r="O162" s="123">
        <f t="shared" si="46"/>
        <v>2</v>
      </c>
      <c r="P162" s="123">
        <f t="shared" si="46"/>
        <v>2</v>
      </c>
      <c r="Q162" s="123">
        <f t="shared" si="46"/>
        <v>2</v>
      </c>
      <c r="R162" s="123">
        <f t="shared" si="46"/>
        <v>2</v>
      </c>
      <c r="S162" s="123">
        <f t="shared" si="46"/>
        <v>2</v>
      </c>
      <c r="T162" s="123">
        <f t="shared" si="47"/>
        <v>2</v>
      </c>
      <c r="U162" s="123">
        <f t="shared" si="47"/>
        <v>2</v>
      </c>
      <c r="V162" s="123">
        <f t="shared" si="47"/>
        <v>2</v>
      </c>
      <c r="W162" s="123">
        <f t="shared" si="47"/>
        <v>2</v>
      </c>
      <c r="X162" s="123">
        <f t="shared" si="47"/>
        <v>2</v>
      </c>
      <c r="Y162" s="123">
        <f t="shared" si="47"/>
        <v>2</v>
      </c>
      <c r="Z162" s="123">
        <f t="shared" si="47"/>
        <v>2</v>
      </c>
      <c r="AA162" s="123">
        <f t="shared" si="47"/>
        <v>2</v>
      </c>
      <c r="AB162" s="123">
        <f t="shared" si="47"/>
        <v>2</v>
      </c>
      <c r="AC162" s="123">
        <f t="shared" si="47"/>
        <v>2</v>
      </c>
      <c r="AD162" s="123">
        <f t="shared" si="47"/>
        <v>2</v>
      </c>
      <c r="AE162" s="123">
        <f t="shared" si="47"/>
        <v>2</v>
      </c>
      <c r="AF162" s="123">
        <f t="shared" si="47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5"/>
        <v>0.47</v>
      </c>
      <c r="C163" s="124">
        <v>0.47</v>
      </c>
      <c r="D163" s="123">
        <f t="shared" si="46"/>
        <v>0.47</v>
      </c>
      <c r="E163" s="123">
        <f t="shared" si="46"/>
        <v>0.47</v>
      </c>
      <c r="F163" s="123">
        <f t="shared" si="46"/>
        <v>0.47</v>
      </c>
      <c r="G163" s="123">
        <f t="shared" si="46"/>
        <v>0.47</v>
      </c>
      <c r="H163" s="123">
        <f t="shared" si="46"/>
        <v>0.47</v>
      </c>
      <c r="I163" s="123">
        <f t="shared" si="46"/>
        <v>0.47</v>
      </c>
      <c r="J163" s="123">
        <f t="shared" si="46"/>
        <v>0.47</v>
      </c>
      <c r="K163" s="123">
        <f t="shared" si="46"/>
        <v>0.47</v>
      </c>
      <c r="L163" s="123">
        <f t="shared" si="46"/>
        <v>0.47</v>
      </c>
      <c r="M163" s="123">
        <f t="shared" si="46"/>
        <v>0.47</v>
      </c>
      <c r="N163" s="123">
        <f t="shared" si="46"/>
        <v>0.47</v>
      </c>
      <c r="O163" s="123">
        <f t="shared" si="46"/>
        <v>0.47</v>
      </c>
      <c r="P163" s="123">
        <f t="shared" si="46"/>
        <v>0.47</v>
      </c>
      <c r="Q163" s="123">
        <f t="shared" si="46"/>
        <v>0.47</v>
      </c>
      <c r="R163" s="123">
        <f t="shared" si="46"/>
        <v>0.47</v>
      </c>
      <c r="S163" s="123">
        <f t="shared" si="46"/>
        <v>0.47</v>
      </c>
      <c r="T163" s="123">
        <f t="shared" si="47"/>
        <v>0.47</v>
      </c>
      <c r="U163" s="123">
        <f t="shared" si="47"/>
        <v>0.47</v>
      </c>
      <c r="V163" s="123">
        <f t="shared" si="47"/>
        <v>0.47</v>
      </c>
      <c r="W163" s="123">
        <f t="shared" si="47"/>
        <v>0.47</v>
      </c>
      <c r="X163" s="123">
        <f t="shared" si="47"/>
        <v>0.47</v>
      </c>
      <c r="Y163" s="123">
        <f t="shared" si="47"/>
        <v>0.47</v>
      </c>
      <c r="Z163" s="123">
        <f t="shared" si="47"/>
        <v>0.47</v>
      </c>
      <c r="AA163" s="123">
        <f t="shared" si="47"/>
        <v>0.47</v>
      </c>
      <c r="AB163" s="123">
        <f t="shared" si="47"/>
        <v>0.47</v>
      </c>
      <c r="AC163" s="123">
        <f t="shared" si="47"/>
        <v>0.47</v>
      </c>
      <c r="AD163" s="123">
        <f t="shared" si="47"/>
        <v>0.47</v>
      </c>
      <c r="AE163" s="123">
        <f t="shared" si="47"/>
        <v>0.47</v>
      </c>
      <c r="AF163" s="123">
        <f t="shared" si="47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5"/>
        <v>0</v>
      </c>
      <c r="C164" s="124">
        <v>0</v>
      </c>
      <c r="D164" s="123">
        <f t="shared" si="46"/>
        <v>0</v>
      </c>
      <c r="E164" s="123">
        <f t="shared" si="46"/>
        <v>0</v>
      </c>
      <c r="F164" s="123">
        <f t="shared" si="46"/>
        <v>0</v>
      </c>
      <c r="G164" s="123">
        <f t="shared" si="46"/>
        <v>0</v>
      </c>
      <c r="H164" s="123">
        <f t="shared" si="46"/>
        <v>0</v>
      </c>
      <c r="I164" s="123">
        <f t="shared" si="46"/>
        <v>0</v>
      </c>
      <c r="J164" s="123">
        <f t="shared" si="46"/>
        <v>0</v>
      </c>
      <c r="K164" s="123">
        <f t="shared" si="46"/>
        <v>0</v>
      </c>
      <c r="L164" s="123">
        <f t="shared" si="46"/>
        <v>0</v>
      </c>
      <c r="M164" s="123">
        <f t="shared" si="46"/>
        <v>0</v>
      </c>
      <c r="N164" s="123">
        <f t="shared" si="46"/>
        <v>0</v>
      </c>
      <c r="O164" s="123">
        <f t="shared" si="46"/>
        <v>0</v>
      </c>
      <c r="P164" s="123">
        <f t="shared" si="46"/>
        <v>0</v>
      </c>
      <c r="Q164" s="123">
        <f t="shared" si="46"/>
        <v>0</v>
      </c>
      <c r="R164" s="123">
        <f t="shared" si="46"/>
        <v>0</v>
      </c>
      <c r="S164" s="123">
        <f t="shared" si="46"/>
        <v>0</v>
      </c>
      <c r="T164" s="123">
        <f t="shared" si="47"/>
        <v>0</v>
      </c>
      <c r="U164" s="123">
        <f t="shared" si="47"/>
        <v>0</v>
      </c>
      <c r="V164" s="123">
        <f t="shared" si="47"/>
        <v>0</v>
      </c>
      <c r="W164" s="123">
        <f t="shared" si="47"/>
        <v>0</v>
      </c>
      <c r="X164" s="123">
        <f t="shared" si="47"/>
        <v>0</v>
      </c>
      <c r="Y164" s="123">
        <f t="shared" si="47"/>
        <v>0</v>
      </c>
      <c r="Z164" s="123">
        <f t="shared" si="47"/>
        <v>0</v>
      </c>
      <c r="AA164" s="123">
        <f t="shared" si="47"/>
        <v>0</v>
      </c>
      <c r="AB164" s="123">
        <f t="shared" si="47"/>
        <v>0</v>
      </c>
      <c r="AC164" s="123">
        <f t="shared" si="47"/>
        <v>0</v>
      </c>
      <c r="AD164" s="123">
        <f t="shared" si="47"/>
        <v>0</v>
      </c>
      <c r="AE164" s="123">
        <f t="shared" si="47"/>
        <v>0</v>
      </c>
      <c r="AF164" s="123">
        <f t="shared" si="47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7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5"/>
        <v>0.8</v>
      </c>
      <c r="C166" s="124">
        <v>0.8</v>
      </c>
      <c r="D166" s="123">
        <f t="shared" si="46"/>
        <v>0.8</v>
      </c>
      <c r="E166" s="123">
        <f t="shared" si="46"/>
        <v>0.8</v>
      </c>
      <c r="F166" s="123">
        <f t="shared" si="46"/>
        <v>0.8</v>
      </c>
      <c r="G166" s="123">
        <f t="shared" si="46"/>
        <v>0.8</v>
      </c>
      <c r="H166" s="123">
        <f t="shared" si="46"/>
        <v>0.8</v>
      </c>
      <c r="I166" s="123">
        <f t="shared" si="46"/>
        <v>0.8</v>
      </c>
      <c r="J166" s="123">
        <f t="shared" si="46"/>
        <v>0.8</v>
      </c>
      <c r="K166" s="123">
        <f t="shared" si="46"/>
        <v>0.8</v>
      </c>
      <c r="L166" s="123">
        <f t="shared" si="46"/>
        <v>0.8</v>
      </c>
      <c r="M166" s="123">
        <f t="shared" si="46"/>
        <v>0.8</v>
      </c>
      <c r="N166" s="123">
        <f t="shared" si="46"/>
        <v>0.8</v>
      </c>
      <c r="O166" s="123">
        <f t="shared" si="46"/>
        <v>0.8</v>
      </c>
      <c r="P166" s="123">
        <f t="shared" si="46"/>
        <v>0.8</v>
      </c>
      <c r="Q166" s="123">
        <f t="shared" si="46"/>
        <v>0.8</v>
      </c>
      <c r="R166" s="123">
        <f t="shared" si="46"/>
        <v>0.8</v>
      </c>
      <c r="S166" s="123">
        <f t="shared" si="47"/>
        <v>0.8</v>
      </c>
      <c r="T166" s="123">
        <f t="shared" si="47"/>
        <v>0.8</v>
      </c>
      <c r="U166" s="123">
        <f t="shared" si="47"/>
        <v>0.8</v>
      </c>
      <c r="V166" s="123">
        <f t="shared" si="47"/>
        <v>0.8</v>
      </c>
      <c r="W166" s="123">
        <f t="shared" si="47"/>
        <v>0.8</v>
      </c>
      <c r="X166" s="123">
        <f t="shared" si="47"/>
        <v>0.8</v>
      </c>
      <c r="Y166" s="123">
        <f t="shared" si="47"/>
        <v>0.8</v>
      </c>
      <c r="Z166" s="123">
        <f t="shared" si="47"/>
        <v>0.8</v>
      </c>
      <c r="AA166" s="123">
        <f t="shared" si="47"/>
        <v>0.8</v>
      </c>
      <c r="AB166" s="123">
        <f t="shared" si="47"/>
        <v>0.8</v>
      </c>
      <c r="AC166" s="123">
        <f t="shared" si="47"/>
        <v>0.8</v>
      </c>
      <c r="AD166" s="123">
        <f t="shared" si="47"/>
        <v>0.8</v>
      </c>
      <c r="AE166" s="123">
        <f t="shared" si="47"/>
        <v>0.8</v>
      </c>
      <c r="AF166" s="123">
        <f t="shared" si="47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5"/>
        <v>1.5</v>
      </c>
      <c r="C167" s="124">
        <v>1.5</v>
      </c>
      <c r="D167" s="123">
        <f t="shared" si="46"/>
        <v>1.5</v>
      </c>
      <c r="E167" s="123">
        <f t="shared" si="46"/>
        <v>1.5</v>
      </c>
      <c r="F167" s="123">
        <f t="shared" si="46"/>
        <v>1.5</v>
      </c>
      <c r="G167" s="123">
        <f t="shared" si="46"/>
        <v>1.5</v>
      </c>
      <c r="H167" s="123">
        <f t="shared" si="46"/>
        <v>1.5</v>
      </c>
      <c r="I167" s="123">
        <f t="shared" si="46"/>
        <v>1.5</v>
      </c>
      <c r="J167" s="123">
        <f t="shared" si="46"/>
        <v>1.5</v>
      </c>
      <c r="K167" s="123">
        <f t="shared" si="46"/>
        <v>1.5</v>
      </c>
      <c r="L167" s="123">
        <f t="shared" si="46"/>
        <v>1.5</v>
      </c>
      <c r="M167" s="123">
        <f t="shared" si="46"/>
        <v>1.5</v>
      </c>
      <c r="N167" s="123">
        <f t="shared" si="46"/>
        <v>1.5</v>
      </c>
      <c r="O167" s="123">
        <f t="shared" si="46"/>
        <v>1.5</v>
      </c>
      <c r="P167" s="123">
        <f t="shared" si="46"/>
        <v>1.5</v>
      </c>
      <c r="Q167" s="123">
        <f t="shared" si="46"/>
        <v>1.5</v>
      </c>
      <c r="R167" s="123">
        <f t="shared" si="46"/>
        <v>1.5</v>
      </c>
      <c r="S167" s="123">
        <f t="shared" si="47"/>
        <v>1.5</v>
      </c>
      <c r="T167" s="123">
        <f t="shared" si="47"/>
        <v>1.5</v>
      </c>
      <c r="U167" s="123">
        <f t="shared" si="47"/>
        <v>1.5</v>
      </c>
      <c r="V167" s="123">
        <f t="shared" si="47"/>
        <v>1.5</v>
      </c>
      <c r="W167" s="123">
        <f t="shared" si="47"/>
        <v>1.5</v>
      </c>
      <c r="X167" s="123">
        <f t="shared" si="47"/>
        <v>1.5</v>
      </c>
      <c r="Y167" s="123">
        <f t="shared" si="47"/>
        <v>1.5</v>
      </c>
      <c r="Z167" s="123">
        <f t="shared" si="47"/>
        <v>1.5</v>
      </c>
      <c r="AA167" s="123">
        <f t="shared" si="47"/>
        <v>1.5</v>
      </c>
      <c r="AB167" s="123">
        <f t="shared" si="47"/>
        <v>1.5</v>
      </c>
      <c r="AC167" s="123">
        <f t="shared" si="47"/>
        <v>1.5</v>
      </c>
      <c r="AD167" s="123">
        <f t="shared" si="47"/>
        <v>1.5</v>
      </c>
      <c r="AE167" s="123">
        <f t="shared" si="47"/>
        <v>1.5</v>
      </c>
      <c r="AF167" s="123">
        <f t="shared" si="47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5"/>
        <v>1</v>
      </c>
      <c r="C168" s="124">
        <v>1</v>
      </c>
      <c r="D168" s="123">
        <f t="shared" si="46"/>
        <v>1</v>
      </c>
      <c r="E168" s="123">
        <f t="shared" si="46"/>
        <v>1</v>
      </c>
      <c r="F168" s="123">
        <f t="shared" si="46"/>
        <v>1</v>
      </c>
      <c r="G168" s="123">
        <f t="shared" si="46"/>
        <v>1</v>
      </c>
      <c r="H168" s="123">
        <f t="shared" si="46"/>
        <v>1</v>
      </c>
      <c r="I168" s="123">
        <f t="shared" si="46"/>
        <v>1</v>
      </c>
      <c r="J168" s="123">
        <f t="shared" si="46"/>
        <v>1</v>
      </c>
      <c r="K168" s="123">
        <f t="shared" si="46"/>
        <v>1</v>
      </c>
      <c r="L168" s="123">
        <f t="shared" si="46"/>
        <v>1</v>
      </c>
      <c r="M168" s="123">
        <f t="shared" si="46"/>
        <v>1</v>
      </c>
      <c r="N168" s="123">
        <f t="shared" si="46"/>
        <v>1</v>
      </c>
      <c r="O168" s="123">
        <f t="shared" si="46"/>
        <v>1</v>
      </c>
      <c r="P168" s="123">
        <f t="shared" si="46"/>
        <v>1</v>
      </c>
      <c r="Q168" s="123">
        <f t="shared" si="46"/>
        <v>1</v>
      </c>
      <c r="R168" s="123">
        <f t="shared" si="46"/>
        <v>1</v>
      </c>
      <c r="S168" s="123">
        <f t="shared" si="47"/>
        <v>1</v>
      </c>
      <c r="T168" s="123">
        <f t="shared" si="47"/>
        <v>1</v>
      </c>
      <c r="U168" s="123">
        <f t="shared" si="47"/>
        <v>1</v>
      </c>
      <c r="V168" s="123">
        <f t="shared" si="47"/>
        <v>1</v>
      </c>
      <c r="W168" s="123">
        <f t="shared" si="47"/>
        <v>1</v>
      </c>
      <c r="X168" s="123">
        <f t="shared" si="47"/>
        <v>1</v>
      </c>
      <c r="Y168" s="123">
        <f t="shared" si="47"/>
        <v>1</v>
      </c>
      <c r="Z168" s="123">
        <f t="shared" si="47"/>
        <v>1</v>
      </c>
      <c r="AA168" s="123">
        <f t="shared" si="47"/>
        <v>1</v>
      </c>
      <c r="AB168" s="123">
        <f t="shared" si="47"/>
        <v>1</v>
      </c>
      <c r="AC168" s="123">
        <f t="shared" si="47"/>
        <v>1</v>
      </c>
      <c r="AD168" s="123">
        <f t="shared" si="47"/>
        <v>1</v>
      </c>
      <c r="AE168" s="123">
        <f t="shared" si="47"/>
        <v>1</v>
      </c>
      <c r="AF168" s="123">
        <f t="shared" si="47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8">AF170</f>
        <v>1</v>
      </c>
      <c r="C170" s="124">
        <v>1</v>
      </c>
      <c r="D170" s="123">
        <f t="shared" ref="D170:S177" si="49">C170</f>
        <v>1</v>
      </c>
      <c r="E170" s="123">
        <f t="shared" si="49"/>
        <v>1</v>
      </c>
      <c r="F170" s="123">
        <f t="shared" si="49"/>
        <v>1</v>
      </c>
      <c r="G170" s="123">
        <f t="shared" si="49"/>
        <v>1</v>
      </c>
      <c r="H170" s="123">
        <f t="shared" si="49"/>
        <v>1</v>
      </c>
      <c r="I170" s="123">
        <f t="shared" si="49"/>
        <v>1</v>
      </c>
      <c r="J170" s="123">
        <f t="shared" si="49"/>
        <v>1</v>
      </c>
      <c r="K170" s="123">
        <f t="shared" si="49"/>
        <v>1</v>
      </c>
      <c r="L170" s="123">
        <f t="shared" si="49"/>
        <v>1</v>
      </c>
      <c r="M170" s="123">
        <f t="shared" si="49"/>
        <v>1</v>
      </c>
      <c r="N170" s="123">
        <f t="shared" si="49"/>
        <v>1</v>
      </c>
      <c r="O170" s="123">
        <f t="shared" si="49"/>
        <v>1</v>
      </c>
      <c r="P170" s="123">
        <f t="shared" si="49"/>
        <v>1</v>
      </c>
      <c r="Q170" s="123">
        <f t="shared" si="49"/>
        <v>1</v>
      </c>
      <c r="R170" s="123">
        <f t="shared" si="49"/>
        <v>1</v>
      </c>
      <c r="S170" s="123">
        <f t="shared" si="49"/>
        <v>1</v>
      </c>
      <c r="T170" s="123">
        <f t="shared" ref="S170:AF177" si="50">S170</f>
        <v>1</v>
      </c>
      <c r="U170" s="123">
        <f t="shared" si="50"/>
        <v>1</v>
      </c>
      <c r="V170" s="123">
        <f t="shared" si="50"/>
        <v>1</v>
      </c>
      <c r="W170" s="123">
        <f t="shared" si="50"/>
        <v>1</v>
      </c>
      <c r="X170" s="123">
        <f t="shared" si="50"/>
        <v>1</v>
      </c>
      <c r="Y170" s="123">
        <f t="shared" si="50"/>
        <v>1</v>
      </c>
      <c r="Z170" s="123">
        <f t="shared" si="50"/>
        <v>1</v>
      </c>
      <c r="AA170" s="123">
        <f t="shared" si="50"/>
        <v>1</v>
      </c>
      <c r="AB170" s="123">
        <f t="shared" si="50"/>
        <v>1</v>
      </c>
      <c r="AC170" s="123">
        <f t="shared" si="50"/>
        <v>1</v>
      </c>
      <c r="AD170" s="123">
        <f t="shared" si="50"/>
        <v>1</v>
      </c>
      <c r="AE170" s="123">
        <f t="shared" si="50"/>
        <v>1</v>
      </c>
      <c r="AF170" s="123">
        <f t="shared" si="50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8"/>
        <v>0.42</v>
      </c>
      <c r="C171" s="124">
        <v>0.42</v>
      </c>
      <c r="D171" s="123">
        <f t="shared" si="49"/>
        <v>0.42</v>
      </c>
      <c r="E171" s="123">
        <f t="shared" si="49"/>
        <v>0.42</v>
      </c>
      <c r="F171" s="123">
        <f t="shared" si="49"/>
        <v>0.42</v>
      </c>
      <c r="G171" s="123">
        <f t="shared" si="49"/>
        <v>0.42</v>
      </c>
      <c r="H171" s="123">
        <f t="shared" si="49"/>
        <v>0.42</v>
      </c>
      <c r="I171" s="123">
        <f t="shared" si="49"/>
        <v>0.42</v>
      </c>
      <c r="J171" s="123">
        <f t="shared" si="49"/>
        <v>0.42</v>
      </c>
      <c r="K171" s="123">
        <f t="shared" si="49"/>
        <v>0.42</v>
      </c>
      <c r="L171" s="123">
        <f t="shared" si="49"/>
        <v>0.42</v>
      </c>
      <c r="M171" s="123">
        <f t="shared" si="49"/>
        <v>0.42</v>
      </c>
      <c r="N171" s="123">
        <f t="shared" si="49"/>
        <v>0.42</v>
      </c>
      <c r="O171" s="123">
        <f t="shared" si="49"/>
        <v>0.42</v>
      </c>
      <c r="P171" s="123">
        <f t="shared" si="49"/>
        <v>0.42</v>
      </c>
      <c r="Q171" s="123">
        <f t="shared" si="49"/>
        <v>0.42</v>
      </c>
      <c r="R171" s="123">
        <f t="shared" si="49"/>
        <v>0.42</v>
      </c>
      <c r="S171" s="123">
        <f t="shared" si="50"/>
        <v>0.42</v>
      </c>
      <c r="T171" s="123">
        <f t="shared" si="50"/>
        <v>0.42</v>
      </c>
      <c r="U171" s="123">
        <f t="shared" si="50"/>
        <v>0.42</v>
      </c>
      <c r="V171" s="123">
        <f t="shared" si="50"/>
        <v>0.42</v>
      </c>
      <c r="W171" s="123">
        <f t="shared" si="50"/>
        <v>0.42</v>
      </c>
      <c r="X171" s="123">
        <f t="shared" si="50"/>
        <v>0.42</v>
      </c>
      <c r="Y171" s="123">
        <f t="shared" si="50"/>
        <v>0.42</v>
      </c>
      <c r="Z171" s="123">
        <f t="shared" si="50"/>
        <v>0.42</v>
      </c>
      <c r="AA171" s="123">
        <f t="shared" si="50"/>
        <v>0.42</v>
      </c>
      <c r="AB171" s="123">
        <f t="shared" si="50"/>
        <v>0.42</v>
      </c>
      <c r="AC171" s="123">
        <f t="shared" si="50"/>
        <v>0.42</v>
      </c>
      <c r="AD171" s="123">
        <f t="shared" si="50"/>
        <v>0.42</v>
      </c>
      <c r="AE171" s="123">
        <f t="shared" si="50"/>
        <v>0.42</v>
      </c>
      <c r="AF171" s="123">
        <f t="shared" si="50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8"/>
        <v>0.46</v>
      </c>
      <c r="C172" s="124">
        <v>0.46</v>
      </c>
      <c r="D172" s="123">
        <f t="shared" si="49"/>
        <v>0.46</v>
      </c>
      <c r="E172" s="123">
        <f t="shared" si="49"/>
        <v>0.46</v>
      </c>
      <c r="F172" s="123">
        <f t="shared" si="49"/>
        <v>0.46</v>
      </c>
      <c r="G172" s="123">
        <f t="shared" si="49"/>
        <v>0.46</v>
      </c>
      <c r="H172" s="123">
        <f t="shared" si="49"/>
        <v>0.46</v>
      </c>
      <c r="I172" s="123">
        <f t="shared" si="49"/>
        <v>0.46</v>
      </c>
      <c r="J172" s="123">
        <f t="shared" si="49"/>
        <v>0.46</v>
      </c>
      <c r="K172" s="123">
        <f t="shared" si="49"/>
        <v>0.46</v>
      </c>
      <c r="L172" s="123">
        <f t="shared" si="49"/>
        <v>0.46</v>
      </c>
      <c r="M172" s="123">
        <f t="shared" si="49"/>
        <v>0.46</v>
      </c>
      <c r="N172" s="123">
        <f t="shared" si="49"/>
        <v>0.46</v>
      </c>
      <c r="O172" s="123">
        <f t="shared" si="49"/>
        <v>0.46</v>
      </c>
      <c r="P172" s="123">
        <f t="shared" si="49"/>
        <v>0.46</v>
      </c>
      <c r="Q172" s="123">
        <f t="shared" si="49"/>
        <v>0.46</v>
      </c>
      <c r="R172" s="123">
        <f t="shared" si="49"/>
        <v>0.46</v>
      </c>
      <c r="S172" s="123">
        <f t="shared" si="50"/>
        <v>0.46</v>
      </c>
      <c r="T172" s="123">
        <f t="shared" si="50"/>
        <v>0.46</v>
      </c>
      <c r="U172" s="123">
        <f t="shared" si="50"/>
        <v>0.46</v>
      </c>
      <c r="V172" s="123">
        <f t="shared" si="50"/>
        <v>0.46</v>
      </c>
      <c r="W172" s="123">
        <f t="shared" si="50"/>
        <v>0.46</v>
      </c>
      <c r="X172" s="123">
        <f t="shared" si="50"/>
        <v>0.46</v>
      </c>
      <c r="Y172" s="123">
        <f t="shared" si="50"/>
        <v>0.46</v>
      </c>
      <c r="Z172" s="123">
        <f t="shared" si="50"/>
        <v>0.46</v>
      </c>
      <c r="AA172" s="123">
        <f t="shared" si="50"/>
        <v>0.46</v>
      </c>
      <c r="AB172" s="123">
        <f t="shared" si="50"/>
        <v>0.46</v>
      </c>
      <c r="AC172" s="123">
        <f t="shared" si="50"/>
        <v>0.46</v>
      </c>
      <c r="AD172" s="123">
        <f t="shared" si="50"/>
        <v>0.46</v>
      </c>
      <c r="AE172" s="123">
        <f t="shared" si="50"/>
        <v>0.46</v>
      </c>
      <c r="AF172" s="123">
        <f t="shared" si="50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8"/>
        <v>0.85</v>
      </c>
      <c r="C173" s="124">
        <v>0.85</v>
      </c>
      <c r="D173" s="123">
        <f t="shared" si="49"/>
        <v>0.85</v>
      </c>
      <c r="E173" s="123">
        <f t="shared" si="49"/>
        <v>0.85</v>
      </c>
      <c r="F173" s="123">
        <f t="shared" si="49"/>
        <v>0.85</v>
      </c>
      <c r="G173" s="123">
        <f t="shared" si="49"/>
        <v>0.85</v>
      </c>
      <c r="H173" s="123">
        <f t="shared" si="49"/>
        <v>0.85</v>
      </c>
      <c r="I173" s="123">
        <f t="shared" si="49"/>
        <v>0.85</v>
      </c>
      <c r="J173" s="123">
        <f t="shared" si="49"/>
        <v>0.85</v>
      </c>
      <c r="K173" s="123">
        <f t="shared" si="49"/>
        <v>0.85</v>
      </c>
      <c r="L173" s="123">
        <f t="shared" si="49"/>
        <v>0.85</v>
      </c>
      <c r="M173" s="123">
        <f t="shared" si="49"/>
        <v>0.85</v>
      </c>
      <c r="N173" s="123">
        <f t="shared" si="49"/>
        <v>0.85</v>
      </c>
      <c r="O173" s="123">
        <f t="shared" si="49"/>
        <v>0.85</v>
      </c>
      <c r="P173" s="123">
        <f t="shared" si="49"/>
        <v>0.85</v>
      </c>
      <c r="Q173" s="123">
        <f t="shared" si="49"/>
        <v>0.85</v>
      </c>
      <c r="R173" s="123">
        <f t="shared" si="49"/>
        <v>0.85</v>
      </c>
      <c r="S173" s="123">
        <f t="shared" si="50"/>
        <v>0.85</v>
      </c>
      <c r="T173" s="123">
        <f t="shared" si="50"/>
        <v>0.85</v>
      </c>
      <c r="U173" s="123">
        <f t="shared" si="50"/>
        <v>0.85</v>
      </c>
      <c r="V173" s="123">
        <f t="shared" si="50"/>
        <v>0.85</v>
      </c>
      <c r="W173" s="123">
        <f t="shared" si="50"/>
        <v>0.85</v>
      </c>
      <c r="X173" s="123">
        <f t="shared" si="50"/>
        <v>0.85</v>
      </c>
      <c r="Y173" s="123">
        <f t="shared" si="50"/>
        <v>0.85</v>
      </c>
      <c r="Z173" s="123">
        <f t="shared" si="50"/>
        <v>0.85</v>
      </c>
      <c r="AA173" s="123">
        <f t="shared" si="50"/>
        <v>0.85</v>
      </c>
      <c r="AB173" s="123">
        <f t="shared" si="50"/>
        <v>0.85</v>
      </c>
      <c r="AC173" s="123">
        <f t="shared" si="50"/>
        <v>0.85</v>
      </c>
      <c r="AD173" s="123">
        <f t="shared" si="50"/>
        <v>0.85</v>
      </c>
      <c r="AE173" s="123">
        <f t="shared" si="50"/>
        <v>0.85</v>
      </c>
      <c r="AF173" s="123">
        <f t="shared" si="50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8"/>
        <v>0.9</v>
      </c>
      <c r="C174" s="124">
        <v>0.9</v>
      </c>
      <c r="D174" s="123">
        <f t="shared" si="49"/>
        <v>0.9</v>
      </c>
      <c r="E174" s="123">
        <f t="shared" si="49"/>
        <v>0.9</v>
      </c>
      <c r="F174" s="123">
        <f t="shared" si="49"/>
        <v>0.9</v>
      </c>
      <c r="G174" s="123">
        <f t="shared" si="49"/>
        <v>0.9</v>
      </c>
      <c r="H174" s="123">
        <f t="shared" si="49"/>
        <v>0.9</v>
      </c>
      <c r="I174" s="123">
        <f t="shared" si="49"/>
        <v>0.9</v>
      </c>
      <c r="J174" s="123">
        <f t="shared" si="49"/>
        <v>0.9</v>
      </c>
      <c r="K174" s="123">
        <f t="shared" si="49"/>
        <v>0.9</v>
      </c>
      <c r="L174" s="123">
        <f t="shared" si="49"/>
        <v>0.9</v>
      </c>
      <c r="M174" s="123">
        <f t="shared" si="49"/>
        <v>0.9</v>
      </c>
      <c r="N174" s="123">
        <f t="shared" si="49"/>
        <v>0.9</v>
      </c>
      <c r="O174" s="123">
        <f t="shared" si="49"/>
        <v>0.9</v>
      </c>
      <c r="P174" s="123">
        <f t="shared" si="49"/>
        <v>0.9</v>
      </c>
      <c r="Q174" s="123">
        <f t="shared" si="49"/>
        <v>0.9</v>
      </c>
      <c r="R174" s="123">
        <f t="shared" si="49"/>
        <v>0.9</v>
      </c>
      <c r="S174" s="123">
        <f t="shared" si="50"/>
        <v>0.9</v>
      </c>
      <c r="T174" s="123">
        <f t="shared" si="50"/>
        <v>0.9</v>
      </c>
      <c r="U174" s="123">
        <f t="shared" si="50"/>
        <v>0.9</v>
      </c>
      <c r="V174" s="123">
        <f t="shared" si="50"/>
        <v>0.9</v>
      </c>
      <c r="W174" s="123">
        <f t="shared" si="50"/>
        <v>0.9</v>
      </c>
      <c r="X174" s="123">
        <f t="shared" si="50"/>
        <v>0.9</v>
      </c>
      <c r="Y174" s="123">
        <f t="shared" si="50"/>
        <v>0.9</v>
      </c>
      <c r="Z174" s="123">
        <f t="shared" si="50"/>
        <v>0.9</v>
      </c>
      <c r="AA174" s="123">
        <f t="shared" si="50"/>
        <v>0.9</v>
      </c>
      <c r="AB174" s="123">
        <f t="shared" si="50"/>
        <v>0.9</v>
      </c>
      <c r="AC174" s="123">
        <f t="shared" si="50"/>
        <v>0.9</v>
      </c>
      <c r="AD174" s="123">
        <f t="shared" si="50"/>
        <v>0.9</v>
      </c>
      <c r="AE174" s="123">
        <f t="shared" si="50"/>
        <v>0.9</v>
      </c>
      <c r="AF174" s="123">
        <f t="shared" si="50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8"/>
        <v>0.44</v>
      </c>
      <c r="C175" s="124">
        <v>0.44</v>
      </c>
      <c r="D175" s="123">
        <f t="shared" si="49"/>
        <v>0.44</v>
      </c>
      <c r="E175" s="123">
        <f t="shared" si="49"/>
        <v>0.44</v>
      </c>
      <c r="F175" s="123">
        <f t="shared" si="49"/>
        <v>0.44</v>
      </c>
      <c r="G175" s="123">
        <f t="shared" si="49"/>
        <v>0.44</v>
      </c>
      <c r="H175" s="123">
        <f t="shared" si="49"/>
        <v>0.44</v>
      </c>
      <c r="I175" s="123">
        <f t="shared" si="49"/>
        <v>0.44</v>
      </c>
      <c r="J175" s="123">
        <f t="shared" si="49"/>
        <v>0.44</v>
      </c>
      <c r="K175" s="123">
        <f t="shared" si="49"/>
        <v>0.44</v>
      </c>
      <c r="L175" s="123">
        <f t="shared" si="49"/>
        <v>0.44</v>
      </c>
      <c r="M175" s="123">
        <f t="shared" si="49"/>
        <v>0.44</v>
      </c>
      <c r="N175" s="123">
        <f t="shared" si="49"/>
        <v>0.44</v>
      </c>
      <c r="O175" s="123">
        <f t="shared" si="49"/>
        <v>0.44</v>
      </c>
      <c r="P175" s="123">
        <f t="shared" si="49"/>
        <v>0.44</v>
      </c>
      <c r="Q175" s="123">
        <f t="shared" si="49"/>
        <v>0.44</v>
      </c>
      <c r="R175" s="123">
        <f t="shared" si="49"/>
        <v>0.44</v>
      </c>
      <c r="S175" s="123">
        <f t="shared" si="50"/>
        <v>0.44</v>
      </c>
      <c r="T175" s="123">
        <f t="shared" si="50"/>
        <v>0.44</v>
      </c>
      <c r="U175" s="123">
        <f t="shared" si="50"/>
        <v>0.44</v>
      </c>
      <c r="V175" s="123">
        <f t="shared" si="50"/>
        <v>0.44</v>
      </c>
      <c r="W175" s="123">
        <f t="shared" si="50"/>
        <v>0.44</v>
      </c>
      <c r="X175" s="123">
        <f t="shared" si="50"/>
        <v>0.44</v>
      </c>
      <c r="Y175" s="123">
        <f t="shared" si="50"/>
        <v>0.44</v>
      </c>
      <c r="Z175" s="123">
        <f t="shared" si="50"/>
        <v>0.44</v>
      </c>
      <c r="AA175" s="123">
        <f t="shared" si="50"/>
        <v>0.44</v>
      </c>
      <c r="AB175" s="123">
        <f t="shared" si="50"/>
        <v>0.44</v>
      </c>
      <c r="AC175" s="123">
        <f t="shared" si="50"/>
        <v>0.44</v>
      </c>
      <c r="AD175" s="123">
        <f t="shared" si="50"/>
        <v>0.44</v>
      </c>
      <c r="AE175" s="123">
        <f t="shared" si="50"/>
        <v>0.44</v>
      </c>
      <c r="AF175" s="123">
        <f t="shared" si="50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8"/>
        <v>2.1</v>
      </c>
      <c r="C176" s="124">
        <v>2.1</v>
      </c>
      <c r="D176" s="123">
        <f t="shared" si="49"/>
        <v>2.1</v>
      </c>
      <c r="E176" s="123">
        <f t="shared" si="49"/>
        <v>2.1</v>
      </c>
      <c r="F176" s="123">
        <f t="shared" si="49"/>
        <v>2.1</v>
      </c>
      <c r="G176" s="123">
        <f t="shared" si="49"/>
        <v>2.1</v>
      </c>
      <c r="H176" s="123">
        <f t="shared" si="49"/>
        <v>2.1</v>
      </c>
      <c r="I176" s="123">
        <f t="shared" si="49"/>
        <v>2.1</v>
      </c>
      <c r="J176" s="123">
        <f t="shared" si="49"/>
        <v>2.1</v>
      </c>
      <c r="K176" s="123">
        <f t="shared" si="49"/>
        <v>2.1</v>
      </c>
      <c r="L176" s="123">
        <f t="shared" si="49"/>
        <v>2.1</v>
      </c>
      <c r="M176" s="123">
        <f t="shared" si="49"/>
        <v>2.1</v>
      </c>
      <c r="N176" s="123">
        <f t="shared" si="49"/>
        <v>2.1</v>
      </c>
      <c r="O176" s="123">
        <f t="shared" si="49"/>
        <v>2.1</v>
      </c>
      <c r="P176" s="123">
        <f t="shared" si="49"/>
        <v>2.1</v>
      </c>
      <c r="Q176" s="123">
        <f t="shared" si="49"/>
        <v>2.1</v>
      </c>
      <c r="R176" s="123">
        <f t="shared" si="49"/>
        <v>2.1</v>
      </c>
      <c r="S176" s="123">
        <f t="shared" si="50"/>
        <v>2.1</v>
      </c>
      <c r="T176" s="123">
        <f t="shared" si="50"/>
        <v>2.1</v>
      </c>
      <c r="U176" s="123">
        <f t="shared" si="50"/>
        <v>2.1</v>
      </c>
      <c r="V176" s="123">
        <f t="shared" si="50"/>
        <v>2.1</v>
      </c>
      <c r="W176" s="123">
        <f t="shared" si="50"/>
        <v>2.1</v>
      </c>
      <c r="X176" s="123">
        <f t="shared" si="50"/>
        <v>2.1</v>
      </c>
      <c r="Y176" s="123">
        <f t="shared" si="50"/>
        <v>2.1</v>
      </c>
      <c r="Z176" s="123">
        <f t="shared" si="50"/>
        <v>2.1</v>
      </c>
      <c r="AA176" s="123">
        <f t="shared" si="50"/>
        <v>2.1</v>
      </c>
      <c r="AB176" s="123">
        <f t="shared" si="50"/>
        <v>2.1</v>
      </c>
      <c r="AC176" s="123">
        <f t="shared" si="50"/>
        <v>2.1</v>
      </c>
      <c r="AD176" s="123">
        <f t="shared" si="50"/>
        <v>2.1</v>
      </c>
      <c r="AE176" s="123">
        <f t="shared" si="50"/>
        <v>2.1</v>
      </c>
      <c r="AF176" s="123">
        <f t="shared" si="50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8"/>
        <v>0.9</v>
      </c>
      <c r="C177" s="124">
        <v>0.9</v>
      </c>
      <c r="D177" s="123">
        <f t="shared" si="49"/>
        <v>0.9</v>
      </c>
      <c r="E177" s="123">
        <f t="shared" si="49"/>
        <v>0.9</v>
      </c>
      <c r="F177" s="123">
        <f t="shared" si="49"/>
        <v>0.9</v>
      </c>
      <c r="G177" s="123">
        <f t="shared" si="49"/>
        <v>0.9</v>
      </c>
      <c r="H177" s="123">
        <f t="shared" si="49"/>
        <v>0.9</v>
      </c>
      <c r="I177" s="123">
        <f t="shared" si="49"/>
        <v>0.9</v>
      </c>
      <c r="J177" s="123">
        <f t="shared" si="49"/>
        <v>0.9</v>
      </c>
      <c r="K177" s="123">
        <f t="shared" si="49"/>
        <v>0.9</v>
      </c>
      <c r="L177" s="123">
        <f t="shared" si="49"/>
        <v>0.9</v>
      </c>
      <c r="M177" s="123">
        <f t="shared" si="49"/>
        <v>0.9</v>
      </c>
      <c r="N177" s="123">
        <f t="shared" si="49"/>
        <v>0.9</v>
      </c>
      <c r="O177" s="123">
        <f t="shared" si="49"/>
        <v>0.9</v>
      </c>
      <c r="P177" s="123">
        <f t="shared" si="49"/>
        <v>0.9</v>
      </c>
      <c r="Q177" s="123">
        <f t="shared" si="49"/>
        <v>0.9</v>
      </c>
      <c r="R177" s="123">
        <f t="shared" si="49"/>
        <v>0.9</v>
      </c>
      <c r="S177" s="123">
        <f t="shared" si="50"/>
        <v>0.9</v>
      </c>
      <c r="T177" s="123">
        <f t="shared" si="50"/>
        <v>0.9</v>
      </c>
      <c r="U177" s="123">
        <f t="shared" si="50"/>
        <v>0.9</v>
      </c>
      <c r="V177" s="123">
        <f t="shared" si="50"/>
        <v>0.9</v>
      </c>
      <c r="W177" s="123">
        <f t="shared" si="50"/>
        <v>0.9</v>
      </c>
      <c r="X177" s="123">
        <f t="shared" si="50"/>
        <v>0.9</v>
      </c>
      <c r="Y177" s="123">
        <f t="shared" si="50"/>
        <v>0.9</v>
      </c>
      <c r="Z177" s="123">
        <f t="shared" si="50"/>
        <v>0.9</v>
      </c>
      <c r="AA177" s="123">
        <f t="shared" si="50"/>
        <v>0.9</v>
      </c>
      <c r="AB177" s="123">
        <f t="shared" si="50"/>
        <v>0.9</v>
      </c>
      <c r="AC177" s="123">
        <f t="shared" si="50"/>
        <v>0.9</v>
      </c>
      <c r="AD177" s="123">
        <f t="shared" si="50"/>
        <v>0.9</v>
      </c>
      <c r="AE177" s="123">
        <f t="shared" si="50"/>
        <v>0.9</v>
      </c>
      <c r="AF177" s="123">
        <f t="shared" si="50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1">AF179</f>
        <v>0.57999999999999996</v>
      </c>
      <c r="C179" s="124">
        <v>0.57999999999999996</v>
      </c>
      <c r="D179" s="123">
        <f t="shared" ref="D179:S191" si="52">C179</f>
        <v>0.57999999999999996</v>
      </c>
      <c r="E179" s="123">
        <f t="shared" si="52"/>
        <v>0.57999999999999996</v>
      </c>
      <c r="F179" s="123">
        <f t="shared" si="52"/>
        <v>0.57999999999999996</v>
      </c>
      <c r="G179" s="123">
        <f t="shared" si="52"/>
        <v>0.57999999999999996</v>
      </c>
      <c r="H179" s="123">
        <f t="shared" si="52"/>
        <v>0.57999999999999996</v>
      </c>
      <c r="I179" s="123">
        <f t="shared" si="52"/>
        <v>0.57999999999999996</v>
      </c>
      <c r="J179" s="123">
        <f t="shared" si="52"/>
        <v>0.57999999999999996</v>
      </c>
      <c r="K179" s="123">
        <f t="shared" si="52"/>
        <v>0.57999999999999996</v>
      </c>
      <c r="L179" s="123">
        <f t="shared" si="52"/>
        <v>0.57999999999999996</v>
      </c>
      <c r="M179" s="123">
        <f t="shared" si="52"/>
        <v>0.57999999999999996</v>
      </c>
      <c r="N179" s="123">
        <f t="shared" si="52"/>
        <v>0.57999999999999996</v>
      </c>
      <c r="O179" s="123">
        <f t="shared" si="52"/>
        <v>0.57999999999999996</v>
      </c>
      <c r="P179" s="123">
        <f t="shared" si="52"/>
        <v>0.57999999999999996</v>
      </c>
      <c r="Q179" s="123">
        <f t="shared" si="52"/>
        <v>0.57999999999999996</v>
      </c>
      <c r="R179" s="123">
        <f t="shared" si="52"/>
        <v>0.57999999999999996</v>
      </c>
      <c r="S179" s="123">
        <f t="shared" si="52"/>
        <v>0.57999999999999996</v>
      </c>
      <c r="T179" s="123">
        <f t="shared" ref="S179:AF191" si="53">S179</f>
        <v>0.57999999999999996</v>
      </c>
      <c r="U179" s="123">
        <f t="shared" si="53"/>
        <v>0.57999999999999996</v>
      </c>
      <c r="V179" s="123">
        <f t="shared" si="53"/>
        <v>0.57999999999999996</v>
      </c>
      <c r="W179" s="123">
        <f t="shared" si="53"/>
        <v>0.57999999999999996</v>
      </c>
      <c r="X179" s="123">
        <f t="shared" si="53"/>
        <v>0.57999999999999996</v>
      </c>
      <c r="Y179" s="123">
        <f t="shared" si="53"/>
        <v>0.57999999999999996</v>
      </c>
      <c r="Z179" s="123">
        <f t="shared" si="53"/>
        <v>0.57999999999999996</v>
      </c>
      <c r="AA179" s="123">
        <f t="shared" si="53"/>
        <v>0.57999999999999996</v>
      </c>
      <c r="AB179" s="123">
        <f t="shared" si="53"/>
        <v>0.57999999999999996</v>
      </c>
      <c r="AC179" s="123">
        <f t="shared" si="53"/>
        <v>0.57999999999999996</v>
      </c>
      <c r="AD179" s="123">
        <f t="shared" si="53"/>
        <v>0.57999999999999996</v>
      </c>
      <c r="AE179" s="123">
        <f t="shared" si="53"/>
        <v>0.57999999999999996</v>
      </c>
      <c r="AF179" s="123">
        <f t="shared" si="53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1"/>
        <v>0.8</v>
      </c>
      <c r="C180" s="124">
        <v>0.8</v>
      </c>
      <c r="D180" s="123">
        <f t="shared" si="52"/>
        <v>0.8</v>
      </c>
      <c r="E180" s="123">
        <f t="shared" si="52"/>
        <v>0.8</v>
      </c>
      <c r="F180" s="123">
        <f t="shared" si="52"/>
        <v>0.8</v>
      </c>
      <c r="G180" s="123">
        <f t="shared" si="52"/>
        <v>0.8</v>
      </c>
      <c r="H180" s="123">
        <f t="shared" si="52"/>
        <v>0.8</v>
      </c>
      <c r="I180" s="123">
        <f t="shared" si="52"/>
        <v>0.8</v>
      </c>
      <c r="J180" s="123">
        <f t="shared" si="52"/>
        <v>0.8</v>
      </c>
      <c r="K180" s="123">
        <f t="shared" si="52"/>
        <v>0.8</v>
      </c>
      <c r="L180" s="123">
        <f t="shared" si="52"/>
        <v>0.8</v>
      </c>
      <c r="M180" s="123">
        <f t="shared" si="52"/>
        <v>0.8</v>
      </c>
      <c r="N180" s="123">
        <f t="shared" si="52"/>
        <v>0.8</v>
      </c>
      <c r="O180" s="123">
        <f t="shared" si="52"/>
        <v>0.8</v>
      </c>
      <c r="P180" s="123">
        <f t="shared" si="52"/>
        <v>0.8</v>
      </c>
      <c r="Q180" s="123">
        <f t="shared" si="52"/>
        <v>0.8</v>
      </c>
      <c r="R180" s="123">
        <f t="shared" si="52"/>
        <v>0.8</v>
      </c>
      <c r="S180" s="123">
        <f t="shared" si="52"/>
        <v>0.8</v>
      </c>
      <c r="T180" s="123">
        <f t="shared" si="53"/>
        <v>0.8</v>
      </c>
      <c r="U180" s="123">
        <f t="shared" si="53"/>
        <v>0.8</v>
      </c>
      <c r="V180" s="123">
        <f t="shared" si="53"/>
        <v>0.8</v>
      </c>
      <c r="W180" s="123">
        <f t="shared" si="53"/>
        <v>0.8</v>
      </c>
      <c r="X180" s="123">
        <f t="shared" si="53"/>
        <v>0.8</v>
      </c>
      <c r="Y180" s="123">
        <f t="shared" si="53"/>
        <v>0.8</v>
      </c>
      <c r="Z180" s="123">
        <f t="shared" si="53"/>
        <v>0.8</v>
      </c>
      <c r="AA180" s="123">
        <f t="shared" si="53"/>
        <v>0.8</v>
      </c>
      <c r="AB180" s="123">
        <f t="shared" si="53"/>
        <v>0.8</v>
      </c>
      <c r="AC180" s="123">
        <f t="shared" si="53"/>
        <v>0.8</v>
      </c>
      <c r="AD180" s="123">
        <f t="shared" si="53"/>
        <v>0.8</v>
      </c>
      <c r="AE180" s="123">
        <f t="shared" si="53"/>
        <v>0.8</v>
      </c>
      <c r="AF180" s="123">
        <f t="shared" si="53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1"/>
        <v>0</v>
      </c>
      <c r="C181" s="124">
        <v>0</v>
      </c>
      <c r="D181" s="123">
        <f t="shared" si="52"/>
        <v>0</v>
      </c>
      <c r="E181" s="123">
        <f t="shared" si="52"/>
        <v>0</v>
      </c>
      <c r="F181" s="123">
        <f t="shared" si="52"/>
        <v>0</v>
      </c>
      <c r="G181" s="123">
        <f t="shared" si="52"/>
        <v>0</v>
      </c>
      <c r="H181" s="123">
        <f t="shared" si="52"/>
        <v>0</v>
      </c>
      <c r="I181" s="123">
        <f t="shared" si="52"/>
        <v>0</v>
      </c>
      <c r="J181" s="123">
        <f t="shared" si="52"/>
        <v>0</v>
      </c>
      <c r="K181" s="123">
        <f t="shared" si="52"/>
        <v>0</v>
      </c>
      <c r="L181" s="123">
        <f t="shared" si="52"/>
        <v>0</v>
      </c>
      <c r="M181" s="123">
        <f t="shared" si="52"/>
        <v>0</v>
      </c>
      <c r="N181" s="123">
        <f t="shared" si="52"/>
        <v>0</v>
      </c>
      <c r="O181" s="123">
        <f t="shared" si="52"/>
        <v>0</v>
      </c>
      <c r="P181" s="123">
        <f t="shared" si="52"/>
        <v>0</v>
      </c>
      <c r="Q181" s="123">
        <f t="shared" si="52"/>
        <v>0</v>
      </c>
      <c r="R181" s="123">
        <f t="shared" si="52"/>
        <v>0</v>
      </c>
      <c r="S181" s="123">
        <f t="shared" si="52"/>
        <v>0</v>
      </c>
      <c r="T181" s="123">
        <f t="shared" si="53"/>
        <v>0</v>
      </c>
      <c r="U181" s="123">
        <f t="shared" si="53"/>
        <v>0</v>
      </c>
      <c r="V181" s="123">
        <f t="shared" si="53"/>
        <v>0</v>
      </c>
      <c r="W181" s="123">
        <f t="shared" si="53"/>
        <v>0</v>
      </c>
      <c r="X181" s="123">
        <f t="shared" si="53"/>
        <v>0</v>
      </c>
      <c r="Y181" s="123">
        <f t="shared" si="53"/>
        <v>0</v>
      </c>
      <c r="Z181" s="123">
        <f t="shared" si="53"/>
        <v>0</v>
      </c>
      <c r="AA181" s="123">
        <f t="shared" si="53"/>
        <v>0</v>
      </c>
      <c r="AB181" s="123">
        <f t="shared" si="53"/>
        <v>0</v>
      </c>
      <c r="AC181" s="123">
        <f t="shared" si="53"/>
        <v>0</v>
      </c>
      <c r="AD181" s="123">
        <f t="shared" si="53"/>
        <v>0</v>
      </c>
      <c r="AE181" s="123">
        <f t="shared" si="53"/>
        <v>0</v>
      </c>
      <c r="AF181" s="123">
        <f t="shared" si="53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1"/>
        <v>0.6</v>
      </c>
      <c r="C182" s="124">
        <v>0.6</v>
      </c>
      <c r="D182" s="123">
        <f t="shared" si="52"/>
        <v>0.6</v>
      </c>
      <c r="E182" s="123">
        <f t="shared" si="52"/>
        <v>0.6</v>
      </c>
      <c r="F182" s="123">
        <f t="shared" si="52"/>
        <v>0.6</v>
      </c>
      <c r="G182" s="123">
        <f t="shared" si="52"/>
        <v>0.6</v>
      </c>
      <c r="H182" s="123">
        <f t="shared" si="52"/>
        <v>0.6</v>
      </c>
      <c r="I182" s="123">
        <f t="shared" si="52"/>
        <v>0.6</v>
      </c>
      <c r="J182" s="123">
        <f t="shared" si="52"/>
        <v>0.6</v>
      </c>
      <c r="K182" s="123">
        <f t="shared" si="52"/>
        <v>0.6</v>
      </c>
      <c r="L182" s="123">
        <f t="shared" si="52"/>
        <v>0.6</v>
      </c>
      <c r="M182" s="123">
        <f t="shared" si="52"/>
        <v>0.6</v>
      </c>
      <c r="N182" s="123">
        <f t="shared" si="52"/>
        <v>0.6</v>
      </c>
      <c r="O182" s="123">
        <f t="shared" si="52"/>
        <v>0.6</v>
      </c>
      <c r="P182" s="123">
        <f t="shared" si="52"/>
        <v>0.6</v>
      </c>
      <c r="Q182" s="123">
        <f t="shared" si="52"/>
        <v>0.6</v>
      </c>
      <c r="R182" s="123">
        <f t="shared" si="52"/>
        <v>0.6</v>
      </c>
      <c r="S182" s="123">
        <f t="shared" si="52"/>
        <v>0.6</v>
      </c>
      <c r="T182" s="123">
        <f t="shared" si="53"/>
        <v>0.6</v>
      </c>
      <c r="U182" s="123">
        <f t="shared" si="53"/>
        <v>0.6</v>
      </c>
      <c r="V182" s="123">
        <f t="shared" si="53"/>
        <v>0.6</v>
      </c>
      <c r="W182" s="123">
        <f t="shared" si="53"/>
        <v>0.6</v>
      </c>
      <c r="X182" s="123">
        <f t="shared" si="53"/>
        <v>0.6</v>
      </c>
      <c r="Y182" s="123">
        <f t="shared" si="53"/>
        <v>0.6</v>
      </c>
      <c r="Z182" s="123">
        <f t="shared" si="53"/>
        <v>0.6</v>
      </c>
      <c r="AA182" s="123">
        <f t="shared" si="53"/>
        <v>0.6</v>
      </c>
      <c r="AB182" s="123">
        <f t="shared" si="53"/>
        <v>0.6</v>
      </c>
      <c r="AC182" s="123">
        <f t="shared" si="53"/>
        <v>0.6</v>
      </c>
      <c r="AD182" s="123">
        <f t="shared" si="53"/>
        <v>0.6</v>
      </c>
      <c r="AE182" s="123">
        <f t="shared" si="53"/>
        <v>0.6</v>
      </c>
      <c r="AF182" s="123">
        <f t="shared" si="53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1"/>
        <v>0.35</v>
      </c>
      <c r="C184" s="124">
        <v>0.35</v>
      </c>
      <c r="D184" s="123">
        <f t="shared" si="52"/>
        <v>0.35</v>
      </c>
      <c r="E184" s="123">
        <f t="shared" si="52"/>
        <v>0.35</v>
      </c>
      <c r="F184" s="123">
        <f t="shared" si="52"/>
        <v>0.35</v>
      </c>
      <c r="G184" s="123">
        <f t="shared" si="52"/>
        <v>0.35</v>
      </c>
      <c r="H184" s="123">
        <f t="shared" si="52"/>
        <v>0.35</v>
      </c>
      <c r="I184" s="123">
        <f t="shared" si="52"/>
        <v>0.35</v>
      </c>
      <c r="J184" s="123">
        <f t="shared" si="52"/>
        <v>0.35</v>
      </c>
      <c r="K184" s="123">
        <f t="shared" si="52"/>
        <v>0.35</v>
      </c>
      <c r="L184" s="123">
        <f t="shared" si="52"/>
        <v>0.35</v>
      </c>
      <c r="M184" s="123">
        <f t="shared" si="52"/>
        <v>0.35</v>
      </c>
      <c r="N184" s="123">
        <f t="shared" si="52"/>
        <v>0.35</v>
      </c>
      <c r="O184" s="123">
        <f t="shared" si="52"/>
        <v>0.35</v>
      </c>
      <c r="P184" s="123">
        <f t="shared" si="52"/>
        <v>0.35</v>
      </c>
      <c r="Q184" s="123">
        <f t="shared" si="52"/>
        <v>0.35</v>
      </c>
      <c r="R184" s="123">
        <f t="shared" si="52"/>
        <v>0.35</v>
      </c>
      <c r="S184" s="123">
        <f t="shared" si="52"/>
        <v>0.35</v>
      </c>
      <c r="T184" s="123">
        <f t="shared" si="53"/>
        <v>0.35</v>
      </c>
      <c r="U184" s="123">
        <f t="shared" si="53"/>
        <v>0.35</v>
      </c>
      <c r="V184" s="123">
        <f t="shared" si="53"/>
        <v>0.35</v>
      </c>
      <c r="W184" s="123">
        <f t="shared" si="53"/>
        <v>0.35</v>
      </c>
      <c r="X184" s="123">
        <f t="shared" si="53"/>
        <v>0.35</v>
      </c>
      <c r="Y184" s="123">
        <f t="shared" si="53"/>
        <v>0.35</v>
      </c>
      <c r="Z184" s="123">
        <f t="shared" si="53"/>
        <v>0.35</v>
      </c>
      <c r="AA184" s="123">
        <f t="shared" si="53"/>
        <v>0.35</v>
      </c>
      <c r="AB184" s="123">
        <f t="shared" si="53"/>
        <v>0.35</v>
      </c>
      <c r="AC184" s="123">
        <f t="shared" si="53"/>
        <v>0.35</v>
      </c>
      <c r="AD184" s="123">
        <f t="shared" si="53"/>
        <v>0.35</v>
      </c>
      <c r="AE184" s="123">
        <f t="shared" si="53"/>
        <v>0.35</v>
      </c>
      <c r="AF184" s="123">
        <f t="shared" si="53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1"/>
        <v>0.28999999999999998</v>
      </c>
      <c r="C185" s="124">
        <v>0.28999999999999998</v>
      </c>
      <c r="D185" s="123">
        <f t="shared" si="52"/>
        <v>0.28999999999999998</v>
      </c>
      <c r="E185" s="123">
        <f t="shared" si="52"/>
        <v>0.28999999999999998</v>
      </c>
      <c r="F185" s="123">
        <f t="shared" si="52"/>
        <v>0.28999999999999998</v>
      </c>
      <c r="G185" s="123">
        <f t="shared" si="52"/>
        <v>0.28999999999999998</v>
      </c>
      <c r="H185" s="123">
        <f t="shared" si="52"/>
        <v>0.28999999999999998</v>
      </c>
      <c r="I185" s="123">
        <f t="shared" si="52"/>
        <v>0.28999999999999998</v>
      </c>
      <c r="J185" s="123">
        <f t="shared" si="52"/>
        <v>0.28999999999999998</v>
      </c>
      <c r="K185" s="123">
        <f t="shared" si="52"/>
        <v>0.28999999999999998</v>
      </c>
      <c r="L185" s="123">
        <f t="shared" si="52"/>
        <v>0.28999999999999998</v>
      </c>
      <c r="M185" s="123">
        <f t="shared" si="52"/>
        <v>0.28999999999999998</v>
      </c>
      <c r="N185" s="123">
        <f t="shared" si="52"/>
        <v>0.28999999999999998</v>
      </c>
      <c r="O185" s="123">
        <f t="shared" si="52"/>
        <v>0.28999999999999998</v>
      </c>
      <c r="P185" s="123">
        <f t="shared" si="52"/>
        <v>0.28999999999999998</v>
      </c>
      <c r="Q185" s="123">
        <f t="shared" si="52"/>
        <v>0.28999999999999998</v>
      </c>
      <c r="R185" s="123">
        <f t="shared" si="52"/>
        <v>0.28999999999999998</v>
      </c>
      <c r="S185" s="123">
        <f t="shared" si="52"/>
        <v>0.28999999999999998</v>
      </c>
      <c r="T185" s="123">
        <f t="shared" si="53"/>
        <v>0.28999999999999998</v>
      </c>
      <c r="U185" s="123">
        <f t="shared" si="53"/>
        <v>0.28999999999999998</v>
      </c>
      <c r="V185" s="123">
        <f t="shared" si="53"/>
        <v>0.28999999999999998</v>
      </c>
      <c r="W185" s="123">
        <f t="shared" si="53"/>
        <v>0.28999999999999998</v>
      </c>
      <c r="X185" s="123">
        <f t="shared" si="53"/>
        <v>0.28999999999999998</v>
      </c>
      <c r="Y185" s="123">
        <f t="shared" si="53"/>
        <v>0.28999999999999998</v>
      </c>
      <c r="Z185" s="123">
        <f t="shared" si="53"/>
        <v>0.28999999999999998</v>
      </c>
      <c r="AA185" s="123">
        <f t="shared" si="53"/>
        <v>0.28999999999999998</v>
      </c>
      <c r="AB185" s="123">
        <f t="shared" si="53"/>
        <v>0.28999999999999998</v>
      </c>
      <c r="AC185" s="123">
        <f t="shared" si="53"/>
        <v>0.28999999999999998</v>
      </c>
      <c r="AD185" s="123">
        <f t="shared" si="53"/>
        <v>0.28999999999999998</v>
      </c>
      <c r="AE185" s="123">
        <f t="shared" si="53"/>
        <v>0.28999999999999998</v>
      </c>
      <c r="AF185" s="123">
        <f t="shared" si="53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1"/>
        <v>0.06</v>
      </c>
      <c r="C186" s="124">
        <v>0.06</v>
      </c>
      <c r="D186" s="123">
        <f t="shared" si="52"/>
        <v>0.06</v>
      </c>
      <c r="E186" s="123">
        <f t="shared" si="52"/>
        <v>0.06</v>
      </c>
      <c r="F186" s="123">
        <f t="shared" si="52"/>
        <v>0.06</v>
      </c>
      <c r="G186" s="123">
        <f t="shared" si="52"/>
        <v>0.06</v>
      </c>
      <c r="H186" s="123">
        <f t="shared" si="52"/>
        <v>0.06</v>
      </c>
      <c r="I186" s="123">
        <f t="shared" si="52"/>
        <v>0.06</v>
      </c>
      <c r="J186" s="123">
        <f t="shared" si="52"/>
        <v>0.06</v>
      </c>
      <c r="K186" s="123">
        <f t="shared" si="52"/>
        <v>0.06</v>
      </c>
      <c r="L186" s="123">
        <f t="shared" si="52"/>
        <v>0.06</v>
      </c>
      <c r="M186" s="123">
        <f t="shared" si="52"/>
        <v>0.06</v>
      </c>
      <c r="N186" s="123">
        <f t="shared" si="52"/>
        <v>0.06</v>
      </c>
      <c r="O186" s="123">
        <f t="shared" si="52"/>
        <v>0.06</v>
      </c>
      <c r="P186" s="123">
        <f t="shared" si="52"/>
        <v>0.06</v>
      </c>
      <c r="Q186" s="123">
        <f t="shared" si="52"/>
        <v>0.06</v>
      </c>
      <c r="R186" s="123">
        <f t="shared" si="52"/>
        <v>0.06</v>
      </c>
      <c r="S186" s="123">
        <f t="shared" si="52"/>
        <v>0.06</v>
      </c>
      <c r="T186" s="123">
        <f t="shared" si="53"/>
        <v>0.06</v>
      </c>
      <c r="U186" s="123">
        <f t="shared" si="53"/>
        <v>0.06</v>
      </c>
      <c r="V186" s="123">
        <f t="shared" si="53"/>
        <v>0.06</v>
      </c>
      <c r="W186" s="123">
        <f t="shared" si="53"/>
        <v>0.06</v>
      </c>
      <c r="X186" s="123">
        <f t="shared" si="53"/>
        <v>0.06</v>
      </c>
      <c r="Y186" s="123">
        <f t="shared" si="53"/>
        <v>0.06</v>
      </c>
      <c r="Z186" s="123">
        <f t="shared" si="53"/>
        <v>0.06</v>
      </c>
      <c r="AA186" s="123">
        <f t="shared" si="53"/>
        <v>0.06</v>
      </c>
      <c r="AB186" s="123">
        <f t="shared" si="53"/>
        <v>0.06</v>
      </c>
      <c r="AC186" s="123">
        <f t="shared" si="53"/>
        <v>0.06</v>
      </c>
      <c r="AD186" s="123">
        <f t="shared" si="53"/>
        <v>0.06</v>
      </c>
      <c r="AE186" s="123">
        <f t="shared" si="53"/>
        <v>0.06</v>
      </c>
      <c r="AF186" s="123">
        <f t="shared" si="53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1"/>
        <v>0.11</v>
      </c>
      <c r="C187" s="124">
        <v>0.11</v>
      </c>
      <c r="D187" s="123">
        <f t="shared" si="52"/>
        <v>0.11</v>
      </c>
      <c r="E187" s="123">
        <f t="shared" si="52"/>
        <v>0.11</v>
      </c>
      <c r="F187" s="123">
        <f t="shared" si="52"/>
        <v>0.11</v>
      </c>
      <c r="G187" s="123">
        <f t="shared" si="52"/>
        <v>0.11</v>
      </c>
      <c r="H187" s="123">
        <f t="shared" si="52"/>
        <v>0.11</v>
      </c>
      <c r="I187" s="123">
        <f t="shared" si="52"/>
        <v>0.11</v>
      </c>
      <c r="J187" s="123">
        <f t="shared" si="52"/>
        <v>0.11</v>
      </c>
      <c r="K187" s="123">
        <f t="shared" si="52"/>
        <v>0.11</v>
      </c>
      <c r="L187" s="123">
        <f t="shared" si="52"/>
        <v>0.11</v>
      </c>
      <c r="M187" s="123">
        <f t="shared" si="52"/>
        <v>0.11</v>
      </c>
      <c r="N187" s="123">
        <f t="shared" si="52"/>
        <v>0.11</v>
      </c>
      <c r="O187" s="123">
        <f t="shared" si="52"/>
        <v>0.11</v>
      </c>
      <c r="P187" s="123">
        <f t="shared" si="52"/>
        <v>0.11</v>
      </c>
      <c r="Q187" s="123">
        <f t="shared" si="52"/>
        <v>0.11</v>
      </c>
      <c r="R187" s="123">
        <f t="shared" si="52"/>
        <v>0.11</v>
      </c>
      <c r="S187" s="123">
        <f t="shared" si="52"/>
        <v>0.11</v>
      </c>
      <c r="T187" s="123">
        <f t="shared" si="53"/>
        <v>0.11</v>
      </c>
      <c r="U187" s="123">
        <f t="shared" si="53"/>
        <v>0.11</v>
      </c>
      <c r="V187" s="123">
        <f t="shared" si="53"/>
        <v>0.11</v>
      </c>
      <c r="W187" s="123">
        <f t="shared" si="53"/>
        <v>0.11</v>
      </c>
      <c r="X187" s="123">
        <f t="shared" si="53"/>
        <v>0.11</v>
      </c>
      <c r="Y187" s="123">
        <f t="shared" si="53"/>
        <v>0.11</v>
      </c>
      <c r="Z187" s="123">
        <f t="shared" si="53"/>
        <v>0.11</v>
      </c>
      <c r="AA187" s="123">
        <f t="shared" si="53"/>
        <v>0.11</v>
      </c>
      <c r="AB187" s="123">
        <f t="shared" si="53"/>
        <v>0.11</v>
      </c>
      <c r="AC187" s="123">
        <f t="shared" si="53"/>
        <v>0.11</v>
      </c>
      <c r="AD187" s="123">
        <f t="shared" si="53"/>
        <v>0.11</v>
      </c>
      <c r="AE187" s="123">
        <f t="shared" si="53"/>
        <v>0.11</v>
      </c>
      <c r="AF187" s="123">
        <f t="shared" si="53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1"/>
        <v>0.1</v>
      </c>
      <c r="C188" s="124">
        <v>0.1</v>
      </c>
      <c r="D188" s="123">
        <f t="shared" si="52"/>
        <v>0.1</v>
      </c>
      <c r="E188" s="123">
        <f t="shared" si="52"/>
        <v>0.1</v>
      </c>
      <c r="F188" s="123">
        <f t="shared" si="52"/>
        <v>0.1</v>
      </c>
      <c r="G188" s="123">
        <f t="shared" si="52"/>
        <v>0.1</v>
      </c>
      <c r="H188" s="123">
        <f t="shared" si="52"/>
        <v>0.1</v>
      </c>
      <c r="I188" s="123">
        <f t="shared" si="52"/>
        <v>0.1</v>
      </c>
      <c r="J188" s="123">
        <f t="shared" si="52"/>
        <v>0.1</v>
      </c>
      <c r="K188" s="123">
        <f t="shared" si="52"/>
        <v>0.1</v>
      </c>
      <c r="L188" s="123">
        <f t="shared" si="52"/>
        <v>0.1</v>
      </c>
      <c r="M188" s="123">
        <f t="shared" si="52"/>
        <v>0.1</v>
      </c>
      <c r="N188" s="123">
        <f t="shared" si="52"/>
        <v>0.1</v>
      </c>
      <c r="O188" s="123">
        <f t="shared" si="52"/>
        <v>0.1</v>
      </c>
      <c r="P188" s="123">
        <f t="shared" si="52"/>
        <v>0.1</v>
      </c>
      <c r="Q188" s="123">
        <f t="shared" si="52"/>
        <v>0.1</v>
      </c>
      <c r="R188" s="123">
        <f t="shared" si="52"/>
        <v>0.1</v>
      </c>
      <c r="S188" s="123">
        <f t="shared" si="53"/>
        <v>0.1</v>
      </c>
      <c r="T188" s="123">
        <f t="shared" si="53"/>
        <v>0.1</v>
      </c>
      <c r="U188" s="123">
        <f t="shared" si="53"/>
        <v>0.1</v>
      </c>
      <c r="V188" s="123">
        <f t="shared" si="53"/>
        <v>0.1</v>
      </c>
      <c r="W188" s="123">
        <f t="shared" si="53"/>
        <v>0.1</v>
      </c>
      <c r="X188" s="123">
        <f t="shared" si="53"/>
        <v>0.1</v>
      </c>
      <c r="Y188" s="123">
        <f t="shared" si="53"/>
        <v>0.1</v>
      </c>
      <c r="Z188" s="123">
        <f t="shared" si="53"/>
        <v>0.1</v>
      </c>
      <c r="AA188" s="123">
        <f t="shared" si="53"/>
        <v>0.1</v>
      </c>
      <c r="AB188" s="123">
        <f t="shared" si="53"/>
        <v>0.1</v>
      </c>
      <c r="AC188" s="123">
        <f t="shared" si="53"/>
        <v>0.1</v>
      </c>
      <c r="AD188" s="123">
        <f t="shared" si="53"/>
        <v>0.1</v>
      </c>
      <c r="AE188" s="123">
        <f t="shared" si="53"/>
        <v>0.1</v>
      </c>
      <c r="AF188" s="123">
        <f t="shared" si="53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1"/>
        <v>0.09</v>
      </c>
      <c r="C189" s="124">
        <v>0.09</v>
      </c>
      <c r="D189" s="123">
        <f t="shared" si="52"/>
        <v>0.09</v>
      </c>
      <c r="E189" s="123">
        <f t="shared" si="52"/>
        <v>0.09</v>
      </c>
      <c r="F189" s="123">
        <f t="shared" si="52"/>
        <v>0.09</v>
      </c>
      <c r="G189" s="123">
        <f t="shared" si="52"/>
        <v>0.09</v>
      </c>
      <c r="H189" s="123">
        <f t="shared" si="52"/>
        <v>0.09</v>
      </c>
      <c r="I189" s="123">
        <f t="shared" si="52"/>
        <v>0.09</v>
      </c>
      <c r="J189" s="123">
        <f t="shared" si="52"/>
        <v>0.09</v>
      </c>
      <c r="K189" s="123">
        <f t="shared" si="52"/>
        <v>0.09</v>
      </c>
      <c r="L189" s="123">
        <f t="shared" si="52"/>
        <v>0.09</v>
      </c>
      <c r="M189" s="123">
        <f t="shared" si="52"/>
        <v>0.09</v>
      </c>
      <c r="N189" s="123">
        <f t="shared" si="52"/>
        <v>0.09</v>
      </c>
      <c r="O189" s="123">
        <f t="shared" si="52"/>
        <v>0.09</v>
      </c>
      <c r="P189" s="123">
        <f t="shared" si="52"/>
        <v>0.09</v>
      </c>
      <c r="Q189" s="123">
        <f t="shared" si="52"/>
        <v>0.09</v>
      </c>
      <c r="R189" s="123">
        <f t="shared" si="52"/>
        <v>0.09</v>
      </c>
      <c r="S189" s="123">
        <f t="shared" si="53"/>
        <v>0.09</v>
      </c>
      <c r="T189" s="123">
        <f t="shared" si="53"/>
        <v>0.09</v>
      </c>
      <c r="U189" s="123">
        <f t="shared" si="53"/>
        <v>0.09</v>
      </c>
      <c r="V189" s="123">
        <f t="shared" si="53"/>
        <v>0.09</v>
      </c>
      <c r="W189" s="123">
        <f t="shared" si="53"/>
        <v>0.09</v>
      </c>
      <c r="X189" s="123">
        <f t="shared" si="53"/>
        <v>0.09</v>
      </c>
      <c r="Y189" s="123">
        <f t="shared" si="53"/>
        <v>0.09</v>
      </c>
      <c r="Z189" s="123">
        <f t="shared" si="53"/>
        <v>0.09</v>
      </c>
      <c r="AA189" s="123">
        <f t="shared" si="53"/>
        <v>0.09</v>
      </c>
      <c r="AB189" s="123">
        <f t="shared" si="53"/>
        <v>0.09</v>
      </c>
      <c r="AC189" s="123">
        <f t="shared" si="53"/>
        <v>0.09</v>
      </c>
      <c r="AD189" s="123">
        <f t="shared" si="53"/>
        <v>0.09</v>
      </c>
      <c r="AE189" s="123">
        <f t="shared" si="53"/>
        <v>0.09</v>
      </c>
      <c r="AF189" s="123">
        <f t="shared" si="53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1"/>
        <v>0.04</v>
      </c>
      <c r="C190" s="53">
        <v>0.04</v>
      </c>
      <c r="D190" s="123">
        <f t="shared" si="52"/>
        <v>0.04</v>
      </c>
      <c r="E190" s="123">
        <f t="shared" si="52"/>
        <v>0.04</v>
      </c>
      <c r="F190" s="123">
        <f t="shared" si="52"/>
        <v>0.04</v>
      </c>
      <c r="G190" s="123">
        <f t="shared" si="52"/>
        <v>0.04</v>
      </c>
      <c r="H190" s="123">
        <f t="shared" si="52"/>
        <v>0.04</v>
      </c>
      <c r="I190" s="123">
        <f t="shared" si="52"/>
        <v>0.04</v>
      </c>
      <c r="J190" s="123">
        <f t="shared" si="52"/>
        <v>0.04</v>
      </c>
      <c r="K190" s="123">
        <f t="shared" si="52"/>
        <v>0.04</v>
      </c>
      <c r="L190" s="123">
        <f t="shared" si="52"/>
        <v>0.04</v>
      </c>
      <c r="M190" s="123">
        <f t="shared" si="52"/>
        <v>0.04</v>
      </c>
      <c r="N190" s="123">
        <f t="shared" si="52"/>
        <v>0.04</v>
      </c>
      <c r="O190" s="123">
        <f t="shared" si="52"/>
        <v>0.04</v>
      </c>
      <c r="P190" s="123">
        <f t="shared" si="52"/>
        <v>0.04</v>
      </c>
      <c r="Q190" s="123">
        <f t="shared" si="52"/>
        <v>0.04</v>
      </c>
      <c r="R190" s="123">
        <f t="shared" si="52"/>
        <v>0.04</v>
      </c>
      <c r="S190" s="123">
        <f t="shared" si="53"/>
        <v>0.04</v>
      </c>
      <c r="T190" s="123">
        <f t="shared" si="53"/>
        <v>0.04</v>
      </c>
      <c r="U190" s="123">
        <f t="shared" si="53"/>
        <v>0.04</v>
      </c>
      <c r="V190" s="123">
        <f t="shared" si="53"/>
        <v>0.04</v>
      </c>
      <c r="W190" s="123">
        <f t="shared" si="53"/>
        <v>0.04</v>
      </c>
      <c r="X190" s="123">
        <f t="shared" si="53"/>
        <v>0.04</v>
      </c>
      <c r="Y190" s="123">
        <f t="shared" si="53"/>
        <v>0.04</v>
      </c>
      <c r="Z190" s="123">
        <f t="shared" si="53"/>
        <v>0.04</v>
      </c>
      <c r="AA190" s="123">
        <f t="shared" si="53"/>
        <v>0.04</v>
      </c>
      <c r="AB190" s="123">
        <f t="shared" si="53"/>
        <v>0.04</v>
      </c>
      <c r="AC190" s="123">
        <f t="shared" si="53"/>
        <v>0.04</v>
      </c>
      <c r="AD190" s="123">
        <f t="shared" si="53"/>
        <v>0.04</v>
      </c>
      <c r="AE190" s="123">
        <f t="shared" si="53"/>
        <v>0.04</v>
      </c>
      <c r="AF190" s="123">
        <f t="shared" si="53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1"/>
        <v>2.3E-2</v>
      </c>
      <c r="C191" s="53">
        <v>2.3E-2</v>
      </c>
      <c r="D191" s="123">
        <f>C191</f>
        <v>2.3E-2</v>
      </c>
      <c r="E191" s="123">
        <f t="shared" si="52"/>
        <v>2.3E-2</v>
      </c>
      <c r="F191" s="123">
        <f t="shared" si="52"/>
        <v>2.3E-2</v>
      </c>
      <c r="G191" s="123">
        <f t="shared" si="52"/>
        <v>2.3E-2</v>
      </c>
      <c r="H191" s="123">
        <f t="shared" si="52"/>
        <v>2.3E-2</v>
      </c>
      <c r="I191" s="123">
        <f t="shared" si="52"/>
        <v>2.3E-2</v>
      </c>
      <c r="J191" s="123">
        <f t="shared" si="52"/>
        <v>2.3E-2</v>
      </c>
      <c r="K191" s="123">
        <f t="shared" si="52"/>
        <v>2.3E-2</v>
      </c>
      <c r="L191" s="123">
        <f t="shared" si="52"/>
        <v>2.3E-2</v>
      </c>
      <c r="M191" s="123">
        <f t="shared" si="52"/>
        <v>2.3E-2</v>
      </c>
      <c r="N191" s="123">
        <f t="shared" si="52"/>
        <v>2.3E-2</v>
      </c>
      <c r="O191" s="123">
        <f t="shared" si="52"/>
        <v>2.3E-2</v>
      </c>
      <c r="P191" s="123">
        <f t="shared" si="52"/>
        <v>2.3E-2</v>
      </c>
      <c r="Q191" s="123">
        <f t="shared" si="52"/>
        <v>2.3E-2</v>
      </c>
      <c r="R191" s="123">
        <f t="shared" si="52"/>
        <v>2.3E-2</v>
      </c>
      <c r="S191" s="123">
        <f t="shared" si="53"/>
        <v>2.3E-2</v>
      </c>
      <c r="T191" s="123">
        <f t="shared" si="53"/>
        <v>2.3E-2</v>
      </c>
      <c r="U191" s="123">
        <f t="shared" si="53"/>
        <v>2.3E-2</v>
      </c>
      <c r="V191" s="123">
        <f t="shared" si="53"/>
        <v>2.3E-2</v>
      </c>
      <c r="W191" s="123">
        <f t="shared" si="53"/>
        <v>2.3E-2</v>
      </c>
      <c r="X191" s="123">
        <f t="shared" si="53"/>
        <v>2.3E-2</v>
      </c>
      <c r="Y191" s="123">
        <f t="shared" si="53"/>
        <v>2.3E-2</v>
      </c>
      <c r="Z191" s="123">
        <f t="shared" si="53"/>
        <v>2.3E-2</v>
      </c>
      <c r="AA191" s="123">
        <f t="shared" si="53"/>
        <v>2.3E-2</v>
      </c>
      <c r="AB191" s="123">
        <f t="shared" si="53"/>
        <v>2.3E-2</v>
      </c>
      <c r="AC191" s="123">
        <f t="shared" si="53"/>
        <v>2.3E-2</v>
      </c>
      <c r="AD191" s="123">
        <f t="shared" si="53"/>
        <v>2.3E-2</v>
      </c>
      <c r="AE191" s="123">
        <f t="shared" si="53"/>
        <v>2.3E-2</v>
      </c>
      <c r="AF191" s="123">
        <f t="shared" si="53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4">SUM(C102:C191)</f>
        <v>194.70600000000002</v>
      </c>
      <c r="D192" s="128">
        <f t="shared" si="54"/>
        <v>194.70600000000002</v>
      </c>
      <c r="E192" s="128">
        <f t="shared" si="54"/>
        <v>194.70600000000002</v>
      </c>
      <c r="F192" s="128">
        <f t="shared" si="54"/>
        <v>194.70600000000002</v>
      </c>
      <c r="G192" s="128">
        <f t="shared" si="54"/>
        <v>194.70600000000002</v>
      </c>
      <c r="H192" s="128">
        <f t="shared" si="54"/>
        <v>194.70600000000002</v>
      </c>
      <c r="I192" s="128">
        <f t="shared" si="54"/>
        <v>189.70600000000005</v>
      </c>
      <c r="J192" s="128">
        <f t="shared" si="54"/>
        <v>187.10600000000005</v>
      </c>
      <c r="K192" s="128">
        <f t="shared" si="54"/>
        <v>187.10600000000005</v>
      </c>
      <c r="L192" s="128">
        <f t="shared" si="54"/>
        <v>187.10600000000005</v>
      </c>
      <c r="M192" s="128">
        <f t="shared" si="54"/>
        <v>187.10600000000005</v>
      </c>
      <c r="N192" s="128">
        <f t="shared" si="54"/>
        <v>187.10600000000005</v>
      </c>
      <c r="O192" s="128">
        <f t="shared" si="54"/>
        <v>187.10600000000005</v>
      </c>
      <c r="P192" s="128">
        <f t="shared" si="54"/>
        <v>187.10600000000005</v>
      </c>
      <c r="Q192" s="128">
        <f t="shared" si="54"/>
        <v>187.10600000000005</v>
      </c>
      <c r="R192" s="128">
        <f t="shared" si="54"/>
        <v>187.10600000000005</v>
      </c>
      <c r="S192" s="128">
        <f t="shared" si="54"/>
        <v>187.10600000000005</v>
      </c>
      <c r="T192" s="128">
        <f t="shared" si="54"/>
        <v>187.10600000000005</v>
      </c>
      <c r="U192" s="128">
        <f t="shared" si="54"/>
        <v>187.10600000000005</v>
      </c>
      <c r="V192" s="128">
        <f t="shared" si="54"/>
        <v>187.10600000000005</v>
      </c>
      <c r="W192" s="128">
        <f t="shared" si="54"/>
        <v>187.10600000000005</v>
      </c>
      <c r="X192" s="128">
        <f t="shared" si="54"/>
        <v>187.10600000000005</v>
      </c>
      <c r="Y192" s="128">
        <f t="shared" si="54"/>
        <v>187.10600000000005</v>
      </c>
      <c r="Z192" s="128">
        <f t="shared" si="54"/>
        <v>187.10600000000005</v>
      </c>
      <c r="AA192" s="128">
        <f t="shared" si="54"/>
        <v>187.10600000000005</v>
      </c>
      <c r="AB192" s="128">
        <f t="shared" si="54"/>
        <v>187.10600000000005</v>
      </c>
      <c r="AC192" s="128">
        <f t="shared" si="54"/>
        <v>187.10600000000005</v>
      </c>
      <c r="AD192" s="128">
        <f t="shared" si="54"/>
        <v>187.10600000000005</v>
      </c>
      <c r="AE192" s="128">
        <f t="shared" si="54"/>
        <v>187.10600000000005</v>
      </c>
      <c r="AF192" s="128">
        <f t="shared" si="54"/>
        <v>187.10600000000005</v>
      </c>
      <c r="AG192" s="129">
        <f t="shared" si="54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5">AF194</f>
        <v>0.3</v>
      </c>
      <c r="C194" s="130">
        <v>0.3</v>
      </c>
      <c r="D194" s="130">
        <f t="shared" ref="D194:S199" si="56">C194</f>
        <v>0.3</v>
      </c>
      <c r="E194" s="130">
        <f t="shared" si="56"/>
        <v>0.3</v>
      </c>
      <c r="F194" s="130">
        <f t="shared" si="56"/>
        <v>0.3</v>
      </c>
      <c r="G194" s="130">
        <f t="shared" si="56"/>
        <v>0.3</v>
      </c>
      <c r="H194" s="130">
        <f t="shared" si="56"/>
        <v>0.3</v>
      </c>
      <c r="I194" s="130">
        <f t="shared" si="56"/>
        <v>0.3</v>
      </c>
      <c r="J194" s="130">
        <f t="shared" si="56"/>
        <v>0.3</v>
      </c>
      <c r="K194" s="130">
        <f t="shared" si="56"/>
        <v>0.3</v>
      </c>
      <c r="L194" s="130">
        <f t="shared" si="56"/>
        <v>0.3</v>
      </c>
      <c r="M194" s="130">
        <f t="shared" si="56"/>
        <v>0.3</v>
      </c>
      <c r="N194" s="130">
        <f t="shared" si="56"/>
        <v>0.3</v>
      </c>
      <c r="O194" s="130">
        <f t="shared" si="56"/>
        <v>0.3</v>
      </c>
      <c r="P194" s="130">
        <f t="shared" si="56"/>
        <v>0.3</v>
      </c>
      <c r="Q194" s="130">
        <f t="shared" si="56"/>
        <v>0.3</v>
      </c>
      <c r="R194" s="130">
        <f t="shared" si="56"/>
        <v>0.3</v>
      </c>
      <c r="S194" s="130">
        <f t="shared" si="56"/>
        <v>0.3</v>
      </c>
      <c r="T194" s="130">
        <f t="shared" ref="T194:AF199" si="57">S194</f>
        <v>0.3</v>
      </c>
      <c r="U194" s="130">
        <f t="shared" si="57"/>
        <v>0.3</v>
      </c>
      <c r="V194" s="130">
        <f t="shared" si="57"/>
        <v>0.3</v>
      </c>
      <c r="W194" s="130">
        <f t="shared" si="57"/>
        <v>0.3</v>
      </c>
      <c r="X194" s="130">
        <f t="shared" si="57"/>
        <v>0.3</v>
      </c>
      <c r="Y194" s="130">
        <f t="shared" si="57"/>
        <v>0.3</v>
      </c>
      <c r="Z194" s="130">
        <f t="shared" si="57"/>
        <v>0.3</v>
      </c>
      <c r="AA194" s="130">
        <f t="shared" si="57"/>
        <v>0.3</v>
      </c>
      <c r="AB194" s="130">
        <f t="shared" si="57"/>
        <v>0.3</v>
      </c>
      <c r="AC194" s="130">
        <f t="shared" si="57"/>
        <v>0.3</v>
      </c>
      <c r="AD194" s="130">
        <f t="shared" si="57"/>
        <v>0.3</v>
      </c>
      <c r="AE194" s="130">
        <f t="shared" si="57"/>
        <v>0.3</v>
      </c>
      <c r="AF194" s="130">
        <f t="shared" si="57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5"/>
        <v>0.4</v>
      </c>
      <c r="C195" s="123">
        <v>0.4</v>
      </c>
      <c r="D195" s="123">
        <f t="shared" si="56"/>
        <v>0.4</v>
      </c>
      <c r="E195" s="123">
        <f t="shared" si="56"/>
        <v>0.4</v>
      </c>
      <c r="F195" s="123">
        <f t="shared" si="56"/>
        <v>0.4</v>
      </c>
      <c r="G195" s="123">
        <f t="shared" si="56"/>
        <v>0.4</v>
      </c>
      <c r="H195" s="123">
        <f t="shared" si="56"/>
        <v>0.4</v>
      </c>
      <c r="I195" s="123">
        <f t="shared" si="56"/>
        <v>0.4</v>
      </c>
      <c r="J195" s="123">
        <f t="shared" si="56"/>
        <v>0.4</v>
      </c>
      <c r="K195" s="123">
        <f t="shared" si="56"/>
        <v>0.4</v>
      </c>
      <c r="L195" s="123">
        <f t="shared" si="56"/>
        <v>0.4</v>
      </c>
      <c r="M195" s="123">
        <f t="shared" si="56"/>
        <v>0.4</v>
      </c>
      <c r="N195" s="123">
        <f t="shared" si="56"/>
        <v>0.4</v>
      </c>
      <c r="O195" s="123">
        <f t="shared" si="56"/>
        <v>0.4</v>
      </c>
      <c r="P195" s="123">
        <f t="shared" si="56"/>
        <v>0.4</v>
      </c>
      <c r="Q195" s="123">
        <f t="shared" si="56"/>
        <v>0.4</v>
      </c>
      <c r="R195" s="123">
        <f t="shared" si="56"/>
        <v>0.4</v>
      </c>
      <c r="S195" s="123">
        <f t="shared" si="56"/>
        <v>0.4</v>
      </c>
      <c r="T195" s="123">
        <f t="shared" si="57"/>
        <v>0.4</v>
      </c>
      <c r="U195" s="123">
        <f t="shared" si="57"/>
        <v>0.4</v>
      </c>
      <c r="V195" s="123">
        <f t="shared" si="57"/>
        <v>0.4</v>
      </c>
      <c r="W195" s="123">
        <f>V195</f>
        <v>0.4</v>
      </c>
      <c r="X195" s="123">
        <f>W195</f>
        <v>0.4</v>
      </c>
      <c r="Y195" s="123">
        <f t="shared" si="57"/>
        <v>0.4</v>
      </c>
      <c r="Z195" s="123">
        <f t="shared" si="57"/>
        <v>0.4</v>
      </c>
      <c r="AA195" s="123">
        <f t="shared" si="57"/>
        <v>0.4</v>
      </c>
      <c r="AB195" s="123">
        <f t="shared" si="57"/>
        <v>0.4</v>
      </c>
      <c r="AC195" s="123">
        <f t="shared" si="57"/>
        <v>0.4</v>
      </c>
      <c r="AD195" s="123">
        <f t="shared" si="57"/>
        <v>0.4</v>
      </c>
      <c r="AE195" s="123">
        <f t="shared" si="57"/>
        <v>0.4</v>
      </c>
      <c r="AF195" s="123">
        <f t="shared" si="57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5"/>
        <v>1.5</v>
      </c>
      <c r="C196" s="123">
        <v>1.5</v>
      </c>
      <c r="D196" s="123">
        <f t="shared" si="56"/>
        <v>1.5</v>
      </c>
      <c r="E196" s="123">
        <f t="shared" si="56"/>
        <v>1.5</v>
      </c>
      <c r="F196" s="123">
        <f t="shared" si="56"/>
        <v>1.5</v>
      </c>
      <c r="G196" s="123">
        <f t="shared" si="56"/>
        <v>1.5</v>
      </c>
      <c r="H196" s="123">
        <f t="shared" si="56"/>
        <v>1.5</v>
      </c>
      <c r="I196" s="123">
        <f t="shared" si="56"/>
        <v>1.5</v>
      </c>
      <c r="J196" s="123">
        <f t="shared" si="56"/>
        <v>1.5</v>
      </c>
      <c r="K196" s="123">
        <f t="shared" si="56"/>
        <v>1.5</v>
      </c>
      <c r="L196" s="123">
        <f t="shared" si="56"/>
        <v>1.5</v>
      </c>
      <c r="M196" s="123">
        <f t="shared" si="56"/>
        <v>1.5</v>
      </c>
      <c r="N196" s="123">
        <f t="shared" si="56"/>
        <v>1.5</v>
      </c>
      <c r="O196" s="123">
        <f t="shared" si="56"/>
        <v>1.5</v>
      </c>
      <c r="P196" s="123">
        <f t="shared" si="56"/>
        <v>1.5</v>
      </c>
      <c r="Q196" s="123">
        <f t="shared" si="56"/>
        <v>1.5</v>
      </c>
      <c r="R196" s="123">
        <f t="shared" si="56"/>
        <v>1.5</v>
      </c>
      <c r="S196" s="123">
        <f t="shared" si="56"/>
        <v>1.5</v>
      </c>
      <c r="T196" s="123">
        <f t="shared" si="57"/>
        <v>1.5</v>
      </c>
      <c r="U196" s="123">
        <f t="shared" si="57"/>
        <v>1.5</v>
      </c>
      <c r="V196" s="123">
        <f t="shared" si="57"/>
        <v>1.5</v>
      </c>
      <c r="W196" s="123">
        <f t="shared" si="57"/>
        <v>1.5</v>
      </c>
      <c r="X196" s="123">
        <f t="shared" si="57"/>
        <v>1.5</v>
      </c>
      <c r="Y196" s="123">
        <f t="shared" si="57"/>
        <v>1.5</v>
      </c>
      <c r="Z196" s="123">
        <f t="shared" si="57"/>
        <v>1.5</v>
      </c>
      <c r="AA196" s="123">
        <f t="shared" si="57"/>
        <v>1.5</v>
      </c>
      <c r="AB196" s="123">
        <f t="shared" si="57"/>
        <v>1.5</v>
      </c>
      <c r="AC196" s="123">
        <f t="shared" si="57"/>
        <v>1.5</v>
      </c>
      <c r="AD196" s="123">
        <f t="shared" si="57"/>
        <v>1.5</v>
      </c>
      <c r="AE196" s="123">
        <f t="shared" si="57"/>
        <v>1.5</v>
      </c>
      <c r="AF196" s="123">
        <f t="shared" si="57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5"/>
        <v>0.3</v>
      </c>
      <c r="C197" s="123">
        <v>0.3</v>
      </c>
      <c r="D197" s="123">
        <f t="shared" si="56"/>
        <v>0.3</v>
      </c>
      <c r="E197" s="123">
        <f t="shared" si="56"/>
        <v>0.3</v>
      </c>
      <c r="F197" s="123">
        <f t="shared" si="56"/>
        <v>0.3</v>
      </c>
      <c r="G197" s="123">
        <f t="shared" si="56"/>
        <v>0.3</v>
      </c>
      <c r="H197" s="123">
        <f t="shared" si="56"/>
        <v>0.3</v>
      </c>
      <c r="I197" s="123">
        <f t="shared" si="56"/>
        <v>0.3</v>
      </c>
      <c r="J197" s="123">
        <f t="shared" si="56"/>
        <v>0.3</v>
      </c>
      <c r="K197" s="123">
        <f t="shared" si="56"/>
        <v>0.3</v>
      </c>
      <c r="L197" s="123">
        <f t="shared" si="56"/>
        <v>0.3</v>
      </c>
      <c r="M197" s="123">
        <f t="shared" si="56"/>
        <v>0.3</v>
      </c>
      <c r="N197" s="123">
        <f t="shared" si="56"/>
        <v>0.3</v>
      </c>
      <c r="O197" s="123">
        <f t="shared" si="56"/>
        <v>0.3</v>
      </c>
      <c r="P197" s="123">
        <f t="shared" si="56"/>
        <v>0.3</v>
      </c>
      <c r="Q197" s="123">
        <f t="shared" si="56"/>
        <v>0.3</v>
      </c>
      <c r="R197" s="123">
        <f t="shared" si="56"/>
        <v>0.3</v>
      </c>
      <c r="S197" s="123">
        <f t="shared" si="56"/>
        <v>0.3</v>
      </c>
      <c r="T197" s="123">
        <f t="shared" si="57"/>
        <v>0.3</v>
      </c>
      <c r="U197" s="123">
        <f t="shared" si="57"/>
        <v>0.3</v>
      </c>
      <c r="V197" s="123">
        <f t="shared" si="57"/>
        <v>0.3</v>
      </c>
      <c r="W197" s="123">
        <f t="shared" si="57"/>
        <v>0.3</v>
      </c>
      <c r="X197" s="123">
        <f t="shared" si="57"/>
        <v>0.3</v>
      </c>
      <c r="Y197" s="123">
        <f t="shared" si="57"/>
        <v>0.3</v>
      </c>
      <c r="Z197" s="123">
        <f t="shared" si="57"/>
        <v>0.3</v>
      </c>
      <c r="AA197" s="123">
        <f t="shared" si="57"/>
        <v>0.3</v>
      </c>
      <c r="AB197" s="123">
        <f t="shared" si="57"/>
        <v>0.3</v>
      </c>
      <c r="AC197" s="123">
        <f t="shared" si="57"/>
        <v>0.3</v>
      </c>
      <c r="AD197" s="123">
        <f t="shared" si="57"/>
        <v>0.3</v>
      </c>
      <c r="AE197" s="123">
        <f t="shared" si="57"/>
        <v>0.3</v>
      </c>
      <c r="AF197" s="123">
        <f t="shared" si="57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5"/>
        <v>0.4</v>
      </c>
      <c r="C198" s="123">
        <v>0.4</v>
      </c>
      <c r="D198" s="123">
        <f t="shared" si="56"/>
        <v>0.4</v>
      </c>
      <c r="E198" s="123">
        <f t="shared" si="56"/>
        <v>0.4</v>
      </c>
      <c r="F198" s="123">
        <f t="shared" si="56"/>
        <v>0.4</v>
      </c>
      <c r="G198" s="123">
        <f t="shared" si="56"/>
        <v>0.4</v>
      </c>
      <c r="H198" s="123">
        <f t="shared" si="56"/>
        <v>0.4</v>
      </c>
      <c r="I198" s="123">
        <f t="shared" si="56"/>
        <v>0.4</v>
      </c>
      <c r="J198" s="123">
        <f t="shared" si="56"/>
        <v>0.4</v>
      </c>
      <c r="K198" s="123">
        <f t="shared" si="56"/>
        <v>0.4</v>
      </c>
      <c r="L198" s="123">
        <f t="shared" si="56"/>
        <v>0.4</v>
      </c>
      <c r="M198" s="123">
        <f t="shared" si="56"/>
        <v>0.4</v>
      </c>
      <c r="N198" s="123">
        <f t="shared" si="56"/>
        <v>0.4</v>
      </c>
      <c r="O198" s="123">
        <f t="shared" si="56"/>
        <v>0.4</v>
      </c>
      <c r="P198" s="123">
        <f t="shared" si="56"/>
        <v>0.4</v>
      </c>
      <c r="Q198" s="123">
        <f t="shared" si="56"/>
        <v>0.4</v>
      </c>
      <c r="R198" s="123">
        <f t="shared" si="56"/>
        <v>0.4</v>
      </c>
      <c r="S198" s="123">
        <f t="shared" si="56"/>
        <v>0.4</v>
      </c>
      <c r="T198" s="123">
        <f t="shared" si="57"/>
        <v>0.4</v>
      </c>
      <c r="U198" s="123">
        <f t="shared" si="57"/>
        <v>0.4</v>
      </c>
      <c r="V198" s="123">
        <f t="shared" si="57"/>
        <v>0.4</v>
      </c>
      <c r="W198" s="123">
        <f t="shared" si="57"/>
        <v>0.4</v>
      </c>
      <c r="X198" s="123">
        <f t="shared" si="57"/>
        <v>0.4</v>
      </c>
      <c r="Y198" s="123">
        <f t="shared" si="57"/>
        <v>0.4</v>
      </c>
      <c r="Z198" s="123">
        <f t="shared" si="57"/>
        <v>0.4</v>
      </c>
      <c r="AA198" s="123">
        <f t="shared" si="57"/>
        <v>0.4</v>
      </c>
      <c r="AB198" s="123">
        <f t="shared" si="57"/>
        <v>0.4</v>
      </c>
      <c r="AC198" s="123">
        <f t="shared" si="57"/>
        <v>0.4</v>
      </c>
      <c r="AD198" s="123">
        <f t="shared" si="57"/>
        <v>0.4</v>
      </c>
      <c r="AE198" s="123">
        <f t="shared" si="57"/>
        <v>0.4</v>
      </c>
      <c r="AF198" s="123">
        <f t="shared" si="57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5"/>
        <v>0.64</v>
      </c>
      <c r="C199" s="133">
        <v>0.64</v>
      </c>
      <c r="D199" s="133">
        <f t="shared" si="56"/>
        <v>0.64</v>
      </c>
      <c r="E199" s="133">
        <f t="shared" si="56"/>
        <v>0.64</v>
      </c>
      <c r="F199" s="133">
        <f t="shared" si="56"/>
        <v>0.64</v>
      </c>
      <c r="G199" s="133">
        <f t="shared" si="56"/>
        <v>0.64</v>
      </c>
      <c r="H199" s="133">
        <f t="shared" si="56"/>
        <v>0.64</v>
      </c>
      <c r="I199" s="133">
        <f t="shared" si="56"/>
        <v>0.64</v>
      </c>
      <c r="J199" s="133">
        <f t="shared" si="56"/>
        <v>0.64</v>
      </c>
      <c r="K199" s="133">
        <f t="shared" si="56"/>
        <v>0.64</v>
      </c>
      <c r="L199" s="133">
        <f t="shared" si="56"/>
        <v>0.64</v>
      </c>
      <c r="M199" s="133">
        <f t="shared" si="56"/>
        <v>0.64</v>
      </c>
      <c r="N199" s="133">
        <f t="shared" si="56"/>
        <v>0.64</v>
      </c>
      <c r="O199" s="133">
        <f t="shared" si="56"/>
        <v>0.64</v>
      </c>
      <c r="P199" s="133">
        <f t="shared" si="56"/>
        <v>0.64</v>
      </c>
      <c r="Q199" s="133">
        <f t="shared" si="56"/>
        <v>0.64</v>
      </c>
      <c r="R199" s="133">
        <f t="shared" si="56"/>
        <v>0.64</v>
      </c>
      <c r="S199" s="133">
        <f t="shared" si="56"/>
        <v>0.64</v>
      </c>
      <c r="T199" s="133">
        <f t="shared" si="57"/>
        <v>0.64</v>
      </c>
      <c r="U199" s="133">
        <f t="shared" si="57"/>
        <v>0.64</v>
      </c>
      <c r="V199" s="133">
        <f t="shared" si="57"/>
        <v>0.64</v>
      </c>
      <c r="W199" s="133">
        <f t="shared" si="57"/>
        <v>0.64</v>
      </c>
      <c r="X199" s="133">
        <f t="shared" si="57"/>
        <v>0.64</v>
      </c>
      <c r="Y199" s="133">
        <f t="shared" si="57"/>
        <v>0.64</v>
      </c>
      <c r="Z199" s="133">
        <f t="shared" si="57"/>
        <v>0.64</v>
      </c>
      <c r="AA199" s="133">
        <f t="shared" si="57"/>
        <v>0.64</v>
      </c>
      <c r="AB199" s="133">
        <f t="shared" si="57"/>
        <v>0.64</v>
      </c>
      <c r="AC199" s="133">
        <f t="shared" si="57"/>
        <v>0.64</v>
      </c>
      <c r="AD199" s="133">
        <f t="shared" si="57"/>
        <v>0.64</v>
      </c>
      <c r="AE199" s="133">
        <f t="shared" si="57"/>
        <v>0.64</v>
      </c>
      <c r="AF199" s="133">
        <f t="shared" si="57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8">SUM(D194:D199)</f>
        <v>3.54</v>
      </c>
      <c r="E200" s="136">
        <f t="shared" si="58"/>
        <v>3.54</v>
      </c>
      <c r="F200" s="136">
        <f t="shared" si="58"/>
        <v>3.54</v>
      </c>
      <c r="G200" s="136">
        <f t="shared" si="58"/>
        <v>3.54</v>
      </c>
      <c r="H200" s="136">
        <f t="shared" si="58"/>
        <v>3.54</v>
      </c>
      <c r="I200" s="136">
        <f t="shared" si="58"/>
        <v>3.54</v>
      </c>
      <c r="J200" s="136">
        <f t="shared" si="58"/>
        <v>3.54</v>
      </c>
      <c r="K200" s="136">
        <f t="shared" si="58"/>
        <v>3.54</v>
      </c>
      <c r="L200" s="136">
        <f t="shared" si="58"/>
        <v>3.54</v>
      </c>
      <c r="M200" s="136">
        <f>SUM(M194:M199)</f>
        <v>3.54</v>
      </c>
      <c r="N200" s="136">
        <f t="shared" ref="N200:S200" si="59">SUM(N194:N199)</f>
        <v>3.54</v>
      </c>
      <c r="O200" s="136">
        <f t="shared" si="59"/>
        <v>3.54</v>
      </c>
      <c r="P200" s="136">
        <f t="shared" si="59"/>
        <v>3.54</v>
      </c>
      <c r="Q200" s="136">
        <f t="shared" si="59"/>
        <v>3.54</v>
      </c>
      <c r="R200" s="136">
        <f t="shared" si="59"/>
        <v>3.54</v>
      </c>
      <c r="S200" s="136">
        <f t="shared" si="59"/>
        <v>3.54</v>
      </c>
      <c r="T200" s="136">
        <f>SUM(T194:T199)</f>
        <v>3.54</v>
      </c>
      <c r="U200" s="136">
        <f t="shared" ref="U200:AG200" si="60">SUM(U194:U199)</f>
        <v>3.54</v>
      </c>
      <c r="V200" s="136">
        <f t="shared" si="60"/>
        <v>3.54</v>
      </c>
      <c r="W200" s="136">
        <f t="shared" si="60"/>
        <v>3.54</v>
      </c>
      <c r="X200" s="136">
        <f t="shared" si="60"/>
        <v>3.54</v>
      </c>
      <c r="Y200" s="136">
        <f t="shared" si="60"/>
        <v>3.54</v>
      </c>
      <c r="Z200" s="136">
        <f t="shared" si="60"/>
        <v>3.54</v>
      </c>
      <c r="AA200" s="136">
        <f t="shared" si="60"/>
        <v>3.54</v>
      </c>
      <c r="AB200" s="136">
        <f t="shared" si="60"/>
        <v>3.54</v>
      </c>
      <c r="AC200" s="136">
        <f t="shared" si="60"/>
        <v>3.54</v>
      </c>
      <c r="AD200" s="136">
        <f t="shared" si="60"/>
        <v>3.54</v>
      </c>
      <c r="AE200" s="136">
        <f t="shared" si="60"/>
        <v>3.54</v>
      </c>
      <c r="AF200" s="136">
        <f t="shared" si="60"/>
        <v>3.54</v>
      </c>
      <c r="AG200" s="137">
        <f t="shared" si="60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1385.1399999999999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15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2079/02/15)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2079/02/15)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1">B75</f>
        <v>1335.34</v>
      </c>
      <c r="U214" s="161">
        <f t="shared" si="61"/>
        <v>1193.24</v>
      </c>
      <c r="V214" s="161">
        <f t="shared" si="61"/>
        <v>1230.1399999999999</v>
      </c>
      <c r="W214" s="161">
        <f t="shared" si="61"/>
        <v>1179.04</v>
      </c>
      <c r="X214" s="161">
        <f t="shared" si="61"/>
        <v>1163.94</v>
      </c>
      <c r="Y214" s="161">
        <f t="shared" si="61"/>
        <v>1151.3400000000001</v>
      </c>
      <c r="Z214" s="161">
        <f t="shared" si="61"/>
        <v>1161.8399999999999</v>
      </c>
      <c r="AA214" s="161">
        <f t="shared" si="61"/>
        <v>1181.44</v>
      </c>
      <c r="AB214" s="161">
        <f t="shared" si="61"/>
        <v>1238.44</v>
      </c>
      <c r="AC214" s="161">
        <f t="shared" si="61"/>
        <v>1232.6399999999999</v>
      </c>
      <c r="AD214" s="161">
        <f t="shared" si="61"/>
        <v>1331.94</v>
      </c>
      <c r="AE214" s="161">
        <f t="shared" si="61"/>
        <v>1343.24</v>
      </c>
      <c r="AF214" s="161">
        <f t="shared" si="61"/>
        <v>1385.1399999999999</v>
      </c>
      <c r="AG214" s="161">
        <f t="shared" si="61"/>
        <v>1316.04</v>
      </c>
      <c r="AH214" s="161">
        <f t="shared" si="61"/>
        <v>1400.74</v>
      </c>
      <c r="AI214" s="161">
        <f t="shared" si="61"/>
        <v>1440.7399999999998</v>
      </c>
      <c r="AJ214" s="161">
        <f t="shared" si="61"/>
        <v>1449.9399999999998</v>
      </c>
      <c r="AK214" s="161">
        <f t="shared" si="61"/>
        <v>1470.6399999999999</v>
      </c>
      <c r="AL214" s="161">
        <f t="shared" si="61"/>
        <v>1363.4899999999998</v>
      </c>
      <c r="AM214" s="161">
        <f t="shared" si="61"/>
        <v>1437.1399999999999</v>
      </c>
      <c r="AN214" s="161">
        <f t="shared" si="61"/>
        <v>1402.7399999999998</v>
      </c>
      <c r="AO214" s="161">
        <f t="shared" si="61"/>
        <v>1365.94</v>
      </c>
      <c r="AP214" s="161">
        <f t="shared" si="61"/>
        <v>1393.6399999999999</v>
      </c>
      <c r="AQ214" s="161">
        <f t="shared" si="61"/>
        <v>1385.34</v>
      </c>
      <c r="AR214" s="161">
        <f t="shared" si="61"/>
        <v>1453.24</v>
      </c>
      <c r="AS214" s="161">
        <f t="shared" si="61"/>
        <v>1458.24</v>
      </c>
      <c r="AT214" s="161">
        <f t="shared" si="61"/>
        <v>1581.3400000000001</v>
      </c>
      <c r="AU214" s="161">
        <f t="shared" si="61"/>
        <v>1550.94</v>
      </c>
      <c r="AV214" s="161">
        <f t="shared" si="61"/>
        <v>1518.04</v>
      </c>
      <c r="AW214" s="161">
        <f t="shared" si="61"/>
        <v>1384.24</v>
      </c>
      <c r="AX214" s="161">
        <f t="shared" si="61"/>
        <v>1345.94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3">IF(C203&lt;100,"",C203-520)</f>
        <v/>
      </c>
      <c r="D236" s="107" t="str">
        <f t="shared" si="63"/>
        <v/>
      </c>
      <c r="E236" s="107" t="str">
        <f t="shared" si="63"/>
        <v/>
      </c>
      <c r="F236" s="107" t="str">
        <f t="shared" si="63"/>
        <v/>
      </c>
      <c r="G236" s="107" t="str">
        <f t="shared" si="63"/>
        <v/>
      </c>
      <c r="H236" s="107" t="str">
        <f t="shared" si="63"/>
        <v/>
      </c>
      <c r="I236" s="107" t="str">
        <f t="shared" si="63"/>
        <v/>
      </c>
      <c r="J236" s="107" t="str">
        <f t="shared" si="63"/>
        <v/>
      </c>
      <c r="K236" s="107" t="str">
        <f t="shared" si="63"/>
        <v/>
      </c>
      <c r="L236" s="107" t="str">
        <f t="shared" si="63"/>
        <v/>
      </c>
      <c r="M236" s="107" t="str">
        <f t="shared" si="63"/>
        <v/>
      </c>
      <c r="N236" s="107" t="str">
        <f t="shared" si="63"/>
        <v/>
      </c>
      <c r="O236" s="107" t="str">
        <f t="shared" si="63"/>
        <v/>
      </c>
      <c r="P236" s="107" t="str">
        <f t="shared" si="63"/>
        <v/>
      </c>
      <c r="Q236" s="107" t="str">
        <f t="shared" si="63"/>
        <v/>
      </c>
      <c r="R236" s="107" t="str">
        <f t="shared" si="63"/>
        <v/>
      </c>
      <c r="S236" s="107" t="str">
        <f t="shared" si="63"/>
        <v/>
      </c>
      <c r="T236" s="107" t="str">
        <f t="shared" si="63"/>
        <v/>
      </c>
      <c r="U236" s="107" t="str">
        <f t="shared" si="63"/>
        <v/>
      </c>
      <c r="V236" s="107" t="str">
        <f t="shared" si="63"/>
        <v/>
      </c>
      <c r="W236" s="107" t="str">
        <f t="shared" si="63"/>
        <v/>
      </c>
      <c r="X236" s="107" t="str">
        <f t="shared" si="63"/>
        <v/>
      </c>
      <c r="Y236" s="107" t="str">
        <f t="shared" si="63"/>
        <v/>
      </c>
      <c r="Z236" s="107" t="str">
        <f t="shared" si="63"/>
        <v/>
      </c>
      <c r="AA236" s="107" t="str">
        <f t="shared" si="63"/>
        <v/>
      </c>
      <c r="AB236" s="107" t="str">
        <f t="shared" si="63"/>
        <v/>
      </c>
      <c r="AC236" s="107" t="str">
        <f t="shared" si="63"/>
        <v/>
      </c>
      <c r="AD236" s="107" t="str">
        <f t="shared" si="63"/>
        <v/>
      </c>
      <c r="AE236" s="107" t="str">
        <f t="shared" si="63"/>
        <v/>
      </c>
      <c r="AF236" s="107" t="str">
        <f t="shared" si="63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4">IF(B204&lt;100,"",B204-620)</f>
        <v/>
      </c>
      <c r="C237" s="107" t="str">
        <f t="shared" si="64"/>
        <v/>
      </c>
      <c r="D237" s="107" t="str">
        <f t="shared" si="64"/>
        <v/>
      </c>
      <c r="E237" s="107" t="str">
        <f t="shared" si="64"/>
        <v/>
      </c>
      <c r="F237" s="107" t="str">
        <f t="shared" si="64"/>
        <v/>
      </c>
      <c r="G237" s="107" t="str">
        <f t="shared" si="64"/>
        <v/>
      </c>
      <c r="H237" s="107" t="str">
        <f t="shared" si="64"/>
        <v/>
      </c>
      <c r="I237" s="107" t="str">
        <f t="shared" si="64"/>
        <v/>
      </c>
      <c r="J237" s="107" t="str">
        <f t="shared" si="64"/>
        <v/>
      </c>
      <c r="K237" s="107" t="str">
        <f t="shared" si="64"/>
        <v/>
      </c>
      <c r="L237" s="107" t="str">
        <f t="shared" si="64"/>
        <v/>
      </c>
      <c r="M237" s="107" t="str">
        <f t="shared" si="64"/>
        <v/>
      </c>
      <c r="N237" s="107" t="str">
        <f t="shared" si="64"/>
        <v/>
      </c>
      <c r="O237" s="107" t="str">
        <f t="shared" si="64"/>
        <v/>
      </c>
      <c r="P237" s="107" t="str">
        <f t="shared" si="64"/>
        <v/>
      </c>
      <c r="Q237" s="107" t="str">
        <f t="shared" si="64"/>
        <v/>
      </c>
      <c r="R237" s="107" t="str">
        <f t="shared" si="64"/>
        <v/>
      </c>
      <c r="S237" s="107" t="str">
        <f t="shared" si="64"/>
        <v/>
      </c>
      <c r="T237" s="107" t="str">
        <f t="shared" si="64"/>
        <v/>
      </c>
      <c r="U237" s="107" t="str">
        <f t="shared" si="64"/>
        <v/>
      </c>
      <c r="V237" s="107" t="str">
        <f t="shared" si="64"/>
        <v/>
      </c>
      <c r="W237" s="107" t="str">
        <f t="shared" si="64"/>
        <v/>
      </c>
      <c r="X237" s="107" t="str">
        <f t="shared" si="64"/>
        <v/>
      </c>
      <c r="Y237" s="107" t="str">
        <f t="shared" si="64"/>
        <v/>
      </c>
      <c r="Z237" s="107" t="str">
        <f t="shared" si="64"/>
        <v/>
      </c>
      <c r="AA237" s="107" t="str">
        <f t="shared" si="64"/>
        <v/>
      </c>
      <c r="AB237" s="107" t="str">
        <f t="shared" si="64"/>
        <v/>
      </c>
      <c r="AC237" s="107" t="str">
        <f t="shared" si="64"/>
        <v/>
      </c>
      <c r="AD237" s="107" t="str">
        <f t="shared" si="64"/>
        <v/>
      </c>
      <c r="AE237" s="107" t="str">
        <f t="shared" si="64"/>
        <v/>
      </c>
      <c r="AF237" s="107" t="str">
        <f t="shared" si="64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5">IF(B205&lt;100,"",B205-330)</f>
        <v/>
      </c>
      <c r="C238" s="107" t="str">
        <f t="shared" si="65"/>
        <v/>
      </c>
      <c r="D238" s="107" t="str">
        <f t="shared" si="65"/>
        <v/>
      </c>
      <c r="E238" s="107" t="str">
        <f t="shared" si="65"/>
        <v/>
      </c>
      <c r="F238" s="107" t="str">
        <f t="shared" si="65"/>
        <v/>
      </c>
      <c r="G238" s="107" t="str">
        <f t="shared" si="65"/>
        <v/>
      </c>
      <c r="H238" s="107" t="str">
        <f t="shared" si="65"/>
        <v/>
      </c>
      <c r="I238" s="107" t="str">
        <f t="shared" si="65"/>
        <v/>
      </c>
      <c r="J238" s="107" t="str">
        <f t="shared" si="65"/>
        <v/>
      </c>
      <c r="K238" s="107" t="str">
        <f t="shared" si="65"/>
        <v/>
      </c>
      <c r="L238" s="107" t="str">
        <f t="shared" si="65"/>
        <v/>
      </c>
      <c r="M238" s="107" t="str">
        <f t="shared" si="65"/>
        <v/>
      </c>
      <c r="N238" s="107" t="str">
        <f t="shared" si="65"/>
        <v/>
      </c>
      <c r="O238" s="107" t="str">
        <f t="shared" si="65"/>
        <v/>
      </c>
      <c r="P238" s="107" t="str">
        <f t="shared" si="65"/>
        <v/>
      </c>
      <c r="Q238" s="107" t="str">
        <f t="shared" si="65"/>
        <v/>
      </c>
      <c r="R238" s="107" t="str">
        <f t="shared" si="65"/>
        <v/>
      </c>
      <c r="S238" s="107" t="str">
        <f t="shared" si="65"/>
        <v/>
      </c>
      <c r="T238" s="107" t="str">
        <f t="shared" si="65"/>
        <v/>
      </c>
      <c r="U238" s="107" t="str">
        <f t="shared" si="65"/>
        <v/>
      </c>
      <c r="V238" s="107" t="str">
        <f t="shared" si="65"/>
        <v/>
      </c>
      <c r="W238" s="107" t="str">
        <f t="shared" si="65"/>
        <v/>
      </c>
      <c r="X238" s="107" t="str">
        <f t="shared" si="65"/>
        <v/>
      </c>
      <c r="Y238" s="107" t="str">
        <f t="shared" si="65"/>
        <v/>
      </c>
      <c r="Z238" s="107" t="str">
        <f t="shared" si="65"/>
        <v/>
      </c>
      <c r="AA238" s="107" t="str">
        <f t="shared" si="65"/>
        <v/>
      </c>
      <c r="AB238" s="107" t="str">
        <f t="shared" si="65"/>
        <v/>
      </c>
      <c r="AC238" s="107" t="str">
        <f t="shared" si="65"/>
        <v/>
      </c>
      <c r="AD238" s="107" t="str">
        <f t="shared" si="65"/>
        <v/>
      </c>
      <c r="AE238" s="107" t="str">
        <f t="shared" si="65"/>
        <v/>
      </c>
      <c r="AF238" s="107" t="str">
        <f t="shared" si="65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6">IF(C206&lt;100,"",C206-1500)</f>
        <v/>
      </c>
      <c r="D239" s="107" t="str">
        <f t="shared" si="66"/>
        <v/>
      </c>
      <c r="E239" s="107" t="str">
        <f t="shared" si="66"/>
        <v/>
      </c>
      <c r="F239" s="107" t="str">
        <f t="shared" si="66"/>
        <v/>
      </c>
      <c r="G239" s="107" t="str">
        <f t="shared" si="66"/>
        <v/>
      </c>
      <c r="H239" s="107" t="str">
        <f t="shared" si="66"/>
        <v/>
      </c>
      <c r="I239" s="107" t="str">
        <f t="shared" si="66"/>
        <v/>
      </c>
      <c r="J239" s="107" t="str">
        <f t="shared" si="66"/>
        <v/>
      </c>
      <c r="K239" s="107" t="str">
        <f t="shared" si="66"/>
        <v/>
      </c>
      <c r="L239" s="107" t="str">
        <f t="shared" si="66"/>
        <v/>
      </c>
      <c r="M239" s="107" t="str">
        <f t="shared" si="66"/>
        <v/>
      </c>
      <c r="N239" s="107" t="str">
        <f t="shared" si="66"/>
        <v/>
      </c>
      <c r="O239" s="107" t="str">
        <f t="shared" si="66"/>
        <v/>
      </c>
      <c r="P239" s="107" t="str">
        <f t="shared" si="66"/>
        <v/>
      </c>
      <c r="Q239" s="107" t="str">
        <f t="shared" si="66"/>
        <v/>
      </c>
      <c r="R239" s="107" t="str">
        <f t="shared" si="66"/>
        <v/>
      </c>
      <c r="S239" s="107" t="str">
        <f t="shared" si="66"/>
        <v/>
      </c>
      <c r="T239" s="107" t="str">
        <f t="shared" si="66"/>
        <v/>
      </c>
      <c r="U239" s="107" t="str">
        <f t="shared" si="66"/>
        <v/>
      </c>
      <c r="V239" s="107" t="str">
        <f t="shared" si="66"/>
        <v/>
      </c>
      <c r="W239" s="107" t="str">
        <f t="shared" si="66"/>
        <v/>
      </c>
      <c r="X239" s="107" t="str">
        <f t="shared" si="66"/>
        <v/>
      </c>
      <c r="Y239" s="107" t="str">
        <f t="shared" si="66"/>
        <v/>
      </c>
      <c r="Z239" s="107" t="str">
        <f t="shared" si="66"/>
        <v/>
      </c>
      <c r="AA239" s="107" t="str">
        <f t="shared" si="66"/>
        <v/>
      </c>
      <c r="AB239" s="107" t="str">
        <f t="shared" si="66"/>
        <v/>
      </c>
      <c r="AC239" s="107" t="str">
        <f t="shared" si="66"/>
        <v/>
      </c>
      <c r="AD239" s="107" t="str">
        <f t="shared" si="66"/>
        <v/>
      </c>
      <c r="AE239" s="107" t="str">
        <f t="shared" si="66"/>
        <v/>
      </c>
      <c r="AF239" s="107" t="str">
        <f t="shared" si="66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W11:AF11 C94:AF100 J74:AF74">
    <cfRule type="expression" dxfId="3281" priority="207">
      <formula>B$9&gt;=20/24</formula>
    </cfRule>
    <cfRule type="expression" dxfId="3280" priority="208">
      <formula>AND(B$9&gt;=14/24,B$9&lt;20/24)</formula>
    </cfRule>
    <cfRule type="expression" dxfId="3279" priority="209">
      <formula>AND(B$9&gt;=8/24,B$9&lt;14/24)</formula>
    </cfRule>
    <cfRule type="expression" dxfId="3278" priority="210">
      <formula>B$9&lt;8/24</formula>
    </cfRule>
  </conditionalFormatting>
  <conditionalFormatting sqref="AL4:AL6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3277" priority="202">
      <formula>T$9&gt;=20/24</formula>
    </cfRule>
    <cfRule type="expression" dxfId="3276" priority="203">
      <formula>AND(T$9&gt;=14/24,T$9&lt;20/24)</formula>
    </cfRule>
    <cfRule type="expression" dxfId="3275" priority="204">
      <formula>AND(T$9&gt;=8/24,T$9&lt;14/24)</formula>
    </cfRule>
    <cfRule type="expression" dxfId="3274" priority="205">
      <formula>T$9&lt;8/24</formula>
    </cfRule>
  </conditionalFormatting>
  <conditionalFormatting sqref="AG51 M11:AF11 T37:AF37">
    <cfRule type="expression" dxfId="3273" priority="201">
      <formula>M11&gt;$AG11</formula>
    </cfRule>
  </conditionalFormatting>
  <conditionalFormatting sqref="A101:A157 A84:A97 A11:A14 A16:A32 A45:A72 A80:A82 A74:A78 A35:A43 A170:A200">
    <cfRule type="expression" dxfId="3272" priority="200">
      <formula>$AH11=0</formula>
    </cfRule>
  </conditionalFormatting>
  <conditionalFormatting sqref="A98">
    <cfRule type="expression" dxfId="3271" priority="199">
      <formula>$AH98=0</formula>
    </cfRule>
  </conditionalFormatting>
  <conditionalFormatting sqref="AL32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270" priority="197">
      <formula>$AH34=0</formula>
    </cfRule>
  </conditionalFormatting>
  <conditionalFormatting sqref="A83">
    <cfRule type="expression" dxfId="3269" priority="196">
      <formula>$AH83=0</formula>
    </cfRule>
  </conditionalFormatting>
  <conditionalFormatting sqref="A15">
    <cfRule type="expression" dxfId="3268" priority="195">
      <formula>$AH15=0</formula>
    </cfRule>
  </conditionalFormatting>
  <conditionalFormatting sqref="A164:A169">
    <cfRule type="expression" dxfId="3267" priority="194">
      <formula>$AH164=0</formula>
    </cfRule>
  </conditionalFormatting>
  <conditionalFormatting sqref="A158:A163">
    <cfRule type="expression" dxfId="3266" priority="193">
      <formula>$AH158=0</formula>
    </cfRule>
  </conditionalFormatting>
  <conditionalFormatting sqref="A44">
    <cfRule type="expression" dxfId="3265" priority="192">
      <formula>$AH44=0</formula>
    </cfRule>
  </conditionalFormatting>
  <conditionalFormatting sqref="A79">
    <cfRule type="expression" dxfId="3264" priority="191">
      <formula>$AH79=0</formula>
    </cfRule>
  </conditionalFormatting>
  <conditionalFormatting sqref="A73">
    <cfRule type="expression" dxfId="3263" priority="190">
      <formula>$AH73=0</formula>
    </cfRule>
  </conditionalFormatting>
  <conditionalFormatting sqref="AL34:AL35 AL7:AL31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262" priority="186">
      <formula>C$9&gt;=20/24</formula>
    </cfRule>
    <cfRule type="expression" dxfId="3261" priority="187">
      <formula>AND(C$9&gt;=14/24,C$9&lt;20/24)</formula>
    </cfRule>
    <cfRule type="expression" dxfId="3260" priority="188">
      <formula>AND(C$9&gt;=8/24,C$9&lt;14/24)</formula>
    </cfRule>
    <cfRule type="expression" dxfId="3259" priority="189">
      <formula>C$9&lt;8/24</formula>
    </cfRule>
  </conditionalFormatting>
  <conditionalFormatting sqref="AL3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258" priority="214">
      <formula>C$9&gt;=20/24</formula>
    </cfRule>
    <cfRule type="expression" dxfId="3257" priority="215">
      <formula>AND(C$9&gt;=14/24,C$9&lt;20/24)</formula>
    </cfRule>
    <cfRule type="expression" dxfId="3256" priority="216">
      <formula>AND(C$9&gt;=8/24,C$9&lt;14/24)</formula>
    </cfRule>
    <cfRule type="expression" dxfId="3255" priority="217">
      <formula>C$9&lt;8/24</formula>
    </cfRule>
  </conditionalFormatting>
  <conditionalFormatting sqref="A201">
    <cfRule type="expression" dxfId="3254" priority="218">
      <formula>$AH201=0</formula>
    </cfRule>
  </conditionalFormatting>
  <conditionalFormatting sqref="AG213">
    <cfRule type="expression" dxfId="3253" priority="219">
      <formula>B$9&gt;=20/24</formula>
    </cfRule>
    <cfRule type="expression" dxfId="3252" priority="220">
      <formula>AND(B$9&gt;=14/24,B$9&lt;20/24)</formula>
    </cfRule>
    <cfRule type="expression" dxfId="3251" priority="221">
      <formula>AND(B$9&gt;=8/24,B$9&lt;14/24)</formula>
    </cfRule>
    <cfRule type="expression" dxfId="3250" priority="222">
      <formula>B$9&lt;8/24</formula>
    </cfRule>
  </conditionalFormatting>
  <conditionalFormatting sqref="S8">
    <cfRule type="expression" dxfId="3249" priority="180">
      <formula>U$9&gt;=20/24</formula>
    </cfRule>
    <cfRule type="expression" dxfId="3248" priority="181">
      <formula>AND(U$9&gt;=14/24,U$9&lt;20/24)</formula>
    </cfRule>
    <cfRule type="expression" dxfId="3247" priority="182">
      <formula>AND(U$9&gt;=8/24,U$9&lt;14/24)</formula>
    </cfRule>
    <cfRule type="expression" dxfId="3246" priority="183">
      <formula>U$9&lt;8/24</formula>
    </cfRule>
  </conditionalFormatting>
  <conditionalFormatting sqref="AB8">
    <cfRule type="expression" dxfId="3245" priority="176">
      <formula>AD$9&gt;=20/24</formula>
    </cfRule>
    <cfRule type="expression" dxfId="3244" priority="177">
      <formula>AND(AD$9&gt;=14/24,AD$9&lt;20/24)</formula>
    </cfRule>
    <cfRule type="expression" dxfId="3243" priority="178">
      <formula>AND(AD$9&gt;=8/24,AD$9&lt;14/24)</formula>
    </cfRule>
    <cfRule type="expression" dxfId="3242" priority="179">
      <formula>AD$9&lt;8/24</formula>
    </cfRule>
  </conditionalFormatting>
  <conditionalFormatting sqref="AH213:AX213">
    <cfRule type="expression" dxfId="3241" priority="223">
      <formula>AG$9&gt;=20/24</formula>
    </cfRule>
    <cfRule type="expression" dxfId="3240" priority="224">
      <formula>AND(AG$9&gt;=14/24,AG$9&lt;20/24)</formula>
    </cfRule>
    <cfRule type="expression" dxfId="3239" priority="225">
      <formula>AND(AG$9&gt;=8/24,AG$9&lt;14/24)</formula>
    </cfRule>
    <cfRule type="expression" dxfId="3238" priority="226">
      <formula>AG$9&lt;8/24</formula>
    </cfRule>
  </conditionalFormatting>
  <conditionalFormatting sqref="T213">
    <cfRule type="expression" dxfId="3237" priority="227">
      <formula>AX$9&gt;=20/24</formula>
    </cfRule>
    <cfRule type="expression" dxfId="3236" priority="228">
      <formula>AND(AX$9&gt;=14/24,AX$9&lt;20/24)</formula>
    </cfRule>
    <cfRule type="expression" dxfId="3235" priority="229">
      <formula>AND(AX$9&gt;=8/24,AX$9&lt;14/24)</formula>
    </cfRule>
    <cfRule type="expression" dxfId="3234" priority="230">
      <formula>AX$9&lt;8/24</formula>
    </cfRule>
  </conditionalFormatting>
  <conditionalFormatting sqref="A99:A100">
    <cfRule type="expression" dxfId="3233" priority="175">
      <formula>$AH99=0</formula>
    </cfRule>
  </conditionalFormatting>
  <conditionalFormatting sqref="E11:L11 E40:L41 C57:AF57 AB36:AF36 S40:AF41">
    <cfRule type="expression" dxfId="3232" priority="171">
      <formula>C$9&gt;=20/24</formula>
    </cfRule>
    <cfRule type="expression" dxfId="3231" priority="172">
      <formula>AND(C$9&gt;=14/24,C$9&lt;20/24)</formula>
    </cfRule>
    <cfRule type="expression" dxfId="3230" priority="173">
      <formula>AND(C$9&gt;=8/24,C$9&lt;14/24)</formula>
    </cfRule>
    <cfRule type="expression" dxfId="3229" priority="174">
      <formula>C$9&lt;8/24</formula>
    </cfRule>
  </conditionalFormatting>
  <conditionalFormatting sqref="E39:L39 S39:AF39">
    <cfRule type="expression" dxfId="3228" priority="167">
      <formula>E$9&gt;=20/24</formula>
    </cfRule>
    <cfRule type="expression" dxfId="3227" priority="168">
      <formula>AND(E$9&gt;=14/24,E$9&lt;20/24)</formula>
    </cfRule>
    <cfRule type="expression" dxfId="3226" priority="169">
      <formula>AND(E$9&gt;=8/24,E$9&lt;14/24)</formula>
    </cfRule>
    <cfRule type="expression" dxfId="3225" priority="170">
      <formula>E$9&lt;8/24</formula>
    </cfRule>
  </conditionalFormatting>
  <conditionalFormatting sqref="E11:L11 E39:L41 AB36:AF36 S39:AF41">
    <cfRule type="expression" dxfId="3224" priority="166">
      <formula>E11&gt;$AG11</formula>
    </cfRule>
  </conditionalFormatting>
  <conditionalFormatting sqref="M11:O11 C83:AF83 C75:AF81 M58:T59 C58:L61 C68:AF73 E12:O14 M60:O61 E63:O63 C67:O67 P11:R14 P60:T67 C53:AF56 AB28:AF31 AB18:AF22 AB24:AF26 W16:AF16 S12:AF14 U58:AF67 D85:AF91">
    <cfRule type="expression" dxfId="3223" priority="162">
      <formula>C$9&gt;=20/24</formula>
    </cfRule>
    <cfRule type="expression" dxfId="3222" priority="163">
      <formula>AND(C$9&gt;=14/24,C$9&lt;20/24)</formula>
    </cfRule>
    <cfRule type="expression" dxfId="3221" priority="164">
      <formula>AND(C$9&gt;=8/24,C$9&lt;14/24)</formula>
    </cfRule>
    <cfRule type="expression" dxfId="3220" priority="165">
      <formula>C$9&lt;8/24</formula>
    </cfRule>
  </conditionalFormatting>
  <conditionalFormatting sqref="AB32:AF32">
    <cfRule type="expression" dxfId="3219" priority="158">
      <formula>AB$9&gt;=20/24</formula>
    </cfRule>
    <cfRule type="expression" dxfId="3218" priority="159">
      <formula>AND(AB$9&gt;=14/24,AB$9&lt;20/24)</formula>
    </cfRule>
    <cfRule type="expression" dxfId="3217" priority="160">
      <formula>AND(AB$9&gt;=8/24,AB$9&lt;14/24)</formula>
    </cfRule>
    <cfRule type="expression" dxfId="3216" priority="161">
      <formula>AB$9&lt;8/24</formula>
    </cfRule>
  </conditionalFormatting>
  <conditionalFormatting sqref="AB35:AF35">
    <cfRule type="expression" dxfId="3215" priority="154">
      <formula>AB$9&gt;=20/24</formula>
    </cfRule>
    <cfRule type="expression" dxfId="3214" priority="155">
      <formula>AND(AB$9&gt;=14/24,AB$9&lt;20/24)</formula>
    </cfRule>
    <cfRule type="expression" dxfId="3213" priority="156">
      <formula>AND(AB$9&gt;=8/24,AB$9&lt;14/24)</formula>
    </cfRule>
    <cfRule type="expression" dxfId="3212" priority="157">
      <formula>AB$9&lt;8/24</formula>
    </cfRule>
  </conditionalFormatting>
  <conditionalFormatting sqref="M11:O11 C38:AF38 E12:O15 E42:O43 F44:N44 P11:R15 M37:R37 S12:V15 C51:AF56 AB34:AF35 AB18:AF22 AB24:AF32 W12:AF16 AB42:AF43">
    <cfRule type="expression" dxfId="3211" priority="153">
      <formula>C11&gt;$AG11</formula>
    </cfRule>
  </conditionalFormatting>
  <conditionalFormatting sqref="AB34:AF34">
    <cfRule type="expression" dxfId="3210" priority="149">
      <formula>AB$9&gt;=20/24</formula>
    </cfRule>
    <cfRule type="expression" dxfId="3209" priority="150">
      <formula>AND(AB$9&gt;=14/24,AB$9&lt;20/24)</formula>
    </cfRule>
    <cfRule type="expression" dxfId="3208" priority="151">
      <formula>AND(AB$9&gt;=8/24,AB$9&lt;14/24)</formula>
    </cfRule>
    <cfRule type="expression" dxfId="3207" priority="152">
      <formula>AB$9&lt;8/24</formula>
    </cfRule>
  </conditionalFormatting>
  <conditionalFormatting sqref="E15:AF15">
    <cfRule type="expression" dxfId="3206" priority="145">
      <formula>E$9&gt;=20/24</formula>
    </cfRule>
    <cfRule type="expression" dxfId="3205" priority="146">
      <formula>AND(E$9&gt;=14/24,E$9&lt;20/24)</formula>
    </cfRule>
    <cfRule type="expression" dxfId="3204" priority="147">
      <formula>AND(E$9&gt;=8/24,E$9&lt;14/24)</formula>
    </cfRule>
    <cfRule type="expression" dxfId="3203" priority="148">
      <formula>E$9&lt;8/24</formula>
    </cfRule>
  </conditionalFormatting>
  <conditionalFormatting sqref="AB33:AF33">
    <cfRule type="expression" dxfId="3202" priority="141">
      <formula>AB$9&gt;=20/24</formula>
    </cfRule>
    <cfRule type="expression" dxfId="3201" priority="142">
      <formula>AND(AB$9&gt;=14/24,AB$9&lt;20/24)</formula>
    </cfRule>
    <cfRule type="expression" dxfId="3200" priority="143">
      <formula>AND(AB$9&gt;=8/24,AB$9&lt;14/24)</formula>
    </cfRule>
    <cfRule type="expression" dxfId="3199" priority="144">
      <formula>AB$9&lt;8/24</formula>
    </cfRule>
  </conditionalFormatting>
  <conditionalFormatting sqref="AB33:AF33">
    <cfRule type="expression" dxfId="3198" priority="140">
      <formula>AB33&gt;$AG33</formula>
    </cfRule>
  </conditionalFormatting>
  <conditionalFormatting sqref="S11:V11">
    <cfRule type="expression" dxfId="3197" priority="136">
      <formula>S$9&gt;=20/24</formula>
    </cfRule>
    <cfRule type="expression" dxfId="3196" priority="137">
      <formula>AND(S$9&gt;=14/24,S$9&lt;20/24)</formula>
    </cfRule>
    <cfRule type="expression" dxfId="3195" priority="138">
      <formula>AND(S$9&gt;=8/24,S$9&lt;14/24)</formula>
    </cfRule>
    <cfRule type="expression" dxfId="3194" priority="139">
      <formula>S$9&lt;8/24</formula>
    </cfRule>
  </conditionalFormatting>
  <conditionalFormatting sqref="W42:AA43 AB44:AF50">
    <cfRule type="expression" dxfId="3193" priority="132">
      <formula>W$9&gt;=20/24</formula>
    </cfRule>
    <cfRule type="expression" dxfId="3192" priority="133">
      <formula>AND(W$9&gt;=14/24,W$9&lt;20/24)</formula>
    </cfRule>
    <cfRule type="expression" dxfId="3191" priority="134">
      <formula>AND(W$9&gt;=8/24,W$9&lt;14/24)</formula>
    </cfRule>
    <cfRule type="expression" dxfId="3190" priority="135">
      <formula>W$9&lt;8/24</formula>
    </cfRule>
  </conditionalFormatting>
  <conditionalFormatting sqref="W42:AA43 AB44:AF50">
    <cfRule type="expression" dxfId="3189" priority="131">
      <formula>W42&gt;$AG42</formula>
    </cfRule>
  </conditionalFormatting>
  <conditionalFormatting sqref="P42:Q43 M39:R41 P45:Q50 O44:Q44 R42:V50 W44:AA50">
    <cfRule type="expression" dxfId="3188" priority="127">
      <formula>M$9&gt;=20/24</formula>
    </cfRule>
    <cfRule type="expression" dxfId="3187" priority="128">
      <formula>AND(M$9&gt;=14/24,M$9&lt;20/24)</formula>
    </cfRule>
    <cfRule type="expression" dxfId="3186" priority="129">
      <formula>AND(M$9&gt;=8/24,M$9&lt;14/24)</formula>
    </cfRule>
    <cfRule type="expression" dxfId="3185" priority="130">
      <formula>M$9&lt;8/24</formula>
    </cfRule>
  </conditionalFormatting>
  <conditionalFormatting sqref="P42:Q43 M39:R41 P45:Q50 O44:Q44 R42:V50 W44:AA50">
    <cfRule type="expression" dxfId="3184" priority="126">
      <formula>M39&gt;$AG39</formula>
    </cfRule>
  </conditionalFormatting>
  <conditionalFormatting sqref="AB27:AF27">
    <cfRule type="expression" dxfId="3183" priority="122">
      <formula>AB$9&gt;=20/24</formula>
    </cfRule>
    <cfRule type="expression" dxfId="3182" priority="123">
      <formula>AND(AB$9&gt;=14/24,AB$9&lt;20/24)</formula>
    </cfRule>
    <cfRule type="expression" dxfId="3181" priority="124">
      <formula>AND(AB$9&gt;=8/24,AB$9&lt;14/24)</formula>
    </cfRule>
    <cfRule type="expression" dxfId="3180" priority="125">
      <formula>AB$9&lt;8/24</formula>
    </cfRule>
  </conditionalFormatting>
  <conditionalFormatting sqref="C11:D14 C74:I74 E16:V17 AB23:AF23 W17:AF17">
    <cfRule type="expression" dxfId="3179" priority="118">
      <formula>C$9&gt;=20/24</formula>
    </cfRule>
    <cfRule type="expression" dxfId="3178" priority="119">
      <formula>AND(C$9&gt;=14/24,C$9&lt;20/24)</formula>
    </cfRule>
    <cfRule type="expression" dxfId="3177" priority="120">
      <formula>AND(C$9&gt;=8/24,C$9&lt;14/24)</formula>
    </cfRule>
    <cfRule type="expression" dxfId="3176" priority="121">
      <formula>C$9&lt;8/24</formula>
    </cfRule>
  </conditionalFormatting>
  <conditionalFormatting sqref="C11:D15 E16:V17 AB23:AF23 W17:AF17">
    <cfRule type="expression" dxfId="3175" priority="109">
      <formula>C11&gt;$AG11</formula>
    </cfRule>
  </conditionalFormatting>
  <conditionalFormatting sqref="C15:D15">
    <cfRule type="expression" dxfId="3174" priority="101">
      <formula>C$9&gt;=20/24</formula>
    </cfRule>
    <cfRule type="expression" dxfId="3173" priority="102">
      <formula>AND(C$9&gt;=14/24,C$9&lt;20/24)</formula>
    </cfRule>
    <cfRule type="expression" dxfId="3172" priority="103">
      <formula>AND(C$9&gt;=8/24,C$9&lt;14/24)</formula>
    </cfRule>
    <cfRule type="expression" dxfId="3171" priority="104">
      <formula>C$9&lt;8/24</formula>
    </cfRule>
  </conditionalFormatting>
  <conditionalFormatting sqref="C40:D41">
    <cfRule type="expression" dxfId="3170" priority="92">
      <formula>C$9&gt;=20/24</formula>
    </cfRule>
    <cfRule type="expression" dxfId="3169" priority="93">
      <formula>AND(C$9&gt;=14/24,C$9&lt;20/24)</formula>
    </cfRule>
    <cfRule type="expression" dxfId="3168" priority="94">
      <formula>AND(C$9&gt;=8/24,C$9&lt;14/24)</formula>
    </cfRule>
    <cfRule type="expression" dxfId="3167" priority="95">
      <formula>C$9&lt;8/24</formula>
    </cfRule>
  </conditionalFormatting>
  <conditionalFormatting sqref="C39:D39">
    <cfRule type="expression" dxfId="3166" priority="88">
      <formula>C$9&gt;=20/24</formula>
    </cfRule>
    <cfRule type="expression" dxfId="3165" priority="89">
      <formula>AND(C$9&gt;=14/24,C$9&lt;20/24)</formula>
    </cfRule>
    <cfRule type="expression" dxfId="3164" priority="90">
      <formula>AND(C$9&gt;=8/24,C$9&lt;14/24)</formula>
    </cfRule>
    <cfRule type="expression" dxfId="3163" priority="91">
      <formula>C$9&lt;8/24</formula>
    </cfRule>
  </conditionalFormatting>
  <conditionalFormatting sqref="C39:D41">
    <cfRule type="expression" dxfId="3162" priority="87">
      <formula>C39&gt;$AG39</formula>
    </cfRule>
  </conditionalFormatting>
  <conditionalFormatting sqref="E64:O66">
    <cfRule type="expression" dxfId="3161" priority="83">
      <formula>E$9&gt;=20/24</formula>
    </cfRule>
    <cfRule type="expression" dxfId="3160" priority="84">
      <formula>AND(E$9&gt;=14/24,E$9&lt;20/24)</formula>
    </cfRule>
    <cfRule type="expression" dxfId="3159" priority="85">
      <formula>AND(E$9&gt;=8/24,E$9&lt;14/24)</formula>
    </cfRule>
    <cfRule type="expression" dxfId="3158" priority="86">
      <formula>E$9&lt;8/24</formula>
    </cfRule>
  </conditionalFormatting>
  <conditionalFormatting sqref="C42:D43">
    <cfRule type="expression" dxfId="3157" priority="82">
      <formula>C42&gt;$AG42</formula>
    </cfRule>
  </conditionalFormatting>
  <conditionalFormatting sqref="C44:E44 D45:O49">
    <cfRule type="expression" dxfId="3156" priority="78">
      <formula>C$9&gt;=20/24</formula>
    </cfRule>
    <cfRule type="expression" dxfId="3155" priority="79">
      <formula>AND(C$9&gt;=14/24,C$9&lt;20/24)</formula>
    </cfRule>
    <cfRule type="expression" dxfId="3154" priority="80">
      <formula>AND(C$9&gt;=8/24,C$9&lt;14/24)</formula>
    </cfRule>
    <cfRule type="expression" dxfId="3153" priority="81">
      <formula>C$9&lt;8/24</formula>
    </cfRule>
  </conditionalFormatting>
  <conditionalFormatting sqref="C44:E44 D45:O49">
    <cfRule type="expression" dxfId="3152" priority="77">
      <formula>C44&gt;$AG44</formula>
    </cfRule>
  </conditionalFormatting>
  <conditionalFormatting sqref="B82 B74 B94:B100 B11">
    <cfRule type="expression" dxfId="3151" priority="64">
      <formula>B$9&gt;=20/24</formula>
    </cfRule>
    <cfRule type="expression" dxfId="3150" priority="65">
      <formula>AND(B$9&gt;=14/24,B$9&lt;20/24)</formula>
    </cfRule>
    <cfRule type="expression" dxfId="3149" priority="66">
      <formula>AND(B$9&gt;=8/24,B$9&lt;14/24)</formula>
    </cfRule>
    <cfRule type="expression" dxfId="3148" priority="67">
      <formula>B$9&lt;8/24</formula>
    </cfRule>
  </conditionalFormatting>
  <conditionalFormatting sqref="B37:L37">
    <cfRule type="expression" dxfId="3147" priority="60">
      <formula>B$9&gt;=20/24</formula>
    </cfRule>
    <cfRule type="expression" dxfId="3146" priority="61">
      <formula>AND(B$9&gt;=14/24,B$9&lt;20/24)</formula>
    </cfRule>
    <cfRule type="expression" dxfId="3145" priority="62">
      <formula>AND(B$9&gt;=8/24,B$9&lt;14/24)</formula>
    </cfRule>
    <cfRule type="expression" dxfId="3144" priority="63">
      <formula>B$9&lt;8/24</formula>
    </cfRule>
  </conditionalFormatting>
  <conditionalFormatting sqref="B11 B37:L37">
    <cfRule type="expression" dxfId="3143" priority="59">
      <formula>B11&gt;$AG11</formula>
    </cfRule>
  </conditionalFormatting>
  <conditionalFormatting sqref="B84">
    <cfRule type="expression" dxfId="3142" priority="55">
      <formula>B$9&gt;=20/24</formula>
    </cfRule>
    <cfRule type="expression" dxfId="3141" priority="56">
      <formula>AND(B$9&gt;=14/24,B$9&lt;20/24)</formula>
    </cfRule>
    <cfRule type="expression" dxfId="3140" priority="57">
      <formula>AND(B$9&gt;=8/24,B$9&lt;14/24)</formula>
    </cfRule>
    <cfRule type="expression" dxfId="3139" priority="58">
      <formula>B$9&lt;8/24</formula>
    </cfRule>
  </conditionalFormatting>
  <conditionalFormatting sqref="B40:B41 B57 B36:AA36">
    <cfRule type="expression" dxfId="3138" priority="51">
      <formula>B$9&gt;=20/24</formula>
    </cfRule>
    <cfRule type="expression" dxfId="3137" priority="52">
      <formula>AND(B$9&gt;=14/24,B$9&lt;20/24)</formula>
    </cfRule>
    <cfRule type="expression" dxfId="3136" priority="53">
      <formula>AND(B$9&gt;=8/24,B$9&lt;14/24)</formula>
    </cfRule>
    <cfRule type="expression" dxfId="3135" priority="54">
      <formula>B$9&lt;8/24</formula>
    </cfRule>
  </conditionalFormatting>
  <conditionalFormatting sqref="B39">
    <cfRule type="expression" dxfId="3134" priority="47">
      <formula>B$9&gt;=20/24</formula>
    </cfRule>
    <cfRule type="expression" dxfId="3133" priority="48">
      <formula>AND(B$9&gt;=14/24,B$9&lt;20/24)</formula>
    </cfRule>
    <cfRule type="expression" dxfId="3132" priority="49">
      <formula>AND(B$9&gt;=8/24,B$9&lt;14/24)</formula>
    </cfRule>
    <cfRule type="expression" dxfId="3131" priority="50">
      <formula>B$9&lt;8/24</formula>
    </cfRule>
  </conditionalFormatting>
  <conditionalFormatting sqref="B39:B41 B36:AA36">
    <cfRule type="expression" dxfId="3130" priority="46">
      <formula>B36&gt;$AG36</formula>
    </cfRule>
  </conditionalFormatting>
  <conditionalFormatting sqref="B83 B75:B81 B12:B14 B53:B56 B58:B73 B85:C91 B16:D16 C63:D66 C62:O62 B28:AA31 B18:AA22 B24:AA26">
    <cfRule type="expression" dxfId="3129" priority="42">
      <formula>B$9&gt;=20/24</formula>
    </cfRule>
    <cfRule type="expression" dxfId="3128" priority="43">
      <formula>AND(B$9&gt;=14/24,B$9&lt;20/24)</formula>
    </cfRule>
    <cfRule type="expression" dxfId="3127" priority="44">
      <formula>AND(B$9&gt;=8/24,B$9&lt;14/24)</formula>
    </cfRule>
    <cfRule type="expression" dxfId="3126" priority="45">
      <formula>B$9&lt;8/24</formula>
    </cfRule>
  </conditionalFormatting>
  <conditionalFormatting sqref="B32:AA32">
    <cfRule type="expression" dxfId="3125" priority="38">
      <formula>B$9&gt;=20/24</formula>
    </cfRule>
    <cfRule type="expression" dxfId="3124" priority="39">
      <formula>AND(B$9&gt;=14/24,B$9&lt;20/24)</formula>
    </cfRule>
    <cfRule type="expression" dxfId="3123" priority="40">
      <formula>AND(B$9&gt;=8/24,B$9&lt;14/24)</formula>
    </cfRule>
    <cfRule type="expression" dxfId="3122" priority="41">
      <formula>B$9&lt;8/24</formula>
    </cfRule>
  </conditionalFormatting>
  <conditionalFormatting sqref="B35:AA35">
    <cfRule type="expression" dxfId="3121" priority="34">
      <formula>B$9&gt;=20/24</formula>
    </cfRule>
    <cfRule type="expression" dxfId="3120" priority="35">
      <formula>AND(B$9&gt;=14/24,B$9&lt;20/24)</formula>
    </cfRule>
    <cfRule type="expression" dxfId="3119" priority="36">
      <formula>AND(B$9&gt;=8/24,B$9&lt;14/24)</formula>
    </cfRule>
    <cfRule type="expression" dxfId="3118" priority="37">
      <formula>B$9&lt;8/24</formula>
    </cfRule>
  </conditionalFormatting>
  <conditionalFormatting sqref="B38 B42:B43 B12:B16 B51:B56 C16:D16 B34:AA35 B18:AA22 B24:AA32">
    <cfRule type="expression" dxfId="3117" priority="33">
      <formula>B12&gt;$AG12</formula>
    </cfRule>
  </conditionalFormatting>
  <conditionalFormatting sqref="B34:AA34">
    <cfRule type="expression" dxfId="3116" priority="29">
      <formula>B$9&gt;=20/24</formula>
    </cfRule>
    <cfRule type="expression" dxfId="3115" priority="30">
      <formula>AND(B$9&gt;=14/24,B$9&lt;20/24)</formula>
    </cfRule>
    <cfRule type="expression" dxfId="3114" priority="31">
      <formula>AND(B$9&gt;=8/24,B$9&lt;14/24)</formula>
    </cfRule>
    <cfRule type="expression" dxfId="3113" priority="32">
      <formula>B$9&lt;8/24</formula>
    </cfRule>
  </conditionalFormatting>
  <conditionalFormatting sqref="B15">
    <cfRule type="expression" dxfId="3112" priority="25">
      <formula>B$9&gt;=20/24</formula>
    </cfRule>
    <cfRule type="expression" dxfId="3111" priority="26">
      <formula>AND(B$9&gt;=14/24,B$9&lt;20/24)</formula>
    </cfRule>
    <cfRule type="expression" dxfId="3110" priority="27">
      <formula>AND(B$9&gt;=8/24,B$9&lt;14/24)</formula>
    </cfRule>
    <cfRule type="expression" dxfId="3109" priority="28">
      <formula>B$9&lt;8/24</formula>
    </cfRule>
  </conditionalFormatting>
  <conditionalFormatting sqref="B33:AA33">
    <cfRule type="expression" dxfId="3108" priority="21">
      <formula>B$9&gt;=20/24</formula>
    </cfRule>
    <cfRule type="expression" dxfId="3107" priority="22">
      <formula>AND(B$9&gt;=14/24,B$9&lt;20/24)</formula>
    </cfRule>
    <cfRule type="expression" dxfId="3106" priority="23">
      <formula>AND(B$9&gt;=8/24,B$9&lt;14/24)</formula>
    </cfRule>
    <cfRule type="expression" dxfId="3105" priority="24">
      <formula>B$9&lt;8/24</formula>
    </cfRule>
  </conditionalFormatting>
  <conditionalFormatting sqref="B33:AA33">
    <cfRule type="expression" dxfId="3104" priority="20">
      <formula>B33&gt;$AG33</formula>
    </cfRule>
  </conditionalFormatting>
  <conditionalFormatting sqref="B44:B50 C45:C49 C50:O50">
    <cfRule type="expression" dxfId="3103" priority="16">
      <formula>B$9&gt;=20/24</formula>
    </cfRule>
    <cfRule type="expression" dxfId="3102" priority="17">
      <formula>AND(B$9&gt;=14/24,B$9&lt;20/24)</formula>
    </cfRule>
    <cfRule type="expression" dxfId="3101" priority="18">
      <formula>AND(B$9&gt;=8/24,B$9&lt;14/24)</formula>
    </cfRule>
    <cfRule type="expression" dxfId="3100" priority="19">
      <formula>B$9&lt;8/24</formula>
    </cfRule>
  </conditionalFormatting>
  <conditionalFormatting sqref="B44:B50 C45:C49 C50:O50">
    <cfRule type="expression" dxfId="3099" priority="15">
      <formula>B44&gt;$AG44</formula>
    </cfRule>
  </conditionalFormatting>
  <conditionalFormatting sqref="B27:AA27">
    <cfRule type="expression" dxfId="3098" priority="11">
      <formula>B$9&gt;=20/24</formula>
    </cfRule>
    <cfRule type="expression" dxfId="3097" priority="12">
      <formula>AND(B$9&gt;=14/24,B$9&lt;20/24)</formula>
    </cfRule>
    <cfRule type="expression" dxfId="3096" priority="13">
      <formula>AND(B$9&gt;=8/24,B$9&lt;14/24)</formula>
    </cfRule>
    <cfRule type="expression" dxfId="3095" priority="14">
      <formula>B$9&lt;8/24</formula>
    </cfRule>
  </conditionalFormatting>
  <conditionalFormatting sqref="B17:D17 B23:AA23">
    <cfRule type="expression" dxfId="3094" priority="7">
      <formula>B$9&gt;=20/24</formula>
    </cfRule>
    <cfRule type="expression" dxfId="3093" priority="8">
      <formula>AND(B$9&gt;=14/24,B$9&lt;20/24)</formula>
    </cfRule>
    <cfRule type="expression" dxfId="3092" priority="9">
      <formula>AND(B$9&gt;=8/24,B$9&lt;14/24)</formula>
    </cfRule>
    <cfRule type="expression" dxfId="3091" priority="10">
      <formula>B$9&lt;8/24</formula>
    </cfRule>
  </conditionalFormatting>
  <conditionalFormatting sqref="B17:D17 B23:AA23">
    <cfRule type="expression" dxfId="3090" priority="6">
      <formula>B17&gt;$AG17</formula>
    </cfRule>
  </conditionalFormatting>
  <conditionalFormatting sqref="S37">
    <cfRule type="expression" dxfId="3089" priority="2">
      <formula>S$9&gt;=20/24</formula>
    </cfRule>
    <cfRule type="expression" dxfId="3088" priority="3">
      <formula>AND(S$9&gt;=14/24,S$9&lt;20/24)</formula>
    </cfRule>
    <cfRule type="expression" dxfId="3087" priority="4">
      <formula>AND(S$9&gt;=8/24,S$9&lt;14/24)</formula>
    </cfRule>
    <cfRule type="expression" dxfId="3086" priority="5">
      <formula>S$9&lt;8/24</formula>
    </cfRule>
  </conditionalFormatting>
  <conditionalFormatting sqref="S37">
    <cfRule type="expression" dxfId="3085" priority="1">
      <formula>S37&gt;$AG37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5" id="{401BD201-F5AA-40FB-AC1D-A68EC17F015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F9" sqref="AF9:AF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2" width="6.85546875" customWidth="1"/>
    <col min="23" max="23" width="7.140625" customWidth="1"/>
    <col min="24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2079/02/16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114</v>
      </c>
      <c r="C5" s="32">
        <f t="shared" si="0"/>
        <v>131.6</v>
      </c>
      <c r="D5" s="32">
        <f t="shared" si="0"/>
        <v>121</v>
      </c>
      <c r="E5" s="32">
        <f t="shared" si="0"/>
        <v>122</v>
      </c>
      <c r="F5" s="32">
        <f t="shared" si="0"/>
        <v>126</v>
      </c>
      <c r="G5" s="32">
        <f t="shared" si="0"/>
        <v>117</v>
      </c>
      <c r="H5" s="32">
        <f t="shared" si="0"/>
        <v>178</v>
      </c>
      <c r="I5" s="32">
        <f t="shared" si="0"/>
        <v>191</v>
      </c>
      <c r="J5" s="32">
        <f t="shared" si="0"/>
        <v>205</v>
      </c>
      <c r="K5" s="32">
        <f t="shared" si="0"/>
        <v>272</v>
      </c>
      <c r="L5" s="32">
        <f t="shared" si="0"/>
        <v>276.8</v>
      </c>
      <c r="M5" s="32">
        <f t="shared" si="0"/>
        <v>280</v>
      </c>
      <c r="N5" s="32">
        <f t="shared" si="0"/>
        <v>198</v>
      </c>
      <c r="O5" s="32">
        <f t="shared" si="0"/>
        <v>183</v>
      </c>
      <c r="P5" s="32">
        <f t="shared" si="0"/>
        <v>183</v>
      </c>
      <c r="Q5" s="32">
        <f t="shared" si="0"/>
        <v>271</v>
      </c>
      <c r="R5" s="32">
        <f t="shared" si="0"/>
        <v>211.7</v>
      </c>
      <c r="S5" s="32">
        <f t="shared" si="0"/>
        <v>129.1</v>
      </c>
      <c r="T5" s="32">
        <f t="shared" si="0"/>
        <v>205.60000000000002</v>
      </c>
      <c r="U5" s="32">
        <f t="shared" si="0"/>
        <v>205.9</v>
      </c>
      <c r="V5" s="32">
        <f t="shared" si="0"/>
        <v>162</v>
      </c>
      <c r="W5" s="32">
        <f t="shared" si="0"/>
        <v>134.39999999999998</v>
      </c>
      <c r="X5" s="32">
        <f t="shared" si="0"/>
        <v>169</v>
      </c>
      <c r="Y5" s="32">
        <f t="shared" si="0"/>
        <v>153</v>
      </c>
      <c r="Z5" s="32">
        <f t="shared" si="0"/>
        <v>128.69999999999999</v>
      </c>
      <c r="AA5" s="32">
        <f t="shared" si="0"/>
        <v>173</v>
      </c>
      <c r="AB5" s="32">
        <f t="shared" si="0"/>
        <v>124.8</v>
      </c>
      <c r="AC5" s="32">
        <f t="shared" si="0"/>
        <v>105</v>
      </c>
      <c r="AD5" s="32">
        <f t="shared" si="0"/>
        <v>94.600000000000009</v>
      </c>
      <c r="AE5" s="32">
        <f t="shared" si="0"/>
        <v>100.9</v>
      </c>
      <c r="AF5" s="32">
        <f>B68</f>
        <v>98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1348MW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Load=1165</v>
      </c>
      <c r="B7" s="37">
        <f>B75</f>
        <v>1305.1400000000001</v>
      </c>
      <c r="C7" s="37">
        <f t="shared" ref="C7:AF7" si="1">C75</f>
        <v>1272.1400000000001</v>
      </c>
      <c r="D7" s="37">
        <f t="shared" si="1"/>
        <v>1239.7400000000002</v>
      </c>
      <c r="E7" s="37">
        <f t="shared" si="1"/>
        <v>1219.1399999999999</v>
      </c>
      <c r="F7" s="37">
        <f t="shared" si="1"/>
        <v>1177.1399999999999</v>
      </c>
      <c r="G7" s="37">
        <f t="shared" si="1"/>
        <v>1165.1399999999999</v>
      </c>
      <c r="H7" s="37">
        <f t="shared" si="1"/>
        <v>1179.1399999999999</v>
      </c>
      <c r="I7" s="37">
        <f t="shared" si="1"/>
        <v>1205.1400000000001</v>
      </c>
      <c r="J7" s="37">
        <f t="shared" si="1"/>
        <v>1228.1400000000001</v>
      </c>
      <c r="K7" s="37">
        <f t="shared" si="1"/>
        <v>1258.8400000000001</v>
      </c>
      <c r="L7" s="37">
        <f t="shared" si="1"/>
        <v>1283.8400000000001</v>
      </c>
      <c r="M7" s="37">
        <f t="shared" si="1"/>
        <v>1286.54</v>
      </c>
      <c r="N7" s="37">
        <f t="shared" si="1"/>
        <v>1348.1399999999999</v>
      </c>
      <c r="O7" s="37">
        <f t="shared" si="1"/>
        <v>1352.54</v>
      </c>
      <c r="P7" s="37">
        <f t="shared" si="1"/>
        <v>1397.54</v>
      </c>
      <c r="Q7" s="37">
        <f t="shared" si="1"/>
        <v>1389.54</v>
      </c>
      <c r="R7" s="37">
        <f t="shared" si="1"/>
        <v>1439.14</v>
      </c>
      <c r="S7" s="37">
        <f t="shared" si="1"/>
        <v>1422.1399999999999</v>
      </c>
      <c r="T7" s="37">
        <f t="shared" si="1"/>
        <v>1425.1399999999999</v>
      </c>
      <c r="U7" s="37">
        <f t="shared" si="1"/>
        <v>1456.44</v>
      </c>
      <c r="V7" s="37">
        <f t="shared" si="1"/>
        <v>1426.74</v>
      </c>
      <c r="W7" s="37">
        <f t="shared" si="1"/>
        <v>1361.8400000000001</v>
      </c>
      <c r="X7" s="37">
        <f t="shared" si="1"/>
        <v>1346.8400000000001</v>
      </c>
      <c r="Y7" s="37">
        <f t="shared" si="1"/>
        <v>1357.74</v>
      </c>
      <c r="Z7" s="37">
        <f t="shared" si="1"/>
        <v>1411.6399999999999</v>
      </c>
      <c r="AA7" s="37">
        <f t="shared" si="1"/>
        <v>1526.94</v>
      </c>
      <c r="AB7" s="37">
        <f t="shared" si="1"/>
        <v>1592.3400000000001</v>
      </c>
      <c r="AC7" s="37">
        <f t="shared" si="1"/>
        <v>1564.24</v>
      </c>
      <c r="AD7" s="37">
        <f t="shared" si="1"/>
        <v>1554.8400000000001</v>
      </c>
      <c r="AE7" s="37">
        <f t="shared" si="1"/>
        <v>1469.6399999999999</v>
      </c>
      <c r="AF7" s="37">
        <f t="shared" si="1"/>
        <v>1415.3400000000001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210</v>
      </c>
      <c r="C11" s="50">
        <v>200</v>
      </c>
      <c r="D11" s="50">
        <v>150</v>
      </c>
      <c r="E11" s="51">
        <v>140</v>
      </c>
      <c r="F11" s="51">
        <v>95</v>
      </c>
      <c r="G11" s="51">
        <v>75</v>
      </c>
      <c r="H11" s="51">
        <v>95</v>
      </c>
      <c r="I11" s="51">
        <v>60</v>
      </c>
      <c r="J11" s="52">
        <v>65</v>
      </c>
      <c r="K11" s="52">
        <v>75</v>
      </c>
      <c r="L11" s="52">
        <v>30</v>
      </c>
      <c r="M11" s="51">
        <v>35</v>
      </c>
      <c r="N11" s="51">
        <v>75</v>
      </c>
      <c r="O11" s="51">
        <v>150</v>
      </c>
      <c r="P11" s="51">
        <v>220</v>
      </c>
      <c r="Q11" s="51">
        <v>220</v>
      </c>
      <c r="R11" s="51">
        <v>170</v>
      </c>
      <c r="S11" s="51">
        <v>202</v>
      </c>
      <c r="T11" s="51">
        <v>260</v>
      </c>
      <c r="U11" s="49">
        <v>220</v>
      </c>
      <c r="V11" s="49">
        <v>190</v>
      </c>
      <c r="W11" s="49">
        <v>205</v>
      </c>
      <c r="X11" s="49">
        <v>215</v>
      </c>
      <c r="Y11" s="49">
        <v>215</v>
      </c>
      <c r="Z11" s="49">
        <v>240</v>
      </c>
      <c r="AA11" s="49">
        <v>300</v>
      </c>
      <c r="AB11" s="49">
        <v>280</v>
      </c>
      <c r="AC11" s="49">
        <v>350</v>
      </c>
      <c r="AD11" s="49">
        <v>382</v>
      </c>
      <c r="AE11" s="49">
        <v>330</v>
      </c>
      <c r="AF11" s="49">
        <v>270</v>
      </c>
      <c r="AG11" s="53">
        <v>456</v>
      </c>
      <c r="AH11" s="54">
        <f>MAX(B11:AF11)</f>
        <v>382</v>
      </c>
      <c r="AI11" s="55">
        <f>MIN(B11:AF11)</f>
        <v>30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43</v>
      </c>
      <c r="C12" s="51">
        <v>43</v>
      </c>
      <c r="D12" s="51">
        <v>43</v>
      </c>
      <c r="E12" s="51">
        <v>43</v>
      </c>
      <c r="F12" s="51">
        <v>43</v>
      </c>
      <c r="G12" s="51">
        <v>43</v>
      </c>
      <c r="H12" s="51">
        <v>43</v>
      </c>
      <c r="I12" s="51">
        <v>43</v>
      </c>
      <c r="J12" s="51">
        <v>43</v>
      </c>
      <c r="K12" s="51">
        <v>43</v>
      </c>
      <c r="L12" s="51">
        <v>43</v>
      </c>
      <c r="M12" s="51">
        <v>43</v>
      </c>
      <c r="N12" s="51">
        <v>43</v>
      </c>
      <c r="O12" s="51">
        <v>43</v>
      </c>
      <c r="P12" s="51">
        <v>43</v>
      </c>
      <c r="Q12" s="51">
        <v>43</v>
      </c>
      <c r="R12" s="51">
        <v>43</v>
      </c>
      <c r="S12" s="51">
        <v>43</v>
      </c>
      <c r="T12" s="51">
        <v>43</v>
      </c>
      <c r="U12" s="51">
        <v>43</v>
      </c>
      <c r="V12" s="51">
        <v>43</v>
      </c>
      <c r="W12" s="51">
        <v>43</v>
      </c>
      <c r="X12" s="51">
        <v>43</v>
      </c>
      <c r="Y12" s="51">
        <v>43</v>
      </c>
      <c r="Z12" s="51">
        <v>43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43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19.2</v>
      </c>
      <c r="C13" s="51">
        <v>19.2</v>
      </c>
      <c r="D13" s="51">
        <v>19.2</v>
      </c>
      <c r="E13" s="51">
        <v>19.2</v>
      </c>
      <c r="F13" s="51">
        <v>19.2</v>
      </c>
      <c r="G13" s="51">
        <v>19.2</v>
      </c>
      <c r="H13" s="51">
        <v>19.2</v>
      </c>
      <c r="I13" s="51">
        <v>19.2</v>
      </c>
      <c r="J13" s="51">
        <v>19.2</v>
      </c>
      <c r="K13" s="51">
        <v>19.2</v>
      </c>
      <c r="L13" s="51">
        <v>19.2</v>
      </c>
      <c r="M13" s="51">
        <v>20.7</v>
      </c>
      <c r="N13" s="51">
        <v>20.7</v>
      </c>
      <c r="O13" s="51">
        <v>20.7</v>
      </c>
      <c r="P13" s="51">
        <v>20.7</v>
      </c>
      <c r="Q13" s="51">
        <v>20.7</v>
      </c>
      <c r="R13" s="51">
        <v>20.7</v>
      </c>
      <c r="S13" s="51">
        <v>20.7</v>
      </c>
      <c r="T13" s="51">
        <v>20.7</v>
      </c>
      <c r="U13" s="51">
        <v>21.5</v>
      </c>
      <c r="V13" s="51">
        <v>21.5</v>
      </c>
      <c r="W13" s="51">
        <v>21.5</v>
      </c>
      <c r="X13" s="51">
        <v>21.5</v>
      </c>
      <c r="Y13" s="51">
        <v>21.5</v>
      </c>
      <c r="Z13" s="51">
        <v>21.5</v>
      </c>
      <c r="AA13" s="51">
        <v>21.5</v>
      </c>
      <c r="AB13" s="51">
        <v>21.5</v>
      </c>
      <c r="AC13" s="51">
        <v>21.5</v>
      </c>
      <c r="AD13" s="51">
        <v>21.5</v>
      </c>
      <c r="AE13" s="51">
        <v>24.9</v>
      </c>
      <c r="AF13" s="51">
        <v>25.2</v>
      </c>
      <c r="AG13" s="58">
        <v>52.4</v>
      </c>
      <c r="AH13" s="54">
        <f t="shared" si="2"/>
        <v>25.2</v>
      </c>
      <c r="AI13" s="55">
        <f t="shared" si="3"/>
        <v>19.2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50.6</v>
      </c>
      <c r="C14" s="51">
        <v>50.6</v>
      </c>
      <c r="D14" s="51">
        <v>50.6</v>
      </c>
      <c r="E14" s="51">
        <v>50.6</v>
      </c>
      <c r="F14" s="51">
        <v>50.6</v>
      </c>
      <c r="G14" s="51">
        <v>50.6</v>
      </c>
      <c r="H14" s="51">
        <v>50.6</v>
      </c>
      <c r="I14" s="51">
        <v>50.6</v>
      </c>
      <c r="J14" s="51">
        <v>50.6</v>
      </c>
      <c r="K14" s="51">
        <v>50.6</v>
      </c>
      <c r="L14" s="51">
        <v>50.6</v>
      </c>
      <c r="M14" s="51">
        <v>50.6</v>
      </c>
      <c r="N14" s="51">
        <v>50.6</v>
      </c>
      <c r="O14" s="51">
        <v>50.6</v>
      </c>
      <c r="P14" s="51">
        <v>50.6</v>
      </c>
      <c r="Q14" s="51">
        <v>50.6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50.6</v>
      </c>
      <c r="AG14" s="58">
        <v>50</v>
      </c>
      <c r="AH14" s="54">
        <f t="shared" si="2"/>
        <v>50.6</v>
      </c>
      <c r="AI14" s="55">
        <f t="shared" si="3"/>
        <v>50.6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41</v>
      </c>
      <c r="C15" s="51">
        <v>41</v>
      </c>
      <c r="D15" s="51">
        <v>41</v>
      </c>
      <c r="E15" s="51">
        <v>41</v>
      </c>
      <c r="F15" s="51">
        <v>41</v>
      </c>
      <c r="G15" s="51">
        <v>41</v>
      </c>
      <c r="H15" s="51">
        <v>41</v>
      </c>
      <c r="I15" s="51">
        <v>41</v>
      </c>
      <c r="J15" s="51">
        <v>41</v>
      </c>
      <c r="K15" s="51">
        <v>41</v>
      </c>
      <c r="L15" s="51">
        <v>41</v>
      </c>
      <c r="M15" s="51">
        <v>41</v>
      </c>
      <c r="N15" s="51">
        <v>41</v>
      </c>
      <c r="O15" s="51">
        <v>41</v>
      </c>
      <c r="P15" s="51">
        <v>41</v>
      </c>
      <c r="Q15" s="51">
        <v>41</v>
      </c>
      <c r="R15" s="51">
        <v>41</v>
      </c>
      <c r="S15" s="51">
        <v>41</v>
      </c>
      <c r="T15" s="51">
        <v>41</v>
      </c>
      <c r="U15" s="51">
        <v>41</v>
      </c>
      <c r="V15" s="51">
        <v>41</v>
      </c>
      <c r="W15" s="51">
        <v>41</v>
      </c>
      <c r="X15" s="51">
        <v>41</v>
      </c>
      <c r="Y15" s="51">
        <v>41</v>
      </c>
      <c r="Z15" s="51">
        <v>41</v>
      </c>
      <c r="AA15" s="51">
        <v>41</v>
      </c>
      <c r="AB15" s="51">
        <v>41</v>
      </c>
      <c r="AC15" s="51">
        <v>41</v>
      </c>
      <c r="AD15" s="51">
        <v>41</v>
      </c>
      <c r="AE15" s="51">
        <v>39.9</v>
      </c>
      <c r="AF15" s="51">
        <v>41.6</v>
      </c>
      <c r="AG15" s="59">
        <v>45</v>
      </c>
      <c r="AH15" s="54">
        <f t="shared" si="2"/>
        <v>41.6</v>
      </c>
      <c r="AI15" s="55">
        <f t="shared" si="3"/>
        <v>39.9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38</v>
      </c>
      <c r="C16" s="51">
        <v>37</v>
      </c>
      <c r="D16" s="51">
        <v>36</v>
      </c>
      <c r="E16" s="51">
        <v>36</v>
      </c>
      <c r="F16" s="51">
        <v>36</v>
      </c>
      <c r="G16" s="51">
        <v>34</v>
      </c>
      <c r="H16" s="51">
        <v>34</v>
      </c>
      <c r="I16" s="51">
        <v>34</v>
      </c>
      <c r="J16" s="51">
        <v>34</v>
      </c>
      <c r="K16" s="51">
        <v>34</v>
      </c>
      <c r="L16" s="51">
        <v>34</v>
      </c>
      <c r="M16" s="51">
        <v>34</v>
      </c>
      <c r="N16" s="51">
        <v>34</v>
      </c>
      <c r="O16" s="51">
        <v>34</v>
      </c>
      <c r="P16" s="51">
        <v>34</v>
      </c>
      <c r="Q16" s="51">
        <v>34</v>
      </c>
      <c r="R16" s="51">
        <v>34</v>
      </c>
      <c r="S16" s="51">
        <v>30</v>
      </c>
      <c r="T16" s="51">
        <v>30</v>
      </c>
      <c r="U16" s="51">
        <v>30</v>
      </c>
      <c r="V16" s="51">
        <v>30</v>
      </c>
      <c r="W16" s="51">
        <v>30</v>
      </c>
      <c r="X16" s="51">
        <v>30</v>
      </c>
      <c r="Y16" s="51">
        <v>30</v>
      </c>
      <c r="Z16" s="51">
        <v>30</v>
      </c>
      <c r="AA16" s="51">
        <v>30</v>
      </c>
      <c r="AB16" s="51">
        <v>30</v>
      </c>
      <c r="AC16" s="51">
        <v>30</v>
      </c>
      <c r="AD16" s="51">
        <v>30</v>
      </c>
      <c r="AE16" s="51">
        <v>30</v>
      </c>
      <c r="AF16" s="51">
        <v>30</v>
      </c>
      <c r="AG16" s="58">
        <v>45</v>
      </c>
      <c r="AH16" s="54">
        <f t="shared" si="2"/>
        <v>38</v>
      </c>
      <c r="AI16" s="55">
        <f t="shared" si="3"/>
        <v>30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8.5</v>
      </c>
      <c r="C18" s="51">
        <v>8.5</v>
      </c>
      <c r="D18" s="51">
        <v>8.5</v>
      </c>
      <c r="E18" s="51">
        <v>8.5</v>
      </c>
      <c r="F18" s="51">
        <v>8.5</v>
      </c>
      <c r="G18" s="51">
        <v>8.5</v>
      </c>
      <c r="H18" s="51">
        <v>8.5</v>
      </c>
      <c r="I18" s="51">
        <v>8.5</v>
      </c>
      <c r="J18" s="51">
        <v>8.5</v>
      </c>
      <c r="K18" s="51">
        <v>8.5</v>
      </c>
      <c r="L18" s="51">
        <v>8.5</v>
      </c>
      <c r="M18" s="51">
        <v>8.5</v>
      </c>
      <c r="N18" s="51">
        <v>8.5</v>
      </c>
      <c r="O18" s="51">
        <v>8.5</v>
      </c>
      <c r="P18" s="51">
        <v>8.5</v>
      </c>
      <c r="Q18" s="51">
        <v>8.5</v>
      </c>
      <c r="R18" s="51">
        <v>8.5</v>
      </c>
      <c r="S18" s="51">
        <v>8.5</v>
      </c>
      <c r="T18" s="51">
        <v>8.5</v>
      </c>
      <c r="U18" s="51">
        <v>8.5</v>
      </c>
      <c r="V18" s="51">
        <v>8.5</v>
      </c>
      <c r="W18" s="51">
        <v>8.5</v>
      </c>
      <c r="X18" s="51">
        <v>8.5</v>
      </c>
      <c r="Y18" s="51">
        <v>8.5</v>
      </c>
      <c r="Z18" s="51">
        <v>8.5</v>
      </c>
      <c r="AA18" s="51">
        <v>8.5</v>
      </c>
      <c r="AB18" s="51">
        <v>8.5</v>
      </c>
      <c r="AC18" s="51">
        <v>8.5</v>
      </c>
      <c r="AD18" s="51">
        <v>8.5</v>
      </c>
      <c r="AE18" s="51">
        <v>8.5</v>
      </c>
      <c r="AF18" s="51">
        <v>8.5</v>
      </c>
      <c r="AG18" s="58">
        <v>36</v>
      </c>
      <c r="AH18" s="54">
        <f t="shared" si="2"/>
        <v>8.5</v>
      </c>
      <c r="AI18" s="55">
        <f t="shared" si="3"/>
        <v>8.5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15.9</v>
      </c>
      <c r="C19" s="51">
        <v>15.9</v>
      </c>
      <c r="D19" s="51">
        <v>15.9</v>
      </c>
      <c r="E19" s="51">
        <v>15.9</v>
      </c>
      <c r="F19" s="51">
        <v>15.9</v>
      </c>
      <c r="G19" s="51">
        <v>15.9</v>
      </c>
      <c r="H19" s="51">
        <v>15.9</v>
      </c>
      <c r="I19" s="51">
        <v>15.9</v>
      </c>
      <c r="J19" s="51">
        <v>15.9</v>
      </c>
      <c r="K19" s="51">
        <v>15.9</v>
      </c>
      <c r="L19" s="51">
        <v>15.9</v>
      </c>
      <c r="M19" s="51">
        <v>15.9</v>
      </c>
      <c r="N19" s="51">
        <v>15.9</v>
      </c>
      <c r="O19" s="51">
        <v>15.9</v>
      </c>
      <c r="P19" s="51">
        <v>15.9</v>
      </c>
      <c r="Q19" s="51">
        <v>15.9</v>
      </c>
      <c r="R19" s="51">
        <v>15.9</v>
      </c>
      <c r="S19" s="51">
        <v>15.9</v>
      </c>
      <c r="T19" s="51">
        <v>15.9</v>
      </c>
      <c r="U19" s="51">
        <v>15.9</v>
      </c>
      <c r="V19" s="51">
        <v>15.9</v>
      </c>
      <c r="W19" s="51">
        <v>15.9</v>
      </c>
      <c r="X19" s="51">
        <v>15.9</v>
      </c>
      <c r="Y19" s="51">
        <v>15.9</v>
      </c>
      <c r="Z19" s="51">
        <v>15.9</v>
      </c>
      <c r="AA19" s="51">
        <v>15.9</v>
      </c>
      <c r="AB19" s="51">
        <v>15.9</v>
      </c>
      <c r="AC19" s="51">
        <v>15.9</v>
      </c>
      <c r="AD19" s="51">
        <v>15.9</v>
      </c>
      <c r="AE19" s="51">
        <v>21.8</v>
      </c>
      <c r="AF19" s="51">
        <v>20.6</v>
      </c>
      <c r="AG19" s="58">
        <v>30</v>
      </c>
      <c r="AH19" s="54">
        <f t="shared" si="2"/>
        <v>21.8</v>
      </c>
      <c r="AI19" s="55">
        <f t="shared" si="3"/>
        <v>15.9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8</v>
      </c>
      <c r="C20" s="51">
        <v>8</v>
      </c>
      <c r="D20" s="51">
        <v>8</v>
      </c>
      <c r="E20" s="51">
        <v>8</v>
      </c>
      <c r="F20" s="51">
        <v>8</v>
      </c>
      <c r="G20" s="51">
        <v>8</v>
      </c>
      <c r="H20" s="51">
        <v>8</v>
      </c>
      <c r="I20" s="51">
        <v>8</v>
      </c>
      <c r="J20" s="51">
        <v>8</v>
      </c>
      <c r="K20" s="51">
        <v>8</v>
      </c>
      <c r="L20" s="51">
        <v>8</v>
      </c>
      <c r="M20" s="51">
        <v>8</v>
      </c>
      <c r="N20" s="51">
        <v>8</v>
      </c>
      <c r="O20" s="51">
        <v>8</v>
      </c>
      <c r="P20" s="51">
        <v>8</v>
      </c>
      <c r="Q20" s="51">
        <v>8</v>
      </c>
      <c r="R20" s="51">
        <v>8</v>
      </c>
      <c r="S20" s="51">
        <v>8</v>
      </c>
      <c r="T20" s="51">
        <v>8</v>
      </c>
      <c r="U20" s="51">
        <v>8</v>
      </c>
      <c r="V20" s="51">
        <v>8</v>
      </c>
      <c r="W20" s="51">
        <v>8</v>
      </c>
      <c r="X20" s="51">
        <v>8</v>
      </c>
      <c r="Y20" s="51">
        <v>8</v>
      </c>
      <c r="Z20" s="51">
        <v>8</v>
      </c>
      <c r="AA20" s="51">
        <v>8</v>
      </c>
      <c r="AB20" s="51">
        <v>8</v>
      </c>
      <c r="AC20" s="51">
        <v>8</v>
      </c>
      <c r="AD20" s="51">
        <v>8</v>
      </c>
      <c r="AE20" s="51">
        <v>8</v>
      </c>
      <c r="AF20" s="51">
        <v>8</v>
      </c>
      <c r="AG20" s="58">
        <v>27</v>
      </c>
      <c r="AH20" s="54">
        <f t="shared" si="2"/>
        <v>8</v>
      </c>
      <c r="AI20" s="55">
        <f t="shared" si="3"/>
        <v>8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21.7</v>
      </c>
      <c r="C22" s="51">
        <v>21.7</v>
      </c>
      <c r="D22" s="51">
        <v>21.7</v>
      </c>
      <c r="E22" s="51">
        <v>21.7</v>
      </c>
      <c r="F22" s="51">
        <v>21.7</v>
      </c>
      <c r="G22" s="51">
        <v>21.7</v>
      </c>
      <c r="H22" s="51">
        <v>21.7</v>
      </c>
      <c r="I22" s="51">
        <v>21.7</v>
      </c>
      <c r="J22" s="51">
        <v>21.7</v>
      </c>
      <c r="K22" s="51">
        <v>21.7</v>
      </c>
      <c r="L22" s="51">
        <v>21.7</v>
      </c>
      <c r="M22" s="51">
        <v>21.7</v>
      </c>
      <c r="N22" s="51">
        <v>21.7</v>
      </c>
      <c r="O22" s="51">
        <v>21.7</v>
      </c>
      <c r="P22" s="51">
        <v>21.7</v>
      </c>
      <c r="Q22" s="51">
        <v>21.7</v>
      </c>
      <c r="R22" s="51">
        <v>21.7</v>
      </c>
      <c r="S22" s="51">
        <v>21.7</v>
      </c>
      <c r="T22" s="51">
        <v>21.7</v>
      </c>
      <c r="U22" s="51">
        <v>21.7</v>
      </c>
      <c r="V22" s="51">
        <v>21.7</v>
      </c>
      <c r="W22" s="51">
        <v>21.7</v>
      </c>
      <c r="X22" s="51">
        <v>21.7</v>
      </c>
      <c r="Y22" s="51">
        <v>21.7</v>
      </c>
      <c r="Z22" s="51">
        <v>21.7</v>
      </c>
      <c r="AA22" s="51">
        <v>21.7</v>
      </c>
      <c r="AB22" s="51">
        <v>21.7</v>
      </c>
      <c r="AC22" s="51">
        <v>21.7</v>
      </c>
      <c r="AD22" s="51">
        <v>21.7</v>
      </c>
      <c r="AE22" s="51">
        <v>23.3</v>
      </c>
      <c r="AF22" s="51">
        <v>23.4</v>
      </c>
      <c r="AG22" s="58">
        <v>25</v>
      </c>
      <c r="AH22" s="54">
        <f t="shared" si="2"/>
        <v>23.4</v>
      </c>
      <c r="AI22" s="55">
        <f t="shared" si="3"/>
        <v>21.7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6.5</v>
      </c>
      <c r="C23" s="51">
        <v>6.5</v>
      </c>
      <c r="D23" s="51">
        <v>6.5</v>
      </c>
      <c r="E23" s="51">
        <v>6.5</v>
      </c>
      <c r="F23" s="51">
        <v>6.5</v>
      </c>
      <c r="G23" s="51">
        <v>6.5</v>
      </c>
      <c r="H23" s="51">
        <v>6.5</v>
      </c>
      <c r="I23" s="51">
        <v>6.5</v>
      </c>
      <c r="J23" s="51">
        <v>6.5</v>
      </c>
      <c r="K23" s="51">
        <v>6.5</v>
      </c>
      <c r="L23" s="51">
        <v>6.5</v>
      </c>
      <c r="M23" s="51">
        <v>6.5</v>
      </c>
      <c r="N23" s="51">
        <v>6.5</v>
      </c>
      <c r="O23" s="51">
        <v>6.5</v>
      </c>
      <c r="P23" s="51">
        <v>6.5</v>
      </c>
      <c r="Q23" s="51">
        <v>6.5</v>
      </c>
      <c r="R23" s="51">
        <v>6.5</v>
      </c>
      <c r="S23" s="51">
        <v>6.5</v>
      </c>
      <c r="T23" s="51">
        <v>6.5</v>
      </c>
      <c r="U23" s="51">
        <v>6.5</v>
      </c>
      <c r="V23" s="51">
        <v>6.5</v>
      </c>
      <c r="W23" s="51">
        <v>6.5</v>
      </c>
      <c r="X23" s="51">
        <v>6.5</v>
      </c>
      <c r="Y23" s="51">
        <v>6.5</v>
      </c>
      <c r="Z23" s="51">
        <v>6.5</v>
      </c>
      <c r="AA23" s="51">
        <v>6.5</v>
      </c>
      <c r="AB23" s="51">
        <v>6.5</v>
      </c>
      <c r="AC23" s="51">
        <v>6.5</v>
      </c>
      <c r="AD23" s="51">
        <v>6.5</v>
      </c>
      <c r="AE23" s="51">
        <v>6.5</v>
      </c>
      <c r="AF23" s="51">
        <v>6.5</v>
      </c>
      <c r="AG23" s="58">
        <v>25</v>
      </c>
      <c r="AH23" s="54">
        <f t="shared" si="2"/>
        <v>6.5</v>
      </c>
      <c r="AI23" s="55">
        <f t="shared" si="3"/>
        <v>6.5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18.3</v>
      </c>
      <c r="C24" s="51">
        <v>18.3</v>
      </c>
      <c r="D24" s="51">
        <v>18.3</v>
      </c>
      <c r="E24" s="51">
        <v>18.3</v>
      </c>
      <c r="F24" s="51">
        <v>18.3</v>
      </c>
      <c r="G24" s="51">
        <v>18.3</v>
      </c>
      <c r="H24" s="51">
        <v>18.3</v>
      </c>
      <c r="I24" s="51">
        <v>18.3</v>
      </c>
      <c r="J24" s="51">
        <v>18.3</v>
      </c>
      <c r="K24" s="51">
        <v>18.3</v>
      </c>
      <c r="L24" s="51">
        <v>18.3</v>
      </c>
      <c r="M24" s="51">
        <v>18.3</v>
      </c>
      <c r="N24" s="51">
        <v>18.3</v>
      </c>
      <c r="O24" s="51">
        <v>18.3</v>
      </c>
      <c r="P24" s="51">
        <v>18.3</v>
      </c>
      <c r="Q24" s="51">
        <v>18.3</v>
      </c>
      <c r="R24" s="51">
        <v>18.3</v>
      </c>
      <c r="S24" s="51">
        <v>18.3</v>
      </c>
      <c r="T24" s="51">
        <v>18.3</v>
      </c>
      <c r="U24" s="51">
        <v>18.3</v>
      </c>
      <c r="V24" s="51">
        <v>18.3</v>
      </c>
      <c r="W24" s="51">
        <v>18.3</v>
      </c>
      <c r="X24" s="51">
        <v>18.3</v>
      </c>
      <c r="Y24" s="51">
        <v>18.3</v>
      </c>
      <c r="Z24" s="51">
        <v>18.3</v>
      </c>
      <c r="AA24" s="51">
        <v>18.3</v>
      </c>
      <c r="AB24" s="51">
        <v>18.3</v>
      </c>
      <c r="AC24" s="51">
        <v>18.3</v>
      </c>
      <c r="AD24" s="51">
        <v>18.3</v>
      </c>
      <c r="AE24" s="51">
        <v>18.3</v>
      </c>
      <c r="AF24" s="51">
        <v>18.399999999999999</v>
      </c>
      <c r="AG24" s="58">
        <v>25</v>
      </c>
      <c r="AH24" s="54">
        <f t="shared" si="2"/>
        <v>18.399999999999999</v>
      </c>
      <c r="AI24" s="55">
        <f t="shared" si="3"/>
        <v>18.3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9.5</v>
      </c>
      <c r="C25" s="51">
        <v>9.5</v>
      </c>
      <c r="D25" s="51">
        <v>9.5</v>
      </c>
      <c r="E25" s="51">
        <v>9.5</v>
      </c>
      <c r="F25" s="51">
        <v>9.5</v>
      </c>
      <c r="G25" s="51">
        <v>9.5</v>
      </c>
      <c r="H25" s="51">
        <v>9.5</v>
      </c>
      <c r="I25" s="51">
        <v>9.5</v>
      </c>
      <c r="J25" s="51">
        <v>9.5</v>
      </c>
      <c r="K25" s="51">
        <v>9.5</v>
      </c>
      <c r="L25" s="51">
        <v>9.5</v>
      </c>
      <c r="M25" s="51">
        <v>9.5</v>
      </c>
      <c r="N25" s="51">
        <v>9.5</v>
      </c>
      <c r="O25" s="51">
        <v>9.5</v>
      </c>
      <c r="P25" s="51">
        <v>9.5</v>
      </c>
      <c r="Q25" s="51">
        <v>9.5</v>
      </c>
      <c r="R25" s="51">
        <v>9.5</v>
      </c>
      <c r="S25" s="51">
        <v>9.5</v>
      </c>
      <c r="T25" s="51">
        <v>9.5</v>
      </c>
      <c r="U25" s="51">
        <v>9.5</v>
      </c>
      <c r="V25" s="51">
        <v>9.5</v>
      </c>
      <c r="W25" s="51">
        <v>9.5</v>
      </c>
      <c r="X25" s="51">
        <v>9.5</v>
      </c>
      <c r="Y25" s="51">
        <v>9.5</v>
      </c>
      <c r="Z25" s="51">
        <v>9.5</v>
      </c>
      <c r="AA25" s="51">
        <v>9.5</v>
      </c>
      <c r="AB25" s="51">
        <v>9.5</v>
      </c>
      <c r="AC25" s="51">
        <v>9.5</v>
      </c>
      <c r="AD25" s="51">
        <v>9.5</v>
      </c>
      <c r="AE25" s="51">
        <v>9.5</v>
      </c>
      <c r="AF25" s="51">
        <v>9.5</v>
      </c>
      <c r="AG25" s="58">
        <v>24.2</v>
      </c>
      <c r="AH25" s="54">
        <f t="shared" si="2"/>
        <v>9.5</v>
      </c>
      <c r="AI25" s="55">
        <f t="shared" si="3"/>
        <v>9.5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9</v>
      </c>
      <c r="C26" s="51">
        <v>9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9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5.5</v>
      </c>
      <c r="C30" s="51">
        <v>5.5</v>
      </c>
      <c r="D30" s="51">
        <v>5.5</v>
      </c>
      <c r="E30" s="51">
        <v>5.5</v>
      </c>
      <c r="F30" s="51">
        <v>5.5</v>
      </c>
      <c r="G30" s="51">
        <v>5.5</v>
      </c>
      <c r="H30" s="51">
        <v>5.5</v>
      </c>
      <c r="I30" s="51">
        <v>5.5</v>
      </c>
      <c r="J30" s="51">
        <v>5.5</v>
      </c>
      <c r="K30" s="51">
        <v>5.5</v>
      </c>
      <c r="L30" s="51">
        <v>5.5</v>
      </c>
      <c r="M30" s="51">
        <v>5.5</v>
      </c>
      <c r="N30" s="51">
        <v>5.5</v>
      </c>
      <c r="O30" s="51">
        <v>5.5</v>
      </c>
      <c r="P30" s="51">
        <v>5.5</v>
      </c>
      <c r="Q30" s="51">
        <v>5.5</v>
      </c>
      <c r="R30" s="51">
        <v>5.5</v>
      </c>
      <c r="S30" s="51">
        <v>5.5</v>
      </c>
      <c r="T30" s="51">
        <v>5.5</v>
      </c>
      <c r="U30" s="51">
        <v>5.5</v>
      </c>
      <c r="V30" s="51">
        <v>5.5</v>
      </c>
      <c r="W30" s="51">
        <v>5.5</v>
      </c>
      <c r="X30" s="51">
        <v>5.5</v>
      </c>
      <c r="Y30" s="51">
        <v>5.5</v>
      </c>
      <c r="Z30" s="51">
        <v>5.5</v>
      </c>
      <c r="AA30" s="51">
        <v>5.5</v>
      </c>
      <c r="AB30" s="51">
        <v>5.5</v>
      </c>
      <c r="AC30" s="51">
        <v>5.5</v>
      </c>
      <c r="AD30" s="51">
        <v>5.5</v>
      </c>
      <c r="AE30" s="51">
        <v>5.5</v>
      </c>
      <c r="AF30" s="51">
        <v>5.5</v>
      </c>
      <c r="AG30" s="58">
        <v>22.1</v>
      </c>
      <c r="AH30" s="54">
        <f t="shared" si="2"/>
        <v>5.5</v>
      </c>
      <c r="AI30" s="55">
        <f t="shared" si="3"/>
        <v>5.5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6.5</v>
      </c>
      <c r="C32" s="51">
        <v>6.5</v>
      </c>
      <c r="D32" s="51">
        <v>6.5</v>
      </c>
      <c r="E32" s="51">
        <v>6.5</v>
      </c>
      <c r="F32" s="51">
        <v>6.5</v>
      </c>
      <c r="G32" s="51">
        <v>6.5</v>
      </c>
      <c r="H32" s="51">
        <v>6.5</v>
      </c>
      <c r="I32" s="51">
        <v>6.5</v>
      </c>
      <c r="J32" s="51">
        <v>6.5</v>
      </c>
      <c r="K32" s="51">
        <v>6.5</v>
      </c>
      <c r="L32" s="51">
        <v>6.5</v>
      </c>
      <c r="M32" s="51">
        <v>6.5</v>
      </c>
      <c r="N32" s="51">
        <v>6.5</v>
      </c>
      <c r="O32" s="51">
        <v>6.5</v>
      </c>
      <c r="P32" s="51">
        <v>6.5</v>
      </c>
      <c r="Q32" s="51">
        <v>6.5</v>
      </c>
      <c r="R32" s="51">
        <v>6.5</v>
      </c>
      <c r="S32" s="51">
        <v>6.5</v>
      </c>
      <c r="T32" s="51">
        <v>6.5</v>
      </c>
      <c r="U32" s="51">
        <v>6.5</v>
      </c>
      <c r="V32" s="51">
        <v>6.5</v>
      </c>
      <c r="W32" s="51">
        <v>6.5</v>
      </c>
      <c r="X32" s="51">
        <v>6.5</v>
      </c>
      <c r="Y32" s="51">
        <v>6.5</v>
      </c>
      <c r="Z32" s="51">
        <v>6.5</v>
      </c>
      <c r="AA32" s="51">
        <v>6.5</v>
      </c>
      <c r="AB32" s="51">
        <v>6.5</v>
      </c>
      <c r="AC32" s="51">
        <v>6.5</v>
      </c>
      <c r="AD32" s="51">
        <v>6.5</v>
      </c>
      <c r="AE32" s="51">
        <v>6.5</v>
      </c>
      <c r="AF32" s="51">
        <v>6.5</v>
      </c>
      <c r="AG32" s="63">
        <v>22</v>
      </c>
      <c r="AH32" s="54">
        <f t="shared" si="2"/>
        <v>6.5</v>
      </c>
      <c r="AI32" s="55">
        <f t="shared" si="3"/>
        <v>6.5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6</v>
      </c>
      <c r="C34" s="51">
        <v>6</v>
      </c>
      <c r="D34" s="51">
        <v>6</v>
      </c>
      <c r="E34" s="51">
        <v>6</v>
      </c>
      <c r="F34" s="51">
        <v>8</v>
      </c>
      <c r="G34" s="51">
        <v>7</v>
      </c>
      <c r="H34" s="51">
        <v>7</v>
      </c>
      <c r="I34" s="51">
        <v>7</v>
      </c>
      <c r="J34" s="51">
        <v>7</v>
      </c>
      <c r="K34" s="51">
        <v>7</v>
      </c>
      <c r="L34" s="51">
        <v>7</v>
      </c>
      <c r="M34" s="51">
        <v>7</v>
      </c>
      <c r="N34" s="51">
        <v>7</v>
      </c>
      <c r="O34" s="51">
        <v>7</v>
      </c>
      <c r="P34" s="51">
        <v>7</v>
      </c>
      <c r="Q34" s="51">
        <v>7</v>
      </c>
      <c r="R34" s="51">
        <v>7</v>
      </c>
      <c r="S34" s="51">
        <v>7</v>
      </c>
      <c r="T34" s="51">
        <v>7</v>
      </c>
      <c r="U34" s="51">
        <v>7</v>
      </c>
      <c r="V34" s="51">
        <v>7</v>
      </c>
      <c r="W34" s="51">
        <v>7</v>
      </c>
      <c r="X34" s="51">
        <v>7</v>
      </c>
      <c r="Y34" s="51">
        <v>7</v>
      </c>
      <c r="Z34" s="51">
        <v>7</v>
      </c>
      <c r="AA34" s="51">
        <v>7</v>
      </c>
      <c r="AB34" s="51">
        <v>7</v>
      </c>
      <c r="AC34" s="51">
        <v>7</v>
      </c>
      <c r="AD34" s="51">
        <v>7</v>
      </c>
      <c r="AE34" s="51">
        <v>7</v>
      </c>
      <c r="AF34" s="51">
        <v>7</v>
      </c>
      <c r="AG34" s="63">
        <v>20</v>
      </c>
      <c r="AH34" s="54">
        <f t="shared" si="2"/>
        <v>8</v>
      </c>
      <c r="AI34" s="55">
        <f t="shared" si="3"/>
        <v>6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100</v>
      </c>
      <c r="C37" s="67">
        <v>100</v>
      </c>
      <c r="D37" s="67">
        <v>109</v>
      </c>
      <c r="E37" s="67">
        <v>109</v>
      </c>
      <c r="F37" s="67">
        <v>119</v>
      </c>
      <c r="G37" s="67">
        <v>119</v>
      </c>
      <c r="H37" s="67">
        <f>59+49</f>
        <v>108</v>
      </c>
      <c r="I37" s="67">
        <f>59+49</f>
        <v>108</v>
      </c>
      <c r="J37" s="67">
        <v>103</v>
      </c>
      <c r="K37" s="67">
        <v>103</v>
      </c>
      <c r="L37" s="67">
        <v>103</v>
      </c>
      <c r="M37" s="65">
        <v>104</v>
      </c>
      <c r="N37" s="65">
        <v>104</v>
      </c>
      <c r="O37" s="65">
        <v>104</v>
      </c>
      <c r="P37" s="65">
        <v>104</v>
      </c>
      <c r="Q37" s="65">
        <v>92</v>
      </c>
      <c r="R37" s="65">
        <v>92</v>
      </c>
      <c r="S37" s="67">
        <v>96.6</v>
      </c>
      <c r="T37" s="67">
        <v>113</v>
      </c>
      <c r="U37" s="67">
        <f>57.4+60.4</f>
        <v>117.8</v>
      </c>
      <c r="V37" s="67">
        <f>58.4+64.2</f>
        <v>122.6</v>
      </c>
      <c r="W37" s="67">
        <f>59.1+64.4</f>
        <v>123.5</v>
      </c>
      <c r="X37" s="67">
        <f>59.2+63.9</f>
        <v>123.1</v>
      </c>
      <c r="Y37" s="67">
        <f>59.2+62.4</f>
        <v>121.6</v>
      </c>
      <c r="Z37" s="67">
        <f>60.8+59.2</f>
        <v>120</v>
      </c>
      <c r="AA37" s="67">
        <f>62.2+56.9</f>
        <v>119.1</v>
      </c>
      <c r="AB37" s="67">
        <f>61.7+57.6</f>
        <v>119.30000000000001</v>
      </c>
      <c r="AC37" s="67">
        <f>59.5+58.5</f>
        <v>118</v>
      </c>
      <c r="AD37" s="67">
        <f>59.5+58.2</f>
        <v>117.7</v>
      </c>
      <c r="AE37" s="67">
        <f>60.2+60.1</f>
        <v>120.30000000000001</v>
      </c>
      <c r="AF37" s="67">
        <f>62.1+58.7</f>
        <v>120.80000000000001</v>
      </c>
      <c r="AG37" s="63">
        <v>240</v>
      </c>
      <c r="AH37" s="54">
        <f t="shared" si="2"/>
        <v>123.5</v>
      </c>
      <c r="AI37" s="55">
        <f t="shared" si="3"/>
        <v>92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772.2</v>
      </c>
      <c r="C38" s="69">
        <f t="shared" si="4"/>
        <v>761.2</v>
      </c>
      <c r="D38" s="69">
        <f t="shared" si="4"/>
        <v>711.2</v>
      </c>
      <c r="E38" s="69">
        <f t="shared" si="4"/>
        <v>701.19999999999993</v>
      </c>
      <c r="F38" s="69">
        <f t="shared" si="4"/>
        <v>658.19999999999993</v>
      </c>
      <c r="G38" s="69">
        <f t="shared" si="4"/>
        <v>635.19999999999993</v>
      </c>
      <c r="H38" s="69">
        <f t="shared" si="4"/>
        <v>655.19999999999993</v>
      </c>
      <c r="I38" s="69">
        <f t="shared" si="4"/>
        <v>620.20000000000005</v>
      </c>
      <c r="J38" s="69">
        <f t="shared" si="4"/>
        <v>625.20000000000005</v>
      </c>
      <c r="K38" s="69">
        <f t="shared" si="4"/>
        <v>635.19999999999993</v>
      </c>
      <c r="L38" s="69">
        <f t="shared" si="4"/>
        <v>590.20000000000005</v>
      </c>
      <c r="M38" s="69">
        <f t="shared" si="4"/>
        <v>596.70000000000005</v>
      </c>
      <c r="N38" s="69">
        <f t="shared" si="4"/>
        <v>636.69999999999993</v>
      </c>
      <c r="O38" s="69">
        <f t="shared" si="4"/>
        <v>711.7</v>
      </c>
      <c r="P38" s="69">
        <f t="shared" si="4"/>
        <v>781.69999999999993</v>
      </c>
      <c r="Q38" s="69">
        <f t="shared" ref="Q38" si="5">SUM(Q11:Q36)</f>
        <v>781.69999999999993</v>
      </c>
      <c r="R38" s="69">
        <f t="shared" si="4"/>
        <v>731.7</v>
      </c>
      <c r="S38" s="69">
        <f t="shared" si="4"/>
        <v>759.7</v>
      </c>
      <c r="T38" s="69">
        <f t="shared" si="4"/>
        <v>817.69999999999993</v>
      </c>
      <c r="U38" s="69">
        <f t="shared" si="4"/>
        <v>778.5</v>
      </c>
      <c r="V38" s="69">
        <f t="shared" si="4"/>
        <v>748.5</v>
      </c>
      <c r="W38" s="69">
        <f t="shared" si="4"/>
        <v>763.5</v>
      </c>
      <c r="X38" s="69">
        <f t="shared" si="4"/>
        <v>773.5</v>
      </c>
      <c r="Y38" s="69">
        <f t="shared" si="4"/>
        <v>773.5</v>
      </c>
      <c r="Z38" s="69">
        <f t="shared" si="4"/>
        <v>798.5</v>
      </c>
      <c r="AA38" s="69">
        <f t="shared" si="4"/>
        <v>875.5</v>
      </c>
      <c r="AB38" s="69">
        <f t="shared" si="4"/>
        <v>855.5</v>
      </c>
      <c r="AC38" s="69">
        <f t="shared" si="4"/>
        <v>925.5</v>
      </c>
      <c r="AD38" s="69">
        <f t="shared" si="4"/>
        <v>957.5</v>
      </c>
      <c r="AE38" s="69">
        <f t="shared" si="4"/>
        <v>915.29999999999984</v>
      </c>
      <c r="AF38" s="69">
        <f t="shared" si="4"/>
        <v>856.3</v>
      </c>
      <c r="AG38" s="63">
        <f>SUM(AG11:AG37)</f>
        <v>1492.8299999999997</v>
      </c>
      <c r="AH38" s="54">
        <f t="shared" si="2"/>
        <v>957.5</v>
      </c>
      <c r="AI38" s="55">
        <f t="shared" si="3"/>
        <v>590.20000000000005</v>
      </c>
      <c r="AK38" s="56"/>
    </row>
    <row r="39" spans="1:88" x14ac:dyDescent="0.25">
      <c r="A39" s="57" t="s">
        <v>47</v>
      </c>
      <c r="B39" s="51">
        <v>145.4</v>
      </c>
      <c r="C39" s="51">
        <v>145.4</v>
      </c>
      <c r="D39" s="51">
        <v>145.4</v>
      </c>
      <c r="E39" s="51">
        <v>145.4</v>
      </c>
      <c r="F39" s="51">
        <v>145.4</v>
      </c>
      <c r="G39" s="51">
        <v>145.4</v>
      </c>
      <c r="H39" s="51">
        <v>145.4</v>
      </c>
      <c r="I39" s="51">
        <v>145.4</v>
      </c>
      <c r="J39" s="51">
        <v>145.4</v>
      </c>
      <c r="K39" s="51">
        <v>145.4</v>
      </c>
      <c r="L39" s="51">
        <v>145.4</v>
      </c>
      <c r="M39" s="51">
        <v>145.5</v>
      </c>
      <c r="N39" s="51">
        <v>145.6</v>
      </c>
      <c r="O39" s="51">
        <v>145.6</v>
      </c>
      <c r="P39" s="51">
        <v>145.6</v>
      </c>
      <c r="Q39" s="51">
        <v>145.6</v>
      </c>
      <c r="R39" s="51">
        <v>145.69999999999999</v>
      </c>
      <c r="S39" s="51">
        <v>145.69999999999999</v>
      </c>
      <c r="T39" s="51">
        <v>145.69999999999999</v>
      </c>
      <c r="U39" s="51">
        <v>145.30000000000001</v>
      </c>
      <c r="V39" s="51">
        <v>145.30000000000001</v>
      </c>
      <c r="W39" s="51">
        <v>141.4</v>
      </c>
      <c r="X39" s="51">
        <v>145.4</v>
      </c>
      <c r="Y39" s="51">
        <v>126.5</v>
      </c>
      <c r="Z39" s="51">
        <v>145.5</v>
      </c>
      <c r="AA39" s="51">
        <v>145.5</v>
      </c>
      <c r="AB39" s="51">
        <v>145.69999999999999</v>
      </c>
      <c r="AC39" s="51">
        <v>145.69999999999999</v>
      </c>
      <c r="AD39" s="51">
        <v>145.69999999999999</v>
      </c>
      <c r="AE39" s="51">
        <v>145.69999999999999</v>
      </c>
      <c r="AF39" s="51">
        <v>145.4</v>
      </c>
      <c r="AG39" s="59">
        <v>144</v>
      </c>
      <c r="AH39" s="54">
        <f t="shared" si="2"/>
        <v>145.69999999999999</v>
      </c>
      <c r="AI39" s="55">
        <f t="shared" si="3"/>
        <v>126.5</v>
      </c>
      <c r="AK39" s="56"/>
    </row>
    <row r="40" spans="1:88" x14ac:dyDescent="0.25">
      <c r="A40" s="62" t="s">
        <v>48</v>
      </c>
      <c r="B40" s="70">
        <v>71.7</v>
      </c>
      <c r="C40" s="70">
        <v>71.7</v>
      </c>
      <c r="D40" s="70">
        <v>71.7</v>
      </c>
      <c r="E40" s="70">
        <v>71.7</v>
      </c>
      <c r="F40" s="70">
        <v>71.7</v>
      </c>
      <c r="G40" s="70">
        <v>71.7</v>
      </c>
      <c r="H40" s="70">
        <v>71.7</v>
      </c>
      <c r="I40" s="70">
        <v>71.7</v>
      </c>
      <c r="J40" s="70">
        <v>71.7</v>
      </c>
      <c r="K40" s="70">
        <v>71.7</v>
      </c>
      <c r="L40" s="70">
        <v>71.7</v>
      </c>
      <c r="M40" s="51">
        <v>71.8</v>
      </c>
      <c r="N40" s="51">
        <v>72</v>
      </c>
      <c r="O40" s="51">
        <v>72</v>
      </c>
      <c r="P40" s="51">
        <v>72</v>
      </c>
      <c r="Q40" s="51">
        <v>72</v>
      </c>
      <c r="R40" s="51">
        <v>70.8</v>
      </c>
      <c r="S40" s="51">
        <v>70.8</v>
      </c>
      <c r="T40" s="51">
        <v>70.8</v>
      </c>
      <c r="U40" s="70">
        <v>71.2</v>
      </c>
      <c r="V40" s="70">
        <v>71.2</v>
      </c>
      <c r="W40" s="70">
        <v>72.099999999999994</v>
      </c>
      <c r="X40" s="70">
        <v>72.099999999999994</v>
      </c>
      <c r="Y40" s="70">
        <v>67.3</v>
      </c>
      <c r="Z40" s="70">
        <v>70.400000000000006</v>
      </c>
      <c r="AA40" s="70">
        <v>70.400000000000006</v>
      </c>
      <c r="AB40" s="70">
        <v>72.099999999999994</v>
      </c>
      <c r="AC40" s="70">
        <v>72.099999999999994</v>
      </c>
      <c r="AD40" s="70">
        <v>72.099999999999994</v>
      </c>
      <c r="AE40" s="70">
        <v>71.2</v>
      </c>
      <c r="AF40" s="70">
        <v>70</v>
      </c>
      <c r="AG40" s="63">
        <v>70</v>
      </c>
      <c r="AH40" s="54">
        <f t="shared" si="2"/>
        <v>72.099999999999994</v>
      </c>
      <c r="AI40" s="55">
        <f t="shared" si="3"/>
        <v>67.3</v>
      </c>
      <c r="AK40" s="56"/>
    </row>
    <row r="41" spans="1:88" x14ac:dyDescent="0.25">
      <c r="A41" s="62" t="s">
        <v>49</v>
      </c>
      <c r="B41" s="70">
        <v>62.3</v>
      </c>
      <c r="C41" s="70">
        <v>62.3</v>
      </c>
      <c r="D41" s="70">
        <v>62.3</v>
      </c>
      <c r="E41" s="70">
        <v>62.3</v>
      </c>
      <c r="F41" s="70">
        <v>62.3</v>
      </c>
      <c r="G41" s="70">
        <v>62.3</v>
      </c>
      <c r="H41" s="70">
        <v>62.3</v>
      </c>
      <c r="I41" s="70">
        <v>62.3</v>
      </c>
      <c r="J41" s="70">
        <v>62.3</v>
      </c>
      <c r="K41" s="70">
        <v>69</v>
      </c>
      <c r="L41" s="70">
        <v>69</v>
      </c>
      <c r="M41" s="51">
        <v>61</v>
      </c>
      <c r="N41" s="51">
        <v>55</v>
      </c>
      <c r="O41" s="51">
        <v>55</v>
      </c>
      <c r="P41" s="51">
        <v>55</v>
      </c>
      <c r="Q41" s="51">
        <v>47</v>
      </c>
      <c r="R41" s="51">
        <v>47</v>
      </c>
      <c r="S41" s="51">
        <v>62.4</v>
      </c>
      <c r="T41" s="51">
        <v>62.4</v>
      </c>
      <c r="U41" s="70">
        <v>70.3</v>
      </c>
      <c r="V41" s="70">
        <v>70.3</v>
      </c>
      <c r="W41" s="70">
        <v>70.099999999999994</v>
      </c>
      <c r="X41" s="70">
        <v>69.5</v>
      </c>
      <c r="Y41" s="70">
        <v>69.5</v>
      </c>
      <c r="Z41" s="70">
        <v>69.5</v>
      </c>
      <c r="AA41" s="70">
        <v>64.7</v>
      </c>
      <c r="AB41" s="70">
        <v>68.599999999999994</v>
      </c>
      <c r="AC41" s="70">
        <v>68.599999999999994</v>
      </c>
      <c r="AD41" s="70">
        <v>68.599999999999994</v>
      </c>
      <c r="AE41" s="70">
        <v>68.2</v>
      </c>
      <c r="AF41" s="70">
        <v>68.400000000000006</v>
      </c>
      <c r="AG41" s="63">
        <v>69</v>
      </c>
      <c r="AH41" s="54">
        <f t="shared" si="2"/>
        <v>70.3</v>
      </c>
      <c r="AI41" s="55">
        <f t="shared" si="3"/>
        <v>47</v>
      </c>
      <c r="AK41" s="56"/>
    </row>
    <row r="42" spans="1:88" x14ac:dyDescent="0.25">
      <c r="A42" s="62" t="s">
        <v>50</v>
      </c>
      <c r="B42" s="65">
        <v>61.2</v>
      </c>
      <c r="C42" s="65">
        <v>61.2</v>
      </c>
      <c r="D42" s="65">
        <v>61.2</v>
      </c>
      <c r="E42" s="65">
        <v>61.2</v>
      </c>
      <c r="F42" s="65">
        <v>61.2</v>
      </c>
      <c r="G42" s="65">
        <v>61.2</v>
      </c>
      <c r="H42" s="65">
        <v>61.2</v>
      </c>
      <c r="I42" s="65">
        <v>61.2</v>
      </c>
      <c r="J42" s="65">
        <v>61.2</v>
      </c>
      <c r="K42" s="65">
        <v>61.2</v>
      </c>
      <c r="L42" s="65">
        <v>61.2</v>
      </c>
      <c r="M42" s="51">
        <v>60.4</v>
      </c>
      <c r="N42" s="51">
        <v>60.4</v>
      </c>
      <c r="O42" s="51">
        <v>60.4</v>
      </c>
      <c r="P42" s="51">
        <v>60.4</v>
      </c>
      <c r="Q42" s="51">
        <v>60.4</v>
      </c>
      <c r="R42" s="51">
        <v>60.4</v>
      </c>
      <c r="S42" s="51">
        <v>60.4</v>
      </c>
      <c r="T42" s="51">
        <v>60.4</v>
      </c>
      <c r="U42" s="51">
        <v>58.5</v>
      </c>
      <c r="V42" s="51">
        <v>58.5</v>
      </c>
      <c r="W42" s="70">
        <v>58</v>
      </c>
      <c r="X42" s="70">
        <v>60</v>
      </c>
      <c r="Y42" s="70">
        <v>60</v>
      </c>
      <c r="Z42" s="70">
        <v>60</v>
      </c>
      <c r="AA42" s="70">
        <v>60</v>
      </c>
      <c r="AB42" s="65">
        <v>60.4</v>
      </c>
      <c r="AC42" s="65">
        <v>60.4</v>
      </c>
      <c r="AD42" s="65">
        <v>60.4</v>
      </c>
      <c r="AE42" s="65">
        <v>60.4</v>
      </c>
      <c r="AF42" s="65">
        <v>60.2</v>
      </c>
      <c r="AG42" s="63">
        <v>60</v>
      </c>
      <c r="AH42" s="54">
        <f t="shared" si="2"/>
        <v>61.2</v>
      </c>
      <c r="AI42" s="55">
        <f t="shared" si="3"/>
        <v>58</v>
      </c>
      <c r="AK42" s="56"/>
    </row>
    <row r="43" spans="1:88" x14ac:dyDescent="0.25">
      <c r="A43" s="62" t="s">
        <v>51</v>
      </c>
      <c r="B43" s="65">
        <v>18</v>
      </c>
      <c r="C43" s="65">
        <v>0</v>
      </c>
      <c r="D43" s="65">
        <v>0</v>
      </c>
      <c r="E43" s="65">
        <v>0</v>
      </c>
      <c r="F43" s="65">
        <v>0</v>
      </c>
      <c r="G43" s="65">
        <v>7</v>
      </c>
      <c r="H43" s="65">
        <v>10</v>
      </c>
      <c r="I43" s="65">
        <v>10</v>
      </c>
      <c r="J43" s="65">
        <v>15</v>
      </c>
      <c r="K43" s="65">
        <v>15</v>
      </c>
      <c r="L43" s="65">
        <v>18</v>
      </c>
      <c r="M43" s="51">
        <v>18</v>
      </c>
      <c r="N43" s="51">
        <v>18</v>
      </c>
      <c r="O43" s="51">
        <v>18</v>
      </c>
      <c r="P43" s="51">
        <v>18</v>
      </c>
      <c r="Q43" s="51">
        <v>18</v>
      </c>
      <c r="R43" s="51">
        <v>18</v>
      </c>
      <c r="S43" s="51">
        <v>18</v>
      </c>
      <c r="T43" s="51">
        <v>25</v>
      </c>
      <c r="U43" s="51">
        <v>13</v>
      </c>
      <c r="V43" s="51">
        <v>13</v>
      </c>
      <c r="W43" s="70">
        <v>7.6</v>
      </c>
      <c r="X43" s="70">
        <v>12.8</v>
      </c>
      <c r="Y43" s="70">
        <v>12.8</v>
      </c>
      <c r="Z43" s="70">
        <v>18.7</v>
      </c>
      <c r="AA43" s="70">
        <v>30</v>
      </c>
      <c r="AB43" s="65">
        <v>28</v>
      </c>
      <c r="AC43" s="65">
        <v>10</v>
      </c>
      <c r="AD43" s="65">
        <v>10</v>
      </c>
      <c r="AE43" s="65">
        <v>6.1</v>
      </c>
      <c r="AF43" s="65">
        <v>6.3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51">
        <v>0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0</v>
      </c>
      <c r="Y44" s="51">
        <v>0</v>
      </c>
      <c r="Z44" s="51">
        <v>0</v>
      </c>
      <c r="AA44" s="51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18.5</v>
      </c>
      <c r="C45" s="70">
        <v>18.5</v>
      </c>
      <c r="D45" s="70">
        <v>18.5</v>
      </c>
      <c r="E45" s="70">
        <v>18.5</v>
      </c>
      <c r="F45" s="70">
        <v>18.5</v>
      </c>
      <c r="G45" s="70">
        <v>18.5</v>
      </c>
      <c r="H45" s="70">
        <v>18.5</v>
      </c>
      <c r="I45" s="70">
        <v>18.5</v>
      </c>
      <c r="J45" s="70">
        <v>18.5</v>
      </c>
      <c r="K45" s="70">
        <v>18.5</v>
      </c>
      <c r="L45" s="70">
        <v>18.5</v>
      </c>
      <c r="M45" s="51">
        <v>18.5</v>
      </c>
      <c r="N45" s="51">
        <v>17.5</v>
      </c>
      <c r="O45" s="51">
        <v>17.5</v>
      </c>
      <c r="P45" s="51">
        <v>17.5</v>
      </c>
      <c r="Q45" s="51">
        <v>17.5</v>
      </c>
      <c r="R45" s="51">
        <v>17.5</v>
      </c>
      <c r="S45" s="51">
        <v>17.5</v>
      </c>
      <c r="T45" s="51">
        <v>17.5</v>
      </c>
      <c r="U45" s="51">
        <v>17.5</v>
      </c>
      <c r="V45" s="51">
        <v>17.5</v>
      </c>
      <c r="W45" s="51">
        <v>17.5</v>
      </c>
      <c r="X45" s="51">
        <v>17.5</v>
      </c>
      <c r="Y45" s="51">
        <v>17.5</v>
      </c>
      <c r="Z45" s="51">
        <v>17.5</v>
      </c>
      <c r="AA45" s="51">
        <v>17.5</v>
      </c>
      <c r="AB45" s="70">
        <v>17.600000000000001</v>
      </c>
      <c r="AC45" s="70">
        <v>17.600000000000001</v>
      </c>
      <c r="AD45" s="70">
        <v>17.600000000000001</v>
      </c>
      <c r="AE45" s="70">
        <v>17.7</v>
      </c>
      <c r="AF45" s="70">
        <v>17.7</v>
      </c>
      <c r="AG45" s="63">
        <v>24</v>
      </c>
      <c r="AH45" s="54">
        <f t="shared" si="2"/>
        <v>18.5</v>
      </c>
      <c r="AI45" s="55">
        <f t="shared" si="3"/>
        <v>17.5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</v>
      </c>
      <c r="C47" s="70">
        <v>13</v>
      </c>
      <c r="D47" s="70">
        <v>13</v>
      </c>
      <c r="E47" s="70">
        <v>13</v>
      </c>
      <c r="F47" s="70">
        <v>13</v>
      </c>
      <c r="G47" s="70">
        <v>13</v>
      </c>
      <c r="H47" s="70">
        <v>13</v>
      </c>
      <c r="I47" s="70">
        <v>13</v>
      </c>
      <c r="J47" s="70">
        <v>13</v>
      </c>
      <c r="K47" s="70">
        <v>13</v>
      </c>
      <c r="L47" s="70">
        <v>13</v>
      </c>
      <c r="M47" s="51">
        <v>13</v>
      </c>
      <c r="N47" s="51">
        <v>13</v>
      </c>
      <c r="O47" s="51">
        <v>13</v>
      </c>
      <c r="P47" s="51">
        <v>13</v>
      </c>
      <c r="Q47" s="51">
        <v>13</v>
      </c>
      <c r="R47" s="51">
        <v>13</v>
      </c>
      <c r="S47" s="51">
        <v>13</v>
      </c>
      <c r="T47" s="51">
        <v>13</v>
      </c>
      <c r="U47" s="51">
        <v>13</v>
      </c>
      <c r="V47" s="51">
        <v>13</v>
      </c>
      <c r="W47" s="51">
        <v>13</v>
      </c>
      <c r="X47" s="51">
        <v>13</v>
      </c>
      <c r="Y47" s="51">
        <v>13</v>
      </c>
      <c r="Z47" s="51">
        <v>13</v>
      </c>
      <c r="AA47" s="51">
        <v>13</v>
      </c>
      <c r="AB47" s="70">
        <v>14.2</v>
      </c>
      <c r="AC47" s="70">
        <v>14.2</v>
      </c>
      <c r="AD47" s="70">
        <v>14.2</v>
      </c>
      <c r="AE47" s="70">
        <v>13.6</v>
      </c>
      <c r="AF47" s="70">
        <v>13.3</v>
      </c>
      <c r="AG47" s="63">
        <v>14.1</v>
      </c>
      <c r="AH47" s="54">
        <f t="shared" si="2"/>
        <v>14.2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10.7</v>
      </c>
      <c r="C48" s="70">
        <v>10.7</v>
      </c>
      <c r="D48" s="70">
        <v>10.7</v>
      </c>
      <c r="E48" s="70">
        <v>10.7</v>
      </c>
      <c r="F48" s="70">
        <v>10.7</v>
      </c>
      <c r="G48" s="70">
        <v>10.7</v>
      </c>
      <c r="H48" s="70">
        <v>10.7</v>
      </c>
      <c r="I48" s="70">
        <v>10.7</v>
      </c>
      <c r="J48" s="70">
        <v>10.7</v>
      </c>
      <c r="K48" s="70">
        <v>10.7</v>
      </c>
      <c r="L48" s="70">
        <v>10.7</v>
      </c>
      <c r="M48" s="51">
        <v>10.7</v>
      </c>
      <c r="N48" s="51">
        <v>10.9</v>
      </c>
      <c r="O48" s="51">
        <v>10.9</v>
      </c>
      <c r="P48" s="51">
        <v>10.9</v>
      </c>
      <c r="Q48" s="51">
        <v>10.9</v>
      </c>
      <c r="R48" s="51">
        <v>10.9</v>
      </c>
      <c r="S48" s="51">
        <v>10.9</v>
      </c>
      <c r="T48" s="51">
        <v>10.9</v>
      </c>
      <c r="U48" s="51">
        <v>10.9</v>
      </c>
      <c r="V48" s="51">
        <v>10.9</v>
      </c>
      <c r="W48" s="51">
        <v>10.9</v>
      </c>
      <c r="X48" s="51">
        <v>10.9</v>
      </c>
      <c r="Y48" s="51">
        <v>10.9</v>
      </c>
      <c r="Z48" s="51">
        <v>10.9</v>
      </c>
      <c r="AA48" s="51">
        <v>10.9</v>
      </c>
      <c r="AB48" s="70">
        <v>11.1</v>
      </c>
      <c r="AC48" s="70">
        <v>11.1</v>
      </c>
      <c r="AD48" s="70">
        <v>11.1</v>
      </c>
      <c r="AE48" s="70">
        <v>12.6</v>
      </c>
      <c r="AF48" s="70">
        <v>12.6</v>
      </c>
      <c r="AG48" s="63">
        <v>14</v>
      </c>
      <c r="AH48" s="54">
        <f t="shared" si="2"/>
        <v>12.6</v>
      </c>
      <c r="AI48" s="55">
        <f t="shared" si="3"/>
        <v>10.7</v>
      </c>
      <c r="AK48" s="56"/>
    </row>
    <row r="49" spans="1:37" x14ac:dyDescent="0.25">
      <c r="A49" s="62" t="s">
        <v>57</v>
      </c>
      <c r="B49" s="70">
        <v>7.5</v>
      </c>
      <c r="C49" s="70">
        <v>7.5</v>
      </c>
      <c r="D49" s="70">
        <v>7.5</v>
      </c>
      <c r="E49" s="70">
        <v>7.5</v>
      </c>
      <c r="F49" s="70">
        <v>7.5</v>
      </c>
      <c r="G49" s="70">
        <v>7.5</v>
      </c>
      <c r="H49" s="70">
        <v>7.5</v>
      </c>
      <c r="I49" s="70">
        <v>7.5</v>
      </c>
      <c r="J49" s="70">
        <v>7.5</v>
      </c>
      <c r="K49" s="70">
        <v>7.5</v>
      </c>
      <c r="L49" s="70">
        <v>7.5</v>
      </c>
      <c r="M49" s="51">
        <v>7.5</v>
      </c>
      <c r="N49" s="51">
        <v>7.5</v>
      </c>
      <c r="O49" s="51">
        <v>7.5</v>
      </c>
      <c r="P49" s="51">
        <v>7.5</v>
      </c>
      <c r="Q49" s="51">
        <v>7.5</v>
      </c>
      <c r="R49" s="51">
        <v>7.5</v>
      </c>
      <c r="S49" s="51">
        <v>7.5</v>
      </c>
      <c r="T49" s="51">
        <v>7.5</v>
      </c>
      <c r="U49" s="51">
        <v>7.5</v>
      </c>
      <c r="V49" s="51">
        <v>7.5</v>
      </c>
      <c r="W49" s="51">
        <v>7.5</v>
      </c>
      <c r="X49" s="51">
        <v>7.5</v>
      </c>
      <c r="Y49" s="51">
        <v>7.5</v>
      </c>
      <c r="Z49" s="51">
        <v>7.5</v>
      </c>
      <c r="AA49" s="51">
        <v>7.5</v>
      </c>
      <c r="AB49" s="70">
        <v>7.6</v>
      </c>
      <c r="AC49" s="70">
        <v>7.6</v>
      </c>
      <c r="AD49" s="70">
        <v>7.6</v>
      </c>
      <c r="AE49" s="70">
        <v>7.6</v>
      </c>
      <c r="AF49" s="70">
        <v>7.6</v>
      </c>
      <c r="AG49" s="63">
        <v>10.050000000000001</v>
      </c>
      <c r="AH49" s="54">
        <f t="shared" si="2"/>
        <v>7.6</v>
      </c>
      <c r="AI49" s="55">
        <f t="shared" si="3"/>
        <v>7.5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51">
        <v>3.1</v>
      </c>
      <c r="N50" s="51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70">
        <v>3.1</v>
      </c>
      <c r="AC50" s="70">
        <v>3.1</v>
      </c>
      <c r="AD50" s="70">
        <v>3.1</v>
      </c>
      <c r="AE50" s="70">
        <v>3.1</v>
      </c>
      <c r="AF50" s="70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7">SUM(B39:B51)</f>
        <v>414.94000000000005</v>
      </c>
      <c r="C52" s="69">
        <f t="shared" si="7"/>
        <v>396.94000000000005</v>
      </c>
      <c r="D52" s="69">
        <f t="shared" si="7"/>
        <v>396.94000000000005</v>
      </c>
      <c r="E52" s="69">
        <f t="shared" si="7"/>
        <v>396.94000000000005</v>
      </c>
      <c r="F52" s="69">
        <f t="shared" si="7"/>
        <v>396.94000000000005</v>
      </c>
      <c r="G52" s="69">
        <f t="shared" si="7"/>
        <v>403.94000000000005</v>
      </c>
      <c r="H52" s="69">
        <f t="shared" si="7"/>
        <v>406.94000000000005</v>
      </c>
      <c r="I52" s="69">
        <f t="shared" si="7"/>
        <v>406.94000000000005</v>
      </c>
      <c r="J52" s="69">
        <f t="shared" si="7"/>
        <v>411.94000000000005</v>
      </c>
      <c r="K52" s="69">
        <f t="shared" si="7"/>
        <v>418.64000000000004</v>
      </c>
      <c r="L52" s="69">
        <f t="shared" si="7"/>
        <v>421.64000000000004</v>
      </c>
      <c r="M52" s="69">
        <f t="shared" si="7"/>
        <v>413.04</v>
      </c>
      <c r="N52" s="69">
        <f t="shared" si="7"/>
        <v>414.54</v>
      </c>
      <c r="O52" s="69">
        <f t="shared" si="7"/>
        <v>414.54</v>
      </c>
      <c r="P52" s="69">
        <f t="shared" si="7"/>
        <v>414.54</v>
      </c>
      <c r="Q52" s="69">
        <f t="shared" ref="Q52" si="8">SUM(Q39:Q51)</f>
        <v>406.54</v>
      </c>
      <c r="R52" s="69">
        <f t="shared" si="7"/>
        <v>405.44</v>
      </c>
      <c r="S52" s="69">
        <f t="shared" si="7"/>
        <v>420.84</v>
      </c>
      <c r="T52" s="69">
        <f t="shared" si="7"/>
        <v>427.84</v>
      </c>
      <c r="U52" s="69">
        <f t="shared" si="7"/>
        <v>421.84000000000003</v>
      </c>
      <c r="V52" s="69">
        <f t="shared" si="7"/>
        <v>421.84000000000003</v>
      </c>
      <c r="W52" s="69">
        <f t="shared" si="7"/>
        <v>412.74000000000007</v>
      </c>
      <c r="X52" s="69">
        <f>SUM(X39:X51)</f>
        <v>415.34000000000003</v>
      </c>
      <c r="Y52" s="69">
        <f t="shared" si="7"/>
        <v>391.64000000000004</v>
      </c>
      <c r="Z52" s="69">
        <f t="shared" si="7"/>
        <v>419.64</v>
      </c>
      <c r="AA52" s="69">
        <f t="shared" si="7"/>
        <v>426.14000000000004</v>
      </c>
      <c r="AB52" s="69">
        <f t="shared" si="7"/>
        <v>431.94000000000005</v>
      </c>
      <c r="AC52" s="69">
        <f t="shared" si="7"/>
        <v>413.94000000000005</v>
      </c>
      <c r="AD52" s="69">
        <f t="shared" si="7"/>
        <v>413.94000000000005</v>
      </c>
      <c r="AE52" s="69">
        <f t="shared" si="7"/>
        <v>409.74000000000007</v>
      </c>
      <c r="AF52" s="69">
        <f t="shared" si="7"/>
        <v>408.1400000000001</v>
      </c>
      <c r="AG52" s="74">
        <f>SUM(AG39:AG51)</f>
        <v>489.91</v>
      </c>
      <c r="AH52" s="54">
        <f t="shared" si="2"/>
        <v>431.94000000000005</v>
      </c>
      <c r="AI52" s="55">
        <f t="shared" si="3"/>
        <v>391.64000000000004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10</v>
      </c>
      <c r="O53" s="51">
        <v>20</v>
      </c>
      <c r="P53" s="51">
        <v>10</v>
      </c>
      <c r="Q53" s="51">
        <v>10</v>
      </c>
      <c r="R53" s="51">
        <v>22</v>
      </c>
      <c r="S53" s="51">
        <v>14</v>
      </c>
      <c r="T53" s="51">
        <v>30</v>
      </c>
      <c r="U53" s="51">
        <v>30</v>
      </c>
      <c r="V53" s="51">
        <v>30</v>
      </c>
      <c r="W53" s="51">
        <v>14</v>
      </c>
      <c r="X53" s="51">
        <v>14</v>
      </c>
      <c r="Y53" s="51">
        <v>14</v>
      </c>
      <c r="Z53" s="51">
        <v>24.5</v>
      </c>
      <c r="AA53" s="51">
        <v>59.3</v>
      </c>
      <c r="AB53" s="51">
        <v>49.2</v>
      </c>
      <c r="AC53" s="51">
        <v>30</v>
      </c>
      <c r="AD53" s="51">
        <v>19.5</v>
      </c>
      <c r="AE53" s="51">
        <v>0</v>
      </c>
      <c r="AF53" s="51">
        <v>0</v>
      </c>
      <c r="AG53" s="59">
        <v>60</v>
      </c>
      <c r="AH53" s="54">
        <f t="shared" si="2"/>
        <v>59.3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5</v>
      </c>
      <c r="O54" s="70">
        <v>6.1</v>
      </c>
      <c r="P54" s="70">
        <v>6.1</v>
      </c>
      <c r="Q54" s="70">
        <v>6.1</v>
      </c>
      <c r="R54" s="70">
        <v>6</v>
      </c>
      <c r="S54" s="70">
        <v>11.6</v>
      </c>
      <c r="T54" s="70">
        <v>15</v>
      </c>
      <c r="U54" s="70">
        <v>15</v>
      </c>
      <c r="V54" s="70">
        <v>15</v>
      </c>
      <c r="W54" s="70">
        <v>7</v>
      </c>
      <c r="X54" s="70">
        <v>7</v>
      </c>
      <c r="Y54" s="70">
        <v>7</v>
      </c>
      <c r="Z54" s="70">
        <v>11.7</v>
      </c>
      <c r="AA54" s="70">
        <v>27.3</v>
      </c>
      <c r="AB54" s="70">
        <v>24</v>
      </c>
      <c r="AC54" s="70">
        <v>14</v>
      </c>
      <c r="AD54" s="70">
        <v>6.5</v>
      </c>
      <c r="AE54" s="70">
        <v>0</v>
      </c>
      <c r="AF54" s="70">
        <v>0</v>
      </c>
      <c r="AG54" s="63">
        <v>32</v>
      </c>
      <c r="AH54" s="54">
        <f t="shared" si="2"/>
        <v>27.3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1.9</v>
      </c>
      <c r="O55" s="75">
        <v>2.2000000000000002</v>
      </c>
      <c r="P55" s="75">
        <v>2.2000000000000002</v>
      </c>
      <c r="Q55" s="75">
        <v>2.2000000000000002</v>
      </c>
      <c r="R55" s="75">
        <v>3</v>
      </c>
      <c r="S55" s="75">
        <v>4.3</v>
      </c>
      <c r="T55" s="75">
        <v>5.5</v>
      </c>
      <c r="U55" s="75">
        <v>5.5</v>
      </c>
      <c r="V55" s="75">
        <v>5.5</v>
      </c>
      <c r="W55" s="75">
        <v>2.6</v>
      </c>
      <c r="X55" s="75">
        <v>2.6</v>
      </c>
      <c r="Y55" s="75">
        <v>2.6</v>
      </c>
      <c r="Z55" s="75">
        <v>4.3</v>
      </c>
      <c r="AA55" s="75">
        <v>10</v>
      </c>
      <c r="AB55" s="75">
        <v>8.6999999999999993</v>
      </c>
      <c r="AC55" s="75">
        <v>6</v>
      </c>
      <c r="AD55" s="75">
        <v>2.4</v>
      </c>
      <c r="AE55" s="75">
        <v>0</v>
      </c>
      <c r="AF55" s="75">
        <v>0</v>
      </c>
      <c r="AG55" s="76">
        <v>14</v>
      </c>
      <c r="AH55" s="54">
        <f t="shared" si="2"/>
        <v>10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9">SUM(B53:B55)</f>
        <v>0</v>
      </c>
      <c r="C56" s="69">
        <f t="shared" si="9"/>
        <v>0</v>
      </c>
      <c r="D56" s="69">
        <f t="shared" si="9"/>
        <v>0</v>
      </c>
      <c r="E56" s="69">
        <f t="shared" si="9"/>
        <v>0</v>
      </c>
      <c r="F56" s="69">
        <f t="shared" si="9"/>
        <v>0</v>
      </c>
      <c r="G56" s="69">
        <f t="shared" si="9"/>
        <v>0</v>
      </c>
      <c r="H56" s="69">
        <f t="shared" si="9"/>
        <v>0</v>
      </c>
      <c r="I56" s="69">
        <f t="shared" si="9"/>
        <v>0</v>
      </c>
      <c r="J56" s="69">
        <f t="shared" si="9"/>
        <v>0</v>
      </c>
      <c r="K56" s="69">
        <f t="shared" si="9"/>
        <v>0</v>
      </c>
      <c r="L56" s="69">
        <f t="shared" si="9"/>
        <v>0</v>
      </c>
      <c r="M56" s="69">
        <f t="shared" si="9"/>
        <v>0</v>
      </c>
      <c r="N56" s="69">
        <f t="shared" si="9"/>
        <v>16.899999999999999</v>
      </c>
      <c r="O56" s="69">
        <f t="shared" si="9"/>
        <v>28.3</v>
      </c>
      <c r="P56" s="69">
        <f t="shared" si="9"/>
        <v>18.3</v>
      </c>
      <c r="Q56" s="69">
        <f t="shared" ref="Q56" si="10">SUM(Q53:Q55)</f>
        <v>18.3</v>
      </c>
      <c r="R56" s="69">
        <f t="shared" si="9"/>
        <v>31</v>
      </c>
      <c r="S56" s="69">
        <f t="shared" si="9"/>
        <v>29.900000000000002</v>
      </c>
      <c r="T56" s="69">
        <f t="shared" si="9"/>
        <v>50.5</v>
      </c>
      <c r="U56" s="69">
        <f t="shared" si="9"/>
        <v>50.5</v>
      </c>
      <c r="V56" s="69">
        <f t="shared" si="9"/>
        <v>50.5</v>
      </c>
      <c r="W56" s="69">
        <f t="shared" si="9"/>
        <v>23.6</v>
      </c>
      <c r="X56" s="69">
        <f t="shared" si="9"/>
        <v>23.6</v>
      </c>
      <c r="Y56" s="69">
        <f t="shared" si="9"/>
        <v>23.6</v>
      </c>
      <c r="Z56" s="69">
        <f t="shared" si="9"/>
        <v>40.5</v>
      </c>
      <c r="AA56" s="69">
        <f t="shared" si="9"/>
        <v>96.6</v>
      </c>
      <c r="AB56" s="69">
        <f t="shared" si="9"/>
        <v>81.900000000000006</v>
      </c>
      <c r="AC56" s="69">
        <f t="shared" si="9"/>
        <v>50</v>
      </c>
      <c r="AD56" s="69">
        <f t="shared" si="9"/>
        <v>28.4</v>
      </c>
      <c r="AE56" s="69">
        <f t="shared" si="9"/>
        <v>0</v>
      </c>
      <c r="AF56" s="69">
        <f t="shared" si="9"/>
        <v>0</v>
      </c>
      <c r="AG56" s="74">
        <f>SUM(AG53:AG55)</f>
        <v>106</v>
      </c>
      <c r="AH56" s="54">
        <f t="shared" si="2"/>
        <v>96.6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55</v>
      </c>
      <c r="C57" s="51">
        <v>65</v>
      </c>
      <c r="D57" s="51">
        <v>63.6</v>
      </c>
      <c r="E57" s="51">
        <v>63</v>
      </c>
      <c r="F57" s="51">
        <v>59</v>
      </c>
      <c r="G57" s="51">
        <v>51</v>
      </c>
      <c r="H57" s="51">
        <v>42</v>
      </c>
      <c r="I57" s="51">
        <v>40</v>
      </c>
      <c r="J57" s="51">
        <v>56</v>
      </c>
      <c r="K57" s="51">
        <v>55</v>
      </c>
      <c r="L57" s="51">
        <v>55</v>
      </c>
      <c r="M57" s="51">
        <v>57.8</v>
      </c>
      <c r="N57" s="51">
        <v>58</v>
      </c>
      <c r="O57" s="51">
        <v>58</v>
      </c>
      <c r="P57" s="51">
        <v>58</v>
      </c>
      <c r="Q57" s="51">
        <v>58</v>
      </c>
      <c r="R57" s="51">
        <v>60</v>
      </c>
      <c r="S57" s="51">
        <v>62.7</v>
      </c>
      <c r="T57" s="51">
        <v>64.5</v>
      </c>
      <c r="U57" s="51">
        <v>75.400000000000006</v>
      </c>
      <c r="V57" s="51">
        <v>70.400000000000006</v>
      </c>
      <c r="W57" s="51">
        <v>73</v>
      </c>
      <c r="X57" s="51">
        <v>75.599999999999994</v>
      </c>
      <c r="Y57" s="51">
        <v>78</v>
      </c>
      <c r="Z57" s="51">
        <v>74.400000000000006</v>
      </c>
      <c r="AA57" s="51">
        <v>72.900000000000006</v>
      </c>
      <c r="AB57" s="51">
        <v>78.8</v>
      </c>
      <c r="AC57" s="51">
        <v>78.8</v>
      </c>
      <c r="AD57" s="51">
        <v>69</v>
      </c>
      <c r="AE57" s="51">
        <v>67.2</v>
      </c>
      <c r="AF57" s="51">
        <v>62</v>
      </c>
      <c r="AG57" s="59"/>
      <c r="AH57" s="54">
        <f t="shared" si="2"/>
        <v>78.8</v>
      </c>
      <c r="AI57" s="55">
        <f t="shared" si="3"/>
        <v>40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35</v>
      </c>
      <c r="C59" s="70">
        <v>41</v>
      </c>
      <c r="D59" s="70">
        <v>60</v>
      </c>
      <c r="E59" s="70">
        <v>50</v>
      </c>
      <c r="F59" s="70">
        <v>55</v>
      </c>
      <c r="G59" s="70">
        <v>75</v>
      </c>
      <c r="H59" s="70">
        <v>75</v>
      </c>
      <c r="I59" s="70">
        <v>138</v>
      </c>
      <c r="J59" s="70">
        <v>135</v>
      </c>
      <c r="K59" s="70">
        <v>150</v>
      </c>
      <c r="L59" s="70">
        <v>217</v>
      </c>
      <c r="M59" s="70">
        <v>219</v>
      </c>
      <c r="N59" s="70">
        <v>222</v>
      </c>
      <c r="O59" s="70">
        <v>140</v>
      </c>
      <c r="P59" s="70">
        <v>125</v>
      </c>
      <c r="Q59" s="70">
        <v>125</v>
      </c>
      <c r="R59" s="70">
        <v>211</v>
      </c>
      <c r="S59" s="70">
        <v>145</v>
      </c>
      <c r="T59" s="70">
        <v>60.6</v>
      </c>
      <c r="U59" s="70">
        <v>126.2</v>
      </c>
      <c r="V59" s="70">
        <v>131.5</v>
      </c>
      <c r="W59" s="70">
        <v>85</v>
      </c>
      <c r="X59" s="70">
        <v>54.8</v>
      </c>
      <c r="Y59" s="70">
        <v>87</v>
      </c>
      <c r="Z59" s="70">
        <v>74.599999999999994</v>
      </c>
      <c r="AA59" s="70">
        <v>51.8</v>
      </c>
      <c r="AB59" s="70">
        <v>86.2</v>
      </c>
      <c r="AC59" s="70">
        <v>25</v>
      </c>
      <c r="AD59" s="70">
        <v>15</v>
      </c>
      <c r="AE59" s="70">
        <v>6.4</v>
      </c>
      <c r="AF59" s="70">
        <v>17.899999999999999</v>
      </c>
      <c r="AG59" s="77"/>
      <c r="AH59" s="54">
        <f t="shared" si="2"/>
        <v>222</v>
      </c>
      <c r="AI59" s="55">
        <f t="shared" si="3"/>
        <v>6.4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13</v>
      </c>
      <c r="AD60" s="78">
        <v>13</v>
      </c>
      <c r="AE60" s="78">
        <v>13</v>
      </c>
      <c r="AF60" s="78">
        <v>13</v>
      </c>
      <c r="AG60" s="77"/>
      <c r="AH60" s="54">
        <f t="shared" si="2"/>
        <v>13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4</v>
      </c>
      <c r="T62" s="78">
        <v>4</v>
      </c>
      <c r="U62" s="79">
        <v>4</v>
      </c>
      <c r="V62" s="79">
        <v>4</v>
      </c>
      <c r="W62" s="79">
        <v>4</v>
      </c>
      <c r="X62" s="79">
        <v>4</v>
      </c>
      <c r="Y62" s="79">
        <v>4</v>
      </c>
      <c r="Z62" s="79">
        <v>4</v>
      </c>
      <c r="AA62" s="79">
        <v>4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9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9">
        <v>0</v>
      </c>
      <c r="C65" s="79">
        <v>0</v>
      </c>
      <c r="D65" s="79">
        <v>0</v>
      </c>
      <c r="E65" s="79">
        <v>0</v>
      </c>
      <c r="F65" s="79">
        <v>0</v>
      </c>
      <c r="G65" s="79">
        <v>0</v>
      </c>
      <c r="H65" s="79">
        <v>0</v>
      </c>
      <c r="I65" s="79">
        <v>0</v>
      </c>
      <c r="J65" s="79">
        <v>0</v>
      </c>
      <c r="K65" s="79">
        <v>0</v>
      </c>
      <c r="L65" s="79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9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79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81">
        <v>0</v>
      </c>
      <c r="AC66" s="81">
        <v>0</v>
      </c>
      <c r="AD66" s="81">
        <v>0</v>
      </c>
      <c r="AE66" s="81">
        <v>0</v>
      </c>
      <c r="AF66" s="79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79">
        <v>0</v>
      </c>
      <c r="C67" s="79">
        <v>0</v>
      </c>
      <c r="D67" s="79">
        <v>0</v>
      </c>
      <c r="E67" s="79">
        <v>0</v>
      </c>
      <c r="F67" s="79">
        <v>0</v>
      </c>
      <c r="G67" s="79">
        <v>0</v>
      </c>
      <c r="H67" s="79">
        <v>0</v>
      </c>
      <c r="I67" s="79">
        <v>0</v>
      </c>
      <c r="J67" s="79">
        <v>0</v>
      </c>
      <c r="K67" s="79">
        <v>0</v>
      </c>
      <c r="L67" s="79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81">
        <v>0</v>
      </c>
      <c r="AC67" s="81">
        <v>0</v>
      </c>
      <c r="AD67" s="81">
        <v>0</v>
      </c>
      <c r="AE67" s="81">
        <v>0</v>
      </c>
      <c r="AF67" s="79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11">SUM(B57:B67)</f>
        <v>98</v>
      </c>
      <c r="C68" s="69">
        <f t="shared" si="11"/>
        <v>114</v>
      </c>
      <c r="D68" s="69">
        <f t="shared" si="11"/>
        <v>131.6</v>
      </c>
      <c r="E68" s="69">
        <f t="shared" si="11"/>
        <v>121</v>
      </c>
      <c r="F68" s="69">
        <f t="shared" si="11"/>
        <v>122</v>
      </c>
      <c r="G68" s="69">
        <f t="shared" si="11"/>
        <v>126</v>
      </c>
      <c r="H68" s="69">
        <f t="shared" si="11"/>
        <v>117</v>
      </c>
      <c r="I68" s="69">
        <f t="shared" si="11"/>
        <v>178</v>
      </c>
      <c r="J68" s="69">
        <f t="shared" si="11"/>
        <v>191</v>
      </c>
      <c r="K68" s="69">
        <f t="shared" si="11"/>
        <v>205</v>
      </c>
      <c r="L68" s="69">
        <f t="shared" si="11"/>
        <v>272</v>
      </c>
      <c r="M68" s="69">
        <f t="shared" si="11"/>
        <v>276.8</v>
      </c>
      <c r="N68" s="69">
        <f t="shared" si="11"/>
        <v>280</v>
      </c>
      <c r="O68" s="69">
        <f t="shared" si="11"/>
        <v>198</v>
      </c>
      <c r="P68" s="69">
        <f t="shared" si="11"/>
        <v>183</v>
      </c>
      <c r="Q68" s="69">
        <f t="shared" ref="Q68" si="12">SUM(Q57:Q67)</f>
        <v>183</v>
      </c>
      <c r="R68" s="69">
        <f t="shared" si="11"/>
        <v>271</v>
      </c>
      <c r="S68" s="69">
        <f t="shared" si="11"/>
        <v>211.7</v>
      </c>
      <c r="T68" s="69">
        <f t="shared" si="11"/>
        <v>129.1</v>
      </c>
      <c r="U68" s="69">
        <f t="shared" si="11"/>
        <v>205.60000000000002</v>
      </c>
      <c r="V68" s="69">
        <f>SUM(V57:V67)</f>
        <v>205.9</v>
      </c>
      <c r="W68" s="69">
        <f t="shared" si="11"/>
        <v>162</v>
      </c>
      <c r="X68" s="69">
        <f t="shared" si="11"/>
        <v>134.39999999999998</v>
      </c>
      <c r="Y68" s="69">
        <f t="shared" si="11"/>
        <v>169</v>
      </c>
      <c r="Z68" s="69">
        <f t="shared" si="11"/>
        <v>153</v>
      </c>
      <c r="AA68" s="69">
        <f t="shared" si="11"/>
        <v>128.69999999999999</v>
      </c>
      <c r="AB68" s="69">
        <f t="shared" si="11"/>
        <v>173</v>
      </c>
      <c r="AC68" s="69">
        <f t="shared" si="11"/>
        <v>124.8</v>
      </c>
      <c r="AD68" s="69">
        <f t="shared" si="11"/>
        <v>105</v>
      </c>
      <c r="AE68" s="69">
        <f t="shared" si="11"/>
        <v>94.600000000000009</v>
      </c>
      <c r="AF68" s="69">
        <f t="shared" si="11"/>
        <v>100.9</v>
      </c>
      <c r="AG68" s="74">
        <f>SUM(AG57:AG67)</f>
        <v>0</v>
      </c>
      <c r="AH68" s="54">
        <f t="shared" si="2"/>
        <v>280</v>
      </c>
      <c r="AI68" s="55">
        <f t="shared" si="3"/>
        <v>94.600000000000009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3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20</v>
      </c>
      <c r="C74" s="86">
        <v>0</v>
      </c>
      <c r="D74" s="86">
        <v>0</v>
      </c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>
        <v>50</v>
      </c>
      <c r="AC74" s="86">
        <v>50</v>
      </c>
      <c r="AD74" s="86">
        <v>50</v>
      </c>
      <c r="AE74" s="86">
        <v>50</v>
      </c>
      <c r="AF74" s="86">
        <v>50</v>
      </c>
      <c r="AG74" s="74"/>
      <c r="AH74" s="54">
        <f t="shared" si="2"/>
        <v>50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4">B72+B68+B56+B52+B38+B74</f>
        <v>1305.1400000000001</v>
      </c>
      <c r="C75" s="84">
        <f t="shared" si="14"/>
        <v>1272.1400000000001</v>
      </c>
      <c r="D75" s="84">
        <f t="shared" si="14"/>
        <v>1239.7400000000002</v>
      </c>
      <c r="E75" s="84">
        <f t="shared" si="14"/>
        <v>1219.1399999999999</v>
      </c>
      <c r="F75" s="84">
        <f t="shared" si="14"/>
        <v>1177.1399999999999</v>
      </c>
      <c r="G75" s="84">
        <f t="shared" si="14"/>
        <v>1165.1399999999999</v>
      </c>
      <c r="H75" s="84">
        <f t="shared" si="14"/>
        <v>1179.1399999999999</v>
      </c>
      <c r="I75" s="84">
        <f t="shared" si="14"/>
        <v>1205.1400000000001</v>
      </c>
      <c r="J75" s="84">
        <f t="shared" si="14"/>
        <v>1228.1400000000001</v>
      </c>
      <c r="K75" s="84">
        <f t="shared" si="14"/>
        <v>1258.8400000000001</v>
      </c>
      <c r="L75" s="84">
        <f t="shared" si="14"/>
        <v>1283.8400000000001</v>
      </c>
      <c r="M75" s="84">
        <f t="shared" si="14"/>
        <v>1286.54</v>
      </c>
      <c r="N75" s="84">
        <f t="shared" si="14"/>
        <v>1348.1399999999999</v>
      </c>
      <c r="O75" s="84">
        <f t="shared" si="14"/>
        <v>1352.54</v>
      </c>
      <c r="P75" s="84">
        <f t="shared" si="14"/>
        <v>1397.54</v>
      </c>
      <c r="Q75" s="84">
        <f t="shared" si="14"/>
        <v>1389.54</v>
      </c>
      <c r="R75" s="84">
        <f t="shared" si="14"/>
        <v>1439.14</v>
      </c>
      <c r="S75" s="84">
        <f t="shared" si="14"/>
        <v>1422.1399999999999</v>
      </c>
      <c r="T75" s="84">
        <f t="shared" si="14"/>
        <v>1425.1399999999999</v>
      </c>
      <c r="U75" s="84">
        <f t="shared" si="14"/>
        <v>1456.44</v>
      </c>
      <c r="V75" s="84">
        <f t="shared" si="14"/>
        <v>1426.74</v>
      </c>
      <c r="W75" s="84">
        <f t="shared" si="14"/>
        <v>1361.8400000000001</v>
      </c>
      <c r="X75" s="84">
        <f t="shared" si="14"/>
        <v>1346.8400000000001</v>
      </c>
      <c r="Y75" s="84">
        <f t="shared" si="14"/>
        <v>1357.74</v>
      </c>
      <c r="Z75" s="84">
        <f t="shared" si="14"/>
        <v>1411.6399999999999</v>
      </c>
      <c r="AA75" s="84">
        <f t="shared" si="14"/>
        <v>1526.94</v>
      </c>
      <c r="AB75" s="84">
        <f t="shared" si="14"/>
        <v>1592.3400000000001</v>
      </c>
      <c r="AC75" s="84">
        <f t="shared" si="14"/>
        <v>1564.24</v>
      </c>
      <c r="AD75" s="84">
        <f t="shared" si="14"/>
        <v>1554.8400000000001</v>
      </c>
      <c r="AE75" s="84">
        <f t="shared" si="14"/>
        <v>1469.6399999999999</v>
      </c>
      <c r="AF75" s="84">
        <f t="shared" si="14"/>
        <v>1415.3400000000001</v>
      </c>
      <c r="AG75" s="74">
        <f>AG72+AG68+AG56+AG52+AG38+AG74</f>
        <v>2144.14</v>
      </c>
      <c r="AH75" s="54">
        <f t="shared" si="2"/>
        <v>1592.3400000000001</v>
      </c>
      <c r="AI75" s="55">
        <f t="shared" si="3"/>
        <v>1165.1399999999999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5">MAX(B76:AF76)</f>
        <v>0</v>
      </c>
      <c r="AI76" s="55">
        <f t="shared" ref="AI76:AI91" si="16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5"/>
        <v>0</v>
      </c>
      <c r="AI77" s="55">
        <f t="shared" si="16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5"/>
        <v>0</v>
      </c>
      <c r="AI78" s="55">
        <f t="shared" si="16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5"/>
        <v>0</v>
      </c>
      <c r="AI79" s="55">
        <f t="shared" si="16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5"/>
        <v>0</v>
      </c>
      <c r="AI80" s="55">
        <f t="shared" si="16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5"/>
        <v>0</v>
      </c>
      <c r="AI81" s="55">
        <f t="shared" si="16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7">SUM(AG76:AG81)</f>
        <v>0</v>
      </c>
      <c r="AH82" s="54">
        <f t="shared" si="15"/>
        <v>0</v>
      </c>
      <c r="AI82" s="55">
        <f t="shared" si="16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8">SUM(B70:B82)</f>
        <v>2527.0299999999997</v>
      </c>
      <c r="C83" s="69">
        <f t="shared" si="18"/>
        <v>2474.0299999999997</v>
      </c>
      <c r="D83" s="69">
        <f t="shared" si="18"/>
        <v>2441.63</v>
      </c>
      <c r="E83" s="69">
        <f t="shared" si="18"/>
        <v>2421.0299999999997</v>
      </c>
      <c r="F83" s="69">
        <f t="shared" si="18"/>
        <v>2379.0299999999997</v>
      </c>
      <c r="G83" s="69">
        <f t="shared" si="18"/>
        <v>2367.0299999999997</v>
      </c>
      <c r="H83" s="69">
        <f t="shared" si="18"/>
        <v>2381.0299999999997</v>
      </c>
      <c r="I83" s="69">
        <f t="shared" si="18"/>
        <v>2407.0299999999997</v>
      </c>
      <c r="J83" s="69">
        <f t="shared" si="18"/>
        <v>2430.0299999999997</v>
      </c>
      <c r="K83" s="69">
        <f t="shared" si="18"/>
        <v>2460.73</v>
      </c>
      <c r="L83" s="69">
        <f t="shared" si="18"/>
        <v>2485.73</v>
      </c>
      <c r="M83" s="69">
        <f t="shared" si="18"/>
        <v>2488.4299999999998</v>
      </c>
      <c r="N83" s="69">
        <f t="shared" si="18"/>
        <v>2550.0299999999997</v>
      </c>
      <c r="O83" s="69">
        <f t="shared" si="18"/>
        <v>2554.4299999999998</v>
      </c>
      <c r="P83" s="69">
        <f t="shared" si="18"/>
        <v>2599.4299999999998</v>
      </c>
      <c r="Q83" s="69">
        <f t="shared" si="18"/>
        <v>2591.4299999999998</v>
      </c>
      <c r="R83" s="69">
        <f t="shared" si="18"/>
        <v>2641.0299999999997</v>
      </c>
      <c r="S83" s="69">
        <f t="shared" si="18"/>
        <v>2624.0299999999997</v>
      </c>
      <c r="T83" s="69">
        <f t="shared" si="18"/>
        <v>2627.0299999999997</v>
      </c>
      <c r="U83" s="69">
        <f t="shared" si="18"/>
        <v>2658.33</v>
      </c>
      <c r="V83" s="69">
        <f t="shared" si="18"/>
        <v>2628.63</v>
      </c>
      <c r="W83" s="69">
        <f t="shared" si="18"/>
        <v>2563.73</v>
      </c>
      <c r="X83" s="69">
        <f t="shared" si="18"/>
        <v>2548.73</v>
      </c>
      <c r="Y83" s="69">
        <f t="shared" si="18"/>
        <v>2559.63</v>
      </c>
      <c r="Z83" s="69">
        <f t="shared" si="18"/>
        <v>2613.5299999999997</v>
      </c>
      <c r="AA83" s="69">
        <f t="shared" si="18"/>
        <v>2728.83</v>
      </c>
      <c r="AB83" s="69">
        <f t="shared" si="18"/>
        <v>2844.23</v>
      </c>
      <c r="AC83" s="69">
        <f t="shared" si="18"/>
        <v>2816.13</v>
      </c>
      <c r="AD83" s="69">
        <f t="shared" si="18"/>
        <v>2806.73</v>
      </c>
      <c r="AE83" s="69">
        <f t="shared" si="18"/>
        <v>2721.5299999999997</v>
      </c>
      <c r="AF83" s="69">
        <f t="shared" si="18"/>
        <v>2667.23</v>
      </c>
      <c r="AG83" s="74">
        <f t="shared" si="18"/>
        <v>4360.08</v>
      </c>
      <c r="AH83" s="54">
        <f t="shared" si="15"/>
        <v>2844.23</v>
      </c>
      <c r="AI83" s="55">
        <f t="shared" si="16"/>
        <v>2367.0299999999997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50.02</v>
      </c>
      <c r="C84" s="90">
        <v>49.97</v>
      </c>
      <c r="D84" s="90">
        <v>49.96</v>
      </c>
      <c r="E84" s="90">
        <v>49.968000000000004</v>
      </c>
      <c r="F84" s="90">
        <v>49.99</v>
      </c>
      <c r="G84" s="90">
        <v>49.953000000000003</v>
      </c>
      <c r="H84" s="90">
        <v>49.822000000000003</v>
      </c>
      <c r="I84" s="90">
        <v>49.697000000000003</v>
      </c>
      <c r="J84" s="90">
        <v>50.009</v>
      </c>
      <c r="K84" s="90">
        <v>50.014000000000003</v>
      </c>
      <c r="L84" s="90">
        <v>50.058999999999997</v>
      </c>
      <c r="M84" s="90">
        <v>50.029000000000003</v>
      </c>
      <c r="N84" s="90">
        <v>50</v>
      </c>
      <c r="O84" s="90">
        <v>50</v>
      </c>
      <c r="P84" s="90">
        <v>50</v>
      </c>
      <c r="Q84" s="90">
        <v>49.997999999999998</v>
      </c>
      <c r="R84" s="90">
        <v>50.033000000000001</v>
      </c>
      <c r="S84" s="90">
        <v>49.966000000000001</v>
      </c>
      <c r="T84" s="90">
        <v>49.847999999999999</v>
      </c>
      <c r="U84" s="90">
        <v>49.841000000000001</v>
      </c>
      <c r="V84" s="90">
        <v>50.281999999999996</v>
      </c>
      <c r="W84" s="90">
        <v>49.991</v>
      </c>
      <c r="X84" s="90">
        <v>49.987000000000002</v>
      </c>
      <c r="Y84" s="90">
        <v>49.968000000000004</v>
      </c>
      <c r="Z84" s="90">
        <v>50.026000000000003</v>
      </c>
      <c r="AA84" s="90">
        <v>49.79</v>
      </c>
      <c r="AB84" s="90">
        <v>49.9</v>
      </c>
      <c r="AC84" s="90">
        <v>49.98</v>
      </c>
      <c r="AD84" s="90">
        <v>49.991</v>
      </c>
      <c r="AE84" s="90">
        <v>50.06</v>
      </c>
      <c r="AF84" s="90">
        <v>50.01</v>
      </c>
      <c r="AG84" s="91"/>
      <c r="AH84" s="54">
        <f t="shared" si="15"/>
        <v>50.281999999999996</v>
      </c>
      <c r="AI84" s="55">
        <f t="shared" si="16"/>
        <v>49.697000000000003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123.6</v>
      </c>
      <c r="C85" s="70">
        <v>123.6</v>
      </c>
      <c r="D85" s="70">
        <v>123</v>
      </c>
      <c r="E85" s="70">
        <v>123.6</v>
      </c>
      <c r="F85" s="70">
        <v>124</v>
      </c>
      <c r="G85" s="70">
        <v>124</v>
      </c>
      <c r="H85" s="70">
        <v>124</v>
      </c>
      <c r="I85" s="70">
        <v>124</v>
      </c>
      <c r="J85" s="70">
        <v>122</v>
      </c>
      <c r="K85" s="70">
        <v>123</v>
      </c>
      <c r="L85" s="70">
        <v>122</v>
      </c>
      <c r="M85" s="70">
        <v>121.7</v>
      </c>
      <c r="N85" s="70">
        <v>121.4</v>
      </c>
      <c r="O85" s="70">
        <v>121.4</v>
      </c>
      <c r="P85" s="70">
        <v>121.4</v>
      </c>
      <c r="Q85" s="70">
        <v>121.4</v>
      </c>
      <c r="R85" s="70">
        <v>121.4</v>
      </c>
      <c r="S85" s="70">
        <v>121.9</v>
      </c>
      <c r="T85" s="70">
        <v>121.7</v>
      </c>
      <c r="U85" s="70">
        <v>120.6</v>
      </c>
      <c r="V85" s="70">
        <v>123.2</v>
      </c>
      <c r="W85" s="70">
        <v>122.8</v>
      </c>
      <c r="X85" s="70">
        <v>124.1</v>
      </c>
      <c r="Y85" s="70">
        <v>123.2</v>
      </c>
      <c r="Z85" s="70">
        <v>123.9</v>
      </c>
      <c r="AA85" s="70">
        <v>123.6</v>
      </c>
      <c r="AB85" s="70">
        <v>124.7</v>
      </c>
      <c r="AC85" s="70">
        <v>124.7</v>
      </c>
      <c r="AD85" s="70">
        <v>123.9</v>
      </c>
      <c r="AE85" s="70">
        <v>123</v>
      </c>
      <c r="AF85" s="70">
        <v>121.9</v>
      </c>
      <c r="AG85" s="93"/>
      <c r="AH85" s="54">
        <f t="shared" si="15"/>
        <v>124.7</v>
      </c>
      <c r="AI85" s="55">
        <f t="shared" si="16"/>
        <v>120.6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</v>
      </c>
      <c r="C86" s="70">
        <v>12</v>
      </c>
      <c r="D86" s="70">
        <v>129</v>
      </c>
      <c r="E86" s="70">
        <v>128.80000000000001</v>
      </c>
      <c r="F86" s="70">
        <v>129</v>
      </c>
      <c r="G86" s="70">
        <v>129</v>
      </c>
      <c r="H86" s="70">
        <v>129</v>
      </c>
      <c r="I86" s="70">
        <v>129</v>
      </c>
      <c r="J86" s="70">
        <v>126</v>
      </c>
      <c r="K86" s="70">
        <v>126</v>
      </c>
      <c r="L86" s="70">
        <v>126</v>
      </c>
      <c r="M86" s="70">
        <v>125.9</v>
      </c>
      <c r="N86" s="70">
        <v>126</v>
      </c>
      <c r="O86" s="70">
        <v>126</v>
      </c>
      <c r="P86" s="70">
        <v>126</v>
      </c>
      <c r="Q86" s="70">
        <v>126</v>
      </c>
      <c r="R86" s="70">
        <v>126</v>
      </c>
      <c r="S86" s="70">
        <v>126.7</v>
      </c>
      <c r="T86" s="70">
        <v>126</v>
      </c>
      <c r="U86" s="70">
        <v>126.1</v>
      </c>
      <c r="V86" s="70">
        <v>127.9</v>
      </c>
      <c r="W86" s="70">
        <v>127.1</v>
      </c>
      <c r="X86" s="70">
        <v>128.1</v>
      </c>
      <c r="Y86" s="70">
        <v>127.7</v>
      </c>
      <c r="Z86" s="70">
        <v>127.8</v>
      </c>
      <c r="AA86" s="70">
        <v>127.5</v>
      </c>
      <c r="AB86" s="70">
        <v>128.69999999999999</v>
      </c>
      <c r="AC86" s="70">
        <v>128.69999999999999</v>
      </c>
      <c r="AD86" s="70">
        <v>128.5</v>
      </c>
      <c r="AE86" s="70">
        <v>128.4</v>
      </c>
      <c r="AF86" s="70">
        <v>63.6</v>
      </c>
      <c r="AG86" s="93"/>
      <c r="AH86" s="54">
        <f t="shared" si="15"/>
        <v>129</v>
      </c>
      <c r="AI86" s="55">
        <f t="shared" si="16"/>
        <v>12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129</v>
      </c>
      <c r="C87" s="70">
        <v>129</v>
      </c>
      <c r="D87" s="70">
        <v>129</v>
      </c>
      <c r="E87" s="70">
        <v>130.5</v>
      </c>
      <c r="F87" s="70">
        <v>130</v>
      </c>
      <c r="G87" s="70">
        <v>130</v>
      </c>
      <c r="H87" s="70">
        <v>130</v>
      </c>
      <c r="I87" s="70">
        <v>130</v>
      </c>
      <c r="J87" s="70">
        <v>130</v>
      </c>
      <c r="K87" s="70">
        <v>130</v>
      </c>
      <c r="L87" s="70">
        <v>126</v>
      </c>
      <c r="M87" s="70">
        <v>126</v>
      </c>
      <c r="N87" s="70">
        <v>127</v>
      </c>
      <c r="O87" s="70">
        <v>127</v>
      </c>
      <c r="P87" s="70">
        <v>127</v>
      </c>
      <c r="Q87" s="70">
        <v>127</v>
      </c>
      <c r="R87" s="70">
        <v>127</v>
      </c>
      <c r="S87" s="70">
        <v>125.4</v>
      </c>
      <c r="T87" s="70">
        <v>126</v>
      </c>
      <c r="U87" s="70">
        <v>127</v>
      </c>
      <c r="V87" s="70">
        <v>130.19999999999999</v>
      </c>
      <c r="W87" s="70">
        <v>129.80000000000001</v>
      </c>
      <c r="X87" s="70">
        <v>129.69999999999999</v>
      </c>
      <c r="Y87" s="70">
        <v>130.69999999999999</v>
      </c>
      <c r="Z87" s="70">
        <v>126.5</v>
      </c>
      <c r="AA87" s="70">
        <v>125.6</v>
      </c>
      <c r="AB87" s="70">
        <v>125.5</v>
      </c>
      <c r="AC87" s="70">
        <v>125.5</v>
      </c>
      <c r="AD87" s="70">
        <v>126.4</v>
      </c>
      <c r="AE87" s="70">
        <v>127.1</v>
      </c>
      <c r="AF87" s="70">
        <v>126</v>
      </c>
      <c r="AG87" s="93"/>
      <c r="AH87" s="54">
        <f t="shared" si="15"/>
        <v>130.69999999999999</v>
      </c>
      <c r="AI87" s="55">
        <f t="shared" si="16"/>
        <v>125.4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</v>
      </c>
      <c r="C88" s="70">
        <v>132</v>
      </c>
      <c r="D88" s="70">
        <v>132</v>
      </c>
      <c r="E88" s="70">
        <v>133.5</v>
      </c>
      <c r="F88" s="70">
        <v>133</v>
      </c>
      <c r="G88" s="70">
        <v>133</v>
      </c>
      <c r="H88" s="70">
        <v>132</v>
      </c>
      <c r="I88" s="70">
        <v>132</v>
      </c>
      <c r="J88" s="70">
        <v>133</v>
      </c>
      <c r="K88" s="70">
        <v>133</v>
      </c>
      <c r="L88" s="70">
        <v>130</v>
      </c>
      <c r="M88" s="70">
        <v>128.69999999999999</v>
      </c>
      <c r="N88" s="70">
        <v>130</v>
      </c>
      <c r="O88" s="70">
        <v>130</v>
      </c>
      <c r="P88" s="70">
        <v>130</v>
      </c>
      <c r="Q88" s="70">
        <v>130</v>
      </c>
      <c r="R88" s="70">
        <v>130</v>
      </c>
      <c r="S88" s="70">
        <v>127</v>
      </c>
      <c r="T88" s="70">
        <v>129</v>
      </c>
      <c r="U88" s="70">
        <v>128.69999999999999</v>
      </c>
      <c r="V88" s="70">
        <v>132</v>
      </c>
      <c r="W88" s="70">
        <v>131.69999999999999</v>
      </c>
      <c r="X88" s="70">
        <v>131.6</v>
      </c>
      <c r="Y88" s="70">
        <v>132.19999999999999</v>
      </c>
      <c r="Z88" s="70">
        <v>127.9</v>
      </c>
      <c r="AA88" s="70">
        <v>127.6</v>
      </c>
      <c r="AB88" s="70">
        <v>128.19999999999999</v>
      </c>
      <c r="AC88" s="70">
        <v>128.19999999999999</v>
      </c>
      <c r="AD88" s="70">
        <v>129.1</v>
      </c>
      <c r="AE88" s="70">
        <v>131</v>
      </c>
      <c r="AF88" s="70">
        <v>130.5</v>
      </c>
      <c r="AG88" s="93"/>
      <c r="AH88" s="54">
        <f t="shared" si="15"/>
        <v>133.5</v>
      </c>
      <c r="AI88" s="55">
        <f t="shared" si="16"/>
        <v>127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130</v>
      </c>
      <c r="C89" s="95">
        <v>130</v>
      </c>
      <c r="D89" s="95">
        <v>130</v>
      </c>
      <c r="E89" s="95">
        <v>134.6</v>
      </c>
      <c r="F89" s="95">
        <v>134</v>
      </c>
      <c r="G89" s="95">
        <v>134</v>
      </c>
      <c r="H89" s="95">
        <v>132</v>
      </c>
      <c r="I89" s="95">
        <v>132</v>
      </c>
      <c r="J89" s="95">
        <v>134</v>
      </c>
      <c r="K89" s="95">
        <v>134</v>
      </c>
      <c r="L89" s="95">
        <v>135</v>
      </c>
      <c r="M89" s="95">
        <v>132</v>
      </c>
      <c r="N89" s="95">
        <v>130</v>
      </c>
      <c r="O89" s="95">
        <v>130</v>
      </c>
      <c r="P89" s="95">
        <v>130</v>
      </c>
      <c r="Q89" s="95">
        <v>130</v>
      </c>
      <c r="R89" s="95">
        <v>130</v>
      </c>
      <c r="S89" s="95">
        <v>129.80000000000001</v>
      </c>
      <c r="T89" s="95">
        <v>135</v>
      </c>
      <c r="U89" s="95">
        <v>127.9</v>
      </c>
      <c r="V89" s="95">
        <v>133.4</v>
      </c>
      <c r="W89" s="95">
        <v>131.9</v>
      </c>
      <c r="X89" s="95">
        <v>134.4</v>
      </c>
      <c r="Y89" s="95">
        <v>130.6</v>
      </c>
      <c r="Z89" s="95">
        <v>131.9</v>
      </c>
      <c r="AA89" s="95">
        <v>129.69999999999999</v>
      </c>
      <c r="AB89" s="95">
        <v>128.1</v>
      </c>
      <c r="AC89" s="95">
        <v>128.1</v>
      </c>
      <c r="AD89" s="95">
        <v>131.1</v>
      </c>
      <c r="AE89" s="95">
        <v>132.80000000000001</v>
      </c>
      <c r="AF89" s="95">
        <v>130.6</v>
      </c>
      <c r="AG89" s="96"/>
      <c r="AH89" s="54">
        <f t="shared" si="15"/>
        <v>135</v>
      </c>
      <c r="AI89" s="55">
        <f t="shared" si="16"/>
        <v>127.9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129</v>
      </c>
      <c r="C90" s="70">
        <v>129</v>
      </c>
      <c r="D90" s="70">
        <v>127</v>
      </c>
      <c r="E90" s="70">
        <v>133</v>
      </c>
      <c r="F90" s="70">
        <v>129</v>
      </c>
      <c r="G90" s="70">
        <v>129</v>
      </c>
      <c r="H90" s="70">
        <v>126</v>
      </c>
      <c r="I90" s="70">
        <v>126</v>
      </c>
      <c r="J90" s="70">
        <v>128</v>
      </c>
      <c r="K90" s="70">
        <v>128</v>
      </c>
      <c r="L90" s="70">
        <v>128</v>
      </c>
      <c r="M90" s="70">
        <v>128</v>
      </c>
      <c r="N90" s="70">
        <v>123</v>
      </c>
      <c r="O90" s="70">
        <v>123</v>
      </c>
      <c r="P90" s="70">
        <v>123</v>
      </c>
      <c r="Q90" s="70">
        <v>123</v>
      </c>
      <c r="R90" s="70">
        <v>123</v>
      </c>
      <c r="S90" s="70">
        <v>123.5</v>
      </c>
      <c r="T90" s="70">
        <v>135</v>
      </c>
      <c r="U90" s="70">
        <v>124.4</v>
      </c>
      <c r="V90" s="70">
        <v>131.1</v>
      </c>
      <c r="W90" s="70">
        <v>131.1</v>
      </c>
      <c r="X90" s="70">
        <v>136.69999999999999</v>
      </c>
      <c r="Y90" s="70">
        <v>128</v>
      </c>
      <c r="Z90" s="70">
        <v>130.19999999999999</v>
      </c>
      <c r="AA90" s="70">
        <v>128</v>
      </c>
      <c r="AB90" s="70">
        <v>124.5</v>
      </c>
      <c r="AC90" s="70">
        <v>124.5</v>
      </c>
      <c r="AD90" s="70">
        <v>123.3</v>
      </c>
      <c r="AE90" s="70">
        <v>131.69999999999999</v>
      </c>
      <c r="AF90" s="70">
        <v>124.2</v>
      </c>
      <c r="AG90" s="93"/>
      <c r="AH90" s="54">
        <f t="shared" si="15"/>
        <v>136.69999999999999</v>
      </c>
      <c r="AI90" s="55">
        <f t="shared" si="16"/>
        <v>123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65.099999999999994</v>
      </c>
      <c r="C91" s="97">
        <v>65.099999999999994</v>
      </c>
      <c r="D91" s="97">
        <v>64.400000000000006</v>
      </c>
      <c r="E91" s="97">
        <v>64.7</v>
      </c>
      <c r="F91" s="97">
        <v>65</v>
      </c>
      <c r="G91" s="97">
        <v>65</v>
      </c>
      <c r="H91" s="97">
        <v>64.8</v>
      </c>
      <c r="I91" s="97">
        <v>64.8</v>
      </c>
      <c r="J91" s="97">
        <v>63.7</v>
      </c>
      <c r="K91" s="97">
        <v>63.7</v>
      </c>
      <c r="L91" s="97">
        <v>63</v>
      </c>
      <c r="M91" s="97">
        <v>62.9</v>
      </c>
      <c r="N91" s="97">
        <v>63</v>
      </c>
      <c r="O91" s="97">
        <v>63</v>
      </c>
      <c r="P91" s="97">
        <v>63</v>
      </c>
      <c r="Q91" s="97">
        <v>63</v>
      </c>
      <c r="R91" s="97">
        <v>63</v>
      </c>
      <c r="S91" s="97">
        <v>62.7</v>
      </c>
      <c r="T91" s="97">
        <v>63</v>
      </c>
      <c r="U91" s="97">
        <v>62.9</v>
      </c>
      <c r="V91" s="97">
        <v>63.8</v>
      </c>
      <c r="W91" s="97">
        <v>63.5</v>
      </c>
      <c r="X91" s="97">
        <v>63.9</v>
      </c>
      <c r="Y91" s="97">
        <v>64</v>
      </c>
      <c r="Z91" s="97">
        <v>64.099999999999994</v>
      </c>
      <c r="AA91" s="97">
        <v>63.8</v>
      </c>
      <c r="AB91" s="97">
        <v>64.599999999999994</v>
      </c>
      <c r="AC91" s="97">
        <v>64.599999999999994</v>
      </c>
      <c r="AD91" s="97">
        <v>64.900000000000006</v>
      </c>
      <c r="AE91" s="97">
        <v>64.3</v>
      </c>
      <c r="AF91" s="97">
        <v>63.6</v>
      </c>
      <c r="AG91" s="98"/>
      <c r="AH91" s="54">
        <f t="shared" si="15"/>
        <v>65.099999999999994</v>
      </c>
      <c r="AI91" s="55">
        <f t="shared" si="16"/>
        <v>62.7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9">SUM(B15,B18,B21:B22,B42,B44:B45,B47,B49,B94:B97,B103,B109,B115,B124,B126,B138,B145,B148:B149,B156,B158,B160,B164:B166,B168:B170,B175,B181:B182,B184:B186,B194,B199)</f>
        <v>155.63999999999999</v>
      </c>
      <c r="C93" s="103">
        <f t="shared" si="19"/>
        <v>142.63999999999999</v>
      </c>
      <c r="D93" s="103">
        <f t="shared" si="19"/>
        <v>143.23999999999998</v>
      </c>
      <c r="E93" s="103">
        <f t="shared" si="19"/>
        <v>135.23999999999998</v>
      </c>
      <c r="F93" s="103">
        <f t="shared" si="19"/>
        <v>138.23999999999998</v>
      </c>
      <c r="G93" s="103">
        <f t="shared" si="19"/>
        <v>158.44</v>
      </c>
      <c r="H93" s="103">
        <f t="shared" si="19"/>
        <v>187.83999999999997</v>
      </c>
      <c r="I93" s="103">
        <f t="shared" si="19"/>
        <v>218.04</v>
      </c>
      <c r="J93" s="103">
        <f t="shared" si="19"/>
        <v>250.83999999999997</v>
      </c>
      <c r="K93" s="103">
        <f t="shared" si="19"/>
        <v>280.24</v>
      </c>
      <c r="L93" s="103">
        <f t="shared" si="19"/>
        <v>300.24</v>
      </c>
      <c r="M93" s="103">
        <f t="shared" si="19"/>
        <v>296.64000000000004</v>
      </c>
      <c r="N93" s="103">
        <f t="shared" si="19"/>
        <v>296.24</v>
      </c>
      <c r="O93" s="103">
        <f t="shared" si="19"/>
        <v>296.24</v>
      </c>
      <c r="P93" s="103">
        <f t="shared" si="19"/>
        <v>299.74</v>
      </c>
      <c r="Q93" s="103">
        <f t="shared" si="19"/>
        <v>300.74</v>
      </c>
      <c r="R93" s="103">
        <f t="shared" si="19"/>
        <v>296.14000000000004</v>
      </c>
      <c r="S93" s="103">
        <f t="shared" si="19"/>
        <v>292.34000000000003</v>
      </c>
      <c r="T93" s="103">
        <f t="shared" si="19"/>
        <v>297.34000000000003</v>
      </c>
      <c r="U93" s="103">
        <f t="shared" si="19"/>
        <v>286.84000000000003</v>
      </c>
      <c r="V93" s="103">
        <f t="shared" si="19"/>
        <v>290.94</v>
      </c>
      <c r="W93" s="103">
        <f>SUM(W15,W18,W21:W22,W42,W44:W45,W47,W49,W94:W97,W103,W109,W115,W124,W126,W138,W145,W148:W149,W156,W158,W160,W164:W166,W168:W170,W175,W181:W182,W184:W186,W194,W199)</f>
        <v>290.74</v>
      </c>
      <c r="X93" s="103">
        <f>SUM(X15,X18,X21:X22,X42,X44:X45,X47,X49,X94:X97,X103,X109,X115,X124,X126,X138,X145,X148:X149,X156,X158,X160,X164:X166,X168:X170,X175,X181:X182,X184:X186,X194,X199)</f>
        <v>286.14</v>
      </c>
      <c r="Y93" s="103">
        <f t="shared" si="19"/>
        <v>296.03999999999996</v>
      </c>
      <c r="Z93" s="103">
        <f t="shared" si="19"/>
        <v>324.84000000000003</v>
      </c>
      <c r="AA93" s="103">
        <f t="shared" si="19"/>
        <v>352.94</v>
      </c>
      <c r="AB93" s="103">
        <f t="shared" si="19"/>
        <v>323.33999999999997</v>
      </c>
      <c r="AC93" s="103">
        <f t="shared" si="19"/>
        <v>292.84000000000003</v>
      </c>
      <c r="AD93" s="103">
        <f t="shared" si="19"/>
        <v>285.44</v>
      </c>
      <c r="AE93" s="103">
        <f t="shared" si="19"/>
        <v>218.43999999999994</v>
      </c>
      <c r="AF93" s="103">
        <f t="shared" si="19"/>
        <v>180.63999999999996</v>
      </c>
      <c r="AG93" s="104"/>
      <c r="AH93" s="54">
        <f>MAX(C93:AF93)</f>
        <v>352.94</v>
      </c>
      <c r="AI93" s="55">
        <f>MIN(C93:AF93)</f>
        <v>135.23999999999998</v>
      </c>
    </row>
    <row r="94" spans="1:88" x14ac:dyDescent="0.25">
      <c r="A94" s="105" t="s">
        <v>99</v>
      </c>
      <c r="B94" s="106">
        <v>30</v>
      </c>
      <c r="C94" s="106">
        <v>36</v>
      </c>
      <c r="D94" s="106">
        <v>34</v>
      </c>
      <c r="E94" s="106">
        <v>42</v>
      </c>
      <c r="F94" s="106">
        <v>40</v>
      </c>
      <c r="G94" s="106">
        <v>32</v>
      </c>
      <c r="H94" s="106">
        <v>35</v>
      </c>
      <c r="I94" s="106">
        <v>38</v>
      </c>
      <c r="J94" s="106">
        <v>49</v>
      </c>
      <c r="K94" s="106">
        <v>55</v>
      </c>
      <c r="L94" s="106">
        <v>54</v>
      </c>
      <c r="M94" s="106">
        <v>60</v>
      </c>
      <c r="N94" s="106">
        <v>45</v>
      </c>
      <c r="O94" s="106">
        <v>45</v>
      </c>
      <c r="P94" s="106">
        <v>28.7</v>
      </c>
      <c r="Q94" s="106">
        <v>29.7</v>
      </c>
      <c r="R94" s="106">
        <v>29.3</v>
      </c>
      <c r="S94" s="106">
        <v>30.8</v>
      </c>
      <c r="T94" s="106">
        <v>37</v>
      </c>
      <c r="U94" s="106">
        <v>31.4</v>
      </c>
      <c r="V94" s="106">
        <v>28.6</v>
      </c>
      <c r="W94" s="106">
        <v>42.5</v>
      </c>
      <c r="X94" s="106">
        <v>45.2</v>
      </c>
      <c r="Y94" s="106">
        <v>37.700000000000003</v>
      </c>
      <c r="Z94" s="106">
        <v>51.1</v>
      </c>
      <c r="AA94" s="106">
        <v>32.700000000000003</v>
      </c>
      <c r="AB94" s="106">
        <v>31.5</v>
      </c>
      <c r="AC94" s="106">
        <v>32.5</v>
      </c>
      <c r="AD94" s="106">
        <v>30.1</v>
      </c>
      <c r="AE94" s="106">
        <v>42.5</v>
      </c>
      <c r="AF94" s="106">
        <v>39.9</v>
      </c>
      <c r="AG94" s="107">
        <v>75</v>
      </c>
      <c r="AH94" s="54">
        <f t="shared" ref="AH94:AH100" si="20">IF(ABS(MAX(C94:AF94))&gt;ABS(MIN(C94:AF94)),MAX(C94:AF94),MIN(C94:AF94))</f>
        <v>60</v>
      </c>
      <c r="AI94" s="108">
        <f t="shared" ref="AI94:AI100" si="21">INDEX($C$9:$AF$9,1,MATCH(AH94,C94:AF94,0))</f>
        <v>0.33333333333333331</v>
      </c>
    </row>
    <row r="95" spans="1:88" x14ac:dyDescent="0.25">
      <c r="A95" s="109" t="s">
        <v>100</v>
      </c>
      <c r="B95" s="110">
        <v>-108</v>
      </c>
      <c r="C95" s="110">
        <v>-115</v>
      </c>
      <c r="D95" s="110">
        <v>-115</v>
      </c>
      <c r="E95" s="110">
        <v>-117</v>
      </c>
      <c r="F95" s="110">
        <v>-113</v>
      </c>
      <c r="G95" s="110">
        <v>-102</v>
      </c>
      <c r="H95" s="110">
        <v>-88</v>
      </c>
      <c r="I95" s="110">
        <v>-71</v>
      </c>
      <c r="J95" s="110">
        <v>-60</v>
      </c>
      <c r="K95" s="110">
        <v>-49</v>
      </c>
      <c r="L95" s="110">
        <v>-37</v>
      </c>
      <c r="M95" s="110">
        <v>-42.5</v>
      </c>
      <c r="N95" s="110">
        <v>-48</v>
      </c>
      <c r="O95" s="110">
        <v>-48</v>
      </c>
      <c r="P95" s="110">
        <f>-23.8-28</f>
        <v>-51.8</v>
      </c>
      <c r="Q95" s="110">
        <f>-23.8-28</f>
        <v>-51.8</v>
      </c>
      <c r="R95" s="110">
        <v>-49</v>
      </c>
      <c r="S95" s="110">
        <f>-20-26</f>
        <v>-46</v>
      </c>
      <c r="T95" s="110">
        <f>-24-30</f>
        <v>-54</v>
      </c>
      <c r="U95" s="110">
        <v>-56.5</v>
      </c>
      <c r="V95" s="110">
        <f>-20-27.2</f>
        <v>-47.2</v>
      </c>
      <c r="W95" s="110">
        <v>-51</v>
      </c>
      <c r="X95" s="110">
        <f>-23-28</f>
        <v>-51</v>
      </c>
      <c r="Y95" s="110">
        <f>-21.2-25.1</f>
        <v>-46.3</v>
      </c>
      <c r="Z95" s="110">
        <f>-16.4-21.2</f>
        <v>-37.599999999999994</v>
      </c>
      <c r="AA95" s="110">
        <f>-8.6-18.4</f>
        <v>-27</v>
      </c>
      <c r="AB95" s="110">
        <f>-14.8-23.4</f>
        <v>-38.200000000000003</v>
      </c>
      <c r="AC95" s="110">
        <v>-58</v>
      </c>
      <c r="AD95" s="110">
        <v>-64.2</v>
      </c>
      <c r="AE95" s="110">
        <f>-44.5-47.5</f>
        <v>-92</v>
      </c>
      <c r="AF95" s="110">
        <f>-52.9-56</f>
        <v>-108.9</v>
      </c>
      <c r="AG95" s="107">
        <v>240</v>
      </c>
      <c r="AH95" s="54">
        <f t="shared" si="20"/>
        <v>-117</v>
      </c>
      <c r="AI95" s="108">
        <f t="shared" si="21"/>
        <v>0.125</v>
      </c>
    </row>
    <row r="96" spans="1:88" x14ac:dyDescent="0.25">
      <c r="A96" s="109" t="s">
        <v>101</v>
      </c>
      <c r="B96" s="110">
        <v>3.4</v>
      </c>
      <c r="C96" s="110">
        <v>-1.6</v>
      </c>
      <c r="D96" s="110">
        <v>0</v>
      </c>
      <c r="E96" s="110">
        <v>0</v>
      </c>
      <c r="F96" s="110">
        <v>1</v>
      </c>
      <c r="G96" s="110">
        <v>2.2000000000000002</v>
      </c>
      <c r="H96" s="110">
        <v>2.6</v>
      </c>
      <c r="I96" s="110">
        <v>5.8</v>
      </c>
      <c r="J96" s="110">
        <v>7.6</v>
      </c>
      <c r="K96" s="110">
        <v>11</v>
      </c>
      <c r="L96" s="110">
        <v>12</v>
      </c>
      <c r="M96" s="110">
        <v>11.4</v>
      </c>
      <c r="N96" s="110">
        <v>15</v>
      </c>
      <c r="O96" s="110">
        <v>15</v>
      </c>
      <c r="P96" s="110">
        <v>19.2</v>
      </c>
      <c r="Q96" s="110">
        <v>19.2</v>
      </c>
      <c r="R96" s="110">
        <v>22.4</v>
      </c>
      <c r="S96" s="110">
        <v>19</v>
      </c>
      <c r="T96" s="110">
        <v>27.6</v>
      </c>
      <c r="U96" s="110">
        <v>27.2</v>
      </c>
      <c r="V96" s="110">
        <v>29.7</v>
      </c>
      <c r="W96" s="110">
        <v>21</v>
      </c>
      <c r="X96" s="110">
        <v>19.3</v>
      </c>
      <c r="Y96" s="110">
        <v>22.1</v>
      </c>
      <c r="Z96" s="110">
        <v>27.9</v>
      </c>
      <c r="AA96" s="110">
        <v>50</v>
      </c>
      <c r="AB96" s="110">
        <v>36.700000000000003</v>
      </c>
      <c r="AC96" s="110">
        <v>25</v>
      </c>
      <c r="AD96" s="110">
        <v>15.6</v>
      </c>
      <c r="AE96" s="110">
        <v>2.4</v>
      </c>
      <c r="AF96" s="110">
        <v>-1.9</v>
      </c>
      <c r="AG96" s="107">
        <v>60</v>
      </c>
      <c r="AH96" s="54">
        <f t="shared" si="20"/>
        <v>50</v>
      </c>
      <c r="AI96" s="108">
        <f t="shared" si="21"/>
        <v>0.8125</v>
      </c>
    </row>
    <row r="97" spans="1:37" x14ac:dyDescent="0.25">
      <c r="A97" s="111" t="s">
        <v>102</v>
      </c>
      <c r="B97" s="112">
        <v>20</v>
      </c>
      <c r="C97" s="112">
        <v>13</v>
      </c>
      <c r="D97" s="112">
        <v>14</v>
      </c>
      <c r="E97" s="112">
        <v>0</v>
      </c>
      <c r="F97" s="112">
        <v>0</v>
      </c>
      <c r="G97" s="112">
        <v>16</v>
      </c>
      <c r="H97" s="112">
        <v>28</v>
      </c>
      <c r="I97" s="112">
        <v>35</v>
      </c>
      <c r="J97" s="112">
        <v>44</v>
      </c>
      <c r="K97" s="112">
        <v>53</v>
      </c>
      <c r="L97" s="112">
        <v>61</v>
      </c>
      <c r="M97" s="112">
        <v>58.3</v>
      </c>
      <c r="N97" s="112">
        <v>67.8</v>
      </c>
      <c r="O97" s="112">
        <v>67.8</v>
      </c>
      <c r="P97" s="112">
        <v>87.2</v>
      </c>
      <c r="Q97" s="112">
        <v>87.2</v>
      </c>
      <c r="R97" s="112">
        <v>77</v>
      </c>
      <c r="S97" s="112">
        <v>72.099999999999994</v>
      </c>
      <c r="T97" s="112">
        <v>70.3</v>
      </c>
      <c r="U97" s="112">
        <v>70.2</v>
      </c>
      <c r="V97" s="112">
        <v>65.3</v>
      </c>
      <c r="W97" s="112">
        <v>64.2</v>
      </c>
      <c r="X97" s="112">
        <v>64.599999999999994</v>
      </c>
      <c r="Y97" s="112">
        <v>74.5</v>
      </c>
      <c r="Z97" s="112">
        <v>75.400000000000006</v>
      </c>
      <c r="AA97" s="112">
        <v>89.2</v>
      </c>
      <c r="AB97" s="112">
        <v>83.5</v>
      </c>
      <c r="AC97" s="112">
        <v>83.5</v>
      </c>
      <c r="AD97" s="112">
        <v>94.1</v>
      </c>
      <c r="AE97" s="112">
        <v>55.7</v>
      </c>
      <c r="AF97" s="112">
        <v>40.4</v>
      </c>
      <c r="AG97" s="113">
        <v>120</v>
      </c>
      <c r="AH97" s="54">
        <f t="shared" si="20"/>
        <v>94.1</v>
      </c>
      <c r="AI97" s="108">
        <f t="shared" si="21"/>
        <v>0.875</v>
      </c>
    </row>
    <row r="98" spans="1:37" x14ac:dyDescent="0.25">
      <c r="A98" s="111" t="s">
        <v>103</v>
      </c>
      <c r="B98" s="112">
        <v>42</v>
      </c>
      <c r="C98" s="112">
        <v>41</v>
      </c>
      <c r="D98" s="112">
        <v>45</v>
      </c>
      <c r="E98" s="112">
        <v>68</v>
      </c>
      <c r="F98" s="112">
        <v>35</v>
      </c>
      <c r="G98" s="112">
        <v>47</v>
      </c>
      <c r="H98" s="112">
        <v>52</v>
      </c>
      <c r="I98" s="112">
        <v>59</v>
      </c>
      <c r="J98" s="112">
        <v>62</v>
      </c>
      <c r="K98" s="112">
        <v>68</v>
      </c>
      <c r="L98" s="112">
        <v>82</v>
      </c>
      <c r="M98" s="112">
        <v>74.5</v>
      </c>
      <c r="N98" s="112">
        <v>87.5</v>
      </c>
      <c r="O98" s="112">
        <v>87.5</v>
      </c>
      <c r="P98" s="112">
        <v>73.5</v>
      </c>
      <c r="Q98" s="112">
        <v>73.5</v>
      </c>
      <c r="R98" s="112">
        <v>91.3</v>
      </c>
      <c r="S98" s="112">
        <v>83</v>
      </c>
      <c r="T98" s="112">
        <v>81</v>
      </c>
      <c r="U98" s="112">
        <v>86.6</v>
      </c>
      <c r="V98" s="112">
        <v>79</v>
      </c>
      <c r="W98" s="112">
        <v>77</v>
      </c>
      <c r="X98" s="112">
        <v>72</v>
      </c>
      <c r="Y98" s="112">
        <v>84</v>
      </c>
      <c r="Z98" s="112">
        <v>74.900000000000006</v>
      </c>
      <c r="AA98" s="112">
        <v>78</v>
      </c>
      <c r="AB98" s="112">
        <v>75.8</v>
      </c>
      <c r="AC98" s="112">
        <v>75.8</v>
      </c>
      <c r="AD98" s="112">
        <v>86.8</v>
      </c>
      <c r="AE98" s="112">
        <v>63.2</v>
      </c>
      <c r="AF98" s="112">
        <v>58.7</v>
      </c>
      <c r="AG98" s="113"/>
      <c r="AH98" s="54">
        <f t="shared" si="20"/>
        <v>91.3</v>
      </c>
      <c r="AI98" s="108">
        <f t="shared" si="21"/>
        <v>0.54166666666666696</v>
      </c>
    </row>
    <row r="99" spans="1:37" x14ac:dyDescent="0.25">
      <c r="A99" s="111" t="s">
        <v>104</v>
      </c>
      <c r="B99" s="112">
        <v>72</v>
      </c>
      <c r="C99" s="112">
        <v>62</v>
      </c>
      <c r="D99" s="112">
        <v>64</v>
      </c>
      <c r="E99" s="112">
        <v>48</v>
      </c>
      <c r="F99" s="112">
        <v>52</v>
      </c>
      <c r="G99" s="112">
        <v>76</v>
      </c>
      <c r="H99" s="112">
        <v>73</v>
      </c>
      <c r="I99" s="112">
        <v>70</v>
      </c>
      <c r="J99" s="112">
        <v>37</v>
      </c>
      <c r="K99" s="112">
        <v>36</v>
      </c>
      <c r="L99" s="112">
        <v>38</v>
      </c>
      <c r="M99" s="112">
        <v>22.8</v>
      </c>
      <c r="N99" s="112">
        <v>60</v>
      </c>
      <c r="O99" s="112">
        <v>60</v>
      </c>
      <c r="P99" s="112">
        <v>60</v>
      </c>
      <c r="Q99" s="112">
        <v>60</v>
      </c>
      <c r="R99" s="112">
        <v>66.900000000000006</v>
      </c>
      <c r="S99" s="112">
        <v>74</v>
      </c>
      <c r="T99" s="112">
        <v>61.3</v>
      </c>
      <c r="U99" s="112">
        <v>77.3</v>
      </c>
      <c r="V99" s="112">
        <v>77.3</v>
      </c>
      <c r="W99" s="112">
        <v>69.7</v>
      </c>
      <c r="X99" s="112">
        <v>63</v>
      </c>
      <c r="Y99" s="112">
        <v>70.5</v>
      </c>
      <c r="Z99" s="112">
        <v>61.9</v>
      </c>
      <c r="AA99" s="112">
        <v>78.099999999999994</v>
      </c>
      <c r="AB99" s="112">
        <v>79.099999999999994</v>
      </c>
      <c r="AC99" s="112">
        <v>79.099999999999994</v>
      </c>
      <c r="AD99" s="112">
        <v>86.6</v>
      </c>
      <c r="AE99" s="112">
        <v>78.400000000000006</v>
      </c>
      <c r="AF99" s="112">
        <v>81.7</v>
      </c>
      <c r="AG99" s="114"/>
      <c r="AH99" s="54">
        <f t="shared" si="20"/>
        <v>86.6</v>
      </c>
      <c r="AI99" s="108">
        <f t="shared" si="21"/>
        <v>0.875</v>
      </c>
    </row>
    <row r="100" spans="1:37" ht="15.75" thickBot="1" x14ac:dyDescent="0.3">
      <c r="A100" s="115" t="s">
        <v>105</v>
      </c>
      <c r="B100" s="95">
        <v>78</v>
      </c>
      <c r="C100" s="95">
        <v>73</v>
      </c>
      <c r="D100" s="95">
        <v>63</v>
      </c>
      <c r="E100" s="95">
        <v>50</v>
      </c>
      <c r="F100" s="95">
        <v>42</v>
      </c>
      <c r="G100" s="95">
        <v>34</v>
      </c>
      <c r="H100" s="95">
        <v>37</v>
      </c>
      <c r="I100" s="95">
        <v>30</v>
      </c>
      <c r="J100" s="95">
        <v>32</v>
      </c>
      <c r="K100" s="95">
        <v>40</v>
      </c>
      <c r="L100" s="95">
        <v>41</v>
      </c>
      <c r="M100" s="95">
        <v>45.7</v>
      </c>
      <c r="N100" s="95">
        <v>46.8</v>
      </c>
      <c r="O100" s="95">
        <v>46.8</v>
      </c>
      <c r="P100" s="95">
        <v>54</v>
      </c>
      <c r="Q100" s="95">
        <v>54</v>
      </c>
      <c r="R100" s="95">
        <v>68.400000000000006</v>
      </c>
      <c r="S100" s="95">
        <v>75</v>
      </c>
      <c r="T100" s="95">
        <v>66</v>
      </c>
      <c r="U100" s="95">
        <v>62.6</v>
      </c>
      <c r="V100" s="95">
        <v>57</v>
      </c>
      <c r="W100" s="95">
        <v>51.2</v>
      </c>
      <c r="X100" s="95">
        <v>50</v>
      </c>
      <c r="Y100" s="95">
        <v>50</v>
      </c>
      <c r="Z100" s="95">
        <v>70</v>
      </c>
      <c r="AA100" s="95">
        <v>79</v>
      </c>
      <c r="AB100" s="95">
        <v>83.8</v>
      </c>
      <c r="AC100" s="95">
        <v>83.8</v>
      </c>
      <c r="AD100" s="95">
        <v>77</v>
      </c>
      <c r="AE100" s="95">
        <v>80.599999999999994</v>
      </c>
      <c r="AF100" s="95">
        <v>75.2</v>
      </c>
      <c r="AG100" s="114"/>
      <c r="AH100" s="54">
        <f t="shared" si="20"/>
        <v>83.8</v>
      </c>
      <c r="AI100" s="108">
        <f t="shared" si="21"/>
        <v>0.83333333333333337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2">AF102</f>
        <v>9.9</v>
      </c>
      <c r="C102" s="53">
        <v>9.9</v>
      </c>
      <c r="D102" s="121">
        <f t="shared" ref="D102:S107" si="23">C102</f>
        <v>9.9</v>
      </c>
      <c r="E102" s="121">
        <f t="shared" si="23"/>
        <v>9.9</v>
      </c>
      <c r="F102" s="121">
        <f t="shared" si="23"/>
        <v>9.9</v>
      </c>
      <c r="G102" s="121">
        <f t="shared" si="23"/>
        <v>9.9</v>
      </c>
      <c r="H102" s="121">
        <f t="shared" si="23"/>
        <v>9.9</v>
      </c>
      <c r="I102" s="121">
        <f t="shared" si="23"/>
        <v>9.9</v>
      </c>
      <c r="J102" s="121">
        <f t="shared" si="23"/>
        <v>9.9</v>
      </c>
      <c r="K102" s="121">
        <f t="shared" si="23"/>
        <v>9.9</v>
      </c>
      <c r="L102" s="121">
        <f t="shared" si="23"/>
        <v>9.9</v>
      </c>
      <c r="M102" s="121">
        <f t="shared" si="23"/>
        <v>9.9</v>
      </c>
      <c r="N102" s="121">
        <f t="shared" si="23"/>
        <v>9.9</v>
      </c>
      <c r="O102" s="121">
        <f t="shared" si="23"/>
        <v>9.9</v>
      </c>
      <c r="P102" s="121">
        <f t="shared" si="23"/>
        <v>9.9</v>
      </c>
      <c r="Q102" s="121">
        <f t="shared" si="23"/>
        <v>9.9</v>
      </c>
      <c r="R102" s="121">
        <f t="shared" si="23"/>
        <v>9.9</v>
      </c>
      <c r="S102" s="121">
        <f t="shared" si="23"/>
        <v>9.9</v>
      </c>
      <c r="T102" s="121">
        <f t="shared" ref="T102:AF107" si="24">S102</f>
        <v>9.9</v>
      </c>
      <c r="U102" s="121">
        <f t="shared" si="24"/>
        <v>9.9</v>
      </c>
      <c r="V102" s="121">
        <f t="shared" si="24"/>
        <v>9.9</v>
      </c>
      <c r="W102" s="121">
        <f t="shared" si="24"/>
        <v>9.9</v>
      </c>
      <c r="X102" s="121">
        <f t="shared" si="24"/>
        <v>9.9</v>
      </c>
      <c r="Y102" s="121">
        <f t="shared" si="24"/>
        <v>9.9</v>
      </c>
      <c r="Z102" s="121">
        <f t="shared" si="24"/>
        <v>9.9</v>
      </c>
      <c r="AA102" s="121">
        <f t="shared" si="24"/>
        <v>9.9</v>
      </c>
      <c r="AB102" s="121">
        <f t="shared" si="24"/>
        <v>9.9</v>
      </c>
      <c r="AC102" s="121">
        <f t="shared" si="24"/>
        <v>9.9</v>
      </c>
      <c r="AD102" s="121">
        <f t="shared" si="24"/>
        <v>9.9</v>
      </c>
      <c r="AE102" s="121">
        <f t="shared" si="24"/>
        <v>9.9</v>
      </c>
      <c r="AF102" s="121">
        <f t="shared" si="24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2"/>
        <v>9.6</v>
      </c>
      <c r="C103" s="124">
        <v>9.6</v>
      </c>
      <c r="D103" s="123">
        <f t="shared" si="23"/>
        <v>9.6</v>
      </c>
      <c r="E103" s="123">
        <f t="shared" si="23"/>
        <v>9.6</v>
      </c>
      <c r="F103" s="123">
        <f t="shared" si="23"/>
        <v>9.6</v>
      </c>
      <c r="G103" s="123">
        <f t="shared" si="23"/>
        <v>9.6</v>
      </c>
      <c r="H103" s="123">
        <f t="shared" si="23"/>
        <v>9.6</v>
      </c>
      <c r="I103" s="123">
        <f t="shared" si="23"/>
        <v>9.6</v>
      </c>
      <c r="J103" s="123">
        <f t="shared" si="23"/>
        <v>9.6</v>
      </c>
      <c r="K103" s="123">
        <f t="shared" si="23"/>
        <v>9.6</v>
      </c>
      <c r="L103" s="123">
        <f t="shared" si="23"/>
        <v>9.6</v>
      </c>
      <c r="M103" s="123">
        <f t="shared" si="23"/>
        <v>9.6</v>
      </c>
      <c r="N103" s="123">
        <f t="shared" si="23"/>
        <v>9.6</v>
      </c>
      <c r="O103" s="123">
        <f t="shared" si="23"/>
        <v>9.6</v>
      </c>
      <c r="P103" s="123">
        <f t="shared" si="23"/>
        <v>9.6</v>
      </c>
      <c r="Q103" s="123">
        <f t="shared" si="23"/>
        <v>9.6</v>
      </c>
      <c r="R103" s="123">
        <f t="shared" si="23"/>
        <v>9.6</v>
      </c>
      <c r="S103" s="123">
        <f t="shared" si="23"/>
        <v>9.6</v>
      </c>
      <c r="T103" s="123">
        <f t="shared" si="24"/>
        <v>9.6</v>
      </c>
      <c r="U103" s="123">
        <f t="shared" si="24"/>
        <v>9.6</v>
      </c>
      <c r="V103" s="123">
        <f t="shared" si="24"/>
        <v>9.6</v>
      </c>
      <c r="W103" s="123">
        <f t="shared" si="24"/>
        <v>9.6</v>
      </c>
      <c r="X103" s="123">
        <f t="shared" si="24"/>
        <v>9.6</v>
      </c>
      <c r="Y103" s="123">
        <f t="shared" si="24"/>
        <v>9.6</v>
      </c>
      <c r="Z103" s="123">
        <f t="shared" si="24"/>
        <v>9.6</v>
      </c>
      <c r="AA103" s="123">
        <f t="shared" si="24"/>
        <v>9.6</v>
      </c>
      <c r="AB103" s="123">
        <f t="shared" si="24"/>
        <v>9.6</v>
      </c>
      <c r="AC103" s="123">
        <f t="shared" si="24"/>
        <v>9.6</v>
      </c>
      <c r="AD103" s="123">
        <f t="shared" si="24"/>
        <v>9.6</v>
      </c>
      <c r="AE103" s="123">
        <f t="shared" si="24"/>
        <v>9.6</v>
      </c>
      <c r="AF103" s="123">
        <f t="shared" si="24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2"/>
        <v>9.98</v>
      </c>
      <c r="C104" s="124">
        <v>9.98</v>
      </c>
      <c r="D104" s="123">
        <f t="shared" si="23"/>
        <v>9.98</v>
      </c>
      <c r="E104" s="123">
        <f t="shared" si="23"/>
        <v>9.98</v>
      </c>
      <c r="F104" s="123">
        <f t="shared" si="23"/>
        <v>9.98</v>
      </c>
      <c r="G104" s="123">
        <f t="shared" si="23"/>
        <v>9.98</v>
      </c>
      <c r="H104" s="123">
        <f t="shared" si="23"/>
        <v>9.98</v>
      </c>
      <c r="I104" s="123">
        <f t="shared" si="23"/>
        <v>9.98</v>
      </c>
      <c r="J104" s="123">
        <f t="shared" si="23"/>
        <v>9.98</v>
      </c>
      <c r="K104" s="123">
        <f t="shared" si="23"/>
        <v>9.98</v>
      </c>
      <c r="L104" s="123">
        <f t="shared" si="23"/>
        <v>9.98</v>
      </c>
      <c r="M104" s="123">
        <f t="shared" si="23"/>
        <v>9.98</v>
      </c>
      <c r="N104" s="123">
        <f t="shared" si="23"/>
        <v>9.98</v>
      </c>
      <c r="O104" s="123">
        <f t="shared" si="23"/>
        <v>9.98</v>
      </c>
      <c r="P104" s="123">
        <f t="shared" si="23"/>
        <v>9.98</v>
      </c>
      <c r="Q104" s="123">
        <f t="shared" si="23"/>
        <v>9.98</v>
      </c>
      <c r="R104" s="123">
        <f t="shared" si="23"/>
        <v>9.98</v>
      </c>
      <c r="S104" s="123">
        <f t="shared" si="23"/>
        <v>9.98</v>
      </c>
      <c r="T104" s="123">
        <f t="shared" si="24"/>
        <v>9.98</v>
      </c>
      <c r="U104" s="123">
        <f t="shared" si="24"/>
        <v>9.98</v>
      </c>
      <c r="V104" s="123">
        <f t="shared" si="24"/>
        <v>9.98</v>
      </c>
      <c r="W104" s="123">
        <f t="shared" si="24"/>
        <v>9.98</v>
      </c>
      <c r="X104" s="123">
        <f t="shared" si="24"/>
        <v>9.98</v>
      </c>
      <c r="Y104" s="123">
        <f t="shared" si="24"/>
        <v>9.98</v>
      </c>
      <c r="Z104" s="123">
        <f t="shared" si="24"/>
        <v>9.98</v>
      </c>
      <c r="AA104" s="123">
        <f t="shared" si="24"/>
        <v>9.98</v>
      </c>
      <c r="AB104" s="123">
        <f t="shared" si="24"/>
        <v>9.98</v>
      </c>
      <c r="AC104" s="123">
        <f t="shared" si="24"/>
        <v>9.98</v>
      </c>
      <c r="AD104" s="123">
        <f t="shared" si="24"/>
        <v>9.98</v>
      </c>
      <c r="AE104" s="123">
        <f t="shared" si="24"/>
        <v>9.98</v>
      </c>
      <c r="AF104" s="123">
        <f t="shared" si="24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2"/>
        <v>9.1</v>
      </c>
      <c r="C105" s="124">
        <v>9.1</v>
      </c>
      <c r="D105" s="123">
        <f t="shared" si="23"/>
        <v>9.1</v>
      </c>
      <c r="E105" s="123">
        <f t="shared" si="23"/>
        <v>9.1</v>
      </c>
      <c r="F105" s="123">
        <f t="shared" si="23"/>
        <v>9.1</v>
      </c>
      <c r="G105" s="123">
        <f t="shared" si="23"/>
        <v>9.1</v>
      </c>
      <c r="H105" s="123">
        <f t="shared" si="23"/>
        <v>9.1</v>
      </c>
      <c r="I105" s="123">
        <f t="shared" si="23"/>
        <v>9.1</v>
      </c>
      <c r="J105" s="123">
        <f t="shared" si="23"/>
        <v>9.1</v>
      </c>
      <c r="K105" s="123">
        <f t="shared" si="23"/>
        <v>9.1</v>
      </c>
      <c r="L105" s="123">
        <f t="shared" si="23"/>
        <v>9.1</v>
      </c>
      <c r="M105" s="123">
        <f t="shared" si="23"/>
        <v>9.1</v>
      </c>
      <c r="N105" s="123">
        <f t="shared" si="23"/>
        <v>9.1</v>
      </c>
      <c r="O105" s="123">
        <f t="shared" si="23"/>
        <v>9.1</v>
      </c>
      <c r="P105" s="123">
        <f t="shared" si="23"/>
        <v>9.1</v>
      </c>
      <c r="Q105" s="123">
        <f t="shared" si="23"/>
        <v>9.1</v>
      </c>
      <c r="R105" s="123">
        <f t="shared" si="23"/>
        <v>9.1</v>
      </c>
      <c r="S105" s="123">
        <f t="shared" si="23"/>
        <v>9.1</v>
      </c>
      <c r="T105" s="123">
        <f t="shared" si="24"/>
        <v>9.1</v>
      </c>
      <c r="U105" s="123">
        <f t="shared" si="24"/>
        <v>9.1</v>
      </c>
      <c r="V105" s="123">
        <f t="shared" si="24"/>
        <v>9.1</v>
      </c>
      <c r="W105" s="123">
        <f t="shared" si="24"/>
        <v>9.1</v>
      </c>
      <c r="X105" s="123">
        <f t="shared" si="24"/>
        <v>9.1</v>
      </c>
      <c r="Y105" s="123">
        <f t="shared" si="24"/>
        <v>9.1</v>
      </c>
      <c r="Z105" s="123">
        <f t="shared" si="24"/>
        <v>9.1</v>
      </c>
      <c r="AA105" s="123">
        <f t="shared" si="24"/>
        <v>9.1</v>
      </c>
      <c r="AB105" s="123">
        <f t="shared" si="24"/>
        <v>9.1</v>
      </c>
      <c r="AC105" s="123">
        <f t="shared" si="24"/>
        <v>9.1</v>
      </c>
      <c r="AD105" s="123">
        <f t="shared" si="24"/>
        <v>9.1</v>
      </c>
      <c r="AE105" s="123">
        <f t="shared" si="24"/>
        <v>9.1</v>
      </c>
      <c r="AF105" s="123">
        <f t="shared" si="24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2"/>
        <v>9.18</v>
      </c>
      <c r="C106" s="124">
        <v>9.18</v>
      </c>
      <c r="D106" s="123">
        <f t="shared" si="23"/>
        <v>9.18</v>
      </c>
      <c r="E106" s="123">
        <f t="shared" si="23"/>
        <v>9.18</v>
      </c>
      <c r="F106" s="123">
        <f t="shared" si="23"/>
        <v>9.18</v>
      </c>
      <c r="G106" s="123">
        <f t="shared" si="23"/>
        <v>9.18</v>
      </c>
      <c r="H106" s="123">
        <f t="shared" si="23"/>
        <v>9.18</v>
      </c>
      <c r="I106" s="123">
        <f t="shared" si="23"/>
        <v>9.18</v>
      </c>
      <c r="J106" s="123">
        <f t="shared" si="23"/>
        <v>9.18</v>
      </c>
      <c r="K106" s="123">
        <f t="shared" si="23"/>
        <v>9.18</v>
      </c>
      <c r="L106" s="123">
        <f t="shared" si="23"/>
        <v>9.18</v>
      </c>
      <c r="M106" s="123">
        <f t="shared" si="23"/>
        <v>9.18</v>
      </c>
      <c r="N106" s="123">
        <f t="shared" si="23"/>
        <v>9.18</v>
      </c>
      <c r="O106" s="123">
        <f t="shared" si="23"/>
        <v>9.18</v>
      </c>
      <c r="P106" s="123">
        <f t="shared" si="23"/>
        <v>9.18</v>
      </c>
      <c r="Q106" s="123">
        <f t="shared" si="23"/>
        <v>9.18</v>
      </c>
      <c r="R106" s="123">
        <f t="shared" si="23"/>
        <v>9.18</v>
      </c>
      <c r="S106" s="123">
        <f t="shared" si="23"/>
        <v>9.18</v>
      </c>
      <c r="T106" s="123">
        <f t="shared" si="24"/>
        <v>9.18</v>
      </c>
      <c r="U106" s="123">
        <f t="shared" si="24"/>
        <v>9.18</v>
      </c>
      <c r="V106" s="123">
        <f t="shared" si="24"/>
        <v>9.18</v>
      </c>
      <c r="W106" s="123">
        <f t="shared" si="24"/>
        <v>9.18</v>
      </c>
      <c r="X106" s="123">
        <f t="shared" si="24"/>
        <v>9.18</v>
      </c>
      <c r="Y106" s="123">
        <f t="shared" si="24"/>
        <v>9.18</v>
      </c>
      <c r="Z106" s="123">
        <f t="shared" si="24"/>
        <v>9.18</v>
      </c>
      <c r="AA106" s="123">
        <f t="shared" si="24"/>
        <v>9.18</v>
      </c>
      <c r="AB106" s="123">
        <f t="shared" si="24"/>
        <v>9.18</v>
      </c>
      <c r="AC106" s="123">
        <f t="shared" si="24"/>
        <v>9.18</v>
      </c>
      <c r="AD106" s="123">
        <f t="shared" si="24"/>
        <v>9.18</v>
      </c>
      <c r="AE106" s="123">
        <f t="shared" si="24"/>
        <v>9.18</v>
      </c>
      <c r="AF106" s="123">
        <f t="shared" si="24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2"/>
        <v>7</v>
      </c>
      <c r="C107" s="124">
        <v>7</v>
      </c>
      <c r="D107" s="123">
        <f t="shared" si="23"/>
        <v>7</v>
      </c>
      <c r="E107" s="123">
        <f t="shared" si="23"/>
        <v>7</v>
      </c>
      <c r="F107" s="123">
        <f t="shared" si="23"/>
        <v>7</v>
      </c>
      <c r="G107" s="123">
        <f t="shared" si="23"/>
        <v>7</v>
      </c>
      <c r="H107" s="123">
        <f t="shared" si="23"/>
        <v>7</v>
      </c>
      <c r="I107" s="123">
        <f t="shared" si="23"/>
        <v>7</v>
      </c>
      <c r="J107" s="123">
        <f t="shared" si="23"/>
        <v>7</v>
      </c>
      <c r="K107" s="123">
        <f t="shared" si="23"/>
        <v>7</v>
      </c>
      <c r="L107" s="123">
        <f t="shared" si="23"/>
        <v>7</v>
      </c>
      <c r="M107" s="123">
        <f t="shared" si="23"/>
        <v>7</v>
      </c>
      <c r="N107" s="123">
        <f t="shared" si="23"/>
        <v>7</v>
      </c>
      <c r="O107" s="123">
        <f t="shared" si="23"/>
        <v>7</v>
      </c>
      <c r="P107" s="123">
        <f t="shared" si="23"/>
        <v>7</v>
      </c>
      <c r="Q107" s="123">
        <f t="shared" si="23"/>
        <v>7</v>
      </c>
      <c r="R107" s="123">
        <f t="shared" si="23"/>
        <v>7</v>
      </c>
      <c r="S107" s="123">
        <f t="shared" si="23"/>
        <v>7</v>
      </c>
      <c r="T107" s="123">
        <f t="shared" si="24"/>
        <v>7</v>
      </c>
      <c r="U107" s="123">
        <f t="shared" si="24"/>
        <v>7</v>
      </c>
      <c r="V107" s="123">
        <f t="shared" si="24"/>
        <v>7</v>
      </c>
      <c r="W107" s="123">
        <f t="shared" si="24"/>
        <v>7</v>
      </c>
      <c r="X107" s="123">
        <f t="shared" si="24"/>
        <v>7</v>
      </c>
      <c r="Y107" s="123">
        <f t="shared" si="24"/>
        <v>7</v>
      </c>
      <c r="Z107" s="123">
        <f t="shared" si="24"/>
        <v>7</v>
      </c>
      <c r="AA107" s="123">
        <f t="shared" si="24"/>
        <v>7</v>
      </c>
      <c r="AB107" s="123">
        <f t="shared" si="24"/>
        <v>7</v>
      </c>
      <c r="AC107" s="123">
        <f t="shared" si="24"/>
        <v>7</v>
      </c>
      <c r="AD107" s="123">
        <f t="shared" si="24"/>
        <v>7</v>
      </c>
      <c r="AE107" s="123">
        <f t="shared" si="24"/>
        <v>7</v>
      </c>
      <c r="AF107" s="123">
        <f t="shared" si="24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5">C109</f>
        <v>2.25</v>
      </c>
      <c r="E109" s="123">
        <f t="shared" si="25"/>
        <v>2.25</v>
      </c>
      <c r="F109" s="123">
        <f t="shared" si="25"/>
        <v>2.25</v>
      </c>
      <c r="G109" s="123">
        <f t="shared" si="25"/>
        <v>2.25</v>
      </c>
      <c r="H109" s="123">
        <f t="shared" si="25"/>
        <v>2.25</v>
      </c>
      <c r="I109" s="123">
        <f t="shared" si="25"/>
        <v>2.25</v>
      </c>
      <c r="J109" s="123">
        <f t="shared" si="25"/>
        <v>2.25</v>
      </c>
      <c r="K109" s="123">
        <f t="shared" si="25"/>
        <v>2.25</v>
      </c>
      <c r="L109" s="123">
        <f t="shared" si="25"/>
        <v>2.25</v>
      </c>
      <c r="M109" s="123">
        <f t="shared" si="25"/>
        <v>2.25</v>
      </c>
      <c r="N109" s="123">
        <f t="shared" si="25"/>
        <v>2.25</v>
      </c>
      <c r="O109" s="123">
        <f t="shared" si="25"/>
        <v>2.25</v>
      </c>
      <c r="P109" s="123">
        <f t="shared" si="25"/>
        <v>2.25</v>
      </c>
      <c r="Q109" s="123">
        <f t="shared" si="25"/>
        <v>2.25</v>
      </c>
      <c r="R109" s="123">
        <f t="shared" si="25"/>
        <v>2.25</v>
      </c>
      <c r="S109" s="123">
        <f t="shared" si="25"/>
        <v>2.25</v>
      </c>
      <c r="T109" s="123">
        <f t="shared" ref="T109:AF110" si="26">S109</f>
        <v>2.25</v>
      </c>
      <c r="U109" s="123">
        <f t="shared" si="26"/>
        <v>2.25</v>
      </c>
      <c r="V109" s="123">
        <f t="shared" si="26"/>
        <v>2.25</v>
      </c>
      <c r="W109" s="123">
        <f t="shared" si="26"/>
        <v>2.25</v>
      </c>
      <c r="X109" s="123">
        <f t="shared" si="26"/>
        <v>2.25</v>
      </c>
      <c r="Y109" s="123">
        <f t="shared" si="26"/>
        <v>2.25</v>
      </c>
      <c r="Z109" s="123">
        <f t="shared" si="26"/>
        <v>2.25</v>
      </c>
      <c r="AA109" s="123">
        <f t="shared" si="26"/>
        <v>2.25</v>
      </c>
      <c r="AB109" s="123">
        <f t="shared" si="26"/>
        <v>2.25</v>
      </c>
      <c r="AC109" s="123">
        <f t="shared" si="26"/>
        <v>2.25</v>
      </c>
      <c r="AD109" s="123">
        <f t="shared" si="26"/>
        <v>2.25</v>
      </c>
      <c r="AE109" s="123">
        <f t="shared" si="26"/>
        <v>2.25</v>
      </c>
      <c r="AF109" s="123">
        <f t="shared" si="26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5"/>
        <v>1.64</v>
      </c>
      <c r="E110" s="123">
        <f t="shared" si="25"/>
        <v>1.64</v>
      </c>
      <c r="F110" s="123">
        <f t="shared" si="25"/>
        <v>1.64</v>
      </c>
      <c r="G110" s="123">
        <f t="shared" si="25"/>
        <v>1.64</v>
      </c>
      <c r="H110" s="123">
        <f t="shared" si="25"/>
        <v>1.64</v>
      </c>
      <c r="I110" s="123">
        <f t="shared" si="25"/>
        <v>1.64</v>
      </c>
      <c r="J110" s="123">
        <f t="shared" si="25"/>
        <v>1.64</v>
      </c>
      <c r="K110" s="123">
        <f t="shared" si="25"/>
        <v>1.64</v>
      </c>
      <c r="L110" s="123">
        <f t="shared" si="25"/>
        <v>1.64</v>
      </c>
      <c r="M110" s="123">
        <f t="shared" si="25"/>
        <v>1.64</v>
      </c>
      <c r="N110" s="123">
        <f t="shared" si="25"/>
        <v>1.64</v>
      </c>
      <c r="O110" s="123">
        <f t="shared" si="25"/>
        <v>1.64</v>
      </c>
      <c r="P110" s="123">
        <f t="shared" si="25"/>
        <v>1.64</v>
      </c>
      <c r="Q110" s="123">
        <f t="shared" si="25"/>
        <v>1.64</v>
      </c>
      <c r="R110" s="123">
        <f t="shared" si="25"/>
        <v>1.64</v>
      </c>
      <c r="S110" s="123">
        <f t="shared" si="25"/>
        <v>1.64</v>
      </c>
      <c r="T110" s="123">
        <f t="shared" si="26"/>
        <v>1.64</v>
      </c>
      <c r="U110" s="123">
        <f t="shared" si="26"/>
        <v>1.64</v>
      </c>
      <c r="V110" s="123">
        <f t="shared" si="26"/>
        <v>1.64</v>
      </c>
      <c r="W110" s="123">
        <f t="shared" si="26"/>
        <v>1.64</v>
      </c>
      <c r="X110" s="123">
        <f t="shared" si="26"/>
        <v>1.64</v>
      </c>
      <c r="Y110" s="123">
        <f t="shared" si="26"/>
        <v>1.64</v>
      </c>
      <c r="Z110" s="123">
        <f t="shared" si="26"/>
        <v>1.64</v>
      </c>
      <c r="AA110" s="123">
        <f t="shared" si="26"/>
        <v>1.64</v>
      </c>
      <c r="AB110" s="123">
        <f t="shared" si="26"/>
        <v>1.64</v>
      </c>
      <c r="AC110" s="123">
        <f t="shared" si="26"/>
        <v>1.64</v>
      </c>
      <c r="AD110" s="123">
        <f t="shared" si="26"/>
        <v>1.64</v>
      </c>
      <c r="AE110" s="123">
        <f t="shared" si="26"/>
        <v>1.64</v>
      </c>
      <c r="AF110" s="123">
        <f t="shared" si="26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7">AF112</f>
        <v>1.62</v>
      </c>
      <c r="C112" s="124">
        <v>1.62</v>
      </c>
      <c r="D112" s="123">
        <f t="shared" ref="D112:S119" si="28">C112</f>
        <v>1.62</v>
      </c>
      <c r="E112" s="123">
        <f t="shared" si="28"/>
        <v>1.62</v>
      </c>
      <c r="F112" s="123">
        <f t="shared" si="28"/>
        <v>1.62</v>
      </c>
      <c r="G112" s="123">
        <f t="shared" si="28"/>
        <v>1.62</v>
      </c>
      <c r="H112" s="123">
        <f t="shared" si="28"/>
        <v>1.62</v>
      </c>
      <c r="I112" s="123">
        <f t="shared" si="28"/>
        <v>1.62</v>
      </c>
      <c r="J112" s="123">
        <f t="shared" si="28"/>
        <v>1.62</v>
      </c>
      <c r="K112" s="123">
        <f t="shared" si="28"/>
        <v>1.62</v>
      </c>
      <c r="L112" s="123">
        <f t="shared" si="28"/>
        <v>1.62</v>
      </c>
      <c r="M112" s="123">
        <f t="shared" si="28"/>
        <v>1.62</v>
      </c>
      <c r="N112" s="123">
        <f t="shared" si="28"/>
        <v>1.62</v>
      </c>
      <c r="O112" s="123">
        <f t="shared" si="28"/>
        <v>1.62</v>
      </c>
      <c r="P112" s="123">
        <f t="shared" si="28"/>
        <v>1.62</v>
      </c>
      <c r="Q112" s="123">
        <f t="shared" si="28"/>
        <v>1.62</v>
      </c>
      <c r="R112" s="123">
        <f t="shared" si="28"/>
        <v>1.62</v>
      </c>
      <c r="S112" s="123">
        <f t="shared" si="28"/>
        <v>1.62</v>
      </c>
      <c r="T112" s="123">
        <f t="shared" ref="T112:AF127" si="29">S112</f>
        <v>1.62</v>
      </c>
      <c r="U112" s="123">
        <f t="shared" si="29"/>
        <v>1.62</v>
      </c>
      <c r="V112" s="123">
        <f t="shared" si="29"/>
        <v>1.62</v>
      </c>
      <c r="W112" s="123">
        <f t="shared" si="29"/>
        <v>1.62</v>
      </c>
      <c r="X112" s="123">
        <f t="shared" si="29"/>
        <v>1.62</v>
      </c>
      <c r="Y112" s="123">
        <f t="shared" si="29"/>
        <v>1.62</v>
      </c>
      <c r="Z112" s="123">
        <f t="shared" si="29"/>
        <v>1.62</v>
      </c>
      <c r="AA112" s="123">
        <f t="shared" si="29"/>
        <v>1.62</v>
      </c>
      <c r="AB112" s="123">
        <f t="shared" si="29"/>
        <v>1.62</v>
      </c>
      <c r="AC112" s="123">
        <f t="shared" si="29"/>
        <v>1.62</v>
      </c>
      <c r="AD112" s="123">
        <f t="shared" si="29"/>
        <v>1.62</v>
      </c>
      <c r="AE112" s="123">
        <f t="shared" si="29"/>
        <v>1.62</v>
      </c>
      <c r="AF112" s="123">
        <f t="shared" si="29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7"/>
        <v>8.36</v>
      </c>
      <c r="C113" s="124">
        <v>8.36</v>
      </c>
      <c r="D113" s="123">
        <f t="shared" si="28"/>
        <v>8.36</v>
      </c>
      <c r="E113" s="123">
        <f t="shared" si="28"/>
        <v>8.36</v>
      </c>
      <c r="F113" s="123">
        <f t="shared" si="28"/>
        <v>8.36</v>
      </c>
      <c r="G113" s="123">
        <f t="shared" si="28"/>
        <v>8.36</v>
      </c>
      <c r="H113" s="123">
        <f t="shared" si="28"/>
        <v>8.36</v>
      </c>
      <c r="I113" s="123">
        <f t="shared" si="28"/>
        <v>8.36</v>
      </c>
      <c r="J113" s="123">
        <f t="shared" si="28"/>
        <v>8.36</v>
      </c>
      <c r="K113" s="123">
        <f t="shared" si="28"/>
        <v>8.36</v>
      </c>
      <c r="L113" s="123">
        <f t="shared" si="28"/>
        <v>8.36</v>
      </c>
      <c r="M113" s="123">
        <f t="shared" si="28"/>
        <v>8.36</v>
      </c>
      <c r="N113" s="123">
        <f t="shared" si="28"/>
        <v>8.36</v>
      </c>
      <c r="O113" s="123">
        <f t="shared" si="28"/>
        <v>8.36</v>
      </c>
      <c r="P113" s="123">
        <f t="shared" si="28"/>
        <v>8.36</v>
      </c>
      <c r="Q113" s="123">
        <f t="shared" si="28"/>
        <v>8.36</v>
      </c>
      <c r="R113" s="123">
        <f t="shared" si="28"/>
        <v>8.36</v>
      </c>
      <c r="S113" s="123">
        <f t="shared" si="28"/>
        <v>8.36</v>
      </c>
      <c r="T113" s="123">
        <f t="shared" si="29"/>
        <v>8.36</v>
      </c>
      <c r="U113" s="123">
        <f t="shared" si="29"/>
        <v>8.36</v>
      </c>
      <c r="V113" s="123">
        <f t="shared" si="29"/>
        <v>8.36</v>
      </c>
      <c r="W113" s="123">
        <f t="shared" si="29"/>
        <v>8.36</v>
      </c>
      <c r="X113" s="123">
        <f t="shared" si="29"/>
        <v>8.36</v>
      </c>
      <c r="Y113" s="123">
        <f t="shared" si="29"/>
        <v>8.36</v>
      </c>
      <c r="Z113" s="123">
        <f t="shared" si="29"/>
        <v>8.36</v>
      </c>
      <c r="AA113" s="123">
        <f t="shared" si="29"/>
        <v>8.36</v>
      </c>
      <c r="AB113" s="123">
        <f t="shared" si="29"/>
        <v>8.36</v>
      </c>
      <c r="AC113" s="123">
        <f t="shared" si="29"/>
        <v>8.36</v>
      </c>
      <c r="AD113" s="123">
        <f t="shared" si="29"/>
        <v>8.36</v>
      </c>
      <c r="AE113" s="123">
        <f t="shared" si="29"/>
        <v>8.36</v>
      </c>
      <c r="AF113" s="123">
        <f t="shared" si="29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7"/>
        <v>5.4</v>
      </c>
      <c r="C114" s="124">
        <v>8</v>
      </c>
      <c r="D114" s="123">
        <f t="shared" si="28"/>
        <v>8</v>
      </c>
      <c r="E114" s="123">
        <f t="shared" si="28"/>
        <v>8</v>
      </c>
      <c r="F114" s="123">
        <f t="shared" si="28"/>
        <v>8</v>
      </c>
      <c r="G114" s="123">
        <f t="shared" si="28"/>
        <v>8</v>
      </c>
      <c r="H114" s="123">
        <f t="shared" si="28"/>
        <v>8</v>
      </c>
      <c r="I114" s="123">
        <f t="shared" si="28"/>
        <v>8</v>
      </c>
      <c r="J114" s="123">
        <v>5.4</v>
      </c>
      <c r="K114" s="123">
        <f t="shared" si="28"/>
        <v>5.4</v>
      </c>
      <c r="L114" s="123">
        <f t="shared" si="28"/>
        <v>5.4</v>
      </c>
      <c r="M114" s="123">
        <f t="shared" si="28"/>
        <v>5.4</v>
      </c>
      <c r="N114" s="123">
        <f t="shared" si="28"/>
        <v>5.4</v>
      </c>
      <c r="O114" s="123">
        <f t="shared" si="28"/>
        <v>5.4</v>
      </c>
      <c r="P114" s="123">
        <f t="shared" si="28"/>
        <v>5.4</v>
      </c>
      <c r="Q114" s="123">
        <f t="shared" si="28"/>
        <v>5.4</v>
      </c>
      <c r="R114" s="123">
        <f t="shared" si="28"/>
        <v>5.4</v>
      </c>
      <c r="S114" s="123">
        <f t="shared" si="28"/>
        <v>5.4</v>
      </c>
      <c r="T114" s="123">
        <f t="shared" si="29"/>
        <v>5.4</v>
      </c>
      <c r="U114" s="123">
        <f t="shared" si="29"/>
        <v>5.4</v>
      </c>
      <c r="V114" s="123">
        <f t="shared" si="29"/>
        <v>5.4</v>
      </c>
      <c r="W114" s="123">
        <f t="shared" si="29"/>
        <v>5.4</v>
      </c>
      <c r="X114" s="123">
        <f t="shared" si="29"/>
        <v>5.4</v>
      </c>
      <c r="Y114" s="123">
        <f t="shared" si="29"/>
        <v>5.4</v>
      </c>
      <c r="Z114" s="123">
        <f t="shared" si="29"/>
        <v>5.4</v>
      </c>
      <c r="AA114" s="123">
        <f t="shared" si="29"/>
        <v>5.4</v>
      </c>
      <c r="AB114" s="123">
        <f t="shared" si="29"/>
        <v>5.4</v>
      </c>
      <c r="AC114" s="123">
        <f t="shared" si="29"/>
        <v>5.4</v>
      </c>
      <c r="AD114" s="123">
        <f t="shared" si="29"/>
        <v>5.4</v>
      </c>
      <c r="AE114" s="123">
        <f t="shared" si="29"/>
        <v>5.4</v>
      </c>
      <c r="AF114" s="123">
        <f t="shared" si="29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7"/>
        <v>6.57</v>
      </c>
      <c r="C115" s="124">
        <v>6.57</v>
      </c>
      <c r="D115" s="123">
        <f t="shared" si="28"/>
        <v>6.57</v>
      </c>
      <c r="E115" s="123">
        <f t="shared" si="28"/>
        <v>6.57</v>
      </c>
      <c r="F115" s="123">
        <f t="shared" si="28"/>
        <v>6.57</v>
      </c>
      <c r="G115" s="123">
        <f t="shared" si="28"/>
        <v>6.57</v>
      </c>
      <c r="H115" s="123">
        <f t="shared" si="28"/>
        <v>6.57</v>
      </c>
      <c r="I115" s="123">
        <f t="shared" si="28"/>
        <v>6.57</v>
      </c>
      <c r="J115" s="123">
        <f t="shared" si="28"/>
        <v>6.57</v>
      </c>
      <c r="K115" s="123">
        <f t="shared" si="28"/>
        <v>6.57</v>
      </c>
      <c r="L115" s="123">
        <f t="shared" si="28"/>
        <v>6.57</v>
      </c>
      <c r="M115" s="123">
        <f t="shared" si="28"/>
        <v>6.57</v>
      </c>
      <c r="N115" s="123">
        <f t="shared" si="28"/>
        <v>6.57</v>
      </c>
      <c r="O115" s="123">
        <f t="shared" si="28"/>
        <v>6.57</v>
      </c>
      <c r="P115" s="123">
        <f t="shared" si="28"/>
        <v>6.57</v>
      </c>
      <c r="Q115" s="123">
        <f t="shared" si="28"/>
        <v>6.57</v>
      </c>
      <c r="R115" s="123">
        <f t="shared" si="28"/>
        <v>6.57</v>
      </c>
      <c r="S115" s="123">
        <f t="shared" si="28"/>
        <v>6.57</v>
      </c>
      <c r="T115" s="123">
        <f t="shared" si="29"/>
        <v>6.57</v>
      </c>
      <c r="U115" s="123">
        <f t="shared" si="29"/>
        <v>6.57</v>
      </c>
      <c r="V115" s="123">
        <f t="shared" si="29"/>
        <v>6.57</v>
      </c>
      <c r="W115" s="123">
        <f t="shared" si="29"/>
        <v>6.57</v>
      </c>
      <c r="X115" s="123">
        <f t="shared" si="29"/>
        <v>6.57</v>
      </c>
      <c r="Y115" s="123">
        <f t="shared" si="29"/>
        <v>6.57</v>
      </c>
      <c r="Z115" s="123">
        <f t="shared" si="29"/>
        <v>6.57</v>
      </c>
      <c r="AA115" s="123">
        <f t="shared" si="29"/>
        <v>6.57</v>
      </c>
      <c r="AB115" s="123">
        <f t="shared" si="29"/>
        <v>6.57</v>
      </c>
      <c r="AC115" s="123">
        <f t="shared" si="29"/>
        <v>6.57</v>
      </c>
      <c r="AD115" s="123">
        <f t="shared" si="29"/>
        <v>6.57</v>
      </c>
      <c r="AE115" s="123">
        <f t="shared" si="29"/>
        <v>6.57</v>
      </c>
      <c r="AF115" s="123">
        <f t="shared" si="29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7"/>
        <v>3.43</v>
      </c>
      <c r="C116" s="124">
        <v>3.43</v>
      </c>
      <c r="D116" s="123">
        <f t="shared" si="28"/>
        <v>3.43</v>
      </c>
      <c r="E116" s="123">
        <f t="shared" si="28"/>
        <v>3.43</v>
      </c>
      <c r="F116" s="123">
        <f t="shared" si="28"/>
        <v>3.43</v>
      </c>
      <c r="G116" s="123">
        <f t="shared" si="28"/>
        <v>3.43</v>
      </c>
      <c r="H116" s="123">
        <f t="shared" si="28"/>
        <v>3.43</v>
      </c>
      <c r="I116" s="123">
        <f t="shared" si="28"/>
        <v>3.43</v>
      </c>
      <c r="J116" s="123">
        <f t="shared" si="28"/>
        <v>3.43</v>
      </c>
      <c r="K116" s="123">
        <f t="shared" si="28"/>
        <v>3.43</v>
      </c>
      <c r="L116" s="123">
        <f t="shared" si="28"/>
        <v>3.43</v>
      </c>
      <c r="M116" s="123">
        <f t="shared" si="28"/>
        <v>3.43</v>
      </c>
      <c r="N116" s="123">
        <f t="shared" si="28"/>
        <v>3.43</v>
      </c>
      <c r="O116" s="123">
        <f t="shared" si="28"/>
        <v>3.43</v>
      </c>
      <c r="P116" s="123">
        <f t="shared" si="28"/>
        <v>3.43</v>
      </c>
      <c r="Q116" s="123">
        <f t="shared" si="28"/>
        <v>3.43</v>
      </c>
      <c r="R116" s="123">
        <f t="shared" si="28"/>
        <v>3.43</v>
      </c>
      <c r="S116" s="123">
        <f t="shared" si="28"/>
        <v>3.43</v>
      </c>
      <c r="T116" s="123">
        <f t="shared" si="29"/>
        <v>3.43</v>
      </c>
      <c r="U116" s="123">
        <f t="shared" si="29"/>
        <v>3.43</v>
      </c>
      <c r="V116" s="123">
        <f t="shared" si="29"/>
        <v>3.43</v>
      </c>
      <c r="W116" s="123">
        <f t="shared" si="29"/>
        <v>3.43</v>
      </c>
      <c r="X116" s="123">
        <f t="shared" si="29"/>
        <v>3.43</v>
      </c>
      <c r="Y116" s="123">
        <f t="shared" si="29"/>
        <v>3.43</v>
      </c>
      <c r="Z116" s="123">
        <f t="shared" si="29"/>
        <v>3.43</v>
      </c>
      <c r="AA116" s="123">
        <f t="shared" si="29"/>
        <v>3.43</v>
      </c>
      <c r="AB116" s="123">
        <f t="shared" si="29"/>
        <v>3.43</v>
      </c>
      <c r="AC116" s="123">
        <f t="shared" si="29"/>
        <v>3.43</v>
      </c>
      <c r="AD116" s="123">
        <f t="shared" si="29"/>
        <v>3.43</v>
      </c>
      <c r="AE116" s="123">
        <f t="shared" si="29"/>
        <v>3.43</v>
      </c>
      <c r="AF116" s="123">
        <f t="shared" si="29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7"/>
        <v>2.96</v>
      </c>
      <c r="C117" s="124">
        <v>2.96</v>
      </c>
      <c r="D117" s="123">
        <f t="shared" si="28"/>
        <v>2.96</v>
      </c>
      <c r="E117" s="123">
        <f t="shared" si="28"/>
        <v>2.96</v>
      </c>
      <c r="F117" s="123">
        <f t="shared" si="28"/>
        <v>2.96</v>
      </c>
      <c r="G117" s="123">
        <f t="shared" si="28"/>
        <v>2.96</v>
      </c>
      <c r="H117" s="123">
        <f t="shared" si="28"/>
        <v>2.96</v>
      </c>
      <c r="I117" s="123">
        <f t="shared" si="28"/>
        <v>2.96</v>
      </c>
      <c r="J117" s="123">
        <f t="shared" si="28"/>
        <v>2.96</v>
      </c>
      <c r="K117" s="123">
        <f t="shared" si="28"/>
        <v>2.96</v>
      </c>
      <c r="L117" s="123">
        <f t="shared" si="28"/>
        <v>2.96</v>
      </c>
      <c r="M117" s="123">
        <f t="shared" si="28"/>
        <v>2.96</v>
      </c>
      <c r="N117" s="123">
        <f t="shared" si="28"/>
        <v>2.96</v>
      </c>
      <c r="O117" s="123">
        <f t="shared" si="28"/>
        <v>2.96</v>
      </c>
      <c r="P117" s="123">
        <f t="shared" si="28"/>
        <v>2.96</v>
      </c>
      <c r="Q117" s="123">
        <f t="shared" si="28"/>
        <v>2.96</v>
      </c>
      <c r="R117" s="123">
        <f t="shared" si="28"/>
        <v>2.96</v>
      </c>
      <c r="S117" s="123">
        <f t="shared" si="28"/>
        <v>2.96</v>
      </c>
      <c r="T117" s="123">
        <f t="shared" si="29"/>
        <v>2.96</v>
      </c>
      <c r="U117" s="123">
        <f t="shared" si="29"/>
        <v>2.96</v>
      </c>
      <c r="V117" s="123">
        <f t="shared" si="29"/>
        <v>2.96</v>
      </c>
      <c r="W117" s="123">
        <f t="shared" si="29"/>
        <v>2.96</v>
      </c>
      <c r="X117" s="123">
        <f t="shared" si="29"/>
        <v>2.96</v>
      </c>
      <c r="Y117" s="123">
        <f t="shared" si="29"/>
        <v>2.96</v>
      </c>
      <c r="Z117" s="123">
        <f t="shared" si="29"/>
        <v>2.96</v>
      </c>
      <c r="AA117" s="123">
        <f t="shared" si="29"/>
        <v>2.96</v>
      </c>
      <c r="AB117" s="123">
        <f t="shared" si="29"/>
        <v>2.96</v>
      </c>
      <c r="AC117" s="123">
        <f t="shared" si="29"/>
        <v>2.96</v>
      </c>
      <c r="AD117" s="123">
        <f t="shared" si="29"/>
        <v>2.96</v>
      </c>
      <c r="AE117" s="123">
        <f t="shared" si="29"/>
        <v>2.96</v>
      </c>
      <c r="AF117" s="123">
        <f t="shared" si="29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7"/>
        <v>8</v>
      </c>
      <c r="C118" s="124">
        <v>8</v>
      </c>
      <c r="D118" s="123">
        <f t="shared" si="28"/>
        <v>8</v>
      </c>
      <c r="E118" s="123">
        <f t="shared" si="28"/>
        <v>8</v>
      </c>
      <c r="F118" s="123">
        <f t="shared" si="28"/>
        <v>8</v>
      </c>
      <c r="G118" s="123">
        <f t="shared" si="28"/>
        <v>8</v>
      </c>
      <c r="H118" s="123">
        <f t="shared" si="28"/>
        <v>8</v>
      </c>
      <c r="I118" s="123">
        <f t="shared" si="28"/>
        <v>8</v>
      </c>
      <c r="J118" s="123">
        <f t="shared" si="28"/>
        <v>8</v>
      </c>
      <c r="K118" s="123">
        <f t="shared" si="28"/>
        <v>8</v>
      </c>
      <c r="L118" s="123">
        <f t="shared" si="28"/>
        <v>8</v>
      </c>
      <c r="M118" s="123">
        <f t="shared" si="28"/>
        <v>8</v>
      </c>
      <c r="N118" s="123">
        <f t="shared" si="28"/>
        <v>8</v>
      </c>
      <c r="O118" s="123">
        <f t="shared" si="28"/>
        <v>8</v>
      </c>
      <c r="P118" s="123">
        <f t="shared" si="28"/>
        <v>8</v>
      </c>
      <c r="Q118" s="123">
        <f t="shared" si="28"/>
        <v>8</v>
      </c>
      <c r="R118" s="123">
        <f t="shared" si="28"/>
        <v>8</v>
      </c>
      <c r="S118" s="123">
        <f t="shared" si="28"/>
        <v>8</v>
      </c>
      <c r="T118" s="123">
        <f t="shared" si="29"/>
        <v>8</v>
      </c>
      <c r="U118" s="123">
        <f t="shared" si="29"/>
        <v>8</v>
      </c>
      <c r="V118" s="123">
        <f t="shared" si="29"/>
        <v>8</v>
      </c>
      <c r="W118" s="123">
        <f t="shared" si="29"/>
        <v>8</v>
      </c>
      <c r="X118" s="123">
        <f t="shared" si="29"/>
        <v>8</v>
      </c>
      <c r="Y118" s="123">
        <f t="shared" si="29"/>
        <v>8</v>
      </c>
      <c r="Z118" s="123">
        <f t="shared" si="29"/>
        <v>8</v>
      </c>
      <c r="AA118" s="123">
        <f t="shared" si="29"/>
        <v>8</v>
      </c>
      <c r="AB118" s="123">
        <f t="shared" si="29"/>
        <v>8</v>
      </c>
      <c r="AC118" s="123">
        <f t="shared" si="29"/>
        <v>8</v>
      </c>
      <c r="AD118" s="123">
        <f t="shared" si="29"/>
        <v>8</v>
      </c>
      <c r="AE118" s="123">
        <f t="shared" si="29"/>
        <v>8</v>
      </c>
      <c r="AF118" s="123">
        <f t="shared" si="29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7"/>
        <v>7</v>
      </c>
      <c r="C119" s="124">
        <v>7</v>
      </c>
      <c r="D119" s="123">
        <f>C119</f>
        <v>7</v>
      </c>
      <c r="E119" s="123">
        <f t="shared" si="28"/>
        <v>7</v>
      </c>
      <c r="F119" s="123">
        <f t="shared" si="28"/>
        <v>7</v>
      </c>
      <c r="G119" s="123">
        <f t="shared" si="28"/>
        <v>7</v>
      </c>
      <c r="H119" s="123">
        <f t="shared" si="28"/>
        <v>7</v>
      </c>
      <c r="I119" s="123">
        <f t="shared" si="28"/>
        <v>7</v>
      </c>
      <c r="J119" s="123">
        <f t="shared" si="28"/>
        <v>7</v>
      </c>
      <c r="K119" s="123">
        <f t="shared" si="28"/>
        <v>7</v>
      </c>
      <c r="L119" s="123">
        <f t="shared" si="28"/>
        <v>7</v>
      </c>
      <c r="M119" s="123">
        <f t="shared" si="28"/>
        <v>7</v>
      </c>
      <c r="N119" s="123">
        <f t="shared" si="28"/>
        <v>7</v>
      </c>
      <c r="O119" s="123">
        <f t="shared" si="28"/>
        <v>7</v>
      </c>
      <c r="P119" s="123">
        <f t="shared" si="28"/>
        <v>7</v>
      </c>
      <c r="Q119" s="123">
        <f t="shared" si="28"/>
        <v>7</v>
      </c>
      <c r="R119" s="123">
        <f t="shared" si="28"/>
        <v>7</v>
      </c>
      <c r="S119" s="123">
        <f t="shared" si="28"/>
        <v>7</v>
      </c>
      <c r="T119" s="123">
        <f t="shared" si="29"/>
        <v>7</v>
      </c>
      <c r="U119" s="123">
        <f t="shared" si="29"/>
        <v>7</v>
      </c>
      <c r="V119" s="123">
        <f t="shared" si="29"/>
        <v>7</v>
      </c>
      <c r="W119" s="123">
        <f t="shared" si="29"/>
        <v>7</v>
      </c>
      <c r="X119" s="123">
        <f t="shared" si="29"/>
        <v>7</v>
      </c>
      <c r="Y119" s="123">
        <f t="shared" si="29"/>
        <v>7</v>
      </c>
      <c r="Z119" s="123">
        <f t="shared" si="29"/>
        <v>7</v>
      </c>
      <c r="AA119" s="123">
        <f t="shared" si="29"/>
        <v>7</v>
      </c>
      <c r="AB119" s="123">
        <f t="shared" si="29"/>
        <v>7</v>
      </c>
      <c r="AC119" s="123">
        <f t="shared" si="29"/>
        <v>7</v>
      </c>
      <c r="AD119" s="123">
        <f t="shared" si="29"/>
        <v>7</v>
      </c>
      <c r="AE119" s="123">
        <f t="shared" si="29"/>
        <v>7</v>
      </c>
      <c r="AF119" s="123">
        <f t="shared" si="29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7"/>
        <v>3.47</v>
      </c>
      <c r="C120" s="124">
        <v>3.47</v>
      </c>
      <c r="D120" s="123">
        <f t="shared" ref="D120:S129" si="30">C120</f>
        <v>3.47</v>
      </c>
      <c r="E120" s="123">
        <f t="shared" si="30"/>
        <v>3.47</v>
      </c>
      <c r="F120" s="123">
        <f t="shared" si="30"/>
        <v>3.47</v>
      </c>
      <c r="G120" s="123">
        <f t="shared" si="30"/>
        <v>3.47</v>
      </c>
      <c r="H120" s="123">
        <f t="shared" si="30"/>
        <v>3.47</v>
      </c>
      <c r="I120" s="123">
        <f t="shared" si="30"/>
        <v>3.47</v>
      </c>
      <c r="J120" s="123">
        <f t="shared" si="30"/>
        <v>3.47</v>
      </c>
      <c r="K120" s="123">
        <f t="shared" si="30"/>
        <v>3.47</v>
      </c>
      <c r="L120" s="123">
        <f t="shared" si="30"/>
        <v>3.47</v>
      </c>
      <c r="M120" s="123">
        <f t="shared" si="30"/>
        <v>3.47</v>
      </c>
      <c r="N120" s="123">
        <f t="shared" si="30"/>
        <v>3.47</v>
      </c>
      <c r="O120" s="123">
        <f t="shared" si="30"/>
        <v>3.47</v>
      </c>
      <c r="P120" s="123">
        <f t="shared" si="30"/>
        <v>3.47</v>
      </c>
      <c r="Q120" s="123">
        <f t="shared" si="30"/>
        <v>3.47</v>
      </c>
      <c r="R120" s="123">
        <f t="shared" si="30"/>
        <v>3.47</v>
      </c>
      <c r="S120" s="123">
        <f t="shared" si="30"/>
        <v>3.47</v>
      </c>
      <c r="T120" s="123">
        <f t="shared" si="29"/>
        <v>3.47</v>
      </c>
      <c r="U120" s="123">
        <f t="shared" si="29"/>
        <v>3.47</v>
      </c>
      <c r="V120" s="123">
        <f t="shared" si="29"/>
        <v>3.47</v>
      </c>
      <c r="W120" s="123">
        <f t="shared" si="29"/>
        <v>3.47</v>
      </c>
      <c r="X120" s="123">
        <f t="shared" si="29"/>
        <v>3.47</v>
      </c>
      <c r="Y120" s="123">
        <f t="shared" si="29"/>
        <v>3.47</v>
      </c>
      <c r="Z120" s="123">
        <f t="shared" si="29"/>
        <v>3.47</v>
      </c>
      <c r="AA120" s="123">
        <f t="shared" si="29"/>
        <v>3.47</v>
      </c>
      <c r="AB120" s="123">
        <f t="shared" si="29"/>
        <v>3.47</v>
      </c>
      <c r="AC120" s="123">
        <f t="shared" si="29"/>
        <v>3.47</v>
      </c>
      <c r="AD120" s="123">
        <f t="shared" si="29"/>
        <v>3.47</v>
      </c>
      <c r="AE120" s="123">
        <f t="shared" si="29"/>
        <v>3.47</v>
      </c>
      <c r="AF120" s="123">
        <f t="shared" si="29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7"/>
        <v>2.1</v>
      </c>
      <c r="C121" s="124">
        <v>2.1</v>
      </c>
      <c r="D121" s="123">
        <f t="shared" si="30"/>
        <v>2.1</v>
      </c>
      <c r="E121" s="123">
        <f t="shared" si="30"/>
        <v>2.1</v>
      </c>
      <c r="F121" s="123">
        <f t="shared" si="30"/>
        <v>2.1</v>
      </c>
      <c r="G121" s="123">
        <f t="shared" si="30"/>
        <v>2.1</v>
      </c>
      <c r="H121" s="123">
        <f t="shared" si="30"/>
        <v>2.1</v>
      </c>
      <c r="I121" s="123">
        <f t="shared" si="30"/>
        <v>2.1</v>
      </c>
      <c r="J121" s="123">
        <f t="shared" si="30"/>
        <v>2.1</v>
      </c>
      <c r="K121" s="123">
        <f t="shared" si="30"/>
        <v>2.1</v>
      </c>
      <c r="L121" s="123">
        <f t="shared" si="30"/>
        <v>2.1</v>
      </c>
      <c r="M121" s="123">
        <f t="shared" si="30"/>
        <v>2.1</v>
      </c>
      <c r="N121" s="123">
        <f t="shared" si="30"/>
        <v>2.1</v>
      </c>
      <c r="O121" s="123">
        <f t="shared" si="30"/>
        <v>2.1</v>
      </c>
      <c r="P121" s="123">
        <f t="shared" si="30"/>
        <v>2.1</v>
      </c>
      <c r="Q121" s="123">
        <f t="shared" si="30"/>
        <v>2.1</v>
      </c>
      <c r="R121" s="123">
        <f t="shared" si="30"/>
        <v>2.1</v>
      </c>
      <c r="S121" s="123">
        <f t="shared" si="30"/>
        <v>2.1</v>
      </c>
      <c r="T121" s="123">
        <f t="shared" si="29"/>
        <v>2.1</v>
      </c>
      <c r="U121" s="123">
        <f t="shared" si="29"/>
        <v>2.1</v>
      </c>
      <c r="V121" s="123">
        <f t="shared" si="29"/>
        <v>2.1</v>
      </c>
      <c r="W121" s="123">
        <f t="shared" si="29"/>
        <v>2.1</v>
      </c>
      <c r="X121" s="123">
        <f t="shared" si="29"/>
        <v>2.1</v>
      </c>
      <c r="Y121" s="123">
        <f t="shared" si="29"/>
        <v>2.1</v>
      </c>
      <c r="Z121" s="123">
        <f t="shared" si="29"/>
        <v>2.1</v>
      </c>
      <c r="AA121" s="123">
        <f t="shared" si="29"/>
        <v>2.1</v>
      </c>
      <c r="AB121" s="123">
        <f t="shared" si="29"/>
        <v>2.1</v>
      </c>
      <c r="AC121" s="123">
        <f t="shared" si="29"/>
        <v>2.1</v>
      </c>
      <c r="AD121" s="123">
        <f t="shared" si="29"/>
        <v>2.1</v>
      </c>
      <c r="AE121" s="123">
        <f t="shared" si="29"/>
        <v>2.1</v>
      </c>
      <c r="AF121" s="123">
        <f t="shared" si="29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7"/>
        <v>9.3000000000000007</v>
      </c>
      <c r="C122" s="124">
        <v>9.3000000000000007</v>
      </c>
      <c r="D122" s="123">
        <f t="shared" si="30"/>
        <v>9.3000000000000007</v>
      </c>
      <c r="E122" s="123">
        <f t="shared" si="30"/>
        <v>9.3000000000000007</v>
      </c>
      <c r="F122" s="123">
        <f t="shared" si="30"/>
        <v>9.3000000000000007</v>
      </c>
      <c r="G122" s="123">
        <f t="shared" si="30"/>
        <v>9.3000000000000007</v>
      </c>
      <c r="H122" s="123">
        <f t="shared" si="30"/>
        <v>9.3000000000000007</v>
      </c>
      <c r="I122" s="123">
        <f t="shared" si="30"/>
        <v>9.3000000000000007</v>
      </c>
      <c r="J122" s="123">
        <f t="shared" si="30"/>
        <v>9.3000000000000007</v>
      </c>
      <c r="K122" s="123">
        <f t="shared" si="30"/>
        <v>9.3000000000000007</v>
      </c>
      <c r="L122" s="123">
        <f t="shared" si="30"/>
        <v>9.3000000000000007</v>
      </c>
      <c r="M122" s="123">
        <f t="shared" si="30"/>
        <v>9.3000000000000007</v>
      </c>
      <c r="N122" s="123">
        <f t="shared" si="30"/>
        <v>9.3000000000000007</v>
      </c>
      <c r="O122" s="123">
        <f t="shared" si="30"/>
        <v>9.3000000000000007</v>
      </c>
      <c r="P122" s="123">
        <f t="shared" si="30"/>
        <v>9.3000000000000007</v>
      </c>
      <c r="Q122" s="123">
        <f t="shared" si="30"/>
        <v>9.3000000000000007</v>
      </c>
      <c r="R122" s="123">
        <f t="shared" si="30"/>
        <v>9.3000000000000007</v>
      </c>
      <c r="S122" s="123">
        <f t="shared" si="30"/>
        <v>9.3000000000000007</v>
      </c>
      <c r="T122" s="123">
        <f t="shared" si="29"/>
        <v>9.3000000000000007</v>
      </c>
      <c r="U122" s="123">
        <f t="shared" si="29"/>
        <v>9.3000000000000007</v>
      </c>
      <c r="V122" s="123">
        <f t="shared" si="29"/>
        <v>9.3000000000000007</v>
      </c>
      <c r="W122" s="123">
        <f t="shared" si="29"/>
        <v>9.3000000000000007</v>
      </c>
      <c r="X122" s="123">
        <f t="shared" si="29"/>
        <v>9.3000000000000007</v>
      </c>
      <c r="Y122" s="123">
        <f t="shared" si="29"/>
        <v>9.3000000000000007</v>
      </c>
      <c r="Z122" s="123">
        <f t="shared" si="29"/>
        <v>9.3000000000000007</v>
      </c>
      <c r="AA122" s="123">
        <f t="shared" si="29"/>
        <v>9.3000000000000007</v>
      </c>
      <c r="AB122" s="123">
        <f t="shared" si="29"/>
        <v>9.3000000000000007</v>
      </c>
      <c r="AC122" s="123">
        <f t="shared" si="29"/>
        <v>9.3000000000000007</v>
      </c>
      <c r="AD122" s="123">
        <f t="shared" si="29"/>
        <v>9.3000000000000007</v>
      </c>
      <c r="AE122" s="123">
        <f t="shared" si="29"/>
        <v>9.3000000000000007</v>
      </c>
      <c r="AF122" s="123">
        <f t="shared" si="29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7"/>
        <v>0</v>
      </c>
      <c r="C123" s="124">
        <v>0</v>
      </c>
      <c r="D123" s="123">
        <f t="shared" si="30"/>
        <v>0</v>
      </c>
      <c r="E123" s="123">
        <f t="shared" si="30"/>
        <v>0</v>
      </c>
      <c r="F123" s="123">
        <f t="shared" si="30"/>
        <v>0</v>
      </c>
      <c r="G123" s="123">
        <f t="shared" si="30"/>
        <v>0</v>
      </c>
      <c r="H123" s="123">
        <f t="shared" si="30"/>
        <v>0</v>
      </c>
      <c r="I123" s="123">
        <f t="shared" si="30"/>
        <v>0</v>
      </c>
      <c r="J123" s="123">
        <f t="shared" si="30"/>
        <v>0</v>
      </c>
      <c r="K123" s="123">
        <f t="shared" si="30"/>
        <v>0</v>
      </c>
      <c r="L123" s="123">
        <f t="shared" si="30"/>
        <v>0</v>
      </c>
      <c r="M123" s="123">
        <f t="shared" si="30"/>
        <v>0</v>
      </c>
      <c r="N123" s="123">
        <f t="shared" si="30"/>
        <v>0</v>
      </c>
      <c r="O123" s="123">
        <f t="shared" si="30"/>
        <v>0</v>
      </c>
      <c r="P123" s="123">
        <f t="shared" si="30"/>
        <v>0</v>
      </c>
      <c r="Q123" s="123">
        <f t="shared" si="30"/>
        <v>0</v>
      </c>
      <c r="R123" s="123">
        <f t="shared" si="30"/>
        <v>0</v>
      </c>
      <c r="S123" s="123">
        <f t="shared" si="30"/>
        <v>0</v>
      </c>
      <c r="T123" s="123">
        <f t="shared" si="29"/>
        <v>0</v>
      </c>
      <c r="U123" s="123">
        <f t="shared" si="29"/>
        <v>0</v>
      </c>
      <c r="V123" s="123">
        <f t="shared" si="29"/>
        <v>0</v>
      </c>
      <c r="W123" s="123">
        <f t="shared" si="29"/>
        <v>0</v>
      </c>
      <c r="X123" s="123">
        <f t="shared" si="29"/>
        <v>0</v>
      </c>
      <c r="Y123" s="123">
        <f t="shared" si="29"/>
        <v>0</v>
      </c>
      <c r="Z123" s="123">
        <f t="shared" si="29"/>
        <v>0</v>
      </c>
      <c r="AA123" s="123">
        <f t="shared" si="29"/>
        <v>0</v>
      </c>
      <c r="AB123" s="123">
        <f t="shared" si="29"/>
        <v>0</v>
      </c>
      <c r="AC123" s="123">
        <f t="shared" si="29"/>
        <v>0</v>
      </c>
      <c r="AD123" s="123">
        <f t="shared" si="29"/>
        <v>0</v>
      </c>
      <c r="AE123" s="123">
        <f t="shared" si="29"/>
        <v>0</v>
      </c>
      <c r="AF123" s="123">
        <f t="shared" si="29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7"/>
        <v>0</v>
      </c>
      <c r="C124" s="124">
        <v>0</v>
      </c>
      <c r="D124" s="123">
        <f t="shared" si="30"/>
        <v>0</v>
      </c>
      <c r="E124" s="123">
        <f t="shared" si="30"/>
        <v>0</v>
      </c>
      <c r="F124" s="123">
        <f t="shared" si="30"/>
        <v>0</v>
      </c>
      <c r="G124" s="123">
        <f t="shared" si="30"/>
        <v>0</v>
      </c>
      <c r="H124" s="123">
        <f t="shared" si="30"/>
        <v>0</v>
      </c>
      <c r="I124" s="123">
        <f t="shared" si="30"/>
        <v>0</v>
      </c>
      <c r="J124" s="123">
        <f t="shared" si="30"/>
        <v>0</v>
      </c>
      <c r="K124" s="123">
        <f t="shared" si="30"/>
        <v>0</v>
      </c>
      <c r="L124" s="123">
        <f t="shared" si="30"/>
        <v>0</v>
      </c>
      <c r="M124" s="123">
        <f t="shared" si="30"/>
        <v>0</v>
      </c>
      <c r="N124" s="123">
        <f t="shared" si="30"/>
        <v>0</v>
      </c>
      <c r="O124" s="123">
        <f t="shared" si="30"/>
        <v>0</v>
      </c>
      <c r="P124" s="123">
        <f t="shared" si="30"/>
        <v>0</v>
      </c>
      <c r="Q124" s="123">
        <f t="shared" si="30"/>
        <v>0</v>
      </c>
      <c r="R124" s="123">
        <f t="shared" si="30"/>
        <v>0</v>
      </c>
      <c r="S124" s="123">
        <f t="shared" si="30"/>
        <v>0</v>
      </c>
      <c r="T124" s="123">
        <f t="shared" si="29"/>
        <v>0</v>
      </c>
      <c r="U124" s="123">
        <f t="shared" si="29"/>
        <v>0</v>
      </c>
      <c r="V124" s="123">
        <f t="shared" si="29"/>
        <v>0</v>
      </c>
      <c r="W124" s="123">
        <f t="shared" si="29"/>
        <v>0</v>
      </c>
      <c r="X124" s="123">
        <f t="shared" si="29"/>
        <v>0</v>
      </c>
      <c r="Y124" s="123">
        <f t="shared" si="29"/>
        <v>0</v>
      </c>
      <c r="Z124" s="123">
        <f t="shared" si="29"/>
        <v>0</v>
      </c>
      <c r="AA124" s="123">
        <f t="shared" si="29"/>
        <v>0</v>
      </c>
      <c r="AB124" s="123">
        <f t="shared" si="29"/>
        <v>0</v>
      </c>
      <c r="AC124" s="123">
        <f t="shared" si="29"/>
        <v>0</v>
      </c>
      <c r="AD124" s="123">
        <f t="shared" si="29"/>
        <v>0</v>
      </c>
      <c r="AE124" s="123">
        <f t="shared" si="29"/>
        <v>0</v>
      </c>
      <c r="AF124" s="123">
        <f t="shared" si="29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7"/>
        <v>;/</v>
      </c>
      <c r="C125" s="124">
        <v>5</v>
      </c>
      <c r="D125" s="123">
        <f t="shared" si="30"/>
        <v>5</v>
      </c>
      <c r="E125" s="123">
        <f t="shared" si="30"/>
        <v>5</v>
      </c>
      <c r="F125" s="123">
        <f t="shared" si="30"/>
        <v>5</v>
      </c>
      <c r="G125" s="123">
        <f t="shared" si="30"/>
        <v>5</v>
      </c>
      <c r="H125" s="123">
        <f t="shared" si="30"/>
        <v>5</v>
      </c>
      <c r="I125" s="123" t="s">
        <v>131</v>
      </c>
      <c r="J125" s="123" t="str">
        <f t="shared" si="30"/>
        <v>;/</v>
      </c>
      <c r="K125" s="123" t="str">
        <f t="shared" si="30"/>
        <v>;/</v>
      </c>
      <c r="L125" s="123" t="str">
        <f t="shared" si="30"/>
        <v>;/</v>
      </c>
      <c r="M125" s="123" t="str">
        <f t="shared" si="30"/>
        <v>;/</v>
      </c>
      <c r="N125" s="123" t="str">
        <f t="shared" si="30"/>
        <v>;/</v>
      </c>
      <c r="O125" s="123" t="str">
        <f t="shared" si="30"/>
        <v>;/</v>
      </c>
      <c r="P125" s="123" t="str">
        <f t="shared" si="30"/>
        <v>;/</v>
      </c>
      <c r="Q125" s="123" t="str">
        <f t="shared" si="30"/>
        <v>;/</v>
      </c>
      <c r="R125" s="123" t="str">
        <f t="shared" si="30"/>
        <v>;/</v>
      </c>
      <c r="S125" s="123" t="str">
        <f t="shared" si="30"/>
        <v>;/</v>
      </c>
      <c r="T125" s="123" t="str">
        <f t="shared" si="29"/>
        <v>;/</v>
      </c>
      <c r="U125" s="123" t="str">
        <f t="shared" si="29"/>
        <v>;/</v>
      </c>
      <c r="V125" s="123" t="str">
        <f t="shared" si="29"/>
        <v>;/</v>
      </c>
      <c r="W125" s="123" t="str">
        <f t="shared" si="29"/>
        <v>;/</v>
      </c>
      <c r="X125" s="123" t="str">
        <f t="shared" si="29"/>
        <v>;/</v>
      </c>
      <c r="Y125" s="123" t="str">
        <f t="shared" si="29"/>
        <v>;/</v>
      </c>
      <c r="Z125" s="123" t="str">
        <f t="shared" si="29"/>
        <v>;/</v>
      </c>
      <c r="AA125" s="123" t="str">
        <f t="shared" si="29"/>
        <v>;/</v>
      </c>
      <c r="AB125" s="123" t="str">
        <f t="shared" si="29"/>
        <v>;/</v>
      </c>
      <c r="AC125" s="123" t="str">
        <f t="shared" si="29"/>
        <v>;/</v>
      </c>
      <c r="AD125" s="123" t="str">
        <f t="shared" si="29"/>
        <v>;/</v>
      </c>
      <c r="AE125" s="123" t="str">
        <f t="shared" si="29"/>
        <v>;/</v>
      </c>
      <c r="AF125" s="123" t="str">
        <f t="shared" si="29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7"/>
        <v>1</v>
      </c>
      <c r="C126" s="124">
        <v>1</v>
      </c>
      <c r="D126" s="123">
        <f t="shared" si="30"/>
        <v>1</v>
      </c>
      <c r="E126" s="123">
        <f t="shared" si="30"/>
        <v>1</v>
      </c>
      <c r="F126" s="123">
        <f t="shared" si="30"/>
        <v>1</v>
      </c>
      <c r="G126" s="123">
        <f t="shared" si="30"/>
        <v>1</v>
      </c>
      <c r="H126" s="123">
        <f t="shared" si="30"/>
        <v>1</v>
      </c>
      <c r="I126" s="123">
        <f t="shared" si="30"/>
        <v>1</v>
      </c>
      <c r="J126" s="123">
        <f t="shared" si="30"/>
        <v>1</v>
      </c>
      <c r="K126" s="123">
        <f t="shared" si="30"/>
        <v>1</v>
      </c>
      <c r="L126" s="123">
        <f t="shared" si="30"/>
        <v>1</v>
      </c>
      <c r="M126" s="123">
        <f t="shared" si="30"/>
        <v>1</v>
      </c>
      <c r="N126" s="123">
        <f t="shared" si="30"/>
        <v>1</v>
      </c>
      <c r="O126" s="123">
        <f t="shared" si="30"/>
        <v>1</v>
      </c>
      <c r="P126" s="123">
        <f t="shared" si="30"/>
        <v>1</v>
      </c>
      <c r="Q126" s="123">
        <f t="shared" si="30"/>
        <v>1</v>
      </c>
      <c r="R126" s="123">
        <f t="shared" si="30"/>
        <v>1</v>
      </c>
      <c r="S126" s="123">
        <f t="shared" si="30"/>
        <v>1</v>
      </c>
      <c r="T126" s="123">
        <f t="shared" si="29"/>
        <v>1</v>
      </c>
      <c r="U126" s="123">
        <f t="shared" si="29"/>
        <v>1</v>
      </c>
      <c r="V126" s="123">
        <f t="shared" si="29"/>
        <v>1</v>
      </c>
      <c r="W126" s="123">
        <f t="shared" si="29"/>
        <v>1</v>
      </c>
      <c r="X126" s="123">
        <f t="shared" si="29"/>
        <v>1</v>
      </c>
      <c r="Y126" s="123">
        <f t="shared" si="29"/>
        <v>1</v>
      </c>
      <c r="Z126" s="123">
        <f t="shared" si="29"/>
        <v>1</v>
      </c>
      <c r="AA126" s="123">
        <f t="shared" si="29"/>
        <v>1</v>
      </c>
      <c r="AB126" s="123">
        <f t="shared" si="29"/>
        <v>1</v>
      </c>
      <c r="AC126" s="123">
        <f t="shared" si="29"/>
        <v>1</v>
      </c>
      <c r="AD126" s="123">
        <f t="shared" si="29"/>
        <v>1</v>
      </c>
      <c r="AE126" s="123">
        <f t="shared" si="29"/>
        <v>1</v>
      </c>
      <c r="AF126" s="123">
        <f t="shared" si="29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7"/>
        <v>1.58</v>
      </c>
      <c r="C127" s="124">
        <v>1.58</v>
      </c>
      <c r="D127" s="123">
        <f t="shared" si="30"/>
        <v>1.58</v>
      </c>
      <c r="E127" s="123">
        <f t="shared" si="30"/>
        <v>1.58</v>
      </c>
      <c r="F127" s="123">
        <f t="shared" si="30"/>
        <v>1.58</v>
      </c>
      <c r="G127" s="123">
        <f t="shared" si="30"/>
        <v>1.58</v>
      </c>
      <c r="H127" s="123">
        <f t="shared" si="30"/>
        <v>1.58</v>
      </c>
      <c r="I127" s="123">
        <f t="shared" si="30"/>
        <v>1.58</v>
      </c>
      <c r="J127" s="123">
        <f t="shared" si="30"/>
        <v>1.58</v>
      </c>
      <c r="K127" s="123">
        <f t="shared" si="30"/>
        <v>1.58</v>
      </c>
      <c r="L127" s="123">
        <f t="shared" si="30"/>
        <v>1.58</v>
      </c>
      <c r="M127" s="123">
        <f t="shared" si="30"/>
        <v>1.58</v>
      </c>
      <c r="N127" s="123">
        <f t="shared" si="30"/>
        <v>1.58</v>
      </c>
      <c r="O127" s="123">
        <f t="shared" si="30"/>
        <v>1.58</v>
      </c>
      <c r="P127" s="123">
        <f t="shared" si="30"/>
        <v>1.58</v>
      </c>
      <c r="Q127" s="123">
        <f t="shared" si="30"/>
        <v>1.58</v>
      </c>
      <c r="R127" s="123">
        <f t="shared" si="30"/>
        <v>1.58</v>
      </c>
      <c r="S127" s="123">
        <f t="shared" si="30"/>
        <v>1.58</v>
      </c>
      <c r="T127" s="123">
        <f t="shared" si="29"/>
        <v>1.58</v>
      </c>
      <c r="U127" s="123">
        <f t="shared" si="29"/>
        <v>1.58</v>
      </c>
      <c r="V127" s="123">
        <f t="shared" si="29"/>
        <v>1.58</v>
      </c>
      <c r="W127" s="123">
        <f t="shared" si="29"/>
        <v>1.58</v>
      </c>
      <c r="X127" s="123">
        <f t="shared" si="29"/>
        <v>1.58</v>
      </c>
      <c r="Y127" s="123">
        <f t="shared" si="29"/>
        <v>1.58</v>
      </c>
      <c r="Z127" s="123">
        <f t="shared" si="29"/>
        <v>1.58</v>
      </c>
      <c r="AA127" s="123">
        <f t="shared" si="29"/>
        <v>1.58</v>
      </c>
      <c r="AB127" s="123">
        <f t="shared" si="29"/>
        <v>1.58</v>
      </c>
      <c r="AC127" s="123">
        <f t="shared" si="29"/>
        <v>1.58</v>
      </c>
      <c r="AD127" s="123">
        <f t="shared" si="29"/>
        <v>1.58</v>
      </c>
      <c r="AE127" s="123">
        <f t="shared" si="29"/>
        <v>1.58</v>
      </c>
      <c r="AF127" s="123">
        <f t="shared" si="29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7"/>
        <v>1.46</v>
      </c>
      <c r="C128" s="124">
        <v>1.46</v>
      </c>
      <c r="D128" s="123">
        <f t="shared" si="30"/>
        <v>1.46</v>
      </c>
      <c r="E128" s="123">
        <f t="shared" si="30"/>
        <v>1.46</v>
      </c>
      <c r="F128" s="123">
        <f t="shared" si="30"/>
        <v>1.46</v>
      </c>
      <c r="G128" s="123">
        <f t="shared" si="30"/>
        <v>1.46</v>
      </c>
      <c r="H128" s="123">
        <f t="shared" si="30"/>
        <v>1.46</v>
      </c>
      <c r="I128" s="123">
        <f t="shared" si="30"/>
        <v>1.46</v>
      </c>
      <c r="J128" s="123">
        <f t="shared" si="30"/>
        <v>1.46</v>
      </c>
      <c r="K128" s="123">
        <f t="shared" si="30"/>
        <v>1.46</v>
      </c>
      <c r="L128" s="123">
        <f t="shared" si="30"/>
        <v>1.46</v>
      </c>
      <c r="M128" s="123">
        <f t="shared" si="30"/>
        <v>1.46</v>
      </c>
      <c r="N128" s="123">
        <f t="shared" si="30"/>
        <v>1.46</v>
      </c>
      <c r="O128" s="123">
        <f t="shared" si="30"/>
        <v>1.46</v>
      </c>
      <c r="P128" s="123">
        <f t="shared" si="30"/>
        <v>1.46</v>
      </c>
      <c r="Q128" s="123">
        <f t="shared" si="30"/>
        <v>1.46</v>
      </c>
      <c r="R128" s="123">
        <f t="shared" si="30"/>
        <v>1.46</v>
      </c>
      <c r="S128" s="123">
        <f t="shared" si="30"/>
        <v>1.46</v>
      </c>
      <c r="T128" s="123">
        <f t="shared" ref="T128:AF129" si="31">S128</f>
        <v>1.46</v>
      </c>
      <c r="U128" s="123">
        <f t="shared" si="31"/>
        <v>1.46</v>
      </c>
      <c r="V128" s="123">
        <f t="shared" si="31"/>
        <v>1.46</v>
      </c>
      <c r="W128" s="123">
        <f t="shared" si="31"/>
        <v>1.46</v>
      </c>
      <c r="X128" s="123">
        <f t="shared" si="31"/>
        <v>1.46</v>
      </c>
      <c r="Y128" s="123">
        <f t="shared" si="31"/>
        <v>1.46</v>
      </c>
      <c r="Z128" s="123">
        <f t="shared" si="31"/>
        <v>1.46</v>
      </c>
      <c r="AA128" s="123">
        <f t="shared" si="31"/>
        <v>1.46</v>
      </c>
      <c r="AB128" s="123">
        <f t="shared" si="31"/>
        <v>1.46</v>
      </c>
      <c r="AC128" s="123">
        <f t="shared" si="31"/>
        <v>1.46</v>
      </c>
      <c r="AD128" s="123">
        <f t="shared" si="31"/>
        <v>1.46</v>
      </c>
      <c r="AE128" s="123">
        <f t="shared" si="31"/>
        <v>1.46</v>
      </c>
      <c r="AF128" s="123">
        <f t="shared" si="31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7"/>
        <v>1.48</v>
      </c>
      <c r="C129" s="124">
        <v>1.48</v>
      </c>
      <c r="D129" s="123">
        <f t="shared" si="30"/>
        <v>1.48</v>
      </c>
      <c r="E129" s="123">
        <f t="shared" si="30"/>
        <v>1.48</v>
      </c>
      <c r="F129" s="123">
        <f t="shared" si="30"/>
        <v>1.48</v>
      </c>
      <c r="G129" s="123">
        <f t="shared" si="30"/>
        <v>1.48</v>
      </c>
      <c r="H129" s="123">
        <f t="shared" si="30"/>
        <v>1.48</v>
      </c>
      <c r="I129" s="123">
        <f t="shared" si="30"/>
        <v>1.48</v>
      </c>
      <c r="J129" s="123">
        <f t="shared" si="30"/>
        <v>1.48</v>
      </c>
      <c r="K129" s="123">
        <f t="shared" si="30"/>
        <v>1.48</v>
      </c>
      <c r="L129" s="123">
        <f t="shared" si="30"/>
        <v>1.48</v>
      </c>
      <c r="M129" s="123">
        <f t="shared" si="30"/>
        <v>1.48</v>
      </c>
      <c r="N129" s="123">
        <f t="shared" si="30"/>
        <v>1.48</v>
      </c>
      <c r="O129" s="123">
        <f t="shared" si="30"/>
        <v>1.48</v>
      </c>
      <c r="P129" s="123">
        <f t="shared" si="30"/>
        <v>1.48</v>
      </c>
      <c r="Q129" s="123">
        <f t="shared" si="30"/>
        <v>1.48</v>
      </c>
      <c r="R129" s="123">
        <f t="shared" si="30"/>
        <v>1.48</v>
      </c>
      <c r="S129" s="123">
        <f t="shared" si="30"/>
        <v>1.48</v>
      </c>
      <c r="T129" s="123">
        <f t="shared" si="31"/>
        <v>1.48</v>
      </c>
      <c r="U129" s="123">
        <f t="shared" si="31"/>
        <v>1.48</v>
      </c>
      <c r="V129" s="123">
        <f t="shared" si="31"/>
        <v>1.48</v>
      </c>
      <c r="W129" s="123">
        <f t="shared" si="31"/>
        <v>1.48</v>
      </c>
      <c r="X129" s="123">
        <f t="shared" si="31"/>
        <v>1.48</v>
      </c>
      <c r="Y129" s="123">
        <f t="shared" si="31"/>
        <v>1.48</v>
      </c>
      <c r="Z129" s="123">
        <f t="shared" si="31"/>
        <v>1.48</v>
      </c>
      <c r="AA129" s="123">
        <f t="shared" si="31"/>
        <v>1.48</v>
      </c>
      <c r="AB129" s="123">
        <f t="shared" si="31"/>
        <v>1.48</v>
      </c>
      <c r="AC129" s="123">
        <f t="shared" si="31"/>
        <v>1.48</v>
      </c>
      <c r="AD129" s="123">
        <f t="shared" si="31"/>
        <v>1.48</v>
      </c>
      <c r="AE129" s="123">
        <f t="shared" si="31"/>
        <v>1.48</v>
      </c>
      <c r="AF129" s="123">
        <f t="shared" si="31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2">AF131</f>
        <v>2.2000000000000002</v>
      </c>
      <c r="C131" s="124">
        <v>2.2000000000000002</v>
      </c>
      <c r="D131" s="123">
        <f t="shared" ref="D131:S138" si="33">C131</f>
        <v>2.2000000000000002</v>
      </c>
      <c r="E131" s="123">
        <f t="shared" si="33"/>
        <v>2.2000000000000002</v>
      </c>
      <c r="F131" s="123">
        <f t="shared" si="33"/>
        <v>2.2000000000000002</v>
      </c>
      <c r="G131" s="123">
        <f t="shared" si="33"/>
        <v>2.2000000000000002</v>
      </c>
      <c r="H131" s="123">
        <f t="shared" si="33"/>
        <v>2.2000000000000002</v>
      </c>
      <c r="I131" s="123">
        <f t="shared" si="33"/>
        <v>2.2000000000000002</v>
      </c>
      <c r="J131" s="123">
        <f t="shared" si="33"/>
        <v>2.2000000000000002</v>
      </c>
      <c r="K131" s="123">
        <f t="shared" si="33"/>
        <v>2.2000000000000002</v>
      </c>
      <c r="L131" s="123">
        <f t="shared" si="33"/>
        <v>2.2000000000000002</v>
      </c>
      <c r="M131" s="123">
        <f t="shared" si="33"/>
        <v>2.2000000000000002</v>
      </c>
      <c r="N131" s="123">
        <f t="shared" si="33"/>
        <v>2.2000000000000002</v>
      </c>
      <c r="O131" s="123">
        <f t="shared" si="33"/>
        <v>2.2000000000000002</v>
      </c>
      <c r="P131" s="123">
        <f t="shared" si="33"/>
        <v>2.2000000000000002</v>
      </c>
      <c r="Q131" s="123">
        <f t="shared" si="33"/>
        <v>2.2000000000000002</v>
      </c>
      <c r="R131" s="123">
        <f t="shared" si="33"/>
        <v>2.2000000000000002</v>
      </c>
      <c r="S131" s="123">
        <f t="shared" si="33"/>
        <v>2.2000000000000002</v>
      </c>
      <c r="T131" s="123">
        <f t="shared" ref="T131:AF138" si="34">S131</f>
        <v>2.2000000000000002</v>
      </c>
      <c r="U131" s="123">
        <f t="shared" si="34"/>
        <v>2.2000000000000002</v>
      </c>
      <c r="V131" s="123">
        <f t="shared" si="34"/>
        <v>2.2000000000000002</v>
      </c>
      <c r="W131" s="123">
        <f t="shared" si="34"/>
        <v>2.2000000000000002</v>
      </c>
      <c r="X131" s="123">
        <f t="shared" si="34"/>
        <v>2.2000000000000002</v>
      </c>
      <c r="Y131" s="123">
        <f t="shared" si="34"/>
        <v>2.2000000000000002</v>
      </c>
      <c r="Z131" s="123">
        <f t="shared" si="34"/>
        <v>2.2000000000000002</v>
      </c>
      <c r="AA131" s="123">
        <f t="shared" si="34"/>
        <v>2.2000000000000002</v>
      </c>
      <c r="AB131" s="123">
        <f t="shared" si="34"/>
        <v>2.2000000000000002</v>
      </c>
      <c r="AC131" s="123">
        <f t="shared" si="34"/>
        <v>2.2000000000000002</v>
      </c>
      <c r="AD131" s="123">
        <f t="shared" si="34"/>
        <v>2.2000000000000002</v>
      </c>
      <c r="AE131" s="123">
        <f t="shared" si="34"/>
        <v>2.2000000000000002</v>
      </c>
      <c r="AF131" s="123">
        <f t="shared" si="34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2"/>
        <v>2</v>
      </c>
      <c r="C132" s="124">
        <v>2</v>
      </c>
      <c r="D132" s="123">
        <f t="shared" si="33"/>
        <v>2</v>
      </c>
      <c r="E132" s="123">
        <f t="shared" si="33"/>
        <v>2</v>
      </c>
      <c r="F132" s="123">
        <f t="shared" si="33"/>
        <v>2</v>
      </c>
      <c r="G132" s="123">
        <f t="shared" si="33"/>
        <v>2</v>
      </c>
      <c r="H132" s="123">
        <f t="shared" si="33"/>
        <v>2</v>
      </c>
      <c r="I132" s="123">
        <f t="shared" si="33"/>
        <v>2</v>
      </c>
      <c r="J132" s="123">
        <f t="shared" si="33"/>
        <v>2</v>
      </c>
      <c r="K132" s="123">
        <f t="shared" si="33"/>
        <v>2</v>
      </c>
      <c r="L132" s="123">
        <f t="shared" si="33"/>
        <v>2</v>
      </c>
      <c r="M132" s="123">
        <f t="shared" si="33"/>
        <v>2</v>
      </c>
      <c r="N132" s="123">
        <f t="shared" si="33"/>
        <v>2</v>
      </c>
      <c r="O132" s="123">
        <f t="shared" si="33"/>
        <v>2</v>
      </c>
      <c r="P132" s="123">
        <f t="shared" si="33"/>
        <v>2</v>
      </c>
      <c r="Q132" s="123">
        <f t="shared" si="33"/>
        <v>2</v>
      </c>
      <c r="R132" s="123">
        <f t="shared" si="33"/>
        <v>2</v>
      </c>
      <c r="S132" s="123">
        <f t="shared" si="33"/>
        <v>2</v>
      </c>
      <c r="T132" s="123">
        <f t="shared" si="34"/>
        <v>2</v>
      </c>
      <c r="U132" s="123">
        <f t="shared" si="34"/>
        <v>2</v>
      </c>
      <c r="V132" s="123">
        <f t="shared" si="34"/>
        <v>2</v>
      </c>
      <c r="W132" s="123">
        <f t="shared" si="34"/>
        <v>2</v>
      </c>
      <c r="X132" s="123">
        <f t="shared" si="34"/>
        <v>2</v>
      </c>
      <c r="Y132" s="123">
        <f t="shared" si="34"/>
        <v>2</v>
      </c>
      <c r="Z132" s="123">
        <f t="shared" si="34"/>
        <v>2</v>
      </c>
      <c r="AA132" s="123">
        <f t="shared" si="34"/>
        <v>2</v>
      </c>
      <c r="AB132" s="123">
        <f t="shared" si="34"/>
        <v>2</v>
      </c>
      <c r="AC132" s="123">
        <f t="shared" si="34"/>
        <v>2</v>
      </c>
      <c r="AD132" s="123">
        <f t="shared" si="34"/>
        <v>2</v>
      </c>
      <c r="AE132" s="123">
        <f t="shared" si="34"/>
        <v>2</v>
      </c>
      <c r="AF132" s="123">
        <f t="shared" si="34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2"/>
        <v>1.25</v>
      </c>
      <c r="C133" s="124">
        <v>1.25</v>
      </c>
      <c r="D133" s="123">
        <f t="shared" si="33"/>
        <v>1.25</v>
      </c>
      <c r="E133" s="123">
        <f t="shared" si="33"/>
        <v>1.25</v>
      </c>
      <c r="F133" s="123">
        <f t="shared" si="33"/>
        <v>1.25</v>
      </c>
      <c r="G133" s="123">
        <f t="shared" si="33"/>
        <v>1.25</v>
      </c>
      <c r="H133" s="123">
        <f t="shared" si="33"/>
        <v>1.25</v>
      </c>
      <c r="I133" s="123">
        <f t="shared" si="33"/>
        <v>1.25</v>
      </c>
      <c r="J133" s="123">
        <f t="shared" si="33"/>
        <v>1.25</v>
      </c>
      <c r="K133" s="123">
        <f t="shared" si="33"/>
        <v>1.25</v>
      </c>
      <c r="L133" s="123">
        <f t="shared" si="33"/>
        <v>1.25</v>
      </c>
      <c r="M133" s="123">
        <f t="shared" si="33"/>
        <v>1.25</v>
      </c>
      <c r="N133" s="123">
        <f t="shared" si="33"/>
        <v>1.25</v>
      </c>
      <c r="O133" s="123">
        <f t="shared" si="33"/>
        <v>1.25</v>
      </c>
      <c r="P133" s="123">
        <f t="shared" si="33"/>
        <v>1.25</v>
      </c>
      <c r="Q133" s="123">
        <f t="shared" si="33"/>
        <v>1.25</v>
      </c>
      <c r="R133" s="123">
        <f t="shared" si="33"/>
        <v>1.25</v>
      </c>
      <c r="S133" s="123">
        <f t="shared" si="33"/>
        <v>1.25</v>
      </c>
      <c r="T133" s="123">
        <f t="shared" si="34"/>
        <v>1.25</v>
      </c>
      <c r="U133" s="123">
        <f t="shared" si="34"/>
        <v>1.25</v>
      </c>
      <c r="V133" s="123">
        <f t="shared" si="34"/>
        <v>1.25</v>
      </c>
      <c r="W133" s="123">
        <f t="shared" si="34"/>
        <v>1.25</v>
      </c>
      <c r="X133" s="123">
        <f t="shared" si="34"/>
        <v>1.25</v>
      </c>
      <c r="Y133" s="123">
        <f t="shared" si="34"/>
        <v>1.25</v>
      </c>
      <c r="Z133" s="123">
        <f t="shared" si="34"/>
        <v>1.25</v>
      </c>
      <c r="AA133" s="123">
        <f t="shared" si="34"/>
        <v>1.25</v>
      </c>
      <c r="AB133" s="123">
        <f t="shared" si="34"/>
        <v>1.25</v>
      </c>
      <c r="AC133" s="123">
        <f t="shared" si="34"/>
        <v>1.25</v>
      </c>
      <c r="AD133" s="123">
        <f t="shared" si="34"/>
        <v>1.25</v>
      </c>
      <c r="AE133" s="123">
        <f t="shared" si="34"/>
        <v>1.25</v>
      </c>
      <c r="AF133" s="123">
        <f t="shared" si="34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2"/>
        <v>1.1499999999999999</v>
      </c>
      <c r="C134" s="124">
        <v>1.1499999999999999</v>
      </c>
      <c r="D134" s="123">
        <f t="shared" si="33"/>
        <v>1.1499999999999999</v>
      </c>
      <c r="E134" s="123">
        <f t="shared" si="33"/>
        <v>1.1499999999999999</v>
      </c>
      <c r="F134" s="123">
        <f t="shared" si="33"/>
        <v>1.1499999999999999</v>
      </c>
      <c r="G134" s="123">
        <f t="shared" si="33"/>
        <v>1.1499999999999999</v>
      </c>
      <c r="H134" s="123">
        <f t="shared" si="33"/>
        <v>1.1499999999999999</v>
      </c>
      <c r="I134" s="123">
        <f t="shared" si="33"/>
        <v>1.1499999999999999</v>
      </c>
      <c r="J134" s="123">
        <f t="shared" si="33"/>
        <v>1.1499999999999999</v>
      </c>
      <c r="K134" s="123">
        <f t="shared" si="33"/>
        <v>1.1499999999999999</v>
      </c>
      <c r="L134" s="123">
        <f t="shared" si="33"/>
        <v>1.1499999999999999</v>
      </c>
      <c r="M134" s="123">
        <f t="shared" si="33"/>
        <v>1.1499999999999999</v>
      </c>
      <c r="N134" s="123">
        <f t="shared" si="33"/>
        <v>1.1499999999999999</v>
      </c>
      <c r="O134" s="123">
        <f t="shared" si="33"/>
        <v>1.1499999999999999</v>
      </c>
      <c r="P134" s="123">
        <f t="shared" si="33"/>
        <v>1.1499999999999999</v>
      </c>
      <c r="Q134" s="123">
        <f t="shared" si="33"/>
        <v>1.1499999999999999</v>
      </c>
      <c r="R134" s="123">
        <f t="shared" si="33"/>
        <v>1.1499999999999999</v>
      </c>
      <c r="S134" s="123">
        <f t="shared" si="33"/>
        <v>1.1499999999999999</v>
      </c>
      <c r="T134" s="123">
        <f t="shared" si="34"/>
        <v>1.1499999999999999</v>
      </c>
      <c r="U134" s="123">
        <f t="shared" si="34"/>
        <v>1.1499999999999999</v>
      </c>
      <c r="V134" s="123">
        <f t="shared" si="34"/>
        <v>1.1499999999999999</v>
      </c>
      <c r="W134" s="123">
        <f t="shared" si="34"/>
        <v>1.1499999999999999</v>
      </c>
      <c r="X134" s="123">
        <f t="shared" si="34"/>
        <v>1.1499999999999999</v>
      </c>
      <c r="Y134" s="123">
        <f t="shared" si="34"/>
        <v>1.1499999999999999</v>
      </c>
      <c r="Z134" s="123">
        <f t="shared" si="34"/>
        <v>1.1499999999999999</v>
      </c>
      <c r="AA134" s="123">
        <f t="shared" si="34"/>
        <v>1.1499999999999999</v>
      </c>
      <c r="AB134" s="123">
        <f t="shared" si="34"/>
        <v>1.1499999999999999</v>
      </c>
      <c r="AC134" s="123">
        <f t="shared" si="34"/>
        <v>1.1499999999999999</v>
      </c>
      <c r="AD134" s="123">
        <f t="shared" si="34"/>
        <v>1.1499999999999999</v>
      </c>
      <c r="AE134" s="123">
        <f t="shared" si="34"/>
        <v>1.1499999999999999</v>
      </c>
      <c r="AF134" s="123">
        <f t="shared" si="34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2"/>
        <v>2.133</v>
      </c>
      <c r="C135" s="124">
        <v>2.133</v>
      </c>
      <c r="D135" s="123">
        <f t="shared" si="33"/>
        <v>2.133</v>
      </c>
      <c r="E135" s="123">
        <f t="shared" si="33"/>
        <v>2.133</v>
      </c>
      <c r="F135" s="123">
        <f t="shared" si="33"/>
        <v>2.133</v>
      </c>
      <c r="G135" s="123">
        <f t="shared" si="33"/>
        <v>2.133</v>
      </c>
      <c r="H135" s="123">
        <f t="shared" si="33"/>
        <v>2.133</v>
      </c>
      <c r="I135" s="123">
        <f t="shared" si="33"/>
        <v>2.133</v>
      </c>
      <c r="J135" s="123">
        <f t="shared" si="33"/>
        <v>2.133</v>
      </c>
      <c r="K135" s="123">
        <f t="shared" si="33"/>
        <v>2.133</v>
      </c>
      <c r="L135" s="123">
        <f t="shared" si="33"/>
        <v>2.133</v>
      </c>
      <c r="M135" s="123">
        <f t="shared" si="33"/>
        <v>2.133</v>
      </c>
      <c r="N135" s="123">
        <f t="shared" si="33"/>
        <v>2.133</v>
      </c>
      <c r="O135" s="123">
        <f t="shared" si="33"/>
        <v>2.133</v>
      </c>
      <c r="P135" s="123">
        <f t="shared" si="33"/>
        <v>2.133</v>
      </c>
      <c r="Q135" s="123">
        <f t="shared" si="33"/>
        <v>2.133</v>
      </c>
      <c r="R135" s="123">
        <f t="shared" si="33"/>
        <v>2.133</v>
      </c>
      <c r="S135" s="123">
        <f t="shared" si="33"/>
        <v>2.133</v>
      </c>
      <c r="T135" s="123">
        <f t="shared" si="34"/>
        <v>2.133</v>
      </c>
      <c r="U135" s="123">
        <f t="shared" si="34"/>
        <v>2.133</v>
      </c>
      <c r="V135" s="123">
        <f t="shared" si="34"/>
        <v>2.133</v>
      </c>
      <c r="W135" s="123">
        <f t="shared" si="34"/>
        <v>2.133</v>
      </c>
      <c r="X135" s="123">
        <f t="shared" si="34"/>
        <v>2.133</v>
      </c>
      <c r="Y135" s="123">
        <f t="shared" si="34"/>
        <v>2.133</v>
      </c>
      <c r="Z135" s="123">
        <f t="shared" si="34"/>
        <v>2.133</v>
      </c>
      <c r="AA135" s="123">
        <f t="shared" si="34"/>
        <v>2.133</v>
      </c>
      <c r="AB135" s="123">
        <f t="shared" si="34"/>
        <v>2.133</v>
      </c>
      <c r="AC135" s="123">
        <f t="shared" si="34"/>
        <v>2.133</v>
      </c>
      <c r="AD135" s="123">
        <f t="shared" si="34"/>
        <v>2.133</v>
      </c>
      <c r="AE135" s="123">
        <f t="shared" si="34"/>
        <v>2.133</v>
      </c>
      <c r="AF135" s="123">
        <f t="shared" si="34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2"/>
        <v>2.09</v>
      </c>
      <c r="C136" s="124">
        <v>2.09</v>
      </c>
      <c r="D136" s="123">
        <f t="shared" si="33"/>
        <v>2.09</v>
      </c>
      <c r="E136" s="123">
        <f t="shared" si="33"/>
        <v>2.09</v>
      </c>
      <c r="F136" s="123">
        <f t="shared" si="33"/>
        <v>2.09</v>
      </c>
      <c r="G136" s="123">
        <f t="shared" si="33"/>
        <v>2.09</v>
      </c>
      <c r="H136" s="123">
        <f t="shared" si="33"/>
        <v>2.09</v>
      </c>
      <c r="I136" s="123">
        <f t="shared" si="33"/>
        <v>2.09</v>
      </c>
      <c r="J136" s="123">
        <f t="shared" si="33"/>
        <v>2.09</v>
      </c>
      <c r="K136" s="123">
        <f t="shared" si="33"/>
        <v>2.09</v>
      </c>
      <c r="L136" s="123">
        <f t="shared" si="33"/>
        <v>2.09</v>
      </c>
      <c r="M136" s="123">
        <f t="shared" si="33"/>
        <v>2.09</v>
      </c>
      <c r="N136" s="123">
        <f t="shared" si="33"/>
        <v>2.09</v>
      </c>
      <c r="O136" s="123">
        <f t="shared" si="33"/>
        <v>2.09</v>
      </c>
      <c r="P136" s="123">
        <f t="shared" si="33"/>
        <v>2.09</v>
      </c>
      <c r="Q136" s="123">
        <f t="shared" si="33"/>
        <v>2.09</v>
      </c>
      <c r="R136" s="123">
        <f t="shared" si="33"/>
        <v>2.09</v>
      </c>
      <c r="S136" s="123">
        <f t="shared" si="33"/>
        <v>2.09</v>
      </c>
      <c r="T136" s="123">
        <f t="shared" si="34"/>
        <v>2.09</v>
      </c>
      <c r="U136" s="123">
        <f t="shared" si="34"/>
        <v>2.09</v>
      </c>
      <c r="V136" s="123">
        <f t="shared" si="34"/>
        <v>2.09</v>
      </c>
      <c r="W136" s="123">
        <f t="shared" si="34"/>
        <v>2.09</v>
      </c>
      <c r="X136" s="123">
        <f t="shared" si="34"/>
        <v>2.09</v>
      </c>
      <c r="Y136" s="123">
        <f t="shared" si="34"/>
        <v>2.09</v>
      </c>
      <c r="Z136" s="123">
        <f t="shared" si="34"/>
        <v>2.09</v>
      </c>
      <c r="AA136" s="123">
        <f t="shared" si="34"/>
        <v>2.09</v>
      </c>
      <c r="AB136" s="123">
        <f t="shared" si="34"/>
        <v>2.09</v>
      </c>
      <c r="AC136" s="123">
        <f t="shared" si="34"/>
        <v>2.09</v>
      </c>
      <c r="AD136" s="123">
        <f t="shared" si="34"/>
        <v>2.09</v>
      </c>
      <c r="AE136" s="123">
        <f t="shared" si="34"/>
        <v>2.09</v>
      </c>
      <c r="AF136" s="123">
        <f t="shared" si="34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2"/>
        <v>1.1399999999999999</v>
      </c>
      <c r="C137" s="124">
        <v>1.1399999999999999</v>
      </c>
      <c r="D137" s="123">
        <f t="shared" si="33"/>
        <v>1.1399999999999999</v>
      </c>
      <c r="E137" s="123">
        <f t="shared" si="33"/>
        <v>1.1399999999999999</v>
      </c>
      <c r="F137" s="123">
        <f t="shared" si="33"/>
        <v>1.1399999999999999</v>
      </c>
      <c r="G137" s="123">
        <f t="shared" si="33"/>
        <v>1.1399999999999999</v>
      </c>
      <c r="H137" s="123">
        <f t="shared" si="33"/>
        <v>1.1399999999999999</v>
      </c>
      <c r="I137" s="123">
        <f t="shared" si="33"/>
        <v>1.1399999999999999</v>
      </c>
      <c r="J137" s="123">
        <f t="shared" si="33"/>
        <v>1.1399999999999999</v>
      </c>
      <c r="K137" s="123">
        <f t="shared" si="33"/>
        <v>1.1399999999999999</v>
      </c>
      <c r="L137" s="123">
        <f t="shared" si="33"/>
        <v>1.1399999999999999</v>
      </c>
      <c r="M137" s="123">
        <f t="shared" si="33"/>
        <v>1.1399999999999999</v>
      </c>
      <c r="N137" s="123">
        <f t="shared" si="33"/>
        <v>1.1399999999999999</v>
      </c>
      <c r="O137" s="123">
        <f t="shared" si="33"/>
        <v>1.1399999999999999</v>
      </c>
      <c r="P137" s="123">
        <f t="shared" si="33"/>
        <v>1.1399999999999999</v>
      </c>
      <c r="Q137" s="123">
        <f t="shared" si="33"/>
        <v>1.1399999999999999</v>
      </c>
      <c r="R137" s="123">
        <f t="shared" si="33"/>
        <v>1.1399999999999999</v>
      </c>
      <c r="S137" s="123">
        <f t="shared" si="33"/>
        <v>1.1399999999999999</v>
      </c>
      <c r="T137" s="123">
        <f t="shared" si="34"/>
        <v>1.1399999999999999</v>
      </c>
      <c r="U137" s="123">
        <f t="shared" si="34"/>
        <v>1.1399999999999999</v>
      </c>
      <c r="V137" s="123">
        <f t="shared" si="34"/>
        <v>1.1399999999999999</v>
      </c>
      <c r="W137" s="123">
        <f t="shared" si="34"/>
        <v>1.1399999999999999</v>
      </c>
      <c r="X137" s="123">
        <f t="shared" si="34"/>
        <v>1.1399999999999999</v>
      </c>
      <c r="Y137" s="123">
        <f t="shared" si="34"/>
        <v>1.1399999999999999</v>
      </c>
      <c r="Z137" s="123">
        <f t="shared" si="34"/>
        <v>1.1399999999999999</v>
      </c>
      <c r="AA137" s="123">
        <f t="shared" si="34"/>
        <v>1.1399999999999999</v>
      </c>
      <c r="AB137" s="123">
        <f t="shared" si="34"/>
        <v>1.1399999999999999</v>
      </c>
      <c r="AC137" s="123">
        <f t="shared" si="34"/>
        <v>1.1399999999999999</v>
      </c>
      <c r="AD137" s="123">
        <f t="shared" si="34"/>
        <v>1.1399999999999999</v>
      </c>
      <c r="AE137" s="123">
        <f t="shared" si="34"/>
        <v>1.1399999999999999</v>
      </c>
      <c r="AF137" s="123">
        <f t="shared" si="34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2"/>
        <v>0.82</v>
      </c>
      <c r="C138" s="124">
        <v>0.82</v>
      </c>
      <c r="D138" s="123">
        <f t="shared" si="33"/>
        <v>0.82</v>
      </c>
      <c r="E138" s="123">
        <f t="shared" si="33"/>
        <v>0.82</v>
      </c>
      <c r="F138" s="123">
        <f t="shared" si="33"/>
        <v>0.82</v>
      </c>
      <c r="G138" s="123">
        <f t="shared" si="33"/>
        <v>0.82</v>
      </c>
      <c r="H138" s="123">
        <f t="shared" si="33"/>
        <v>0.82</v>
      </c>
      <c r="I138" s="123">
        <f t="shared" si="33"/>
        <v>0.82</v>
      </c>
      <c r="J138" s="123">
        <f t="shared" si="33"/>
        <v>0.82</v>
      </c>
      <c r="K138" s="123">
        <f t="shared" si="33"/>
        <v>0.82</v>
      </c>
      <c r="L138" s="123">
        <f t="shared" si="33"/>
        <v>0.82</v>
      </c>
      <c r="M138" s="123">
        <f t="shared" si="33"/>
        <v>0.82</v>
      </c>
      <c r="N138" s="123">
        <f t="shared" si="33"/>
        <v>0.82</v>
      </c>
      <c r="O138" s="123">
        <f t="shared" si="33"/>
        <v>0.82</v>
      </c>
      <c r="P138" s="123">
        <f t="shared" si="33"/>
        <v>0.82</v>
      </c>
      <c r="Q138" s="123">
        <f t="shared" si="33"/>
        <v>0.82</v>
      </c>
      <c r="R138" s="123">
        <f t="shared" si="33"/>
        <v>0.82</v>
      </c>
      <c r="S138" s="123">
        <f t="shared" si="33"/>
        <v>0.82</v>
      </c>
      <c r="T138" s="123">
        <f t="shared" si="34"/>
        <v>0.82</v>
      </c>
      <c r="U138" s="123">
        <f t="shared" si="34"/>
        <v>0.82</v>
      </c>
      <c r="V138" s="123">
        <f t="shared" si="34"/>
        <v>0.82</v>
      </c>
      <c r="W138" s="123">
        <f t="shared" si="34"/>
        <v>0.82</v>
      </c>
      <c r="X138" s="123">
        <f t="shared" si="34"/>
        <v>0.82</v>
      </c>
      <c r="Y138" s="123">
        <f t="shared" si="34"/>
        <v>0.82</v>
      </c>
      <c r="Z138" s="123">
        <f t="shared" si="34"/>
        <v>0.82</v>
      </c>
      <c r="AA138" s="123">
        <f t="shared" si="34"/>
        <v>0.82</v>
      </c>
      <c r="AB138" s="123">
        <f t="shared" si="34"/>
        <v>0.82</v>
      </c>
      <c r="AC138" s="123">
        <f t="shared" si="34"/>
        <v>0.82</v>
      </c>
      <c r="AD138" s="123">
        <f t="shared" si="34"/>
        <v>0.82</v>
      </c>
      <c r="AE138" s="123">
        <f t="shared" si="34"/>
        <v>0.82</v>
      </c>
      <c r="AF138" s="123">
        <f t="shared" si="34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5">AF140</f>
        <v>2</v>
      </c>
      <c r="C140" s="124">
        <v>2</v>
      </c>
      <c r="D140" s="123">
        <f t="shared" ref="D140:S146" si="36">C140</f>
        <v>2</v>
      </c>
      <c r="E140" s="123">
        <f t="shared" si="36"/>
        <v>2</v>
      </c>
      <c r="F140" s="123">
        <f t="shared" si="36"/>
        <v>2</v>
      </c>
      <c r="G140" s="123">
        <f t="shared" si="36"/>
        <v>2</v>
      </c>
      <c r="H140" s="123">
        <f t="shared" si="36"/>
        <v>2</v>
      </c>
      <c r="I140" s="123">
        <f t="shared" si="36"/>
        <v>2</v>
      </c>
      <c r="J140" s="123">
        <f t="shared" si="36"/>
        <v>2</v>
      </c>
      <c r="K140" s="123">
        <f t="shared" si="36"/>
        <v>2</v>
      </c>
      <c r="L140" s="123">
        <f t="shared" si="36"/>
        <v>2</v>
      </c>
      <c r="M140" s="123">
        <f t="shared" si="36"/>
        <v>2</v>
      </c>
      <c r="N140" s="123">
        <f t="shared" si="36"/>
        <v>2</v>
      </c>
      <c r="O140" s="123">
        <f t="shared" si="36"/>
        <v>2</v>
      </c>
      <c r="P140" s="123">
        <f t="shared" si="36"/>
        <v>2</v>
      </c>
      <c r="Q140" s="123">
        <f t="shared" si="36"/>
        <v>2</v>
      </c>
      <c r="R140" s="123">
        <f t="shared" si="36"/>
        <v>2</v>
      </c>
      <c r="S140" s="123">
        <f t="shared" si="36"/>
        <v>2</v>
      </c>
      <c r="T140" s="123">
        <f t="shared" ref="T140:AF146" si="37">S140</f>
        <v>2</v>
      </c>
      <c r="U140" s="123">
        <f t="shared" si="37"/>
        <v>2</v>
      </c>
      <c r="V140" s="123">
        <f t="shared" si="37"/>
        <v>2</v>
      </c>
      <c r="W140" s="123">
        <f t="shared" si="37"/>
        <v>2</v>
      </c>
      <c r="X140" s="123">
        <f t="shared" si="37"/>
        <v>2</v>
      </c>
      <c r="Y140" s="123">
        <f t="shared" si="37"/>
        <v>2</v>
      </c>
      <c r="Z140" s="123">
        <f t="shared" si="37"/>
        <v>2</v>
      </c>
      <c r="AA140" s="123">
        <f t="shared" si="37"/>
        <v>2</v>
      </c>
      <c r="AB140" s="123">
        <f t="shared" si="37"/>
        <v>2</v>
      </c>
      <c r="AC140" s="123">
        <f t="shared" si="37"/>
        <v>2</v>
      </c>
      <c r="AD140" s="123">
        <f t="shared" si="37"/>
        <v>2</v>
      </c>
      <c r="AE140" s="123">
        <f t="shared" si="37"/>
        <v>2</v>
      </c>
      <c r="AF140" s="123">
        <f t="shared" si="37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5"/>
        <v>5.61</v>
      </c>
      <c r="C141" s="124">
        <v>5.61</v>
      </c>
      <c r="D141" s="123">
        <f t="shared" si="36"/>
        <v>5.61</v>
      </c>
      <c r="E141" s="123">
        <f t="shared" si="36"/>
        <v>5.61</v>
      </c>
      <c r="F141" s="123">
        <f t="shared" si="36"/>
        <v>5.61</v>
      </c>
      <c r="G141" s="123">
        <f t="shared" si="36"/>
        <v>5.61</v>
      </c>
      <c r="H141" s="123">
        <f t="shared" si="36"/>
        <v>5.61</v>
      </c>
      <c r="I141" s="123">
        <f t="shared" si="36"/>
        <v>5.61</v>
      </c>
      <c r="J141" s="123">
        <f t="shared" si="36"/>
        <v>5.61</v>
      </c>
      <c r="K141" s="123">
        <f t="shared" si="36"/>
        <v>5.61</v>
      </c>
      <c r="L141" s="123">
        <f t="shared" si="36"/>
        <v>5.61</v>
      </c>
      <c r="M141" s="123">
        <f t="shared" si="36"/>
        <v>5.61</v>
      </c>
      <c r="N141" s="123">
        <f t="shared" si="36"/>
        <v>5.61</v>
      </c>
      <c r="O141" s="123">
        <f t="shared" si="36"/>
        <v>5.61</v>
      </c>
      <c r="P141" s="123">
        <f t="shared" si="36"/>
        <v>5.61</v>
      </c>
      <c r="Q141" s="123">
        <f t="shared" si="36"/>
        <v>5.61</v>
      </c>
      <c r="R141" s="123">
        <f t="shared" si="36"/>
        <v>5.61</v>
      </c>
      <c r="S141" s="123">
        <f t="shared" si="36"/>
        <v>5.61</v>
      </c>
      <c r="T141" s="123">
        <f t="shared" si="37"/>
        <v>5.61</v>
      </c>
      <c r="U141" s="123">
        <f t="shared" si="37"/>
        <v>5.61</v>
      </c>
      <c r="V141" s="123">
        <f t="shared" si="37"/>
        <v>5.61</v>
      </c>
      <c r="W141" s="123">
        <f t="shared" si="37"/>
        <v>5.61</v>
      </c>
      <c r="X141" s="123">
        <f t="shared" si="37"/>
        <v>5.61</v>
      </c>
      <c r="Y141" s="123">
        <f t="shared" si="37"/>
        <v>5.61</v>
      </c>
      <c r="Z141" s="123">
        <f t="shared" si="37"/>
        <v>5.61</v>
      </c>
      <c r="AA141" s="123">
        <f t="shared" si="37"/>
        <v>5.61</v>
      </c>
      <c r="AB141" s="123">
        <f t="shared" si="37"/>
        <v>5.61</v>
      </c>
      <c r="AC141" s="123">
        <f t="shared" si="37"/>
        <v>5.61</v>
      </c>
      <c r="AD141" s="123">
        <f t="shared" si="37"/>
        <v>5.61</v>
      </c>
      <c r="AE141" s="123">
        <f t="shared" si="37"/>
        <v>5.61</v>
      </c>
      <c r="AF141" s="123">
        <f t="shared" si="37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5"/>
        <v>1.25</v>
      </c>
      <c r="C142" s="124">
        <v>1.25</v>
      </c>
      <c r="D142" s="123">
        <f t="shared" si="36"/>
        <v>1.25</v>
      </c>
      <c r="E142" s="123">
        <f t="shared" si="36"/>
        <v>1.25</v>
      </c>
      <c r="F142" s="123">
        <f t="shared" si="36"/>
        <v>1.25</v>
      </c>
      <c r="G142" s="123">
        <f t="shared" si="36"/>
        <v>1.25</v>
      </c>
      <c r="H142" s="123">
        <f t="shared" si="36"/>
        <v>1.25</v>
      </c>
      <c r="I142" s="123">
        <f t="shared" si="36"/>
        <v>1.25</v>
      </c>
      <c r="J142" s="123">
        <f t="shared" si="36"/>
        <v>1.25</v>
      </c>
      <c r="K142" s="123">
        <f t="shared" si="36"/>
        <v>1.25</v>
      </c>
      <c r="L142" s="123">
        <f t="shared" si="36"/>
        <v>1.25</v>
      </c>
      <c r="M142" s="123">
        <f t="shared" si="36"/>
        <v>1.25</v>
      </c>
      <c r="N142" s="123">
        <f t="shared" si="36"/>
        <v>1.25</v>
      </c>
      <c r="O142" s="123">
        <f t="shared" si="36"/>
        <v>1.25</v>
      </c>
      <c r="P142" s="123">
        <f t="shared" si="36"/>
        <v>1.25</v>
      </c>
      <c r="Q142" s="123">
        <f t="shared" si="36"/>
        <v>1.25</v>
      </c>
      <c r="R142" s="123">
        <f t="shared" si="36"/>
        <v>1.25</v>
      </c>
      <c r="S142" s="123">
        <f t="shared" si="36"/>
        <v>1.25</v>
      </c>
      <c r="T142" s="123">
        <f t="shared" si="37"/>
        <v>1.25</v>
      </c>
      <c r="U142" s="123">
        <f t="shared" si="37"/>
        <v>1.25</v>
      </c>
      <c r="V142" s="123">
        <f t="shared" si="37"/>
        <v>1.25</v>
      </c>
      <c r="W142" s="123">
        <f t="shared" si="37"/>
        <v>1.25</v>
      </c>
      <c r="X142" s="123">
        <f t="shared" si="37"/>
        <v>1.25</v>
      </c>
      <c r="Y142" s="123">
        <f t="shared" si="37"/>
        <v>1.25</v>
      </c>
      <c r="Z142" s="123">
        <f t="shared" si="37"/>
        <v>1.25</v>
      </c>
      <c r="AA142" s="123">
        <f t="shared" si="37"/>
        <v>1.25</v>
      </c>
      <c r="AB142" s="123">
        <f t="shared" si="37"/>
        <v>1.25</v>
      </c>
      <c r="AC142" s="123">
        <f t="shared" si="37"/>
        <v>1.25</v>
      </c>
      <c r="AD142" s="123">
        <f t="shared" si="37"/>
        <v>1.25</v>
      </c>
      <c r="AE142" s="123">
        <f t="shared" si="37"/>
        <v>1.25</v>
      </c>
      <c r="AF142" s="123">
        <f t="shared" si="37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5"/>
        <v>1.25</v>
      </c>
      <c r="C143" s="124">
        <v>1.25</v>
      </c>
      <c r="D143" s="123">
        <f t="shared" si="36"/>
        <v>1.25</v>
      </c>
      <c r="E143" s="123">
        <f t="shared" si="36"/>
        <v>1.25</v>
      </c>
      <c r="F143" s="123">
        <f t="shared" si="36"/>
        <v>1.25</v>
      </c>
      <c r="G143" s="123">
        <f t="shared" si="36"/>
        <v>1.25</v>
      </c>
      <c r="H143" s="123">
        <f t="shared" si="36"/>
        <v>1.25</v>
      </c>
      <c r="I143" s="123">
        <f t="shared" si="36"/>
        <v>1.25</v>
      </c>
      <c r="J143" s="123">
        <f t="shared" si="36"/>
        <v>1.25</v>
      </c>
      <c r="K143" s="123">
        <f t="shared" si="36"/>
        <v>1.25</v>
      </c>
      <c r="L143" s="123">
        <f t="shared" si="36"/>
        <v>1.25</v>
      </c>
      <c r="M143" s="123">
        <f t="shared" si="36"/>
        <v>1.25</v>
      </c>
      <c r="N143" s="123">
        <f t="shared" si="36"/>
        <v>1.25</v>
      </c>
      <c r="O143" s="123">
        <f t="shared" si="36"/>
        <v>1.25</v>
      </c>
      <c r="P143" s="123">
        <f t="shared" si="36"/>
        <v>1.25</v>
      </c>
      <c r="Q143" s="123">
        <f t="shared" si="36"/>
        <v>1.25</v>
      </c>
      <c r="R143" s="123">
        <f t="shared" si="36"/>
        <v>1.25</v>
      </c>
      <c r="S143" s="123">
        <f t="shared" si="36"/>
        <v>1.25</v>
      </c>
      <c r="T143" s="123">
        <f t="shared" si="37"/>
        <v>1.25</v>
      </c>
      <c r="U143" s="123">
        <f t="shared" si="37"/>
        <v>1.25</v>
      </c>
      <c r="V143" s="123">
        <f t="shared" si="37"/>
        <v>1.25</v>
      </c>
      <c r="W143" s="123">
        <f t="shared" si="37"/>
        <v>1.25</v>
      </c>
      <c r="X143" s="123">
        <f t="shared" si="37"/>
        <v>1.25</v>
      </c>
      <c r="Y143" s="123">
        <f t="shared" si="37"/>
        <v>1.25</v>
      </c>
      <c r="Z143" s="123">
        <f t="shared" si="37"/>
        <v>1.25</v>
      </c>
      <c r="AA143" s="123">
        <f t="shared" si="37"/>
        <v>1.25</v>
      </c>
      <c r="AB143" s="123">
        <f t="shared" si="37"/>
        <v>1.25</v>
      </c>
      <c r="AC143" s="123">
        <f t="shared" si="37"/>
        <v>1.25</v>
      </c>
      <c r="AD143" s="123">
        <f t="shared" si="37"/>
        <v>1.25</v>
      </c>
      <c r="AE143" s="123">
        <f t="shared" si="37"/>
        <v>1.25</v>
      </c>
      <c r="AF143" s="123">
        <f t="shared" si="37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5"/>
        <v>1.46</v>
      </c>
      <c r="C144" s="124">
        <v>1.46</v>
      </c>
      <c r="D144" s="123">
        <f t="shared" si="36"/>
        <v>1.46</v>
      </c>
      <c r="E144" s="123">
        <f t="shared" si="36"/>
        <v>1.46</v>
      </c>
      <c r="F144" s="123">
        <f t="shared" si="36"/>
        <v>1.46</v>
      </c>
      <c r="G144" s="123">
        <f t="shared" si="36"/>
        <v>1.46</v>
      </c>
      <c r="H144" s="123">
        <f t="shared" si="36"/>
        <v>1.46</v>
      </c>
      <c r="I144" s="123">
        <f t="shared" si="36"/>
        <v>1.46</v>
      </c>
      <c r="J144" s="123">
        <f t="shared" si="36"/>
        <v>1.46</v>
      </c>
      <c r="K144" s="123">
        <f t="shared" si="36"/>
        <v>1.46</v>
      </c>
      <c r="L144" s="123">
        <f t="shared" si="36"/>
        <v>1.46</v>
      </c>
      <c r="M144" s="123">
        <f t="shared" si="36"/>
        <v>1.46</v>
      </c>
      <c r="N144" s="123">
        <f t="shared" si="36"/>
        <v>1.46</v>
      </c>
      <c r="O144" s="123">
        <f t="shared" si="36"/>
        <v>1.46</v>
      </c>
      <c r="P144" s="123">
        <f t="shared" si="36"/>
        <v>1.46</v>
      </c>
      <c r="Q144" s="123">
        <f t="shared" si="36"/>
        <v>1.46</v>
      </c>
      <c r="R144" s="123">
        <f t="shared" si="36"/>
        <v>1.46</v>
      </c>
      <c r="S144" s="123">
        <f t="shared" si="36"/>
        <v>1.46</v>
      </c>
      <c r="T144" s="123">
        <f t="shared" si="37"/>
        <v>1.46</v>
      </c>
      <c r="U144" s="123">
        <f t="shared" si="37"/>
        <v>1.46</v>
      </c>
      <c r="V144" s="123">
        <f t="shared" si="37"/>
        <v>1.46</v>
      </c>
      <c r="W144" s="123">
        <f t="shared" si="37"/>
        <v>1.46</v>
      </c>
      <c r="X144" s="123">
        <f t="shared" si="37"/>
        <v>1.46</v>
      </c>
      <c r="Y144" s="123">
        <f t="shared" si="37"/>
        <v>1.46</v>
      </c>
      <c r="Z144" s="123">
        <f t="shared" si="37"/>
        <v>1.46</v>
      </c>
      <c r="AA144" s="123">
        <f t="shared" si="37"/>
        <v>1.46</v>
      </c>
      <c r="AB144" s="123">
        <f t="shared" si="37"/>
        <v>1.46</v>
      </c>
      <c r="AC144" s="123">
        <f t="shared" si="37"/>
        <v>1.46</v>
      </c>
      <c r="AD144" s="123">
        <f t="shared" si="37"/>
        <v>1.46</v>
      </c>
      <c r="AE144" s="123">
        <f t="shared" si="37"/>
        <v>1.46</v>
      </c>
      <c r="AF144" s="123">
        <f t="shared" si="37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5"/>
        <v>3</v>
      </c>
      <c r="C145" s="124">
        <v>3</v>
      </c>
      <c r="D145" s="123">
        <f t="shared" si="36"/>
        <v>3</v>
      </c>
      <c r="E145" s="123">
        <f t="shared" si="36"/>
        <v>3</v>
      </c>
      <c r="F145" s="123">
        <f t="shared" si="36"/>
        <v>3</v>
      </c>
      <c r="G145" s="123">
        <f t="shared" si="36"/>
        <v>3</v>
      </c>
      <c r="H145" s="123">
        <f t="shared" si="36"/>
        <v>3</v>
      </c>
      <c r="I145" s="123">
        <f t="shared" si="36"/>
        <v>3</v>
      </c>
      <c r="J145" s="123">
        <f t="shared" si="36"/>
        <v>3</v>
      </c>
      <c r="K145" s="123">
        <f t="shared" si="36"/>
        <v>3</v>
      </c>
      <c r="L145" s="123">
        <f t="shared" si="36"/>
        <v>3</v>
      </c>
      <c r="M145" s="123">
        <f t="shared" si="36"/>
        <v>3</v>
      </c>
      <c r="N145" s="123">
        <f t="shared" si="36"/>
        <v>3</v>
      </c>
      <c r="O145" s="123">
        <f t="shared" si="36"/>
        <v>3</v>
      </c>
      <c r="P145" s="123">
        <f t="shared" si="36"/>
        <v>3</v>
      </c>
      <c r="Q145" s="123">
        <f t="shared" si="36"/>
        <v>3</v>
      </c>
      <c r="R145" s="123">
        <f t="shared" si="36"/>
        <v>3</v>
      </c>
      <c r="S145" s="123">
        <f t="shared" si="36"/>
        <v>3</v>
      </c>
      <c r="T145" s="123">
        <f t="shared" si="37"/>
        <v>3</v>
      </c>
      <c r="U145" s="123">
        <f t="shared" si="37"/>
        <v>3</v>
      </c>
      <c r="V145" s="123">
        <f t="shared" si="37"/>
        <v>3</v>
      </c>
      <c r="W145" s="123">
        <f t="shared" si="37"/>
        <v>3</v>
      </c>
      <c r="X145" s="123">
        <f t="shared" si="37"/>
        <v>3</v>
      </c>
      <c r="Y145" s="123">
        <f t="shared" si="37"/>
        <v>3</v>
      </c>
      <c r="Z145" s="123">
        <f t="shared" si="37"/>
        <v>3</v>
      </c>
      <c r="AA145" s="123">
        <f t="shared" si="37"/>
        <v>3</v>
      </c>
      <c r="AB145" s="123">
        <f t="shared" si="37"/>
        <v>3</v>
      </c>
      <c r="AC145" s="123">
        <f t="shared" si="37"/>
        <v>3</v>
      </c>
      <c r="AD145" s="123">
        <f t="shared" si="37"/>
        <v>3</v>
      </c>
      <c r="AE145" s="123">
        <f t="shared" si="37"/>
        <v>3</v>
      </c>
      <c r="AF145" s="123">
        <f t="shared" si="37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5"/>
        <v>3.3</v>
      </c>
      <c r="C146" s="124">
        <v>3.3</v>
      </c>
      <c r="D146" s="123">
        <f t="shared" si="36"/>
        <v>3.3</v>
      </c>
      <c r="E146" s="123">
        <f t="shared" si="36"/>
        <v>3.3</v>
      </c>
      <c r="F146" s="123">
        <f t="shared" si="36"/>
        <v>3.3</v>
      </c>
      <c r="G146" s="123">
        <f t="shared" si="36"/>
        <v>3.3</v>
      </c>
      <c r="H146" s="123">
        <f t="shared" si="36"/>
        <v>3.3</v>
      </c>
      <c r="I146" s="123">
        <f t="shared" si="36"/>
        <v>3.3</v>
      </c>
      <c r="J146" s="123">
        <f t="shared" si="36"/>
        <v>3.3</v>
      </c>
      <c r="K146" s="123">
        <f t="shared" si="36"/>
        <v>3.3</v>
      </c>
      <c r="L146" s="123">
        <f t="shared" si="36"/>
        <v>3.3</v>
      </c>
      <c r="M146" s="123">
        <f t="shared" si="36"/>
        <v>3.3</v>
      </c>
      <c r="N146" s="123">
        <f t="shared" si="36"/>
        <v>3.3</v>
      </c>
      <c r="O146" s="123">
        <f t="shared" si="36"/>
        <v>3.3</v>
      </c>
      <c r="P146" s="123">
        <f t="shared" si="36"/>
        <v>3.3</v>
      </c>
      <c r="Q146" s="123">
        <f t="shared" si="36"/>
        <v>3.3</v>
      </c>
      <c r="R146" s="123">
        <f t="shared" si="36"/>
        <v>3.3</v>
      </c>
      <c r="S146" s="123">
        <f t="shared" si="36"/>
        <v>3.3</v>
      </c>
      <c r="T146" s="123">
        <f t="shared" si="37"/>
        <v>3.3</v>
      </c>
      <c r="U146" s="123">
        <f t="shared" si="37"/>
        <v>3.3</v>
      </c>
      <c r="V146" s="123">
        <f t="shared" si="37"/>
        <v>3.3</v>
      </c>
      <c r="W146" s="123">
        <f t="shared" si="37"/>
        <v>3.3</v>
      </c>
      <c r="X146" s="123">
        <f t="shared" si="37"/>
        <v>3.3</v>
      </c>
      <c r="Y146" s="123">
        <f t="shared" si="37"/>
        <v>3.3</v>
      </c>
      <c r="Z146" s="123">
        <f t="shared" si="37"/>
        <v>3.3</v>
      </c>
      <c r="AA146" s="123">
        <f t="shared" si="37"/>
        <v>3.3</v>
      </c>
      <c r="AB146" s="123">
        <f t="shared" si="37"/>
        <v>3.3</v>
      </c>
      <c r="AC146" s="123">
        <f t="shared" si="37"/>
        <v>3.3</v>
      </c>
      <c r="AD146" s="123">
        <f t="shared" si="37"/>
        <v>3.3</v>
      </c>
      <c r="AE146" s="123">
        <f t="shared" si="37"/>
        <v>3.3</v>
      </c>
      <c r="AF146" s="123">
        <f t="shared" si="37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8">C148</f>
        <v>1.76</v>
      </c>
      <c r="E148" s="123">
        <f t="shared" si="38"/>
        <v>1.76</v>
      </c>
      <c r="F148" s="123">
        <f t="shared" si="38"/>
        <v>1.76</v>
      </c>
      <c r="G148" s="123">
        <f t="shared" si="38"/>
        <v>1.76</v>
      </c>
      <c r="H148" s="123">
        <f t="shared" si="38"/>
        <v>1.76</v>
      </c>
      <c r="I148" s="123">
        <f t="shared" si="38"/>
        <v>1.76</v>
      </c>
      <c r="J148" s="123">
        <f t="shared" si="38"/>
        <v>1.76</v>
      </c>
      <c r="K148" s="123">
        <f t="shared" si="38"/>
        <v>1.76</v>
      </c>
      <c r="L148" s="123">
        <f t="shared" si="38"/>
        <v>1.76</v>
      </c>
      <c r="M148" s="123">
        <f t="shared" si="38"/>
        <v>1.76</v>
      </c>
      <c r="N148" s="123">
        <f t="shared" si="38"/>
        <v>1.76</v>
      </c>
      <c r="O148" s="123">
        <f t="shared" si="38"/>
        <v>1.76</v>
      </c>
      <c r="P148" s="123">
        <f t="shared" si="38"/>
        <v>1.76</v>
      </c>
      <c r="Q148" s="123">
        <f t="shared" si="38"/>
        <v>1.76</v>
      </c>
      <c r="R148" s="123">
        <f t="shared" si="38"/>
        <v>1.76</v>
      </c>
      <c r="S148" s="123">
        <f t="shared" si="38"/>
        <v>1.76</v>
      </c>
      <c r="T148" s="123">
        <f t="shared" ref="T148:AF149" si="39">S148</f>
        <v>1.76</v>
      </c>
      <c r="U148" s="123">
        <f t="shared" si="39"/>
        <v>1.76</v>
      </c>
      <c r="V148" s="123">
        <f t="shared" si="39"/>
        <v>1.76</v>
      </c>
      <c r="W148" s="123">
        <f t="shared" si="39"/>
        <v>1.76</v>
      </c>
      <c r="X148" s="123">
        <f t="shared" si="39"/>
        <v>1.76</v>
      </c>
      <c r="Y148" s="123">
        <f t="shared" si="39"/>
        <v>1.76</v>
      </c>
      <c r="Z148" s="123">
        <f t="shared" si="39"/>
        <v>1.76</v>
      </c>
      <c r="AA148" s="123">
        <f t="shared" si="39"/>
        <v>1.76</v>
      </c>
      <c r="AB148" s="123">
        <f t="shared" si="39"/>
        <v>1.76</v>
      </c>
      <c r="AC148" s="123">
        <f t="shared" si="39"/>
        <v>1.76</v>
      </c>
      <c r="AD148" s="123">
        <f t="shared" si="39"/>
        <v>1.76</v>
      </c>
      <c r="AE148" s="123">
        <f t="shared" si="39"/>
        <v>1.76</v>
      </c>
      <c r="AF148" s="123">
        <f t="shared" si="39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8"/>
        <v>0</v>
      </c>
      <c r="E149" s="123">
        <f t="shared" si="38"/>
        <v>0</v>
      </c>
      <c r="F149" s="123">
        <f t="shared" si="38"/>
        <v>0</v>
      </c>
      <c r="G149" s="123">
        <f t="shared" si="38"/>
        <v>0</v>
      </c>
      <c r="H149" s="123">
        <f t="shared" si="38"/>
        <v>0</v>
      </c>
      <c r="I149" s="123">
        <f t="shared" si="38"/>
        <v>0</v>
      </c>
      <c r="J149" s="123">
        <f t="shared" si="38"/>
        <v>0</v>
      </c>
      <c r="K149" s="123">
        <f t="shared" si="38"/>
        <v>0</v>
      </c>
      <c r="L149" s="123">
        <f t="shared" si="38"/>
        <v>0</v>
      </c>
      <c r="M149" s="123">
        <f t="shared" si="38"/>
        <v>0</v>
      </c>
      <c r="N149" s="123">
        <f t="shared" si="38"/>
        <v>0</v>
      </c>
      <c r="O149" s="123">
        <f t="shared" si="38"/>
        <v>0</v>
      </c>
      <c r="P149" s="123">
        <f t="shared" si="38"/>
        <v>0</v>
      </c>
      <c r="Q149" s="123">
        <f t="shared" si="38"/>
        <v>0</v>
      </c>
      <c r="R149" s="123">
        <f t="shared" si="38"/>
        <v>0</v>
      </c>
      <c r="S149" s="123">
        <f t="shared" si="38"/>
        <v>0</v>
      </c>
      <c r="T149" s="123">
        <f t="shared" si="39"/>
        <v>0</v>
      </c>
      <c r="U149" s="123">
        <f t="shared" si="39"/>
        <v>0</v>
      </c>
      <c r="V149" s="123">
        <f t="shared" si="39"/>
        <v>0</v>
      </c>
      <c r="W149" s="123">
        <f t="shared" si="39"/>
        <v>0</v>
      </c>
      <c r="X149" s="123">
        <f t="shared" si="39"/>
        <v>0</v>
      </c>
      <c r="Y149" s="123">
        <f t="shared" si="39"/>
        <v>0</v>
      </c>
      <c r="Z149" s="123">
        <f t="shared" si="39"/>
        <v>0</v>
      </c>
      <c r="AA149" s="123">
        <f t="shared" si="39"/>
        <v>0</v>
      </c>
      <c r="AB149" s="123">
        <f t="shared" si="39"/>
        <v>0</v>
      </c>
      <c r="AC149" s="123">
        <f t="shared" si="39"/>
        <v>0</v>
      </c>
      <c r="AD149" s="123">
        <f t="shared" si="39"/>
        <v>0</v>
      </c>
      <c r="AE149" s="123">
        <f t="shared" si="39"/>
        <v>0</v>
      </c>
      <c r="AF149" s="123">
        <f t="shared" si="39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0">C151</f>
        <v>0.1</v>
      </c>
      <c r="E151" s="123">
        <f t="shared" si="40"/>
        <v>0.1</v>
      </c>
      <c r="F151" s="123">
        <f t="shared" si="40"/>
        <v>0.1</v>
      </c>
      <c r="G151" s="123">
        <f t="shared" si="40"/>
        <v>0.1</v>
      </c>
      <c r="H151" s="123">
        <f t="shared" si="40"/>
        <v>0.1</v>
      </c>
      <c r="I151" s="123">
        <f t="shared" si="40"/>
        <v>0.1</v>
      </c>
      <c r="J151" s="123">
        <f t="shared" si="40"/>
        <v>0.1</v>
      </c>
      <c r="K151" s="123">
        <f t="shared" si="40"/>
        <v>0.1</v>
      </c>
      <c r="L151" s="123">
        <f t="shared" si="40"/>
        <v>0.1</v>
      </c>
      <c r="M151" s="123">
        <f t="shared" si="40"/>
        <v>0.1</v>
      </c>
      <c r="N151" s="123">
        <f t="shared" si="40"/>
        <v>0.1</v>
      </c>
      <c r="O151" s="123">
        <f t="shared" si="40"/>
        <v>0.1</v>
      </c>
      <c r="P151" s="123">
        <f t="shared" si="40"/>
        <v>0.1</v>
      </c>
      <c r="Q151" s="123">
        <f t="shared" si="40"/>
        <v>0.1</v>
      </c>
      <c r="R151" s="123">
        <f t="shared" si="40"/>
        <v>0.1</v>
      </c>
      <c r="S151" s="123">
        <f t="shared" si="40"/>
        <v>0.1</v>
      </c>
      <c r="T151" s="123">
        <f t="shared" ref="T151:AF154" si="41">S151</f>
        <v>0.1</v>
      </c>
      <c r="U151" s="123">
        <f t="shared" si="41"/>
        <v>0.1</v>
      </c>
      <c r="V151" s="123">
        <f t="shared" si="41"/>
        <v>0.1</v>
      </c>
      <c r="W151" s="123">
        <f t="shared" si="41"/>
        <v>0.1</v>
      </c>
      <c r="X151" s="123">
        <f t="shared" si="41"/>
        <v>0.1</v>
      </c>
      <c r="Y151" s="123">
        <f t="shared" si="41"/>
        <v>0.1</v>
      </c>
      <c r="Z151" s="123">
        <f t="shared" si="41"/>
        <v>0.1</v>
      </c>
      <c r="AA151" s="123">
        <f t="shared" si="41"/>
        <v>0.1</v>
      </c>
      <c r="AB151" s="123">
        <f t="shared" si="41"/>
        <v>0.1</v>
      </c>
      <c r="AC151" s="123">
        <f t="shared" si="41"/>
        <v>0.1</v>
      </c>
      <c r="AD151" s="123">
        <f t="shared" si="41"/>
        <v>0.1</v>
      </c>
      <c r="AE151" s="123">
        <f t="shared" si="41"/>
        <v>0.1</v>
      </c>
      <c r="AF151" s="123">
        <f t="shared" si="41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0"/>
        <v>2.0499999999999998</v>
      </c>
      <c r="E152" s="123">
        <f t="shared" si="40"/>
        <v>2.0499999999999998</v>
      </c>
      <c r="F152" s="123">
        <f t="shared" si="40"/>
        <v>2.0499999999999998</v>
      </c>
      <c r="G152" s="123">
        <f t="shared" si="40"/>
        <v>2.0499999999999998</v>
      </c>
      <c r="H152" s="123">
        <f t="shared" si="40"/>
        <v>2.0499999999999998</v>
      </c>
      <c r="I152" s="123">
        <f t="shared" si="40"/>
        <v>2.0499999999999998</v>
      </c>
      <c r="J152" s="123">
        <f t="shared" si="40"/>
        <v>2.0499999999999998</v>
      </c>
      <c r="K152" s="123">
        <f t="shared" si="40"/>
        <v>2.0499999999999998</v>
      </c>
      <c r="L152" s="123">
        <f t="shared" si="40"/>
        <v>2.0499999999999998</v>
      </c>
      <c r="M152" s="123">
        <f t="shared" si="40"/>
        <v>2.0499999999999998</v>
      </c>
      <c r="N152" s="123">
        <f t="shared" si="40"/>
        <v>2.0499999999999998</v>
      </c>
      <c r="O152" s="123">
        <f t="shared" si="40"/>
        <v>2.0499999999999998</v>
      </c>
      <c r="P152" s="123">
        <f t="shared" si="40"/>
        <v>2.0499999999999998</v>
      </c>
      <c r="Q152" s="123">
        <f t="shared" si="40"/>
        <v>2.0499999999999998</v>
      </c>
      <c r="R152" s="123">
        <f t="shared" si="40"/>
        <v>2.0499999999999998</v>
      </c>
      <c r="S152" s="123">
        <f t="shared" si="40"/>
        <v>2.0499999999999998</v>
      </c>
      <c r="T152" s="123">
        <f t="shared" si="41"/>
        <v>2.0499999999999998</v>
      </c>
      <c r="U152" s="123">
        <f t="shared" si="41"/>
        <v>2.0499999999999998</v>
      </c>
      <c r="V152" s="123">
        <f t="shared" si="41"/>
        <v>2.0499999999999998</v>
      </c>
      <c r="W152" s="123">
        <f t="shared" si="41"/>
        <v>2.0499999999999998</v>
      </c>
      <c r="X152" s="123">
        <f t="shared" si="41"/>
        <v>2.0499999999999998</v>
      </c>
      <c r="Y152" s="123">
        <f t="shared" si="41"/>
        <v>2.0499999999999998</v>
      </c>
      <c r="Z152" s="123">
        <f t="shared" si="41"/>
        <v>2.0499999999999998</v>
      </c>
      <c r="AA152" s="123">
        <f t="shared" si="41"/>
        <v>2.0499999999999998</v>
      </c>
      <c r="AB152" s="123">
        <f t="shared" si="41"/>
        <v>2.0499999999999998</v>
      </c>
      <c r="AC152" s="123">
        <f t="shared" si="41"/>
        <v>2.0499999999999998</v>
      </c>
      <c r="AD152" s="123">
        <f t="shared" si="41"/>
        <v>2.0499999999999998</v>
      </c>
      <c r="AE152" s="123">
        <f t="shared" si="41"/>
        <v>2.0499999999999998</v>
      </c>
      <c r="AF152" s="123">
        <f t="shared" si="41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0"/>
        <v>2.7</v>
      </c>
      <c r="E153" s="123">
        <f t="shared" si="40"/>
        <v>2.7</v>
      </c>
      <c r="F153" s="123">
        <f t="shared" si="40"/>
        <v>2.7</v>
      </c>
      <c r="G153" s="123">
        <f t="shared" si="40"/>
        <v>2.7</v>
      </c>
      <c r="H153" s="123">
        <f t="shared" si="40"/>
        <v>2.7</v>
      </c>
      <c r="I153" s="123">
        <f t="shared" si="40"/>
        <v>2.7</v>
      </c>
      <c r="J153" s="123">
        <f t="shared" si="40"/>
        <v>2.7</v>
      </c>
      <c r="K153" s="123">
        <f t="shared" si="40"/>
        <v>2.7</v>
      </c>
      <c r="L153" s="123">
        <f t="shared" si="40"/>
        <v>2.7</v>
      </c>
      <c r="M153" s="123">
        <f t="shared" si="40"/>
        <v>2.7</v>
      </c>
      <c r="N153" s="123">
        <f t="shared" si="40"/>
        <v>2.7</v>
      </c>
      <c r="O153" s="123">
        <f t="shared" si="40"/>
        <v>2.7</v>
      </c>
      <c r="P153" s="123">
        <f t="shared" si="40"/>
        <v>2.7</v>
      </c>
      <c r="Q153" s="123">
        <f t="shared" si="40"/>
        <v>2.7</v>
      </c>
      <c r="R153" s="123">
        <f t="shared" si="40"/>
        <v>2.7</v>
      </c>
      <c r="S153" s="123">
        <f t="shared" si="40"/>
        <v>2.7</v>
      </c>
      <c r="T153" s="123">
        <f t="shared" si="41"/>
        <v>2.7</v>
      </c>
      <c r="U153" s="123">
        <f t="shared" si="41"/>
        <v>2.7</v>
      </c>
      <c r="V153" s="123">
        <f t="shared" si="41"/>
        <v>2.7</v>
      </c>
      <c r="W153" s="123">
        <f t="shared" si="41"/>
        <v>2.7</v>
      </c>
      <c r="X153" s="123">
        <f t="shared" si="41"/>
        <v>2.7</v>
      </c>
      <c r="Y153" s="123">
        <f t="shared" si="41"/>
        <v>2.7</v>
      </c>
      <c r="Z153" s="123">
        <f t="shared" si="41"/>
        <v>2.7</v>
      </c>
      <c r="AA153" s="123">
        <f t="shared" si="41"/>
        <v>2.7</v>
      </c>
      <c r="AB153" s="123">
        <f t="shared" si="41"/>
        <v>2.7</v>
      </c>
      <c r="AC153" s="123">
        <f t="shared" si="41"/>
        <v>2.7</v>
      </c>
      <c r="AD153" s="123">
        <f t="shared" si="41"/>
        <v>2.7</v>
      </c>
      <c r="AE153" s="123">
        <f t="shared" si="41"/>
        <v>2.7</v>
      </c>
      <c r="AF153" s="123">
        <f t="shared" si="41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0"/>
        <v>2.15</v>
      </c>
      <c r="E154" s="123">
        <f t="shared" si="40"/>
        <v>2.15</v>
      </c>
      <c r="F154" s="123">
        <f t="shared" si="40"/>
        <v>2.15</v>
      </c>
      <c r="G154" s="123">
        <f t="shared" si="40"/>
        <v>2.15</v>
      </c>
      <c r="H154" s="123">
        <f t="shared" si="40"/>
        <v>2.15</v>
      </c>
      <c r="I154" s="123">
        <f t="shared" si="40"/>
        <v>2.15</v>
      </c>
      <c r="J154" s="123">
        <f t="shared" si="40"/>
        <v>2.15</v>
      </c>
      <c r="K154" s="123">
        <f t="shared" si="40"/>
        <v>2.15</v>
      </c>
      <c r="L154" s="123">
        <f t="shared" si="40"/>
        <v>2.15</v>
      </c>
      <c r="M154" s="123">
        <f t="shared" si="40"/>
        <v>2.15</v>
      </c>
      <c r="N154" s="123">
        <f t="shared" si="40"/>
        <v>2.15</v>
      </c>
      <c r="O154" s="123">
        <f t="shared" si="40"/>
        <v>2.15</v>
      </c>
      <c r="P154" s="123">
        <f t="shared" si="40"/>
        <v>2.15</v>
      </c>
      <c r="Q154" s="123">
        <f t="shared" si="40"/>
        <v>2.15</v>
      </c>
      <c r="R154" s="123">
        <f t="shared" si="40"/>
        <v>2.15</v>
      </c>
      <c r="S154" s="123">
        <f t="shared" si="40"/>
        <v>2.15</v>
      </c>
      <c r="T154" s="123">
        <f t="shared" si="41"/>
        <v>2.15</v>
      </c>
      <c r="U154" s="123">
        <f t="shared" si="41"/>
        <v>2.15</v>
      </c>
      <c r="V154" s="123">
        <f t="shared" si="41"/>
        <v>2.15</v>
      </c>
      <c r="W154" s="123">
        <f t="shared" si="41"/>
        <v>2.15</v>
      </c>
      <c r="X154" s="123">
        <f t="shared" si="41"/>
        <v>2.15</v>
      </c>
      <c r="Y154" s="123">
        <f t="shared" si="41"/>
        <v>2.15</v>
      </c>
      <c r="Z154" s="123">
        <f t="shared" si="41"/>
        <v>2.15</v>
      </c>
      <c r="AA154" s="123">
        <f t="shared" si="41"/>
        <v>2.15</v>
      </c>
      <c r="AB154" s="123">
        <f t="shared" si="41"/>
        <v>2.15</v>
      </c>
      <c r="AC154" s="123">
        <f t="shared" si="41"/>
        <v>2.15</v>
      </c>
      <c r="AD154" s="123">
        <f t="shared" si="41"/>
        <v>2.15</v>
      </c>
      <c r="AE154" s="123">
        <f t="shared" si="41"/>
        <v>2.15</v>
      </c>
      <c r="AF154" s="123">
        <f t="shared" si="41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2">AF156</f>
        <v>0.9</v>
      </c>
      <c r="C156" s="124">
        <v>0.9</v>
      </c>
      <c r="D156" s="123">
        <f t="shared" ref="D156:S168" si="43">C156</f>
        <v>0.9</v>
      </c>
      <c r="E156" s="123">
        <f t="shared" si="43"/>
        <v>0.9</v>
      </c>
      <c r="F156" s="123">
        <f t="shared" si="43"/>
        <v>0.9</v>
      </c>
      <c r="G156" s="123">
        <f t="shared" si="43"/>
        <v>0.9</v>
      </c>
      <c r="H156" s="123">
        <f t="shared" si="43"/>
        <v>0.9</v>
      </c>
      <c r="I156" s="123">
        <f t="shared" si="43"/>
        <v>0.9</v>
      </c>
      <c r="J156" s="123">
        <f t="shared" si="43"/>
        <v>0.9</v>
      </c>
      <c r="K156" s="123">
        <f t="shared" si="43"/>
        <v>0.9</v>
      </c>
      <c r="L156" s="123">
        <f t="shared" si="43"/>
        <v>0.9</v>
      </c>
      <c r="M156" s="123">
        <f t="shared" si="43"/>
        <v>0.9</v>
      </c>
      <c r="N156" s="123">
        <f t="shared" si="43"/>
        <v>0.9</v>
      </c>
      <c r="O156" s="123">
        <f t="shared" si="43"/>
        <v>0.9</v>
      </c>
      <c r="P156" s="123">
        <f t="shared" si="43"/>
        <v>0.9</v>
      </c>
      <c r="Q156" s="123">
        <f t="shared" si="43"/>
        <v>0.9</v>
      </c>
      <c r="R156" s="123">
        <f t="shared" si="43"/>
        <v>0.9</v>
      </c>
      <c r="S156" s="123">
        <f t="shared" si="43"/>
        <v>0.9</v>
      </c>
      <c r="T156" s="123">
        <f t="shared" ref="S156:AF168" si="44">S156</f>
        <v>0.9</v>
      </c>
      <c r="U156" s="123">
        <f t="shared" si="44"/>
        <v>0.9</v>
      </c>
      <c r="V156" s="123">
        <f t="shared" si="44"/>
        <v>0.9</v>
      </c>
      <c r="W156" s="123">
        <f t="shared" si="44"/>
        <v>0.9</v>
      </c>
      <c r="X156" s="123">
        <f t="shared" si="44"/>
        <v>0.9</v>
      </c>
      <c r="Y156" s="123">
        <f t="shared" si="44"/>
        <v>0.9</v>
      </c>
      <c r="Z156" s="123">
        <f t="shared" si="44"/>
        <v>0.9</v>
      </c>
      <c r="AA156" s="123">
        <f t="shared" si="44"/>
        <v>0.9</v>
      </c>
      <c r="AB156" s="123">
        <f t="shared" si="44"/>
        <v>0.9</v>
      </c>
      <c r="AC156" s="123">
        <f t="shared" si="44"/>
        <v>0.9</v>
      </c>
      <c r="AD156" s="123">
        <f t="shared" si="44"/>
        <v>0.9</v>
      </c>
      <c r="AE156" s="123">
        <f t="shared" si="44"/>
        <v>0.9</v>
      </c>
      <c r="AF156" s="123">
        <f t="shared" si="44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2"/>
        <v>1.08</v>
      </c>
      <c r="C157" s="124">
        <v>1.08</v>
      </c>
      <c r="D157" s="123">
        <f t="shared" si="43"/>
        <v>1.08</v>
      </c>
      <c r="E157" s="123">
        <f t="shared" si="43"/>
        <v>1.08</v>
      </c>
      <c r="F157" s="123">
        <f t="shared" si="43"/>
        <v>1.08</v>
      </c>
      <c r="G157" s="123">
        <f t="shared" si="43"/>
        <v>1.08</v>
      </c>
      <c r="H157" s="123">
        <f t="shared" si="43"/>
        <v>1.08</v>
      </c>
      <c r="I157" s="123">
        <f t="shared" si="43"/>
        <v>1.08</v>
      </c>
      <c r="J157" s="123">
        <f t="shared" si="43"/>
        <v>1.08</v>
      </c>
      <c r="K157" s="123">
        <f t="shared" si="43"/>
        <v>1.08</v>
      </c>
      <c r="L157" s="123">
        <f t="shared" si="43"/>
        <v>1.08</v>
      </c>
      <c r="M157" s="123">
        <f t="shared" si="43"/>
        <v>1.08</v>
      </c>
      <c r="N157" s="123">
        <f t="shared" si="43"/>
        <v>1.08</v>
      </c>
      <c r="O157" s="123">
        <f t="shared" si="43"/>
        <v>1.08</v>
      </c>
      <c r="P157" s="123">
        <f t="shared" si="43"/>
        <v>1.08</v>
      </c>
      <c r="Q157" s="123">
        <f t="shared" si="43"/>
        <v>1.08</v>
      </c>
      <c r="R157" s="123">
        <f t="shared" si="43"/>
        <v>1.08</v>
      </c>
      <c r="S157" s="123">
        <f t="shared" si="43"/>
        <v>1.08</v>
      </c>
      <c r="T157" s="123">
        <f t="shared" si="44"/>
        <v>1.08</v>
      </c>
      <c r="U157" s="123">
        <f t="shared" si="44"/>
        <v>1.08</v>
      </c>
      <c r="V157" s="123">
        <f t="shared" si="44"/>
        <v>1.08</v>
      </c>
      <c r="W157" s="123">
        <f t="shared" si="44"/>
        <v>1.08</v>
      </c>
      <c r="X157" s="123">
        <f t="shared" si="44"/>
        <v>1.08</v>
      </c>
      <c r="Y157" s="123">
        <f t="shared" si="44"/>
        <v>1.08</v>
      </c>
      <c r="Z157" s="123">
        <f t="shared" si="44"/>
        <v>1.08</v>
      </c>
      <c r="AA157" s="123">
        <f t="shared" si="44"/>
        <v>1.08</v>
      </c>
      <c r="AB157" s="123">
        <f t="shared" si="44"/>
        <v>1.08</v>
      </c>
      <c r="AC157" s="123">
        <f t="shared" si="44"/>
        <v>1.08</v>
      </c>
      <c r="AD157" s="123">
        <f t="shared" si="44"/>
        <v>1.08</v>
      </c>
      <c r="AE157" s="123">
        <f t="shared" si="44"/>
        <v>1.08</v>
      </c>
      <c r="AF157" s="123">
        <f t="shared" si="44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2"/>
        <v>2.37</v>
      </c>
      <c r="C158" s="124">
        <v>2.37</v>
      </c>
      <c r="D158" s="123">
        <f t="shared" si="43"/>
        <v>2.37</v>
      </c>
      <c r="E158" s="123">
        <f t="shared" si="43"/>
        <v>2.37</v>
      </c>
      <c r="F158" s="123">
        <f t="shared" si="43"/>
        <v>2.37</v>
      </c>
      <c r="G158" s="123">
        <f t="shared" si="43"/>
        <v>2.37</v>
      </c>
      <c r="H158" s="123">
        <f t="shared" si="43"/>
        <v>2.37</v>
      </c>
      <c r="I158" s="123">
        <f t="shared" si="43"/>
        <v>2.37</v>
      </c>
      <c r="J158" s="123">
        <f t="shared" si="43"/>
        <v>2.37</v>
      </c>
      <c r="K158" s="123">
        <f t="shared" si="43"/>
        <v>2.37</v>
      </c>
      <c r="L158" s="123">
        <f t="shared" si="43"/>
        <v>2.37</v>
      </c>
      <c r="M158" s="123">
        <f t="shared" si="43"/>
        <v>2.37</v>
      </c>
      <c r="N158" s="123">
        <f t="shared" si="43"/>
        <v>2.37</v>
      </c>
      <c r="O158" s="123">
        <f t="shared" si="43"/>
        <v>2.37</v>
      </c>
      <c r="P158" s="123">
        <f t="shared" si="43"/>
        <v>2.37</v>
      </c>
      <c r="Q158" s="123">
        <f t="shared" si="43"/>
        <v>2.37</v>
      </c>
      <c r="R158" s="123">
        <f t="shared" si="43"/>
        <v>2.37</v>
      </c>
      <c r="S158" s="123">
        <f t="shared" si="43"/>
        <v>2.37</v>
      </c>
      <c r="T158" s="123">
        <f t="shared" si="44"/>
        <v>2.37</v>
      </c>
      <c r="U158" s="123">
        <f t="shared" si="44"/>
        <v>2.37</v>
      </c>
      <c r="V158" s="123">
        <f t="shared" si="44"/>
        <v>2.37</v>
      </c>
      <c r="W158" s="123">
        <f t="shared" si="44"/>
        <v>2.37</v>
      </c>
      <c r="X158" s="123">
        <f t="shared" si="44"/>
        <v>2.37</v>
      </c>
      <c r="Y158" s="123">
        <f t="shared" si="44"/>
        <v>2.37</v>
      </c>
      <c r="Z158" s="123">
        <f t="shared" si="44"/>
        <v>2.37</v>
      </c>
      <c r="AA158" s="123">
        <f t="shared" si="44"/>
        <v>2.37</v>
      </c>
      <c r="AB158" s="123">
        <f t="shared" si="44"/>
        <v>2.37</v>
      </c>
      <c r="AC158" s="123">
        <f t="shared" si="44"/>
        <v>2.37</v>
      </c>
      <c r="AD158" s="123">
        <f t="shared" si="44"/>
        <v>2.37</v>
      </c>
      <c r="AE158" s="123">
        <f t="shared" si="44"/>
        <v>2.37</v>
      </c>
      <c r="AF158" s="123">
        <f t="shared" si="44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2"/>
        <v>1.81</v>
      </c>
      <c r="C159" s="124">
        <v>1.81</v>
      </c>
      <c r="D159" s="123">
        <f t="shared" si="43"/>
        <v>1.81</v>
      </c>
      <c r="E159" s="123">
        <f t="shared" si="43"/>
        <v>1.81</v>
      </c>
      <c r="F159" s="123">
        <f t="shared" si="43"/>
        <v>1.81</v>
      </c>
      <c r="G159" s="123">
        <f t="shared" si="43"/>
        <v>1.81</v>
      </c>
      <c r="H159" s="123">
        <f t="shared" si="43"/>
        <v>1.81</v>
      </c>
      <c r="I159" s="123">
        <f t="shared" si="43"/>
        <v>1.81</v>
      </c>
      <c r="J159" s="123">
        <f t="shared" si="43"/>
        <v>1.81</v>
      </c>
      <c r="K159" s="123">
        <f t="shared" si="43"/>
        <v>1.81</v>
      </c>
      <c r="L159" s="123">
        <f t="shared" si="43"/>
        <v>1.81</v>
      </c>
      <c r="M159" s="123">
        <f t="shared" si="43"/>
        <v>1.81</v>
      </c>
      <c r="N159" s="123">
        <f t="shared" si="43"/>
        <v>1.81</v>
      </c>
      <c r="O159" s="123">
        <f t="shared" si="43"/>
        <v>1.81</v>
      </c>
      <c r="P159" s="123">
        <f t="shared" si="43"/>
        <v>1.81</v>
      </c>
      <c r="Q159" s="123">
        <f t="shared" si="43"/>
        <v>1.81</v>
      </c>
      <c r="R159" s="123">
        <f t="shared" si="43"/>
        <v>1.81</v>
      </c>
      <c r="S159" s="123">
        <f t="shared" si="43"/>
        <v>1.81</v>
      </c>
      <c r="T159" s="123">
        <f t="shared" si="44"/>
        <v>1.81</v>
      </c>
      <c r="U159" s="123">
        <f t="shared" si="44"/>
        <v>1.81</v>
      </c>
      <c r="V159" s="123">
        <f t="shared" si="44"/>
        <v>1.81</v>
      </c>
      <c r="W159" s="123">
        <f t="shared" si="44"/>
        <v>1.81</v>
      </c>
      <c r="X159" s="123">
        <f t="shared" si="44"/>
        <v>1.81</v>
      </c>
      <c r="Y159" s="123">
        <f t="shared" si="44"/>
        <v>1.81</v>
      </c>
      <c r="Z159" s="123">
        <f t="shared" si="44"/>
        <v>1.81</v>
      </c>
      <c r="AA159" s="123">
        <f t="shared" si="44"/>
        <v>1.81</v>
      </c>
      <c r="AB159" s="123">
        <f t="shared" si="44"/>
        <v>1.81</v>
      </c>
      <c r="AC159" s="123">
        <f t="shared" si="44"/>
        <v>1.81</v>
      </c>
      <c r="AD159" s="123">
        <f t="shared" si="44"/>
        <v>1.81</v>
      </c>
      <c r="AE159" s="123">
        <f t="shared" si="44"/>
        <v>1.81</v>
      </c>
      <c r="AF159" s="123">
        <f t="shared" si="44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2"/>
        <v>1.0900000000000001</v>
      </c>
      <c r="C160" s="124">
        <v>1.0900000000000001</v>
      </c>
      <c r="D160" s="123">
        <f t="shared" si="43"/>
        <v>1.0900000000000001</v>
      </c>
      <c r="E160" s="123">
        <f t="shared" si="43"/>
        <v>1.0900000000000001</v>
      </c>
      <c r="F160" s="123">
        <f t="shared" si="43"/>
        <v>1.0900000000000001</v>
      </c>
      <c r="G160" s="123">
        <f t="shared" si="43"/>
        <v>1.0900000000000001</v>
      </c>
      <c r="H160" s="123">
        <f t="shared" si="43"/>
        <v>1.0900000000000001</v>
      </c>
      <c r="I160" s="123">
        <f t="shared" si="43"/>
        <v>1.0900000000000001</v>
      </c>
      <c r="J160" s="123">
        <f t="shared" si="43"/>
        <v>1.0900000000000001</v>
      </c>
      <c r="K160" s="123">
        <f t="shared" si="43"/>
        <v>1.0900000000000001</v>
      </c>
      <c r="L160" s="123">
        <f t="shared" si="43"/>
        <v>1.0900000000000001</v>
      </c>
      <c r="M160" s="123">
        <f t="shared" si="43"/>
        <v>1.0900000000000001</v>
      </c>
      <c r="N160" s="123">
        <f t="shared" si="43"/>
        <v>1.0900000000000001</v>
      </c>
      <c r="O160" s="123">
        <f t="shared" si="43"/>
        <v>1.0900000000000001</v>
      </c>
      <c r="P160" s="123">
        <f t="shared" si="43"/>
        <v>1.0900000000000001</v>
      </c>
      <c r="Q160" s="123">
        <f t="shared" si="43"/>
        <v>1.0900000000000001</v>
      </c>
      <c r="R160" s="123">
        <f t="shared" si="43"/>
        <v>1.0900000000000001</v>
      </c>
      <c r="S160" s="123">
        <f t="shared" si="43"/>
        <v>1.0900000000000001</v>
      </c>
      <c r="T160" s="123">
        <f t="shared" si="44"/>
        <v>1.0900000000000001</v>
      </c>
      <c r="U160" s="123">
        <f t="shared" si="44"/>
        <v>1.0900000000000001</v>
      </c>
      <c r="V160" s="123">
        <f t="shared" si="44"/>
        <v>1.0900000000000001</v>
      </c>
      <c r="W160" s="123">
        <f t="shared" si="44"/>
        <v>1.0900000000000001</v>
      </c>
      <c r="X160" s="123">
        <f t="shared" si="44"/>
        <v>1.0900000000000001</v>
      </c>
      <c r="Y160" s="123">
        <f t="shared" si="44"/>
        <v>1.0900000000000001</v>
      </c>
      <c r="Z160" s="123">
        <f t="shared" si="44"/>
        <v>1.0900000000000001</v>
      </c>
      <c r="AA160" s="123">
        <f t="shared" si="44"/>
        <v>1.0900000000000001</v>
      </c>
      <c r="AB160" s="123">
        <f t="shared" si="44"/>
        <v>1.0900000000000001</v>
      </c>
      <c r="AC160" s="123">
        <f t="shared" si="44"/>
        <v>1.0900000000000001</v>
      </c>
      <c r="AD160" s="123">
        <f t="shared" si="44"/>
        <v>1.0900000000000001</v>
      </c>
      <c r="AE160" s="123">
        <f t="shared" si="44"/>
        <v>1.0900000000000001</v>
      </c>
      <c r="AF160" s="123">
        <f t="shared" si="44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2"/>
        <v>1.58</v>
      </c>
      <c r="C161" s="124">
        <v>1.58</v>
      </c>
      <c r="D161" s="123">
        <f t="shared" si="43"/>
        <v>1.58</v>
      </c>
      <c r="E161" s="123">
        <f t="shared" si="43"/>
        <v>1.58</v>
      </c>
      <c r="F161" s="123">
        <f t="shared" si="43"/>
        <v>1.58</v>
      </c>
      <c r="G161" s="123">
        <f t="shared" si="43"/>
        <v>1.58</v>
      </c>
      <c r="H161" s="123">
        <f t="shared" si="43"/>
        <v>1.58</v>
      </c>
      <c r="I161" s="123">
        <f t="shared" si="43"/>
        <v>1.58</v>
      </c>
      <c r="J161" s="123">
        <f t="shared" si="43"/>
        <v>1.58</v>
      </c>
      <c r="K161" s="123">
        <f t="shared" si="43"/>
        <v>1.58</v>
      </c>
      <c r="L161" s="123">
        <f t="shared" si="43"/>
        <v>1.58</v>
      </c>
      <c r="M161" s="123">
        <f t="shared" si="43"/>
        <v>1.58</v>
      </c>
      <c r="N161" s="123">
        <f t="shared" si="43"/>
        <v>1.58</v>
      </c>
      <c r="O161" s="123">
        <f t="shared" si="43"/>
        <v>1.58</v>
      </c>
      <c r="P161" s="123">
        <f t="shared" si="43"/>
        <v>1.58</v>
      </c>
      <c r="Q161" s="123">
        <f t="shared" si="43"/>
        <v>1.58</v>
      </c>
      <c r="R161" s="123">
        <f t="shared" si="43"/>
        <v>1.58</v>
      </c>
      <c r="S161" s="123">
        <f t="shared" si="43"/>
        <v>1.58</v>
      </c>
      <c r="T161" s="123">
        <f t="shared" si="44"/>
        <v>1.58</v>
      </c>
      <c r="U161" s="123">
        <f t="shared" si="44"/>
        <v>1.58</v>
      </c>
      <c r="V161" s="123">
        <f t="shared" si="44"/>
        <v>1.58</v>
      </c>
      <c r="W161" s="123">
        <f t="shared" si="44"/>
        <v>1.58</v>
      </c>
      <c r="X161" s="123">
        <f t="shared" si="44"/>
        <v>1.58</v>
      </c>
      <c r="Y161" s="123">
        <f t="shared" si="44"/>
        <v>1.58</v>
      </c>
      <c r="Z161" s="123">
        <f t="shared" si="44"/>
        <v>1.58</v>
      </c>
      <c r="AA161" s="123">
        <f t="shared" si="44"/>
        <v>1.58</v>
      </c>
      <c r="AB161" s="123">
        <f t="shared" si="44"/>
        <v>1.58</v>
      </c>
      <c r="AC161" s="123">
        <f t="shared" si="44"/>
        <v>1.58</v>
      </c>
      <c r="AD161" s="123">
        <f t="shared" si="44"/>
        <v>1.58</v>
      </c>
      <c r="AE161" s="123">
        <f t="shared" si="44"/>
        <v>1.58</v>
      </c>
      <c r="AF161" s="123">
        <f t="shared" si="44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2"/>
        <v>2</v>
      </c>
      <c r="C162" s="124">
        <v>2</v>
      </c>
      <c r="D162" s="123">
        <f t="shared" si="43"/>
        <v>2</v>
      </c>
      <c r="E162" s="123">
        <f t="shared" si="43"/>
        <v>2</v>
      </c>
      <c r="F162" s="123">
        <f t="shared" si="43"/>
        <v>2</v>
      </c>
      <c r="G162" s="123">
        <f t="shared" si="43"/>
        <v>2</v>
      </c>
      <c r="H162" s="123">
        <f t="shared" si="43"/>
        <v>2</v>
      </c>
      <c r="I162" s="123">
        <f t="shared" si="43"/>
        <v>2</v>
      </c>
      <c r="J162" s="123">
        <f t="shared" si="43"/>
        <v>2</v>
      </c>
      <c r="K162" s="123">
        <f t="shared" si="43"/>
        <v>2</v>
      </c>
      <c r="L162" s="123">
        <f t="shared" si="43"/>
        <v>2</v>
      </c>
      <c r="M162" s="123">
        <f t="shared" si="43"/>
        <v>2</v>
      </c>
      <c r="N162" s="123">
        <f t="shared" si="43"/>
        <v>2</v>
      </c>
      <c r="O162" s="123">
        <f t="shared" si="43"/>
        <v>2</v>
      </c>
      <c r="P162" s="123">
        <f t="shared" si="43"/>
        <v>2</v>
      </c>
      <c r="Q162" s="123">
        <f t="shared" si="43"/>
        <v>2</v>
      </c>
      <c r="R162" s="123">
        <f t="shared" si="43"/>
        <v>2</v>
      </c>
      <c r="S162" s="123">
        <f t="shared" si="43"/>
        <v>2</v>
      </c>
      <c r="T162" s="123">
        <f t="shared" si="44"/>
        <v>2</v>
      </c>
      <c r="U162" s="123">
        <f t="shared" si="44"/>
        <v>2</v>
      </c>
      <c r="V162" s="123">
        <f t="shared" si="44"/>
        <v>2</v>
      </c>
      <c r="W162" s="123">
        <f t="shared" si="44"/>
        <v>2</v>
      </c>
      <c r="X162" s="123">
        <f t="shared" si="44"/>
        <v>2</v>
      </c>
      <c r="Y162" s="123">
        <f t="shared" si="44"/>
        <v>2</v>
      </c>
      <c r="Z162" s="123">
        <f t="shared" si="44"/>
        <v>2</v>
      </c>
      <c r="AA162" s="123">
        <f t="shared" si="44"/>
        <v>2</v>
      </c>
      <c r="AB162" s="123">
        <f t="shared" si="44"/>
        <v>2</v>
      </c>
      <c r="AC162" s="123">
        <f t="shared" si="44"/>
        <v>2</v>
      </c>
      <c r="AD162" s="123">
        <f t="shared" si="44"/>
        <v>2</v>
      </c>
      <c r="AE162" s="123">
        <f t="shared" si="44"/>
        <v>2</v>
      </c>
      <c r="AF162" s="123">
        <f t="shared" si="44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2"/>
        <v>0.47</v>
      </c>
      <c r="C163" s="124">
        <v>0.47</v>
      </c>
      <c r="D163" s="123">
        <f t="shared" si="43"/>
        <v>0.47</v>
      </c>
      <c r="E163" s="123">
        <f t="shared" si="43"/>
        <v>0.47</v>
      </c>
      <c r="F163" s="123">
        <f t="shared" si="43"/>
        <v>0.47</v>
      </c>
      <c r="G163" s="123">
        <f t="shared" si="43"/>
        <v>0.47</v>
      </c>
      <c r="H163" s="123">
        <f t="shared" si="43"/>
        <v>0.47</v>
      </c>
      <c r="I163" s="123">
        <f t="shared" si="43"/>
        <v>0.47</v>
      </c>
      <c r="J163" s="123">
        <f t="shared" si="43"/>
        <v>0.47</v>
      </c>
      <c r="K163" s="123">
        <f t="shared" si="43"/>
        <v>0.47</v>
      </c>
      <c r="L163" s="123">
        <f t="shared" si="43"/>
        <v>0.47</v>
      </c>
      <c r="M163" s="123">
        <f t="shared" si="43"/>
        <v>0.47</v>
      </c>
      <c r="N163" s="123">
        <f t="shared" si="43"/>
        <v>0.47</v>
      </c>
      <c r="O163" s="123">
        <f t="shared" si="43"/>
        <v>0.47</v>
      </c>
      <c r="P163" s="123">
        <f t="shared" si="43"/>
        <v>0.47</v>
      </c>
      <c r="Q163" s="123">
        <f t="shared" si="43"/>
        <v>0.47</v>
      </c>
      <c r="R163" s="123">
        <f t="shared" si="43"/>
        <v>0.47</v>
      </c>
      <c r="S163" s="123">
        <f t="shared" si="43"/>
        <v>0.47</v>
      </c>
      <c r="T163" s="123">
        <f t="shared" si="44"/>
        <v>0.47</v>
      </c>
      <c r="U163" s="123">
        <f t="shared" si="44"/>
        <v>0.47</v>
      </c>
      <c r="V163" s="123">
        <f t="shared" si="44"/>
        <v>0.47</v>
      </c>
      <c r="W163" s="123">
        <f t="shared" si="44"/>
        <v>0.47</v>
      </c>
      <c r="X163" s="123">
        <f t="shared" si="44"/>
        <v>0.47</v>
      </c>
      <c r="Y163" s="123">
        <f t="shared" si="44"/>
        <v>0.47</v>
      </c>
      <c r="Z163" s="123">
        <f t="shared" si="44"/>
        <v>0.47</v>
      </c>
      <c r="AA163" s="123">
        <f t="shared" si="44"/>
        <v>0.47</v>
      </c>
      <c r="AB163" s="123">
        <f t="shared" si="44"/>
        <v>0.47</v>
      </c>
      <c r="AC163" s="123">
        <f t="shared" si="44"/>
        <v>0.47</v>
      </c>
      <c r="AD163" s="123">
        <f t="shared" si="44"/>
        <v>0.47</v>
      </c>
      <c r="AE163" s="123">
        <f t="shared" si="44"/>
        <v>0.47</v>
      </c>
      <c r="AF163" s="123">
        <f t="shared" si="44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2"/>
        <v>0</v>
      </c>
      <c r="C164" s="124">
        <v>0</v>
      </c>
      <c r="D164" s="123">
        <f t="shared" si="43"/>
        <v>0</v>
      </c>
      <c r="E164" s="123">
        <f t="shared" si="43"/>
        <v>0</v>
      </c>
      <c r="F164" s="123">
        <f t="shared" si="43"/>
        <v>0</v>
      </c>
      <c r="G164" s="123">
        <f t="shared" si="43"/>
        <v>0</v>
      </c>
      <c r="H164" s="123">
        <f t="shared" si="43"/>
        <v>0</v>
      </c>
      <c r="I164" s="123">
        <f t="shared" si="43"/>
        <v>0</v>
      </c>
      <c r="J164" s="123">
        <f t="shared" si="43"/>
        <v>0</v>
      </c>
      <c r="K164" s="123">
        <f t="shared" si="43"/>
        <v>0</v>
      </c>
      <c r="L164" s="123">
        <f t="shared" si="43"/>
        <v>0</v>
      </c>
      <c r="M164" s="123">
        <f t="shared" si="43"/>
        <v>0</v>
      </c>
      <c r="N164" s="123">
        <f t="shared" si="43"/>
        <v>0</v>
      </c>
      <c r="O164" s="123">
        <f t="shared" si="43"/>
        <v>0</v>
      </c>
      <c r="P164" s="123">
        <f t="shared" si="43"/>
        <v>0</v>
      </c>
      <c r="Q164" s="123">
        <f t="shared" si="43"/>
        <v>0</v>
      </c>
      <c r="R164" s="123">
        <f t="shared" si="43"/>
        <v>0</v>
      </c>
      <c r="S164" s="123">
        <f t="shared" si="43"/>
        <v>0</v>
      </c>
      <c r="T164" s="123">
        <f t="shared" si="44"/>
        <v>0</v>
      </c>
      <c r="U164" s="123">
        <f t="shared" si="44"/>
        <v>0</v>
      </c>
      <c r="V164" s="123">
        <f t="shared" si="44"/>
        <v>0</v>
      </c>
      <c r="W164" s="123">
        <f t="shared" si="44"/>
        <v>0</v>
      </c>
      <c r="X164" s="123">
        <f t="shared" si="44"/>
        <v>0</v>
      </c>
      <c r="Y164" s="123">
        <f t="shared" si="44"/>
        <v>0</v>
      </c>
      <c r="Z164" s="123">
        <f t="shared" si="44"/>
        <v>0</v>
      </c>
      <c r="AA164" s="123">
        <f t="shared" si="44"/>
        <v>0</v>
      </c>
      <c r="AB164" s="123">
        <f t="shared" si="44"/>
        <v>0</v>
      </c>
      <c r="AC164" s="123">
        <f t="shared" si="44"/>
        <v>0</v>
      </c>
      <c r="AD164" s="123">
        <f t="shared" si="44"/>
        <v>0</v>
      </c>
      <c r="AE164" s="123">
        <f t="shared" si="44"/>
        <v>0</v>
      </c>
      <c r="AF164" s="123">
        <f t="shared" si="44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2"/>
        <v>0</v>
      </c>
      <c r="C165" s="124">
        <v>0</v>
      </c>
      <c r="D165" s="123">
        <f t="shared" si="43"/>
        <v>0</v>
      </c>
      <c r="E165" s="123">
        <f t="shared" si="43"/>
        <v>0</v>
      </c>
      <c r="F165" s="123">
        <f t="shared" si="43"/>
        <v>0</v>
      </c>
      <c r="G165" s="123">
        <f t="shared" si="43"/>
        <v>0</v>
      </c>
      <c r="H165" s="123">
        <f t="shared" si="43"/>
        <v>0</v>
      </c>
      <c r="I165" s="123">
        <f t="shared" si="43"/>
        <v>0</v>
      </c>
      <c r="J165" s="123">
        <f t="shared" si="43"/>
        <v>0</v>
      </c>
      <c r="K165" s="123">
        <f t="shared" si="43"/>
        <v>0</v>
      </c>
      <c r="L165" s="123">
        <f t="shared" si="43"/>
        <v>0</v>
      </c>
      <c r="M165" s="123">
        <f t="shared" si="43"/>
        <v>0</v>
      </c>
      <c r="N165" s="123">
        <f t="shared" si="43"/>
        <v>0</v>
      </c>
      <c r="O165" s="123">
        <f t="shared" si="43"/>
        <v>0</v>
      </c>
      <c r="P165" s="123">
        <f t="shared" si="43"/>
        <v>0</v>
      </c>
      <c r="Q165" s="123">
        <f t="shared" si="43"/>
        <v>0</v>
      </c>
      <c r="R165" s="123">
        <f t="shared" si="43"/>
        <v>0</v>
      </c>
      <c r="S165" s="123">
        <f t="shared" si="44"/>
        <v>0</v>
      </c>
      <c r="T165" s="123">
        <f t="shared" si="44"/>
        <v>0</v>
      </c>
      <c r="U165" s="123">
        <f t="shared" si="44"/>
        <v>0</v>
      </c>
      <c r="V165" s="123">
        <f t="shared" si="44"/>
        <v>0</v>
      </c>
      <c r="W165" s="123">
        <f t="shared" si="44"/>
        <v>0</v>
      </c>
      <c r="X165" s="123">
        <f t="shared" si="44"/>
        <v>0</v>
      </c>
      <c r="Y165" s="123">
        <f t="shared" si="44"/>
        <v>0</v>
      </c>
      <c r="Z165" s="123">
        <f t="shared" si="44"/>
        <v>0</v>
      </c>
      <c r="AA165" s="123">
        <f t="shared" si="44"/>
        <v>0</v>
      </c>
      <c r="AB165" s="123">
        <f t="shared" si="44"/>
        <v>0</v>
      </c>
      <c r="AC165" s="123">
        <f t="shared" si="44"/>
        <v>0</v>
      </c>
      <c r="AD165" s="123">
        <f t="shared" si="44"/>
        <v>0</v>
      </c>
      <c r="AE165" s="123">
        <f t="shared" si="44"/>
        <v>0</v>
      </c>
      <c r="AF165" s="123">
        <f t="shared" si="44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2"/>
        <v>0.8</v>
      </c>
      <c r="C166" s="124">
        <v>0.8</v>
      </c>
      <c r="D166" s="123">
        <f t="shared" si="43"/>
        <v>0.8</v>
      </c>
      <c r="E166" s="123">
        <f t="shared" si="43"/>
        <v>0.8</v>
      </c>
      <c r="F166" s="123">
        <f t="shared" si="43"/>
        <v>0.8</v>
      </c>
      <c r="G166" s="123">
        <f t="shared" si="43"/>
        <v>0.8</v>
      </c>
      <c r="H166" s="123">
        <f t="shared" si="43"/>
        <v>0.8</v>
      </c>
      <c r="I166" s="123">
        <f t="shared" si="43"/>
        <v>0.8</v>
      </c>
      <c r="J166" s="123">
        <f t="shared" si="43"/>
        <v>0.8</v>
      </c>
      <c r="K166" s="123">
        <f t="shared" si="43"/>
        <v>0.8</v>
      </c>
      <c r="L166" s="123">
        <f t="shared" si="43"/>
        <v>0.8</v>
      </c>
      <c r="M166" s="123">
        <f t="shared" si="43"/>
        <v>0.8</v>
      </c>
      <c r="N166" s="123">
        <f t="shared" si="43"/>
        <v>0.8</v>
      </c>
      <c r="O166" s="123">
        <f t="shared" si="43"/>
        <v>0.8</v>
      </c>
      <c r="P166" s="123">
        <f t="shared" si="43"/>
        <v>0.8</v>
      </c>
      <c r="Q166" s="123">
        <f t="shared" si="43"/>
        <v>0.8</v>
      </c>
      <c r="R166" s="123">
        <f t="shared" si="43"/>
        <v>0.8</v>
      </c>
      <c r="S166" s="123">
        <f t="shared" si="44"/>
        <v>0.8</v>
      </c>
      <c r="T166" s="123">
        <f t="shared" si="44"/>
        <v>0.8</v>
      </c>
      <c r="U166" s="123">
        <f t="shared" si="44"/>
        <v>0.8</v>
      </c>
      <c r="V166" s="123">
        <f t="shared" si="44"/>
        <v>0.8</v>
      </c>
      <c r="W166" s="123">
        <f t="shared" si="44"/>
        <v>0.8</v>
      </c>
      <c r="X166" s="123">
        <f t="shared" si="44"/>
        <v>0.8</v>
      </c>
      <c r="Y166" s="123">
        <f t="shared" si="44"/>
        <v>0.8</v>
      </c>
      <c r="Z166" s="123">
        <f t="shared" si="44"/>
        <v>0.8</v>
      </c>
      <c r="AA166" s="123">
        <f t="shared" si="44"/>
        <v>0.8</v>
      </c>
      <c r="AB166" s="123">
        <f t="shared" si="44"/>
        <v>0.8</v>
      </c>
      <c r="AC166" s="123">
        <f t="shared" si="44"/>
        <v>0.8</v>
      </c>
      <c r="AD166" s="123">
        <f t="shared" si="44"/>
        <v>0.8</v>
      </c>
      <c r="AE166" s="123">
        <f t="shared" si="44"/>
        <v>0.8</v>
      </c>
      <c r="AF166" s="123">
        <f t="shared" si="44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2"/>
        <v>1.5</v>
      </c>
      <c r="C167" s="124">
        <v>1.5</v>
      </c>
      <c r="D167" s="123">
        <f t="shared" si="43"/>
        <v>1.5</v>
      </c>
      <c r="E167" s="123">
        <f t="shared" si="43"/>
        <v>1.5</v>
      </c>
      <c r="F167" s="123">
        <f t="shared" si="43"/>
        <v>1.5</v>
      </c>
      <c r="G167" s="123">
        <f t="shared" si="43"/>
        <v>1.5</v>
      </c>
      <c r="H167" s="123">
        <f t="shared" si="43"/>
        <v>1.5</v>
      </c>
      <c r="I167" s="123">
        <f t="shared" si="43"/>
        <v>1.5</v>
      </c>
      <c r="J167" s="123">
        <f t="shared" si="43"/>
        <v>1.5</v>
      </c>
      <c r="K167" s="123">
        <f t="shared" si="43"/>
        <v>1.5</v>
      </c>
      <c r="L167" s="123">
        <f t="shared" si="43"/>
        <v>1.5</v>
      </c>
      <c r="M167" s="123">
        <f t="shared" si="43"/>
        <v>1.5</v>
      </c>
      <c r="N167" s="123">
        <f t="shared" si="43"/>
        <v>1.5</v>
      </c>
      <c r="O167" s="123">
        <f t="shared" si="43"/>
        <v>1.5</v>
      </c>
      <c r="P167" s="123">
        <f t="shared" si="43"/>
        <v>1.5</v>
      </c>
      <c r="Q167" s="123">
        <f t="shared" si="43"/>
        <v>1.5</v>
      </c>
      <c r="R167" s="123">
        <f t="shared" si="43"/>
        <v>1.5</v>
      </c>
      <c r="S167" s="123">
        <f t="shared" si="44"/>
        <v>1.5</v>
      </c>
      <c r="T167" s="123">
        <f t="shared" si="44"/>
        <v>1.5</v>
      </c>
      <c r="U167" s="123">
        <f t="shared" si="44"/>
        <v>1.5</v>
      </c>
      <c r="V167" s="123">
        <f t="shared" si="44"/>
        <v>1.5</v>
      </c>
      <c r="W167" s="123">
        <f t="shared" si="44"/>
        <v>1.5</v>
      </c>
      <c r="X167" s="123">
        <f t="shared" si="44"/>
        <v>1.5</v>
      </c>
      <c r="Y167" s="123">
        <f t="shared" si="44"/>
        <v>1.5</v>
      </c>
      <c r="Z167" s="123">
        <f t="shared" si="44"/>
        <v>1.5</v>
      </c>
      <c r="AA167" s="123">
        <f t="shared" si="44"/>
        <v>1.5</v>
      </c>
      <c r="AB167" s="123">
        <f t="shared" si="44"/>
        <v>1.5</v>
      </c>
      <c r="AC167" s="123">
        <f t="shared" si="44"/>
        <v>1.5</v>
      </c>
      <c r="AD167" s="123">
        <f t="shared" si="44"/>
        <v>1.5</v>
      </c>
      <c r="AE167" s="123">
        <f t="shared" si="44"/>
        <v>1.5</v>
      </c>
      <c r="AF167" s="123">
        <f t="shared" si="44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2"/>
        <v>1</v>
      </c>
      <c r="C168" s="124">
        <v>1</v>
      </c>
      <c r="D168" s="123">
        <f t="shared" si="43"/>
        <v>1</v>
      </c>
      <c r="E168" s="123">
        <f t="shared" si="43"/>
        <v>1</v>
      </c>
      <c r="F168" s="123">
        <f t="shared" si="43"/>
        <v>1</v>
      </c>
      <c r="G168" s="123">
        <f t="shared" si="43"/>
        <v>1</v>
      </c>
      <c r="H168" s="123">
        <f t="shared" si="43"/>
        <v>1</v>
      </c>
      <c r="I168" s="123">
        <f t="shared" si="43"/>
        <v>1</v>
      </c>
      <c r="J168" s="123">
        <f t="shared" si="43"/>
        <v>1</v>
      </c>
      <c r="K168" s="123">
        <f t="shared" si="43"/>
        <v>1</v>
      </c>
      <c r="L168" s="123">
        <f t="shared" si="43"/>
        <v>1</v>
      </c>
      <c r="M168" s="123">
        <f t="shared" si="43"/>
        <v>1</v>
      </c>
      <c r="N168" s="123">
        <f t="shared" si="43"/>
        <v>1</v>
      </c>
      <c r="O168" s="123">
        <f t="shared" si="43"/>
        <v>1</v>
      </c>
      <c r="P168" s="123">
        <f t="shared" si="43"/>
        <v>1</v>
      </c>
      <c r="Q168" s="123">
        <f t="shared" si="43"/>
        <v>1</v>
      </c>
      <c r="R168" s="123">
        <f t="shared" si="43"/>
        <v>1</v>
      </c>
      <c r="S168" s="123">
        <f t="shared" si="44"/>
        <v>1</v>
      </c>
      <c r="T168" s="123">
        <f t="shared" si="44"/>
        <v>1</v>
      </c>
      <c r="U168" s="123">
        <f t="shared" si="44"/>
        <v>1</v>
      </c>
      <c r="V168" s="123">
        <f t="shared" si="44"/>
        <v>1</v>
      </c>
      <c r="W168" s="123">
        <f t="shared" si="44"/>
        <v>1</v>
      </c>
      <c r="X168" s="123">
        <f t="shared" si="44"/>
        <v>1</v>
      </c>
      <c r="Y168" s="123">
        <f t="shared" si="44"/>
        <v>1</v>
      </c>
      <c r="Z168" s="123">
        <f t="shared" si="44"/>
        <v>1</v>
      </c>
      <c r="AA168" s="123">
        <f t="shared" si="44"/>
        <v>1</v>
      </c>
      <c r="AB168" s="123">
        <f t="shared" si="44"/>
        <v>1</v>
      </c>
      <c r="AC168" s="123">
        <f t="shared" si="44"/>
        <v>1</v>
      </c>
      <c r="AD168" s="123">
        <f t="shared" si="44"/>
        <v>1</v>
      </c>
      <c r="AE168" s="123">
        <f t="shared" si="44"/>
        <v>1</v>
      </c>
      <c r="AF168" s="123">
        <f t="shared" si="44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5">AF170</f>
        <v>1</v>
      </c>
      <c r="C170" s="124">
        <v>1</v>
      </c>
      <c r="D170" s="123">
        <f t="shared" ref="D170:S177" si="46">C170</f>
        <v>1</v>
      </c>
      <c r="E170" s="123">
        <f t="shared" si="46"/>
        <v>1</v>
      </c>
      <c r="F170" s="123">
        <f t="shared" si="46"/>
        <v>1</v>
      </c>
      <c r="G170" s="123">
        <f t="shared" si="46"/>
        <v>1</v>
      </c>
      <c r="H170" s="123">
        <f t="shared" si="46"/>
        <v>1</v>
      </c>
      <c r="I170" s="123">
        <f t="shared" si="46"/>
        <v>1</v>
      </c>
      <c r="J170" s="123">
        <f t="shared" si="46"/>
        <v>1</v>
      </c>
      <c r="K170" s="123">
        <f t="shared" si="46"/>
        <v>1</v>
      </c>
      <c r="L170" s="123">
        <f t="shared" si="46"/>
        <v>1</v>
      </c>
      <c r="M170" s="123">
        <f t="shared" si="46"/>
        <v>1</v>
      </c>
      <c r="N170" s="123">
        <f t="shared" si="46"/>
        <v>1</v>
      </c>
      <c r="O170" s="123">
        <f t="shared" si="46"/>
        <v>1</v>
      </c>
      <c r="P170" s="123">
        <f t="shared" si="46"/>
        <v>1</v>
      </c>
      <c r="Q170" s="123">
        <f t="shared" si="46"/>
        <v>1</v>
      </c>
      <c r="R170" s="123">
        <f t="shared" si="46"/>
        <v>1</v>
      </c>
      <c r="S170" s="123">
        <f t="shared" si="46"/>
        <v>1</v>
      </c>
      <c r="T170" s="123">
        <f t="shared" ref="S170:AF177" si="47">S170</f>
        <v>1</v>
      </c>
      <c r="U170" s="123">
        <f t="shared" si="47"/>
        <v>1</v>
      </c>
      <c r="V170" s="123">
        <f t="shared" si="47"/>
        <v>1</v>
      </c>
      <c r="W170" s="123">
        <f t="shared" si="47"/>
        <v>1</v>
      </c>
      <c r="X170" s="123">
        <f t="shared" si="47"/>
        <v>1</v>
      </c>
      <c r="Y170" s="123">
        <f t="shared" si="47"/>
        <v>1</v>
      </c>
      <c r="Z170" s="123">
        <f t="shared" si="47"/>
        <v>1</v>
      </c>
      <c r="AA170" s="123">
        <f t="shared" si="47"/>
        <v>1</v>
      </c>
      <c r="AB170" s="123">
        <f t="shared" si="47"/>
        <v>1</v>
      </c>
      <c r="AC170" s="123">
        <f t="shared" si="47"/>
        <v>1</v>
      </c>
      <c r="AD170" s="123">
        <f t="shared" si="47"/>
        <v>1</v>
      </c>
      <c r="AE170" s="123">
        <f t="shared" si="47"/>
        <v>1</v>
      </c>
      <c r="AF170" s="123">
        <f t="shared" si="47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5"/>
        <v>0.42</v>
      </c>
      <c r="C171" s="124">
        <v>0.42</v>
      </c>
      <c r="D171" s="123">
        <f t="shared" si="46"/>
        <v>0.42</v>
      </c>
      <c r="E171" s="123">
        <f t="shared" si="46"/>
        <v>0.42</v>
      </c>
      <c r="F171" s="123">
        <f t="shared" si="46"/>
        <v>0.42</v>
      </c>
      <c r="G171" s="123">
        <f t="shared" si="46"/>
        <v>0.42</v>
      </c>
      <c r="H171" s="123">
        <f t="shared" si="46"/>
        <v>0.42</v>
      </c>
      <c r="I171" s="123">
        <f t="shared" si="46"/>
        <v>0.42</v>
      </c>
      <c r="J171" s="123">
        <f t="shared" si="46"/>
        <v>0.42</v>
      </c>
      <c r="K171" s="123">
        <f t="shared" si="46"/>
        <v>0.42</v>
      </c>
      <c r="L171" s="123">
        <f t="shared" si="46"/>
        <v>0.42</v>
      </c>
      <c r="M171" s="123">
        <f t="shared" si="46"/>
        <v>0.42</v>
      </c>
      <c r="N171" s="123">
        <f t="shared" si="46"/>
        <v>0.42</v>
      </c>
      <c r="O171" s="123">
        <f t="shared" si="46"/>
        <v>0.42</v>
      </c>
      <c r="P171" s="123">
        <f t="shared" si="46"/>
        <v>0.42</v>
      </c>
      <c r="Q171" s="123">
        <f t="shared" si="46"/>
        <v>0.42</v>
      </c>
      <c r="R171" s="123">
        <f t="shared" si="46"/>
        <v>0.42</v>
      </c>
      <c r="S171" s="123">
        <f t="shared" si="47"/>
        <v>0.42</v>
      </c>
      <c r="T171" s="123">
        <f t="shared" si="47"/>
        <v>0.42</v>
      </c>
      <c r="U171" s="123">
        <f t="shared" si="47"/>
        <v>0.42</v>
      </c>
      <c r="V171" s="123">
        <f t="shared" si="47"/>
        <v>0.42</v>
      </c>
      <c r="W171" s="123">
        <f t="shared" si="47"/>
        <v>0.42</v>
      </c>
      <c r="X171" s="123">
        <f t="shared" si="47"/>
        <v>0.42</v>
      </c>
      <c r="Y171" s="123">
        <f t="shared" si="47"/>
        <v>0.42</v>
      </c>
      <c r="Z171" s="123">
        <f t="shared" si="47"/>
        <v>0.42</v>
      </c>
      <c r="AA171" s="123">
        <f t="shared" si="47"/>
        <v>0.42</v>
      </c>
      <c r="AB171" s="123">
        <f t="shared" si="47"/>
        <v>0.42</v>
      </c>
      <c r="AC171" s="123">
        <f t="shared" si="47"/>
        <v>0.42</v>
      </c>
      <c r="AD171" s="123">
        <f t="shared" si="47"/>
        <v>0.42</v>
      </c>
      <c r="AE171" s="123">
        <f t="shared" si="47"/>
        <v>0.42</v>
      </c>
      <c r="AF171" s="123">
        <f t="shared" si="47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5"/>
        <v>0.46</v>
      </c>
      <c r="C172" s="124">
        <v>0.46</v>
      </c>
      <c r="D172" s="123">
        <f t="shared" si="46"/>
        <v>0.46</v>
      </c>
      <c r="E172" s="123">
        <f t="shared" si="46"/>
        <v>0.46</v>
      </c>
      <c r="F172" s="123">
        <f t="shared" si="46"/>
        <v>0.46</v>
      </c>
      <c r="G172" s="123">
        <f t="shared" si="46"/>
        <v>0.46</v>
      </c>
      <c r="H172" s="123">
        <f t="shared" si="46"/>
        <v>0.46</v>
      </c>
      <c r="I172" s="123">
        <f t="shared" si="46"/>
        <v>0.46</v>
      </c>
      <c r="J172" s="123">
        <f t="shared" si="46"/>
        <v>0.46</v>
      </c>
      <c r="K172" s="123">
        <f t="shared" si="46"/>
        <v>0.46</v>
      </c>
      <c r="L172" s="123">
        <f t="shared" si="46"/>
        <v>0.46</v>
      </c>
      <c r="M172" s="123">
        <f t="shared" si="46"/>
        <v>0.46</v>
      </c>
      <c r="N172" s="123">
        <f t="shared" si="46"/>
        <v>0.46</v>
      </c>
      <c r="O172" s="123">
        <f t="shared" si="46"/>
        <v>0.46</v>
      </c>
      <c r="P172" s="123">
        <f t="shared" si="46"/>
        <v>0.46</v>
      </c>
      <c r="Q172" s="123">
        <f t="shared" si="46"/>
        <v>0.46</v>
      </c>
      <c r="R172" s="123">
        <f t="shared" si="46"/>
        <v>0.46</v>
      </c>
      <c r="S172" s="123">
        <f t="shared" si="47"/>
        <v>0.46</v>
      </c>
      <c r="T172" s="123">
        <f t="shared" si="47"/>
        <v>0.46</v>
      </c>
      <c r="U172" s="123">
        <f t="shared" si="47"/>
        <v>0.46</v>
      </c>
      <c r="V172" s="123">
        <f t="shared" si="47"/>
        <v>0.46</v>
      </c>
      <c r="W172" s="123">
        <f t="shared" si="47"/>
        <v>0.46</v>
      </c>
      <c r="X172" s="123">
        <f t="shared" si="47"/>
        <v>0.46</v>
      </c>
      <c r="Y172" s="123">
        <f t="shared" si="47"/>
        <v>0.46</v>
      </c>
      <c r="Z172" s="123">
        <f t="shared" si="47"/>
        <v>0.46</v>
      </c>
      <c r="AA172" s="123">
        <f t="shared" si="47"/>
        <v>0.46</v>
      </c>
      <c r="AB172" s="123">
        <f t="shared" si="47"/>
        <v>0.46</v>
      </c>
      <c r="AC172" s="123">
        <f t="shared" si="47"/>
        <v>0.46</v>
      </c>
      <c r="AD172" s="123">
        <f t="shared" si="47"/>
        <v>0.46</v>
      </c>
      <c r="AE172" s="123">
        <f t="shared" si="47"/>
        <v>0.46</v>
      </c>
      <c r="AF172" s="123">
        <f t="shared" si="47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5"/>
        <v>0.85</v>
      </c>
      <c r="C173" s="124">
        <v>0.85</v>
      </c>
      <c r="D173" s="123">
        <f t="shared" si="46"/>
        <v>0.85</v>
      </c>
      <c r="E173" s="123">
        <f t="shared" si="46"/>
        <v>0.85</v>
      </c>
      <c r="F173" s="123">
        <f t="shared" si="46"/>
        <v>0.85</v>
      </c>
      <c r="G173" s="123">
        <f t="shared" si="46"/>
        <v>0.85</v>
      </c>
      <c r="H173" s="123">
        <f t="shared" si="46"/>
        <v>0.85</v>
      </c>
      <c r="I173" s="123">
        <f t="shared" si="46"/>
        <v>0.85</v>
      </c>
      <c r="J173" s="123">
        <f t="shared" si="46"/>
        <v>0.85</v>
      </c>
      <c r="K173" s="123">
        <f t="shared" si="46"/>
        <v>0.85</v>
      </c>
      <c r="L173" s="123">
        <f t="shared" si="46"/>
        <v>0.85</v>
      </c>
      <c r="M173" s="123">
        <f t="shared" si="46"/>
        <v>0.85</v>
      </c>
      <c r="N173" s="123">
        <f t="shared" si="46"/>
        <v>0.85</v>
      </c>
      <c r="O173" s="123">
        <f t="shared" si="46"/>
        <v>0.85</v>
      </c>
      <c r="P173" s="123">
        <f t="shared" si="46"/>
        <v>0.85</v>
      </c>
      <c r="Q173" s="123">
        <f t="shared" si="46"/>
        <v>0.85</v>
      </c>
      <c r="R173" s="123">
        <f t="shared" si="46"/>
        <v>0.85</v>
      </c>
      <c r="S173" s="123">
        <f t="shared" si="47"/>
        <v>0.85</v>
      </c>
      <c r="T173" s="123">
        <f t="shared" si="47"/>
        <v>0.85</v>
      </c>
      <c r="U173" s="123">
        <f t="shared" si="47"/>
        <v>0.85</v>
      </c>
      <c r="V173" s="123">
        <f t="shared" si="47"/>
        <v>0.85</v>
      </c>
      <c r="W173" s="123">
        <f t="shared" si="47"/>
        <v>0.85</v>
      </c>
      <c r="X173" s="123">
        <f t="shared" si="47"/>
        <v>0.85</v>
      </c>
      <c r="Y173" s="123">
        <f t="shared" si="47"/>
        <v>0.85</v>
      </c>
      <c r="Z173" s="123">
        <f t="shared" si="47"/>
        <v>0.85</v>
      </c>
      <c r="AA173" s="123">
        <f t="shared" si="47"/>
        <v>0.85</v>
      </c>
      <c r="AB173" s="123">
        <f t="shared" si="47"/>
        <v>0.85</v>
      </c>
      <c r="AC173" s="123">
        <f t="shared" si="47"/>
        <v>0.85</v>
      </c>
      <c r="AD173" s="123">
        <f t="shared" si="47"/>
        <v>0.85</v>
      </c>
      <c r="AE173" s="123">
        <f t="shared" si="47"/>
        <v>0.85</v>
      </c>
      <c r="AF173" s="123">
        <f t="shared" si="47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5"/>
        <v>0.9</v>
      </c>
      <c r="C174" s="124">
        <v>0.9</v>
      </c>
      <c r="D174" s="123">
        <f t="shared" si="46"/>
        <v>0.9</v>
      </c>
      <c r="E174" s="123">
        <f t="shared" si="46"/>
        <v>0.9</v>
      </c>
      <c r="F174" s="123">
        <f t="shared" si="46"/>
        <v>0.9</v>
      </c>
      <c r="G174" s="123">
        <f t="shared" si="46"/>
        <v>0.9</v>
      </c>
      <c r="H174" s="123">
        <f t="shared" si="46"/>
        <v>0.9</v>
      </c>
      <c r="I174" s="123">
        <f t="shared" si="46"/>
        <v>0.9</v>
      </c>
      <c r="J174" s="123">
        <f t="shared" si="46"/>
        <v>0.9</v>
      </c>
      <c r="K174" s="123">
        <f t="shared" si="46"/>
        <v>0.9</v>
      </c>
      <c r="L174" s="123">
        <f t="shared" si="46"/>
        <v>0.9</v>
      </c>
      <c r="M174" s="123">
        <f t="shared" si="46"/>
        <v>0.9</v>
      </c>
      <c r="N174" s="123">
        <f t="shared" si="46"/>
        <v>0.9</v>
      </c>
      <c r="O174" s="123">
        <f t="shared" si="46"/>
        <v>0.9</v>
      </c>
      <c r="P174" s="123">
        <f t="shared" si="46"/>
        <v>0.9</v>
      </c>
      <c r="Q174" s="123">
        <f t="shared" si="46"/>
        <v>0.9</v>
      </c>
      <c r="R174" s="123">
        <f t="shared" si="46"/>
        <v>0.9</v>
      </c>
      <c r="S174" s="123">
        <f t="shared" si="47"/>
        <v>0.9</v>
      </c>
      <c r="T174" s="123">
        <f t="shared" si="47"/>
        <v>0.9</v>
      </c>
      <c r="U174" s="123">
        <f t="shared" si="47"/>
        <v>0.9</v>
      </c>
      <c r="V174" s="123">
        <f t="shared" si="47"/>
        <v>0.9</v>
      </c>
      <c r="W174" s="123">
        <f t="shared" si="47"/>
        <v>0.9</v>
      </c>
      <c r="X174" s="123">
        <f t="shared" si="47"/>
        <v>0.9</v>
      </c>
      <c r="Y174" s="123">
        <f t="shared" si="47"/>
        <v>0.9</v>
      </c>
      <c r="Z174" s="123">
        <f t="shared" si="47"/>
        <v>0.9</v>
      </c>
      <c r="AA174" s="123">
        <f t="shared" si="47"/>
        <v>0.9</v>
      </c>
      <c r="AB174" s="123">
        <f t="shared" si="47"/>
        <v>0.9</v>
      </c>
      <c r="AC174" s="123">
        <f t="shared" si="47"/>
        <v>0.9</v>
      </c>
      <c r="AD174" s="123">
        <f t="shared" si="47"/>
        <v>0.9</v>
      </c>
      <c r="AE174" s="123">
        <f t="shared" si="47"/>
        <v>0.9</v>
      </c>
      <c r="AF174" s="123">
        <f t="shared" si="47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5"/>
        <v>0.44</v>
      </c>
      <c r="C175" s="124">
        <v>0.44</v>
      </c>
      <c r="D175" s="123">
        <f t="shared" si="46"/>
        <v>0.44</v>
      </c>
      <c r="E175" s="123">
        <f t="shared" si="46"/>
        <v>0.44</v>
      </c>
      <c r="F175" s="123">
        <f t="shared" si="46"/>
        <v>0.44</v>
      </c>
      <c r="G175" s="123">
        <f t="shared" si="46"/>
        <v>0.44</v>
      </c>
      <c r="H175" s="123">
        <f t="shared" si="46"/>
        <v>0.44</v>
      </c>
      <c r="I175" s="123">
        <f t="shared" si="46"/>
        <v>0.44</v>
      </c>
      <c r="J175" s="123">
        <f t="shared" si="46"/>
        <v>0.44</v>
      </c>
      <c r="K175" s="123">
        <f t="shared" si="46"/>
        <v>0.44</v>
      </c>
      <c r="L175" s="123">
        <f t="shared" si="46"/>
        <v>0.44</v>
      </c>
      <c r="M175" s="123">
        <f t="shared" si="46"/>
        <v>0.44</v>
      </c>
      <c r="N175" s="123">
        <f t="shared" si="46"/>
        <v>0.44</v>
      </c>
      <c r="O175" s="123">
        <f t="shared" si="46"/>
        <v>0.44</v>
      </c>
      <c r="P175" s="123">
        <f t="shared" si="46"/>
        <v>0.44</v>
      </c>
      <c r="Q175" s="123">
        <f t="shared" si="46"/>
        <v>0.44</v>
      </c>
      <c r="R175" s="123">
        <f t="shared" si="46"/>
        <v>0.44</v>
      </c>
      <c r="S175" s="123">
        <f t="shared" si="47"/>
        <v>0.44</v>
      </c>
      <c r="T175" s="123">
        <f t="shared" si="47"/>
        <v>0.44</v>
      </c>
      <c r="U175" s="123">
        <f t="shared" si="47"/>
        <v>0.44</v>
      </c>
      <c r="V175" s="123">
        <f t="shared" si="47"/>
        <v>0.44</v>
      </c>
      <c r="W175" s="123">
        <f t="shared" si="47"/>
        <v>0.44</v>
      </c>
      <c r="X175" s="123">
        <f t="shared" si="47"/>
        <v>0.44</v>
      </c>
      <c r="Y175" s="123">
        <f t="shared" si="47"/>
        <v>0.44</v>
      </c>
      <c r="Z175" s="123">
        <f t="shared" si="47"/>
        <v>0.44</v>
      </c>
      <c r="AA175" s="123">
        <f t="shared" si="47"/>
        <v>0.44</v>
      </c>
      <c r="AB175" s="123">
        <f t="shared" si="47"/>
        <v>0.44</v>
      </c>
      <c r="AC175" s="123">
        <f t="shared" si="47"/>
        <v>0.44</v>
      </c>
      <c r="AD175" s="123">
        <f t="shared" si="47"/>
        <v>0.44</v>
      </c>
      <c r="AE175" s="123">
        <f t="shared" si="47"/>
        <v>0.44</v>
      </c>
      <c r="AF175" s="123">
        <f t="shared" si="47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5"/>
        <v>2.1</v>
      </c>
      <c r="C176" s="124">
        <v>2.1</v>
      </c>
      <c r="D176" s="123">
        <f t="shared" si="46"/>
        <v>2.1</v>
      </c>
      <c r="E176" s="123">
        <f t="shared" si="46"/>
        <v>2.1</v>
      </c>
      <c r="F176" s="123">
        <f t="shared" si="46"/>
        <v>2.1</v>
      </c>
      <c r="G176" s="123">
        <f t="shared" si="46"/>
        <v>2.1</v>
      </c>
      <c r="H176" s="123">
        <f t="shared" si="46"/>
        <v>2.1</v>
      </c>
      <c r="I176" s="123">
        <f t="shared" si="46"/>
        <v>2.1</v>
      </c>
      <c r="J176" s="123">
        <f t="shared" si="46"/>
        <v>2.1</v>
      </c>
      <c r="K176" s="123">
        <f t="shared" si="46"/>
        <v>2.1</v>
      </c>
      <c r="L176" s="123">
        <f t="shared" si="46"/>
        <v>2.1</v>
      </c>
      <c r="M176" s="123">
        <f t="shared" si="46"/>
        <v>2.1</v>
      </c>
      <c r="N176" s="123">
        <f t="shared" si="46"/>
        <v>2.1</v>
      </c>
      <c r="O176" s="123">
        <f t="shared" si="46"/>
        <v>2.1</v>
      </c>
      <c r="P176" s="123">
        <f t="shared" si="46"/>
        <v>2.1</v>
      </c>
      <c r="Q176" s="123">
        <f t="shared" si="46"/>
        <v>2.1</v>
      </c>
      <c r="R176" s="123">
        <f t="shared" si="46"/>
        <v>2.1</v>
      </c>
      <c r="S176" s="123">
        <f t="shared" si="47"/>
        <v>2.1</v>
      </c>
      <c r="T176" s="123">
        <f t="shared" si="47"/>
        <v>2.1</v>
      </c>
      <c r="U176" s="123">
        <f t="shared" si="47"/>
        <v>2.1</v>
      </c>
      <c r="V176" s="123">
        <f t="shared" si="47"/>
        <v>2.1</v>
      </c>
      <c r="W176" s="123">
        <f t="shared" si="47"/>
        <v>2.1</v>
      </c>
      <c r="X176" s="123">
        <f t="shared" si="47"/>
        <v>2.1</v>
      </c>
      <c r="Y176" s="123">
        <f t="shared" si="47"/>
        <v>2.1</v>
      </c>
      <c r="Z176" s="123">
        <f t="shared" si="47"/>
        <v>2.1</v>
      </c>
      <c r="AA176" s="123">
        <f t="shared" si="47"/>
        <v>2.1</v>
      </c>
      <c r="AB176" s="123">
        <f t="shared" si="47"/>
        <v>2.1</v>
      </c>
      <c r="AC176" s="123">
        <f t="shared" si="47"/>
        <v>2.1</v>
      </c>
      <c r="AD176" s="123">
        <f t="shared" si="47"/>
        <v>2.1</v>
      </c>
      <c r="AE176" s="123">
        <f t="shared" si="47"/>
        <v>2.1</v>
      </c>
      <c r="AF176" s="123">
        <f t="shared" si="47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5"/>
        <v>0.9</v>
      </c>
      <c r="C177" s="124">
        <v>0.9</v>
      </c>
      <c r="D177" s="123">
        <f t="shared" si="46"/>
        <v>0.9</v>
      </c>
      <c r="E177" s="123">
        <f t="shared" si="46"/>
        <v>0.9</v>
      </c>
      <c r="F177" s="123">
        <f t="shared" si="46"/>
        <v>0.9</v>
      </c>
      <c r="G177" s="123">
        <f t="shared" si="46"/>
        <v>0.9</v>
      </c>
      <c r="H177" s="123">
        <f t="shared" si="46"/>
        <v>0.9</v>
      </c>
      <c r="I177" s="123">
        <f t="shared" si="46"/>
        <v>0.9</v>
      </c>
      <c r="J177" s="123">
        <f t="shared" si="46"/>
        <v>0.9</v>
      </c>
      <c r="K177" s="123">
        <f t="shared" si="46"/>
        <v>0.9</v>
      </c>
      <c r="L177" s="123">
        <f t="shared" si="46"/>
        <v>0.9</v>
      </c>
      <c r="M177" s="123">
        <f t="shared" si="46"/>
        <v>0.9</v>
      </c>
      <c r="N177" s="123">
        <f t="shared" si="46"/>
        <v>0.9</v>
      </c>
      <c r="O177" s="123">
        <f t="shared" si="46"/>
        <v>0.9</v>
      </c>
      <c r="P177" s="123">
        <f t="shared" si="46"/>
        <v>0.9</v>
      </c>
      <c r="Q177" s="123">
        <f t="shared" si="46"/>
        <v>0.9</v>
      </c>
      <c r="R177" s="123">
        <f t="shared" si="46"/>
        <v>0.9</v>
      </c>
      <c r="S177" s="123">
        <f t="shared" si="47"/>
        <v>0.9</v>
      </c>
      <c r="T177" s="123">
        <f t="shared" si="47"/>
        <v>0.9</v>
      </c>
      <c r="U177" s="123">
        <f t="shared" si="47"/>
        <v>0.9</v>
      </c>
      <c r="V177" s="123">
        <f t="shared" si="47"/>
        <v>0.9</v>
      </c>
      <c r="W177" s="123">
        <f t="shared" si="47"/>
        <v>0.9</v>
      </c>
      <c r="X177" s="123">
        <f t="shared" si="47"/>
        <v>0.9</v>
      </c>
      <c r="Y177" s="123">
        <f t="shared" si="47"/>
        <v>0.9</v>
      </c>
      <c r="Z177" s="123">
        <f t="shared" si="47"/>
        <v>0.9</v>
      </c>
      <c r="AA177" s="123">
        <f t="shared" si="47"/>
        <v>0.9</v>
      </c>
      <c r="AB177" s="123">
        <f t="shared" si="47"/>
        <v>0.9</v>
      </c>
      <c r="AC177" s="123">
        <f t="shared" si="47"/>
        <v>0.9</v>
      </c>
      <c r="AD177" s="123">
        <f t="shared" si="47"/>
        <v>0.9</v>
      </c>
      <c r="AE177" s="123">
        <f t="shared" si="47"/>
        <v>0.9</v>
      </c>
      <c r="AF177" s="123">
        <f t="shared" si="47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8">AF179</f>
        <v>0.57999999999999996</v>
      </c>
      <c r="C179" s="124">
        <v>0.57999999999999996</v>
      </c>
      <c r="D179" s="123">
        <f t="shared" ref="D179:S191" si="49">C179</f>
        <v>0.57999999999999996</v>
      </c>
      <c r="E179" s="123">
        <f t="shared" si="49"/>
        <v>0.57999999999999996</v>
      </c>
      <c r="F179" s="123">
        <f t="shared" si="49"/>
        <v>0.57999999999999996</v>
      </c>
      <c r="G179" s="123">
        <f t="shared" si="49"/>
        <v>0.57999999999999996</v>
      </c>
      <c r="H179" s="123">
        <f t="shared" si="49"/>
        <v>0.57999999999999996</v>
      </c>
      <c r="I179" s="123">
        <f t="shared" si="49"/>
        <v>0.57999999999999996</v>
      </c>
      <c r="J179" s="123">
        <f t="shared" si="49"/>
        <v>0.57999999999999996</v>
      </c>
      <c r="K179" s="123">
        <f t="shared" si="49"/>
        <v>0.57999999999999996</v>
      </c>
      <c r="L179" s="123">
        <f t="shared" si="49"/>
        <v>0.57999999999999996</v>
      </c>
      <c r="M179" s="123">
        <f t="shared" si="49"/>
        <v>0.57999999999999996</v>
      </c>
      <c r="N179" s="123">
        <f t="shared" si="49"/>
        <v>0.57999999999999996</v>
      </c>
      <c r="O179" s="123">
        <f t="shared" si="49"/>
        <v>0.57999999999999996</v>
      </c>
      <c r="P179" s="123">
        <f t="shared" si="49"/>
        <v>0.57999999999999996</v>
      </c>
      <c r="Q179" s="123">
        <f t="shared" si="49"/>
        <v>0.57999999999999996</v>
      </c>
      <c r="R179" s="123">
        <f t="shared" si="49"/>
        <v>0.57999999999999996</v>
      </c>
      <c r="S179" s="123">
        <f t="shared" si="49"/>
        <v>0.57999999999999996</v>
      </c>
      <c r="T179" s="123">
        <f t="shared" ref="S179:AF191" si="50">S179</f>
        <v>0.57999999999999996</v>
      </c>
      <c r="U179" s="123">
        <f t="shared" si="50"/>
        <v>0.57999999999999996</v>
      </c>
      <c r="V179" s="123">
        <f t="shared" si="50"/>
        <v>0.57999999999999996</v>
      </c>
      <c r="W179" s="123">
        <f t="shared" si="50"/>
        <v>0.57999999999999996</v>
      </c>
      <c r="X179" s="123">
        <f t="shared" si="50"/>
        <v>0.57999999999999996</v>
      </c>
      <c r="Y179" s="123">
        <f t="shared" si="50"/>
        <v>0.57999999999999996</v>
      </c>
      <c r="Z179" s="123">
        <f t="shared" si="50"/>
        <v>0.57999999999999996</v>
      </c>
      <c r="AA179" s="123">
        <f t="shared" si="50"/>
        <v>0.57999999999999996</v>
      </c>
      <c r="AB179" s="123">
        <f t="shared" si="50"/>
        <v>0.57999999999999996</v>
      </c>
      <c r="AC179" s="123">
        <f t="shared" si="50"/>
        <v>0.57999999999999996</v>
      </c>
      <c r="AD179" s="123">
        <f t="shared" si="50"/>
        <v>0.57999999999999996</v>
      </c>
      <c r="AE179" s="123">
        <f t="shared" si="50"/>
        <v>0.57999999999999996</v>
      </c>
      <c r="AF179" s="123">
        <f t="shared" si="50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8"/>
        <v>0.8</v>
      </c>
      <c r="C180" s="124">
        <v>0.8</v>
      </c>
      <c r="D180" s="123">
        <f t="shared" si="49"/>
        <v>0.8</v>
      </c>
      <c r="E180" s="123">
        <f t="shared" si="49"/>
        <v>0.8</v>
      </c>
      <c r="F180" s="123">
        <f t="shared" si="49"/>
        <v>0.8</v>
      </c>
      <c r="G180" s="123">
        <f t="shared" si="49"/>
        <v>0.8</v>
      </c>
      <c r="H180" s="123">
        <f t="shared" si="49"/>
        <v>0.8</v>
      </c>
      <c r="I180" s="123">
        <f t="shared" si="49"/>
        <v>0.8</v>
      </c>
      <c r="J180" s="123">
        <f t="shared" si="49"/>
        <v>0.8</v>
      </c>
      <c r="K180" s="123">
        <f t="shared" si="49"/>
        <v>0.8</v>
      </c>
      <c r="L180" s="123">
        <f t="shared" si="49"/>
        <v>0.8</v>
      </c>
      <c r="M180" s="123">
        <f t="shared" si="49"/>
        <v>0.8</v>
      </c>
      <c r="N180" s="123">
        <f t="shared" si="49"/>
        <v>0.8</v>
      </c>
      <c r="O180" s="123">
        <f t="shared" si="49"/>
        <v>0.8</v>
      </c>
      <c r="P180" s="123">
        <f t="shared" si="49"/>
        <v>0.8</v>
      </c>
      <c r="Q180" s="123">
        <f t="shared" si="49"/>
        <v>0.8</v>
      </c>
      <c r="R180" s="123">
        <f t="shared" si="49"/>
        <v>0.8</v>
      </c>
      <c r="S180" s="123">
        <f t="shared" si="49"/>
        <v>0.8</v>
      </c>
      <c r="T180" s="123">
        <f t="shared" si="50"/>
        <v>0.8</v>
      </c>
      <c r="U180" s="123">
        <f t="shared" si="50"/>
        <v>0.8</v>
      </c>
      <c r="V180" s="123">
        <f t="shared" si="50"/>
        <v>0.8</v>
      </c>
      <c r="W180" s="123">
        <f t="shared" si="50"/>
        <v>0.8</v>
      </c>
      <c r="X180" s="123">
        <f t="shared" si="50"/>
        <v>0.8</v>
      </c>
      <c r="Y180" s="123">
        <f t="shared" si="50"/>
        <v>0.8</v>
      </c>
      <c r="Z180" s="123">
        <f t="shared" si="50"/>
        <v>0.8</v>
      </c>
      <c r="AA180" s="123">
        <f t="shared" si="50"/>
        <v>0.8</v>
      </c>
      <c r="AB180" s="123">
        <f t="shared" si="50"/>
        <v>0.8</v>
      </c>
      <c r="AC180" s="123">
        <f t="shared" si="50"/>
        <v>0.8</v>
      </c>
      <c r="AD180" s="123">
        <f t="shared" si="50"/>
        <v>0.8</v>
      </c>
      <c r="AE180" s="123">
        <f t="shared" si="50"/>
        <v>0.8</v>
      </c>
      <c r="AF180" s="123">
        <f t="shared" si="50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8"/>
        <v>0</v>
      </c>
      <c r="C181" s="124">
        <v>0</v>
      </c>
      <c r="D181" s="123">
        <f t="shared" si="49"/>
        <v>0</v>
      </c>
      <c r="E181" s="123">
        <f t="shared" si="49"/>
        <v>0</v>
      </c>
      <c r="F181" s="123">
        <f t="shared" si="49"/>
        <v>0</v>
      </c>
      <c r="G181" s="123">
        <f t="shared" si="49"/>
        <v>0</v>
      </c>
      <c r="H181" s="123">
        <f t="shared" si="49"/>
        <v>0</v>
      </c>
      <c r="I181" s="123">
        <f t="shared" si="49"/>
        <v>0</v>
      </c>
      <c r="J181" s="123">
        <f t="shared" si="49"/>
        <v>0</v>
      </c>
      <c r="K181" s="123">
        <f t="shared" si="49"/>
        <v>0</v>
      </c>
      <c r="L181" s="123">
        <f t="shared" si="49"/>
        <v>0</v>
      </c>
      <c r="M181" s="123">
        <f t="shared" si="49"/>
        <v>0</v>
      </c>
      <c r="N181" s="123">
        <f t="shared" si="49"/>
        <v>0</v>
      </c>
      <c r="O181" s="123">
        <f t="shared" si="49"/>
        <v>0</v>
      </c>
      <c r="P181" s="123">
        <f t="shared" si="49"/>
        <v>0</v>
      </c>
      <c r="Q181" s="123">
        <f t="shared" si="49"/>
        <v>0</v>
      </c>
      <c r="R181" s="123">
        <f t="shared" si="49"/>
        <v>0</v>
      </c>
      <c r="S181" s="123">
        <f t="shared" si="49"/>
        <v>0</v>
      </c>
      <c r="T181" s="123">
        <f t="shared" si="50"/>
        <v>0</v>
      </c>
      <c r="U181" s="123">
        <f t="shared" si="50"/>
        <v>0</v>
      </c>
      <c r="V181" s="123">
        <f t="shared" si="50"/>
        <v>0</v>
      </c>
      <c r="W181" s="123">
        <f t="shared" si="50"/>
        <v>0</v>
      </c>
      <c r="X181" s="123">
        <f t="shared" si="50"/>
        <v>0</v>
      </c>
      <c r="Y181" s="123">
        <f t="shared" si="50"/>
        <v>0</v>
      </c>
      <c r="Z181" s="123">
        <f t="shared" si="50"/>
        <v>0</v>
      </c>
      <c r="AA181" s="123">
        <f t="shared" si="50"/>
        <v>0</v>
      </c>
      <c r="AB181" s="123">
        <f t="shared" si="50"/>
        <v>0</v>
      </c>
      <c r="AC181" s="123">
        <f t="shared" si="50"/>
        <v>0</v>
      </c>
      <c r="AD181" s="123">
        <f t="shared" si="50"/>
        <v>0</v>
      </c>
      <c r="AE181" s="123">
        <f t="shared" si="50"/>
        <v>0</v>
      </c>
      <c r="AF181" s="123">
        <f t="shared" si="50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8"/>
        <v>0.6</v>
      </c>
      <c r="C182" s="124">
        <v>0.6</v>
      </c>
      <c r="D182" s="123">
        <f t="shared" si="49"/>
        <v>0.6</v>
      </c>
      <c r="E182" s="123">
        <f t="shared" si="49"/>
        <v>0.6</v>
      </c>
      <c r="F182" s="123">
        <f t="shared" si="49"/>
        <v>0.6</v>
      </c>
      <c r="G182" s="123">
        <f t="shared" si="49"/>
        <v>0.6</v>
      </c>
      <c r="H182" s="123">
        <f t="shared" si="49"/>
        <v>0.6</v>
      </c>
      <c r="I182" s="123">
        <f t="shared" si="49"/>
        <v>0.6</v>
      </c>
      <c r="J182" s="123">
        <f t="shared" si="49"/>
        <v>0.6</v>
      </c>
      <c r="K182" s="123">
        <f t="shared" si="49"/>
        <v>0.6</v>
      </c>
      <c r="L182" s="123">
        <f t="shared" si="49"/>
        <v>0.6</v>
      </c>
      <c r="M182" s="123">
        <f t="shared" si="49"/>
        <v>0.6</v>
      </c>
      <c r="N182" s="123">
        <f t="shared" si="49"/>
        <v>0.6</v>
      </c>
      <c r="O182" s="123">
        <f t="shared" si="49"/>
        <v>0.6</v>
      </c>
      <c r="P182" s="123">
        <f t="shared" si="49"/>
        <v>0.6</v>
      </c>
      <c r="Q182" s="123">
        <f t="shared" si="49"/>
        <v>0.6</v>
      </c>
      <c r="R182" s="123">
        <f t="shared" si="49"/>
        <v>0.6</v>
      </c>
      <c r="S182" s="123">
        <f t="shared" si="49"/>
        <v>0.6</v>
      </c>
      <c r="T182" s="123">
        <f t="shared" si="50"/>
        <v>0.6</v>
      </c>
      <c r="U182" s="123">
        <f t="shared" si="50"/>
        <v>0.6</v>
      </c>
      <c r="V182" s="123">
        <f t="shared" si="50"/>
        <v>0.6</v>
      </c>
      <c r="W182" s="123">
        <f t="shared" si="50"/>
        <v>0.6</v>
      </c>
      <c r="X182" s="123">
        <f t="shared" si="50"/>
        <v>0.6</v>
      </c>
      <c r="Y182" s="123">
        <f t="shared" si="50"/>
        <v>0.6</v>
      </c>
      <c r="Z182" s="123">
        <f t="shared" si="50"/>
        <v>0.6</v>
      </c>
      <c r="AA182" s="123">
        <f t="shared" si="50"/>
        <v>0.6</v>
      </c>
      <c r="AB182" s="123">
        <f t="shared" si="50"/>
        <v>0.6</v>
      </c>
      <c r="AC182" s="123">
        <f t="shared" si="50"/>
        <v>0.6</v>
      </c>
      <c r="AD182" s="123">
        <f t="shared" si="50"/>
        <v>0.6</v>
      </c>
      <c r="AE182" s="123">
        <f t="shared" si="50"/>
        <v>0.6</v>
      </c>
      <c r="AF182" s="123">
        <f t="shared" si="50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8"/>
        <v>0.6</v>
      </c>
      <c r="C183" s="124">
        <v>0.6</v>
      </c>
      <c r="D183" s="123">
        <f t="shared" si="49"/>
        <v>0.6</v>
      </c>
      <c r="E183" s="123">
        <f t="shared" si="49"/>
        <v>0.6</v>
      </c>
      <c r="F183" s="123">
        <f t="shared" si="49"/>
        <v>0.6</v>
      </c>
      <c r="G183" s="123">
        <f t="shared" si="49"/>
        <v>0.6</v>
      </c>
      <c r="H183" s="123">
        <f t="shared" si="49"/>
        <v>0.6</v>
      </c>
      <c r="I183" s="123">
        <f t="shared" si="49"/>
        <v>0.6</v>
      </c>
      <c r="J183" s="123">
        <f t="shared" si="49"/>
        <v>0.6</v>
      </c>
      <c r="K183" s="123">
        <f t="shared" si="49"/>
        <v>0.6</v>
      </c>
      <c r="L183" s="123">
        <f t="shared" si="49"/>
        <v>0.6</v>
      </c>
      <c r="M183" s="123">
        <f t="shared" si="49"/>
        <v>0.6</v>
      </c>
      <c r="N183" s="123">
        <f t="shared" si="49"/>
        <v>0.6</v>
      </c>
      <c r="O183" s="123">
        <f t="shared" si="49"/>
        <v>0.6</v>
      </c>
      <c r="P183" s="123">
        <f t="shared" si="49"/>
        <v>0.6</v>
      </c>
      <c r="Q183" s="123">
        <f t="shared" si="49"/>
        <v>0.6</v>
      </c>
      <c r="R183" s="123">
        <f t="shared" si="49"/>
        <v>0.6</v>
      </c>
      <c r="S183" s="123">
        <f t="shared" si="49"/>
        <v>0.6</v>
      </c>
      <c r="T183" s="123">
        <f t="shared" si="50"/>
        <v>0.6</v>
      </c>
      <c r="U183" s="123">
        <f t="shared" si="50"/>
        <v>0.6</v>
      </c>
      <c r="V183" s="123">
        <f t="shared" si="50"/>
        <v>0.6</v>
      </c>
      <c r="W183" s="123">
        <f t="shared" si="50"/>
        <v>0.6</v>
      </c>
      <c r="X183" s="123">
        <f t="shared" si="50"/>
        <v>0.6</v>
      </c>
      <c r="Y183" s="123">
        <f t="shared" si="50"/>
        <v>0.6</v>
      </c>
      <c r="Z183" s="123">
        <f t="shared" si="50"/>
        <v>0.6</v>
      </c>
      <c r="AA183" s="123">
        <f t="shared" si="50"/>
        <v>0.6</v>
      </c>
      <c r="AB183" s="123">
        <f t="shared" si="50"/>
        <v>0.6</v>
      </c>
      <c r="AC183" s="123">
        <f t="shared" si="50"/>
        <v>0.6</v>
      </c>
      <c r="AD183" s="123">
        <f t="shared" si="50"/>
        <v>0.6</v>
      </c>
      <c r="AE183" s="123">
        <f t="shared" si="50"/>
        <v>0.6</v>
      </c>
      <c r="AF183" s="123">
        <f t="shared" si="50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8"/>
        <v>0.35</v>
      </c>
      <c r="C184" s="124">
        <v>0.35</v>
      </c>
      <c r="D184" s="123">
        <f t="shared" si="49"/>
        <v>0.35</v>
      </c>
      <c r="E184" s="123">
        <f t="shared" si="49"/>
        <v>0.35</v>
      </c>
      <c r="F184" s="123">
        <f t="shared" si="49"/>
        <v>0.35</v>
      </c>
      <c r="G184" s="123">
        <f t="shared" si="49"/>
        <v>0.35</v>
      </c>
      <c r="H184" s="123">
        <f t="shared" si="49"/>
        <v>0.35</v>
      </c>
      <c r="I184" s="123">
        <f t="shared" si="49"/>
        <v>0.35</v>
      </c>
      <c r="J184" s="123">
        <f t="shared" si="49"/>
        <v>0.35</v>
      </c>
      <c r="K184" s="123">
        <f t="shared" si="49"/>
        <v>0.35</v>
      </c>
      <c r="L184" s="123">
        <f t="shared" si="49"/>
        <v>0.35</v>
      </c>
      <c r="M184" s="123">
        <f t="shared" si="49"/>
        <v>0.35</v>
      </c>
      <c r="N184" s="123">
        <f t="shared" si="49"/>
        <v>0.35</v>
      </c>
      <c r="O184" s="123">
        <f t="shared" si="49"/>
        <v>0.35</v>
      </c>
      <c r="P184" s="123">
        <f t="shared" si="49"/>
        <v>0.35</v>
      </c>
      <c r="Q184" s="123">
        <f t="shared" si="49"/>
        <v>0.35</v>
      </c>
      <c r="R184" s="123">
        <f t="shared" si="49"/>
        <v>0.35</v>
      </c>
      <c r="S184" s="123">
        <f t="shared" si="49"/>
        <v>0.35</v>
      </c>
      <c r="T184" s="123">
        <f t="shared" si="50"/>
        <v>0.35</v>
      </c>
      <c r="U184" s="123">
        <f t="shared" si="50"/>
        <v>0.35</v>
      </c>
      <c r="V184" s="123">
        <f t="shared" si="50"/>
        <v>0.35</v>
      </c>
      <c r="W184" s="123">
        <f t="shared" si="50"/>
        <v>0.35</v>
      </c>
      <c r="X184" s="123">
        <f t="shared" si="50"/>
        <v>0.35</v>
      </c>
      <c r="Y184" s="123">
        <f t="shared" si="50"/>
        <v>0.35</v>
      </c>
      <c r="Z184" s="123">
        <f t="shared" si="50"/>
        <v>0.35</v>
      </c>
      <c r="AA184" s="123">
        <f t="shared" si="50"/>
        <v>0.35</v>
      </c>
      <c r="AB184" s="123">
        <f t="shared" si="50"/>
        <v>0.35</v>
      </c>
      <c r="AC184" s="123">
        <f t="shared" si="50"/>
        <v>0.35</v>
      </c>
      <c r="AD184" s="123">
        <f t="shared" si="50"/>
        <v>0.35</v>
      </c>
      <c r="AE184" s="123">
        <f t="shared" si="50"/>
        <v>0.35</v>
      </c>
      <c r="AF184" s="123">
        <f t="shared" si="50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8"/>
        <v>0.28999999999999998</v>
      </c>
      <c r="C185" s="124">
        <v>0.28999999999999998</v>
      </c>
      <c r="D185" s="123">
        <f t="shared" si="49"/>
        <v>0.28999999999999998</v>
      </c>
      <c r="E185" s="123">
        <f t="shared" si="49"/>
        <v>0.28999999999999998</v>
      </c>
      <c r="F185" s="123">
        <f t="shared" si="49"/>
        <v>0.28999999999999998</v>
      </c>
      <c r="G185" s="123">
        <f t="shared" si="49"/>
        <v>0.28999999999999998</v>
      </c>
      <c r="H185" s="123">
        <f t="shared" si="49"/>
        <v>0.28999999999999998</v>
      </c>
      <c r="I185" s="123">
        <f t="shared" si="49"/>
        <v>0.28999999999999998</v>
      </c>
      <c r="J185" s="123">
        <f t="shared" si="49"/>
        <v>0.28999999999999998</v>
      </c>
      <c r="K185" s="123">
        <f t="shared" si="49"/>
        <v>0.28999999999999998</v>
      </c>
      <c r="L185" s="123">
        <f t="shared" si="49"/>
        <v>0.28999999999999998</v>
      </c>
      <c r="M185" s="123">
        <f t="shared" si="49"/>
        <v>0.28999999999999998</v>
      </c>
      <c r="N185" s="123">
        <f t="shared" si="49"/>
        <v>0.28999999999999998</v>
      </c>
      <c r="O185" s="123">
        <f t="shared" si="49"/>
        <v>0.28999999999999998</v>
      </c>
      <c r="P185" s="123">
        <f t="shared" si="49"/>
        <v>0.28999999999999998</v>
      </c>
      <c r="Q185" s="123">
        <f t="shared" si="49"/>
        <v>0.28999999999999998</v>
      </c>
      <c r="R185" s="123">
        <f t="shared" si="49"/>
        <v>0.28999999999999998</v>
      </c>
      <c r="S185" s="123">
        <f t="shared" si="49"/>
        <v>0.28999999999999998</v>
      </c>
      <c r="T185" s="123">
        <f t="shared" si="50"/>
        <v>0.28999999999999998</v>
      </c>
      <c r="U185" s="123">
        <f t="shared" si="50"/>
        <v>0.28999999999999998</v>
      </c>
      <c r="V185" s="123">
        <f t="shared" si="50"/>
        <v>0.28999999999999998</v>
      </c>
      <c r="W185" s="123">
        <f t="shared" si="50"/>
        <v>0.28999999999999998</v>
      </c>
      <c r="X185" s="123">
        <f t="shared" si="50"/>
        <v>0.28999999999999998</v>
      </c>
      <c r="Y185" s="123">
        <f t="shared" si="50"/>
        <v>0.28999999999999998</v>
      </c>
      <c r="Z185" s="123">
        <f t="shared" si="50"/>
        <v>0.28999999999999998</v>
      </c>
      <c r="AA185" s="123">
        <f t="shared" si="50"/>
        <v>0.28999999999999998</v>
      </c>
      <c r="AB185" s="123">
        <f t="shared" si="50"/>
        <v>0.28999999999999998</v>
      </c>
      <c r="AC185" s="123">
        <f t="shared" si="50"/>
        <v>0.28999999999999998</v>
      </c>
      <c r="AD185" s="123">
        <f t="shared" si="50"/>
        <v>0.28999999999999998</v>
      </c>
      <c r="AE185" s="123">
        <f t="shared" si="50"/>
        <v>0.28999999999999998</v>
      </c>
      <c r="AF185" s="123">
        <f t="shared" si="50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8"/>
        <v>0.06</v>
      </c>
      <c r="C186" s="124">
        <v>0.06</v>
      </c>
      <c r="D186" s="123">
        <f t="shared" si="49"/>
        <v>0.06</v>
      </c>
      <c r="E186" s="123">
        <f t="shared" si="49"/>
        <v>0.06</v>
      </c>
      <c r="F186" s="123">
        <f t="shared" si="49"/>
        <v>0.06</v>
      </c>
      <c r="G186" s="123">
        <f t="shared" si="49"/>
        <v>0.06</v>
      </c>
      <c r="H186" s="123">
        <f t="shared" si="49"/>
        <v>0.06</v>
      </c>
      <c r="I186" s="123">
        <f t="shared" si="49"/>
        <v>0.06</v>
      </c>
      <c r="J186" s="123">
        <f t="shared" si="49"/>
        <v>0.06</v>
      </c>
      <c r="K186" s="123">
        <f t="shared" si="49"/>
        <v>0.06</v>
      </c>
      <c r="L186" s="123">
        <f t="shared" si="49"/>
        <v>0.06</v>
      </c>
      <c r="M186" s="123">
        <f t="shared" si="49"/>
        <v>0.06</v>
      </c>
      <c r="N186" s="123">
        <f t="shared" si="49"/>
        <v>0.06</v>
      </c>
      <c r="O186" s="123">
        <f t="shared" si="49"/>
        <v>0.06</v>
      </c>
      <c r="P186" s="123">
        <f t="shared" si="49"/>
        <v>0.06</v>
      </c>
      <c r="Q186" s="123">
        <f t="shared" si="49"/>
        <v>0.06</v>
      </c>
      <c r="R186" s="123">
        <f t="shared" si="49"/>
        <v>0.06</v>
      </c>
      <c r="S186" s="123">
        <f t="shared" si="49"/>
        <v>0.06</v>
      </c>
      <c r="T186" s="123">
        <f t="shared" si="50"/>
        <v>0.06</v>
      </c>
      <c r="U186" s="123">
        <f t="shared" si="50"/>
        <v>0.06</v>
      </c>
      <c r="V186" s="123">
        <f t="shared" si="50"/>
        <v>0.06</v>
      </c>
      <c r="W186" s="123">
        <f t="shared" si="50"/>
        <v>0.06</v>
      </c>
      <c r="X186" s="123">
        <f t="shared" si="50"/>
        <v>0.06</v>
      </c>
      <c r="Y186" s="123">
        <f t="shared" si="50"/>
        <v>0.06</v>
      </c>
      <c r="Z186" s="123">
        <f t="shared" si="50"/>
        <v>0.06</v>
      </c>
      <c r="AA186" s="123">
        <f t="shared" si="50"/>
        <v>0.06</v>
      </c>
      <c r="AB186" s="123">
        <f t="shared" si="50"/>
        <v>0.06</v>
      </c>
      <c r="AC186" s="123">
        <f t="shared" si="50"/>
        <v>0.06</v>
      </c>
      <c r="AD186" s="123">
        <f t="shared" si="50"/>
        <v>0.06</v>
      </c>
      <c r="AE186" s="123">
        <f t="shared" si="50"/>
        <v>0.06</v>
      </c>
      <c r="AF186" s="123">
        <f t="shared" si="50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8"/>
        <v>0.11</v>
      </c>
      <c r="C187" s="124">
        <v>0.11</v>
      </c>
      <c r="D187" s="123">
        <f t="shared" si="49"/>
        <v>0.11</v>
      </c>
      <c r="E187" s="123">
        <f t="shared" si="49"/>
        <v>0.11</v>
      </c>
      <c r="F187" s="123">
        <f t="shared" si="49"/>
        <v>0.11</v>
      </c>
      <c r="G187" s="123">
        <f t="shared" si="49"/>
        <v>0.11</v>
      </c>
      <c r="H187" s="123">
        <f t="shared" si="49"/>
        <v>0.11</v>
      </c>
      <c r="I187" s="123">
        <f t="shared" si="49"/>
        <v>0.11</v>
      </c>
      <c r="J187" s="123">
        <f t="shared" si="49"/>
        <v>0.11</v>
      </c>
      <c r="K187" s="123">
        <f t="shared" si="49"/>
        <v>0.11</v>
      </c>
      <c r="L187" s="123">
        <f t="shared" si="49"/>
        <v>0.11</v>
      </c>
      <c r="M187" s="123">
        <f t="shared" si="49"/>
        <v>0.11</v>
      </c>
      <c r="N187" s="123">
        <f t="shared" si="49"/>
        <v>0.11</v>
      </c>
      <c r="O187" s="123">
        <f t="shared" si="49"/>
        <v>0.11</v>
      </c>
      <c r="P187" s="123">
        <f t="shared" si="49"/>
        <v>0.11</v>
      </c>
      <c r="Q187" s="123">
        <f t="shared" si="49"/>
        <v>0.11</v>
      </c>
      <c r="R187" s="123">
        <f t="shared" si="49"/>
        <v>0.11</v>
      </c>
      <c r="S187" s="123">
        <f t="shared" si="49"/>
        <v>0.11</v>
      </c>
      <c r="T187" s="123">
        <f t="shared" si="50"/>
        <v>0.11</v>
      </c>
      <c r="U187" s="123">
        <f t="shared" si="50"/>
        <v>0.11</v>
      </c>
      <c r="V187" s="123">
        <f t="shared" si="50"/>
        <v>0.11</v>
      </c>
      <c r="W187" s="123">
        <f t="shared" si="50"/>
        <v>0.11</v>
      </c>
      <c r="X187" s="123">
        <f t="shared" si="50"/>
        <v>0.11</v>
      </c>
      <c r="Y187" s="123">
        <f t="shared" si="50"/>
        <v>0.11</v>
      </c>
      <c r="Z187" s="123">
        <f t="shared" si="50"/>
        <v>0.11</v>
      </c>
      <c r="AA187" s="123">
        <f t="shared" si="50"/>
        <v>0.11</v>
      </c>
      <c r="AB187" s="123">
        <f t="shared" si="50"/>
        <v>0.11</v>
      </c>
      <c r="AC187" s="123">
        <f t="shared" si="50"/>
        <v>0.11</v>
      </c>
      <c r="AD187" s="123">
        <f t="shared" si="50"/>
        <v>0.11</v>
      </c>
      <c r="AE187" s="123">
        <f t="shared" si="50"/>
        <v>0.11</v>
      </c>
      <c r="AF187" s="123">
        <f t="shared" si="50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8"/>
        <v>0.1</v>
      </c>
      <c r="C188" s="124">
        <v>0.1</v>
      </c>
      <c r="D188" s="123">
        <f t="shared" si="49"/>
        <v>0.1</v>
      </c>
      <c r="E188" s="123">
        <f t="shared" si="49"/>
        <v>0.1</v>
      </c>
      <c r="F188" s="123">
        <f t="shared" si="49"/>
        <v>0.1</v>
      </c>
      <c r="G188" s="123">
        <f t="shared" si="49"/>
        <v>0.1</v>
      </c>
      <c r="H188" s="123">
        <f t="shared" si="49"/>
        <v>0.1</v>
      </c>
      <c r="I188" s="123">
        <f t="shared" si="49"/>
        <v>0.1</v>
      </c>
      <c r="J188" s="123">
        <f t="shared" si="49"/>
        <v>0.1</v>
      </c>
      <c r="K188" s="123">
        <f t="shared" si="49"/>
        <v>0.1</v>
      </c>
      <c r="L188" s="123">
        <f t="shared" si="49"/>
        <v>0.1</v>
      </c>
      <c r="M188" s="123">
        <f t="shared" si="49"/>
        <v>0.1</v>
      </c>
      <c r="N188" s="123">
        <f t="shared" si="49"/>
        <v>0.1</v>
      </c>
      <c r="O188" s="123">
        <f t="shared" si="49"/>
        <v>0.1</v>
      </c>
      <c r="P188" s="123">
        <f t="shared" si="49"/>
        <v>0.1</v>
      </c>
      <c r="Q188" s="123">
        <f t="shared" si="49"/>
        <v>0.1</v>
      </c>
      <c r="R188" s="123">
        <f t="shared" si="49"/>
        <v>0.1</v>
      </c>
      <c r="S188" s="123">
        <f t="shared" si="50"/>
        <v>0.1</v>
      </c>
      <c r="T188" s="123">
        <f t="shared" si="50"/>
        <v>0.1</v>
      </c>
      <c r="U188" s="123">
        <f t="shared" si="50"/>
        <v>0.1</v>
      </c>
      <c r="V188" s="123">
        <f t="shared" si="50"/>
        <v>0.1</v>
      </c>
      <c r="W188" s="123">
        <f t="shared" si="50"/>
        <v>0.1</v>
      </c>
      <c r="X188" s="123">
        <f t="shared" si="50"/>
        <v>0.1</v>
      </c>
      <c r="Y188" s="123">
        <f t="shared" si="50"/>
        <v>0.1</v>
      </c>
      <c r="Z188" s="123">
        <f t="shared" si="50"/>
        <v>0.1</v>
      </c>
      <c r="AA188" s="123">
        <f t="shared" si="50"/>
        <v>0.1</v>
      </c>
      <c r="AB188" s="123">
        <f t="shared" si="50"/>
        <v>0.1</v>
      </c>
      <c r="AC188" s="123">
        <f t="shared" si="50"/>
        <v>0.1</v>
      </c>
      <c r="AD188" s="123">
        <f t="shared" si="50"/>
        <v>0.1</v>
      </c>
      <c r="AE188" s="123">
        <f t="shared" si="50"/>
        <v>0.1</v>
      </c>
      <c r="AF188" s="123">
        <f t="shared" si="50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8"/>
        <v>0.09</v>
      </c>
      <c r="C189" s="124">
        <v>0.09</v>
      </c>
      <c r="D189" s="123">
        <f t="shared" si="49"/>
        <v>0.09</v>
      </c>
      <c r="E189" s="123">
        <f t="shared" si="49"/>
        <v>0.09</v>
      </c>
      <c r="F189" s="123">
        <f t="shared" si="49"/>
        <v>0.09</v>
      </c>
      <c r="G189" s="123">
        <f t="shared" si="49"/>
        <v>0.09</v>
      </c>
      <c r="H189" s="123">
        <f t="shared" si="49"/>
        <v>0.09</v>
      </c>
      <c r="I189" s="123">
        <f t="shared" si="49"/>
        <v>0.09</v>
      </c>
      <c r="J189" s="123">
        <f t="shared" si="49"/>
        <v>0.09</v>
      </c>
      <c r="K189" s="123">
        <f t="shared" si="49"/>
        <v>0.09</v>
      </c>
      <c r="L189" s="123">
        <f t="shared" si="49"/>
        <v>0.09</v>
      </c>
      <c r="M189" s="123">
        <f t="shared" si="49"/>
        <v>0.09</v>
      </c>
      <c r="N189" s="123">
        <f t="shared" si="49"/>
        <v>0.09</v>
      </c>
      <c r="O189" s="123">
        <f t="shared" si="49"/>
        <v>0.09</v>
      </c>
      <c r="P189" s="123">
        <f t="shared" si="49"/>
        <v>0.09</v>
      </c>
      <c r="Q189" s="123">
        <f t="shared" si="49"/>
        <v>0.09</v>
      </c>
      <c r="R189" s="123">
        <f t="shared" si="49"/>
        <v>0.09</v>
      </c>
      <c r="S189" s="123">
        <f t="shared" si="50"/>
        <v>0.09</v>
      </c>
      <c r="T189" s="123">
        <f t="shared" si="50"/>
        <v>0.09</v>
      </c>
      <c r="U189" s="123">
        <f t="shared" si="50"/>
        <v>0.09</v>
      </c>
      <c r="V189" s="123">
        <f t="shared" si="50"/>
        <v>0.09</v>
      </c>
      <c r="W189" s="123">
        <f t="shared" si="50"/>
        <v>0.09</v>
      </c>
      <c r="X189" s="123">
        <f t="shared" si="50"/>
        <v>0.09</v>
      </c>
      <c r="Y189" s="123">
        <f t="shared" si="50"/>
        <v>0.09</v>
      </c>
      <c r="Z189" s="123">
        <f t="shared" si="50"/>
        <v>0.09</v>
      </c>
      <c r="AA189" s="123">
        <f t="shared" si="50"/>
        <v>0.09</v>
      </c>
      <c r="AB189" s="123">
        <f t="shared" si="50"/>
        <v>0.09</v>
      </c>
      <c r="AC189" s="123">
        <f t="shared" si="50"/>
        <v>0.09</v>
      </c>
      <c r="AD189" s="123">
        <f t="shared" si="50"/>
        <v>0.09</v>
      </c>
      <c r="AE189" s="123">
        <f t="shared" si="50"/>
        <v>0.09</v>
      </c>
      <c r="AF189" s="123">
        <f t="shared" si="50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8"/>
        <v>0.04</v>
      </c>
      <c r="C190" s="53">
        <v>0.04</v>
      </c>
      <c r="D190" s="123">
        <f t="shared" si="49"/>
        <v>0.04</v>
      </c>
      <c r="E190" s="123">
        <f t="shared" si="49"/>
        <v>0.04</v>
      </c>
      <c r="F190" s="123">
        <f t="shared" si="49"/>
        <v>0.04</v>
      </c>
      <c r="G190" s="123">
        <f t="shared" si="49"/>
        <v>0.04</v>
      </c>
      <c r="H190" s="123">
        <f t="shared" si="49"/>
        <v>0.04</v>
      </c>
      <c r="I190" s="123">
        <f t="shared" si="49"/>
        <v>0.04</v>
      </c>
      <c r="J190" s="123">
        <f t="shared" si="49"/>
        <v>0.04</v>
      </c>
      <c r="K190" s="123">
        <f t="shared" si="49"/>
        <v>0.04</v>
      </c>
      <c r="L190" s="123">
        <f t="shared" si="49"/>
        <v>0.04</v>
      </c>
      <c r="M190" s="123">
        <f t="shared" si="49"/>
        <v>0.04</v>
      </c>
      <c r="N190" s="123">
        <f t="shared" si="49"/>
        <v>0.04</v>
      </c>
      <c r="O190" s="123">
        <f t="shared" si="49"/>
        <v>0.04</v>
      </c>
      <c r="P190" s="123">
        <f t="shared" si="49"/>
        <v>0.04</v>
      </c>
      <c r="Q190" s="123">
        <f t="shared" si="49"/>
        <v>0.04</v>
      </c>
      <c r="R190" s="123">
        <f t="shared" si="49"/>
        <v>0.04</v>
      </c>
      <c r="S190" s="123">
        <f t="shared" si="50"/>
        <v>0.04</v>
      </c>
      <c r="T190" s="123">
        <f t="shared" si="50"/>
        <v>0.04</v>
      </c>
      <c r="U190" s="123">
        <f t="shared" si="50"/>
        <v>0.04</v>
      </c>
      <c r="V190" s="123">
        <f t="shared" si="50"/>
        <v>0.04</v>
      </c>
      <c r="W190" s="123">
        <f t="shared" si="50"/>
        <v>0.04</v>
      </c>
      <c r="X190" s="123">
        <f t="shared" si="50"/>
        <v>0.04</v>
      </c>
      <c r="Y190" s="123">
        <f t="shared" si="50"/>
        <v>0.04</v>
      </c>
      <c r="Z190" s="123">
        <f t="shared" si="50"/>
        <v>0.04</v>
      </c>
      <c r="AA190" s="123">
        <f t="shared" si="50"/>
        <v>0.04</v>
      </c>
      <c r="AB190" s="123">
        <f t="shared" si="50"/>
        <v>0.04</v>
      </c>
      <c r="AC190" s="123">
        <f t="shared" si="50"/>
        <v>0.04</v>
      </c>
      <c r="AD190" s="123">
        <f t="shared" si="50"/>
        <v>0.04</v>
      </c>
      <c r="AE190" s="123">
        <f t="shared" si="50"/>
        <v>0.04</v>
      </c>
      <c r="AF190" s="123">
        <f t="shared" si="50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8"/>
        <v>2.3E-2</v>
      </c>
      <c r="C191" s="53">
        <v>2.3E-2</v>
      </c>
      <c r="D191" s="123">
        <f>C191</f>
        <v>2.3E-2</v>
      </c>
      <c r="E191" s="123">
        <f t="shared" si="49"/>
        <v>2.3E-2</v>
      </c>
      <c r="F191" s="123">
        <f t="shared" si="49"/>
        <v>2.3E-2</v>
      </c>
      <c r="G191" s="123">
        <f t="shared" si="49"/>
        <v>2.3E-2</v>
      </c>
      <c r="H191" s="123">
        <f t="shared" si="49"/>
        <v>2.3E-2</v>
      </c>
      <c r="I191" s="123">
        <f t="shared" si="49"/>
        <v>2.3E-2</v>
      </c>
      <c r="J191" s="123">
        <f t="shared" si="49"/>
        <v>2.3E-2</v>
      </c>
      <c r="K191" s="123">
        <f t="shared" si="49"/>
        <v>2.3E-2</v>
      </c>
      <c r="L191" s="123">
        <f t="shared" si="49"/>
        <v>2.3E-2</v>
      </c>
      <c r="M191" s="123">
        <f t="shared" si="49"/>
        <v>2.3E-2</v>
      </c>
      <c r="N191" s="123">
        <f t="shared" si="49"/>
        <v>2.3E-2</v>
      </c>
      <c r="O191" s="123">
        <f t="shared" si="49"/>
        <v>2.3E-2</v>
      </c>
      <c r="P191" s="123">
        <f t="shared" si="49"/>
        <v>2.3E-2</v>
      </c>
      <c r="Q191" s="123">
        <f t="shared" si="49"/>
        <v>2.3E-2</v>
      </c>
      <c r="R191" s="123">
        <f t="shared" si="49"/>
        <v>2.3E-2</v>
      </c>
      <c r="S191" s="123">
        <f t="shared" si="50"/>
        <v>2.3E-2</v>
      </c>
      <c r="T191" s="123">
        <f t="shared" si="50"/>
        <v>2.3E-2</v>
      </c>
      <c r="U191" s="123">
        <f t="shared" si="50"/>
        <v>2.3E-2</v>
      </c>
      <c r="V191" s="123">
        <f t="shared" si="50"/>
        <v>2.3E-2</v>
      </c>
      <c r="W191" s="123">
        <f t="shared" si="50"/>
        <v>2.3E-2</v>
      </c>
      <c r="X191" s="123">
        <f t="shared" si="50"/>
        <v>2.3E-2</v>
      </c>
      <c r="Y191" s="123">
        <f t="shared" si="50"/>
        <v>2.3E-2</v>
      </c>
      <c r="Z191" s="123">
        <f t="shared" si="50"/>
        <v>2.3E-2</v>
      </c>
      <c r="AA191" s="123">
        <f t="shared" si="50"/>
        <v>2.3E-2</v>
      </c>
      <c r="AB191" s="123">
        <f t="shared" si="50"/>
        <v>2.3E-2</v>
      </c>
      <c r="AC191" s="123">
        <f t="shared" si="50"/>
        <v>2.3E-2</v>
      </c>
      <c r="AD191" s="123">
        <f t="shared" si="50"/>
        <v>2.3E-2</v>
      </c>
      <c r="AE191" s="123">
        <f t="shared" si="50"/>
        <v>2.3E-2</v>
      </c>
      <c r="AF191" s="123">
        <f t="shared" si="50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1">SUM(C102:C191)</f>
        <v>194.70600000000002</v>
      </c>
      <c r="D192" s="128">
        <f t="shared" si="51"/>
        <v>194.70600000000002</v>
      </c>
      <c r="E192" s="128">
        <f t="shared" si="51"/>
        <v>194.70600000000002</v>
      </c>
      <c r="F192" s="128">
        <f t="shared" si="51"/>
        <v>194.70600000000002</v>
      </c>
      <c r="G192" s="128">
        <f t="shared" si="51"/>
        <v>194.70600000000002</v>
      </c>
      <c r="H192" s="128">
        <f t="shared" si="51"/>
        <v>194.70600000000002</v>
      </c>
      <c r="I192" s="128">
        <f t="shared" si="51"/>
        <v>189.70600000000005</v>
      </c>
      <c r="J192" s="128">
        <f t="shared" si="51"/>
        <v>187.10600000000005</v>
      </c>
      <c r="K192" s="128">
        <f t="shared" si="51"/>
        <v>187.10600000000005</v>
      </c>
      <c r="L192" s="128">
        <f t="shared" si="51"/>
        <v>187.10600000000005</v>
      </c>
      <c r="M192" s="128">
        <f t="shared" si="51"/>
        <v>187.10600000000005</v>
      </c>
      <c r="N192" s="128">
        <f t="shared" si="51"/>
        <v>187.10600000000005</v>
      </c>
      <c r="O192" s="128">
        <f t="shared" si="51"/>
        <v>187.10600000000005</v>
      </c>
      <c r="P192" s="128">
        <f t="shared" si="51"/>
        <v>187.10600000000005</v>
      </c>
      <c r="Q192" s="128">
        <f t="shared" si="51"/>
        <v>187.10600000000005</v>
      </c>
      <c r="R192" s="128">
        <f t="shared" si="51"/>
        <v>187.10600000000005</v>
      </c>
      <c r="S192" s="128">
        <f t="shared" si="51"/>
        <v>187.10600000000005</v>
      </c>
      <c r="T192" s="128">
        <f t="shared" si="51"/>
        <v>187.10600000000005</v>
      </c>
      <c r="U192" s="128">
        <f t="shared" si="51"/>
        <v>187.10600000000005</v>
      </c>
      <c r="V192" s="128">
        <f t="shared" si="51"/>
        <v>187.10600000000005</v>
      </c>
      <c r="W192" s="128">
        <f t="shared" si="51"/>
        <v>187.10600000000005</v>
      </c>
      <c r="X192" s="128">
        <f t="shared" si="51"/>
        <v>187.10600000000005</v>
      </c>
      <c r="Y192" s="128">
        <f t="shared" si="51"/>
        <v>187.10600000000005</v>
      </c>
      <c r="Z192" s="128">
        <f t="shared" si="51"/>
        <v>187.10600000000005</v>
      </c>
      <c r="AA192" s="128">
        <f t="shared" si="51"/>
        <v>187.10600000000005</v>
      </c>
      <c r="AB192" s="128">
        <f t="shared" si="51"/>
        <v>187.10600000000005</v>
      </c>
      <c r="AC192" s="128">
        <f t="shared" si="51"/>
        <v>187.10600000000005</v>
      </c>
      <c r="AD192" s="128">
        <f t="shared" si="51"/>
        <v>187.10600000000005</v>
      </c>
      <c r="AE192" s="128">
        <f t="shared" si="51"/>
        <v>187.10600000000005</v>
      </c>
      <c r="AF192" s="128">
        <f t="shared" si="51"/>
        <v>187.10600000000005</v>
      </c>
      <c r="AG192" s="129">
        <f t="shared" si="51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2">AF194</f>
        <v>0.3</v>
      </c>
      <c r="C194" s="130">
        <v>0.3</v>
      </c>
      <c r="D194" s="130">
        <f t="shared" ref="D194:S199" si="53">C194</f>
        <v>0.3</v>
      </c>
      <c r="E194" s="130">
        <f t="shared" si="53"/>
        <v>0.3</v>
      </c>
      <c r="F194" s="130">
        <f t="shared" si="53"/>
        <v>0.3</v>
      </c>
      <c r="G194" s="130">
        <f t="shared" si="53"/>
        <v>0.3</v>
      </c>
      <c r="H194" s="130">
        <f t="shared" si="53"/>
        <v>0.3</v>
      </c>
      <c r="I194" s="130">
        <f t="shared" si="53"/>
        <v>0.3</v>
      </c>
      <c r="J194" s="130">
        <f t="shared" si="53"/>
        <v>0.3</v>
      </c>
      <c r="K194" s="130">
        <f t="shared" si="53"/>
        <v>0.3</v>
      </c>
      <c r="L194" s="130">
        <f t="shared" si="53"/>
        <v>0.3</v>
      </c>
      <c r="M194" s="130">
        <f t="shared" si="53"/>
        <v>0.3</v>
      </c>
      <c r="N194" s="130">
        <f t="shared" si="53"/>
        <v>0.3</v>
      </c>
      <c r="O194" s="130">
        <f t="shared" si="53"/>
        <v>0.3</v>
      </c>
      <c r="P194" s="130">
        <f t="shared" si="53"/>
        <v>0.3</v>
      </c>
      <c r="Q194" s="130">
        <f t="shared" si="53"/>
        <v>0.3</v>
      </c>
      <c r="R194" s="130">
        <f t="shared" si="53"/>
        <v>0.3</v>
      </c>
      <c r="S194" s="130">
        <f t="shared" si="53"/>
        <v>0.3</v>
      </c>
      <c r="T194" s="130">
        <f t="shared" ref="T194:AF199" si="54">S194</f>
        <v>0.3</v>
      </c>
      <c r="U194" s="130">
        <f t="shared" si="54"/>
        <v>0.3</v>
      </c>
      <c r="V194" s="130">
        <f t="shared" si="54"/>
        <v>0.3</v>
      </c>
      <c r="W194" s="130">
        <f t="shared" si="54"/>
        <v>0.3</v>
      </c>
      <c r="X194" s="130">
        <f t="shared" si="54"/>
        <v>0.3</v>
      </c>
      <c r="Y194" s="130">
        <f t="shared" si="54"/>
        <v>0.3</v>
      </c>
      <c r="Z194" s="130">
        <f t="shared" si="54"/>
        <v>0.3</v>
      </c>
      <c r="AA194" s="130">
        <f t="shared" si="54"/>
        <v>0.3</v>
      </c>
      <c r="AB194" s="130">
        <f t="shared" si="54"/>
        <v>0.3</v>
      </c>
      <c r="AC194" s="130">
        <f t="shared" si="54"/>
        <v>0.3</v>
      </c>
      <c r="AD194" s="130">
        <f t="shared" si="54"/>
        <v>0.3</v>
      </c>
      <c r="AE194" s="130">
        <f t="shared" si="54"/>
        <v>0.3</v>
      </c>
      <c r="AF194" s="130">
        <f t="shared" si="54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2"/>
        <v>0.4</v>
      </c>
      <c r="C195" s="123">
        <v>0.4</v>
      </c>
      <c r="D195" s="123">
        <f t="shared" si="53"/>
        <v>0.4</v>
      </c>
      <c r="E195" s="123">
        <f t="shared" si="53"/>
        <v>0.4</v>
      </c>
      <c r="F195" s="123">
        <f t="shared" si="53"/>
        <v>0.4</v>
      </c>
      <c r="G195" s="123">
        <f t="shared" si="53"/>
        <v>0.4</v>
      </c>
      <c r="H195" s="123">
        <f t="shared" si="53"/>
        <v>0.4</v>
      </c>
      <c r="I195" s="123">
        <f t="shared" si="53"/>
        <v>0.4</v>
      </c>
      <c r="J195" s="123">
        <f t="shared" si="53"/>
        <v>0.4</v>
      </c>
      <c r="K195" s="123">
        <f t="shared" si="53"/>
        <v>0.4</v>
      </c>
      <c r="L195" s="123">
        <f t="shared" si="53"/>
        <v>0.4</v>
      </c>
      <c r="M195" s="123">
        <f t="shared" si="53"/>
        <v>0.4</v>
      </c>
      <c r="N195" s="123">
        <f t="shared" si="53"/>
        <v>0.4</v>
      </c>
      <c r="O195" s="123">
        <f t="shared" si="53"/>
        <v>0.4</v>
      </c>
      <c r="P195" s="123">
        <f t="shared" si="53"/>
        <v>0.4</v>
      </c>
      <c r="Q195" s="123">
        <f t="shared" si="53"/>
        <v>0.4</v>
      </c>
      <c r="R195" s="123">
        <f t="shared" si="53"/>
        <v>0.4</v>
      </c>
      <c r="S195" s="123">
        <f t="shared" si="53"/>
        <v>0.4</v>
      </c>
      <c r="T195" s="123">
        <f t="shared" si="54"/>
        <v>0.4</v>
      </c>
      <c r="U195" s="123">
        <f t="shared" si="54"/>
        <v>0.4</v>
      </c>
      <c r="V195" s="123">
        <f t="shared" si="54"/>
        <v>0.4</v>
      </c>
      <c r="W195" s="123">
        <f>V195</f>
        <v>0.4</v>
      </c>
      <c r="X195" s="123">
        <f>W195</f>
        <v>0.4</v>
      </c>
      <c r="Y195" s="123">
        <f t="shared" si="54"/>
        <v>0.4</v>
      </c>
      <c r="Z195" s="123">
        <f t="shared" si="54"/>
        <v>0.4</v>
      </c>
      <c r="AA195" s="123">
        <f t="shared" si="54"/>
        <v>0.4</v>
      </c>
      <c r="AB195" s="123">
        <f t="shared" si="54"/>
        <v>0.4</v>
      </c>
      <c r="AC195" s="123">
        <f t="shared" si="54"/>
        <v>0.4</v>
      </c>
      <c r="AD195" s="123">
        <f t="shared" si="54"/>
        <v>0.4</v>
      </c>
      <c r="AE195" s="123">
        <f t="shared" si="54"/>
        <v>0.4</v>
      </c>
      <c r="AF195" s="123">
        <f t="shared" si="54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2"/>
        <v>1.5</v>
      </c>
      <c r="C196" s="123">
        <v>1.5</v>
      </c>
      <c r="D196" s="123">
        <f t="shared" si="53"/>
        <v>1.5</v>
      </c>
      <c r="E196" s="123">
        <f t="shared" si="53"/>
        <v>1.5</v>
      </c>
      <c r="F196" s="123">
        <f t="shared" si="53"/>
        <v>1.5</v>
      </c>
      <c r="G196" s="123">
        <f t="shared" si="53"/>
        <v>1.5</v>
      </c>
      <c r="H196" s="123">
        <f t="shared" si="53"/>
        <v>1.5</v>
      </c>
      <c r="I196" s="123">
        <f t="shared" si="53"/>
        <v>1.5</v>
      </c>
      <c r="J196" s="123">
        <f t="shared" si="53"/>
        <v>1.5</v>
      </c>
      <c r="K196" s="123">
        <f t="shared" si="53"/>
        <v>1.5</v>
      </c>
      <c r="L196" s="123">
        <f t="shared" si="53"/>
        <v>1.5</v>
      </c>
      <c r="M196" s="123">
        <f t="shared" si="53"/>
        <v>1.5</v>
      </c>
      <c r="N196" s="123">
        <f t="shared" si="53"/>
        <v>1.5</v>
      </c>
      <c r="O196" s="123">
        <f t="shared" si="53"/>
        <v>1.5</v>
      </c>
      <c r="P196" s="123">
        <f t="shared" si="53"/>
        <v>1.5</v>
      </c>
      <c r="Q196" s="123">
        <f t="shared" si="53"/>
        <v>1.5</v>
      </c>
      <c r="R196" s="123">
        <f t="shared" si="53"/>
        <v>1.5</v>
      </c>
      <c r="S196" s="123">
        <f t="shared" si="53"/>
        <v>1.5</v>
      </c>
      <c r="T196" s="123">
        <f t="shared" si="54"/>
        <v>1.5</v>
      </c>
      <c r="U196" s="123">
        <f t="shared" si="54"/>
        <v>1.5</v>
      </c>
      <c r="V196" s="123">
        <f t="shared" si="54"/>
        <v>1.5</v>
      </c>
      <c r="W196" s="123">
        <f t="shared" si="54"/>
        <v>1.5</v>
      </c>
      <c r="X196" s="123">
        <f t="shared" si="54"/>
        <v>1.5</v>
      </c>
      <c r="Y196" s="123">
        <f t="shared" si="54"/>
        <v>1.5</v>
      </c>
      <c r="Z196" s="123">
        <f t="shared" si="54"/>
        <v>1.5</v>
      </c>
      <c r="AA196" s="123">
        <f t="shared" si="54"/>
        <v>1.5</v>
      </c>
      <c r="AB196" s="123">
        <f t="shared" si="54"/>
        <v>1.5</v>
      </c>
      <c r="AC196" s="123">
        <f t="shared" si="54"/>
        <v>1.5</v>
      </c>
      <c r="AD196" s="123">
        <f t="shared" si="54"/>
        <v>1.5</v>
      </c>
      <c r="AE196" s="123">
        <f t="shared" si="54"/>
        <v>1.5</v>
      </c>
      <c r="AF196" s="123">
        <f t="shared" si="54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2"/>
        <v>0.3</v>
      </c>
      <c r="C197" s="123">
        <v>0.3</v>
      </c>
      <c r="D197" s="123">
        <f t="shared" si="53"/>
        <v>0.3</v>
      </c>
      <c r="E197" s="123">
        <f t="shared" si="53"/>
        <v>0.3</v>
      </c>
      <c r="F197" s="123">
        <f t="shared" si="53"/>
        <v>0.3</v>
      </c>
      <c r="G197" s="123">
        <f t="shared" si="53"/>
        <v>0.3</v>
      </c>
      <c r="H197" s="123">
        <f t="shared" si="53"/>
        <v>0.3</v>
      </c>
      <c r="I197" s="123">
        <f t="shared" si="53"/>
        <v>0.3</v>
      </c>
      <c r="J197" s="123">
        <f t="shared" si="53"/>
        <v>0.3</v>
      </c>
      <c r="K197" s="123">
        <f t="shared" si="53"/>
        <v>0.3</v>
      </c>
      <c r="L197" s="123">
        <f t="shared" si="53"/>
        <v>0.3</v>
      </c>
      <c r="M197" s="123">
        <f t="shared" si="53"/>
        <v>0.3</v>
      </c>
      <c r="N197" s="123">
        <f t="shared" si="53"/>
        <v>0.3</v>
      </c>
      <c r="O197" s="123">
        <f t="shared" si="53"/>
        <v>0.3</v>
      </c>
      <c r="P197" s="123">
        <f t="shared" si="53"/>
        <v>0.3</v>
      </c>
      <c r="Q197" s="123">
        <f t="shared" si="53"/>
        <v>0.3</v>
      </c>
      <c r="R197" s="123">
        <f t="shared" si="53"/>
        <v>0.3</v>
      </c>
      <c r="S197" s="123">
        <f t="shared" si="53"/>
        <v>0.3</v>
      </c>
      <c r="T197" s="123">
        <f t="shared" si="54"/>
        <v>0.3</v>
      </c>
      <c r="U197" s="123">
        <f t="shared" si="54"/>
        <v>0.3</v>
      </c>
      <c r="V197" s="123">
        <f t="shared" si="54"/>
        <v>0.3</v>
      </c>
      <c r="W197" s="123">
        <f t="shared" si="54"/>
        <v>0.3</v>
      </c>
      <c r="X197" s="123">
        <f t="shared" si="54"/>
        <v>0.3</v>
      </c>
      <c r="Y197" s="123">
        <f t="shared" si="54"/>
        <v>0.3</v>
      </c>
      <c r="Z197" s="123">
        <f t="shared" si="54"/>
        <v>0.3</v>
      </c>
      <c r="AA197" s="123">
        <f t="shared" si="54"/>
        <v>0.3</v>
      </c>
      <c r="AB197" s="123">
        <f t="shared" si="54"/>
        <v>0.3</v>
      </c>
      <c r="AC197" s="123">
        <f t="shared" si="54"/>
        <v>0.3</v>
      </c>
      <c r="AD197" s="123">
        <f t="shared" si="54"/>
        <v>0.3</v>
      </c>
      <c r="AE197" s="123">
        <f t="shared" si="54"/>
        <v>0.3</v>
      </c>
      <c r="AF197" s="123">
        <f t="shared" si="54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2"/>
        <v>0.4</v>
      </c>
      <c r="C198" s="123">
        <v>0.4</v>
      </c>
      <c r="D198" s="123">
        <f t="shared" si="53"/>
        <v>0.4</v>
      </c>
      <c r="E198" s="123">
        <f t="shared" si="53"/>
        <v>0.4</v>
      </c>
      <c r="F198" s="123">
        <f t="shared" si="53"/>
        <v>0.4</v>
      </c>
      <c r="G198" s="123">
        <f t="shared" si="53"/>
        <v>0.4</v>
      </c>
      <c r="H198" s="123">
        <f t="shared" si="53"/>
        <v>0.4</v>
      </c>
      <c r="I198" s="123">
        <f t="shared" si="53"/>
        <v>0.4</v>
      </c>
      <c r="J198" s="123">
        <f t="shared" si="53"/>
        <v>0.4</v>
      </c>
      <c r="K198" s="123">
        <f t="shared" si="53"/>
        <v>0.4</v>
      </c>
      <c r="L198" s="123">
        <f t="shared" si="53"/>
        <v>0.4</v>
      </c>
      <c r="M198" s="123">
        <f t="shared" si="53"/>
        <v>0.4</v>
      </c>
      <c r="N198" s="123">
        <f t="shared" si="53"/>
        <v>0.4</v>
      </c>
      <c r="O198" s="123">
        <f t="shared" si="53"/>
        <v>0.4</v>
      </c>
      <c r="P198" s="123">
        <f t="shared" si="53"/>
        <v>0.4</v>
      </c>
      <c r="Q198" s="123">
        <f t="shared" si="53"/>
        <v>0.4</v>
      </c>
      <c r="R198" s="123">
        <f t="shared" si="53"/>
        <v>0.4</v>
      </c>
      <c r="S198" s="123">
        <f t="shared" si="53"/>
        <v>0.4</v>
      </c>
      <c r="T198" s="123">
        <f t="shared" si="54"/>
        <v>0.4</v>
      </c>
      <c r="U198" s="123">
        <f t="shared" si="54"/>
        <v>0.4</v>
      </c>
      <c r="V198" s="123">
        <f t="shared" si="54"/>
        <v>0.4</v>
      </c>
      <c r="W198" s="123">
        <f t="shared" si="54"/>
        <v>0.4</v>
      </c>
      <c r="X198" s="123">
        <f t="shared" si="54"/>
        <v>0.4</v>
      </c>
      <c r="Y198" s="123">
        <f t="shared" si="54"/>
        <v>0.4</v>
      </c>
      <c r="Z198" s="123">
        <f t="shared" si="54"/>
        <v>0.4</v>
      </c>
      <c r="AA198" s="123">
        <f t="shared" si="54"/>
        <v>0.4</v>
      </c>
      <c r="AB198" s="123">
        <f t="shared" si="54"/>
        <v>0.4</v>
      </c>
      <c r="AC198" s="123">
        <f t="shared" si="54"/>
        <v>0.4</v>
      </c>
      <c r="AD198" s="123">
        <f t="shared" si="54"/>
        <v>0.4</v>
      </c>
      <c r="AE198" s="123">
        <f t="shared" si="54"/>
        <v>0.4</v>
      </c>
      <c r="AF198" s="123">
        <f t="shared" si="54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2"/>
        <v>0.64</v>
      </c>
      <c r="C199" s="133">
        <v>0.64</v>
      </c>
      <c r="D199" s="133">
        <f t="shared" si="53"/>
        <v>0.64</v>
      </c>
      <c r="E199" s="133">
        <f t="shared" si="53"/>
        <v>0.64</v>
      </c>
      <c r="F199" s="133">
        <f t="shared" si="53"/>
        <v>0.64</v>
      </c>
      <c r="G199" s="133">
        <f t="shared" si="53"/>
        <v>0.64</v>
      </c>
      <c r="H199" s="133">
        <f t="shared" si="53"/>
        <v>0.64</v>
      </c>
      <c r="I199" s="133">
        <f t="shared" si="53"/>
        <v>0.64</v>
      </c>
      <c r="J199" s="133">
        <f t="shared" si="53"/>
        <v>0.64</v>
      </c>
      <c r="K199" s="133">
        <f t="shared" si="53"/>
        <v>0.64</v>
      </c>
      <c r="L199" s="133">
        <f t="shared" si="53"/>
        <v>0.64</v>
      </c>
      <c r="M199" s="133">
        <f t="shared" si="53"/>
        <v>0.64</v>
      </c>
      <c r="N199" s="133">
        <f t="shared" si="53"/>
        <v>0.64</v>
      </c>
      <c r="O199" s="133">
        <f t="shared" si="53"/>
        <v>0.64</v>
      </c>
      <c r="P199" s="133">
        <f t="shared" si="53"/>
        <v>0.64</v>
      </c>
      <c r="Q199" s="133">
        <f t="shared" si="53"/>
        <v>0.64</v>
      </c>
      <c r="R199" s="133">
        <f t="shared" si="53"/>
        <v>0.64</v>
      </c>
      <c r="S199" s="133">
        <f t="shared" si="53"/>
        <v>0.64</v>
      </c>
      <c r="T199" s="133">
        <f t="shared" si="54"/>
        <v>0.64</v>
      </c>
      <c r="U199" s="133">
        <f t="shared" si="54"/>
        <v>0.64</v>
      </c>
      <c r="V199" s="133">
        <f t="shared" si="54"/>
        <v>0.64</v>
      </c>
      <c r="W199" s="133">
        <f t="shared" si="54"/>
        <v>0.64</v>
      </c>
      <c r="X199" s="133">
        <f t="shared" si="54"/>
        <v>0.64</v>
      </c>
      <c r="Y199" s="133">
        <f t="shared" si="54"/>
        <v>0.64</v>
      </c>
      <c r="Z199" s="133">
        <f t="shared" si="54"/>
        <v>0.64</v>
      </c>
      <c r="AA199" s="133">
        <f t="shared" si="54"/>
        <v>0.64</v>
      </c>
      <c r="AB199" s="133">
        <f t="shared" si="54"/>
        <v>0.64</v>
      </c>
      <c r="AC199" s="133">
        <f t="shared" si="54"/>
        <v>0.64</v>
      </c>
      <c r="AD199" s="133">
        <f t="shared" si="54"/>
        <v>0.64</v>
      </c>
      <c r="AE199" s="133">
        <f t="shared" si="54"/>
        <v>0.64</v>
      </c>
      <c r="AF199" s="133">
        <f t="shared" si="54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5">SUM(D194:D199)</f>
        <v>3.54</v>
      </c>
      <c r="E200" s="136">
        <f t="shared" si="55"/>
        <v>3.54</v>
      </c>
      <c r="F200" s="136">
        <f t="shared" si="55"/>
        <v>3.54</v>
      </c>
      <c r="G200" s="136">
        <f t="shared" si="55"/>
        <v>3.54</v>
      </c>
      <c r="H200" s="136">
        <f t="shared" si="55"/>
        <v>3.54</v>
      </c>
      <c r="I200" s="136">
        <f t="shared" si="55"/>
        <v>3.54</v>
      </c>
      <c r="J200" s="136">
        <f t="shared" si="55"/>
        <v>3.54</v>
      </c>
      <c r="K200" s="136">
        <f t="shared" si="55"/>
        <v>3.54</v>
      </c>
      <c r="L200" s="136">
        <f t="shared" si="55"/>
        <v>3.54</v>
      </c>
      <c r="M200" s="136">
        <f>SUM(M194:M199)</f>
        <v>3.54</v>
      </c>
      <c r="N200" s="136">
        <f t="shared" ref="N200:S200" si="56">SUM(N194:N199)</f>
        <v>3.54</v>
      </c>
      <c r="O200" s="136">
        <f t="shared" si="56"/>
        <v>3.54</v>
      </c>
      <c r="P200" s="136">
        <f t="shared" si="56"/>
        <v>3.54</v>
      </c>
      <c r="Q200" s="136">
        <f t="shared" si="56"/>
        <v>3.54</v>
      </c>
      <c r="R200" s="136">
        <f t="shared" si="56"/>
        <v>3.54</v>
      </c>
      <c r="S200" s="136">
        <f t="shared" si="56"/>
        <v>3.54</v>
      </c>
      <c r="T200" s="136">
        <f>SUM(T194:T199)</f>
        <v>3.54</v>
      </c>
      <c r="U200" s="136">
        <f t="shared" ref="U200:AG200" si="57">SUM(U194:U199)</f>
        <v>3.54</v>
      </c>
      <c r="V200" s="136">
        <f t="shared" si="57"/>
        <v>3.54</v>
      </c>
      <c r="W200" s="136">
        <f t="shared" si="57"/>
        <v>3.54</v>
      </c>
      <c r="X200" s="136">
        <f t="shared" si="57"/>
        <v>3.54</v>
      </c>
      <c r="Y200" s="136">
        <f t="shared" si="57"/>
        <v>3.54</v>
      </c>
      <c r="Z200" s="136">
        <f t="shared" si="57"/>
        <v>3.54</v>
      </c>
      <c r="AA200" s="136">
        <f t="shared" si="57"/>
        <v>3.54</v>
      </c>
      <c r="AB200" s="136">
        <f t="shared" si="57"/>
        <v>3.54</v>
      </c>
      <c r="AC200" s="136">
        <f t="shared" si="57"/>
        <v>3.54</v>
      </c>
      <c r="AD200" s="136">
        <f t="shared" si="57"/>
        <v>3.54</v>
      </c>
      <c r="AE200" s="136">
        <f t="shared" si="57"/>
        <v>3.54</v>
      </c>
      <c r="AF200" s="136">
        <f t="shared" si="57"/>
        <v>3.54</v>
      </c>
      <c r="AG200" s="137">
        <f t="shared" si="57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1348.1399999999999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16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2079/02/16)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2079/02/16)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8">B75</f>
        <v>1305.1400000000001</v>
      </c>
      <c r="U214" s="161">
        <f t="shared" si="58"/>
        <v>1272.1400000000001</v>
      </c>
      <c r="V214" s="161">
        <f t="shared" si="58"/>
        <v>1239.7400000000002</v>
      </c>
      <c r="W214" s="161">
        <f t="shared" si="58"/>
        <v>1219.1399999999999</v>
      </c>
      <c r="X214" s="161">
        <f t="shared" si="58"/>
        <v>1177.1399999999999</v>
      </c>
      <c r="Y214" s="161">
        <f t="shared" si="58"/>
        <v>1165.1399999999999</v>
      </c>
      <c r="Z214" s="161">
        <f t="shared" si="58"/>
        <v>1179.1399999999999</v>
      </c>
      <c r="AA214" s="161">
        <f t="shared" si="58"/>
        <v>1205.1400000000001</v>
      </c>
      <c r="AB214" s="161">
        <f t="shared" si="58"/>
        <v>1228.1400000000001</v>
      </c>
      <c r="AC214" s="161">
        <f t="shared" si="58"/>
        <v>1258.8400000000001</v>
      </c>
      <c r="AD214" s="161">
        <f t="shared" si="58"/>
        <v>1283.8400000000001</v>
      </c>
      <c r="AE214" s="161">
        <f t="shared" si="58"/>
        <v>1286.54</v>
      </c>
      <c r="AF214" s="161">
        <f t="shared" si="58"/>
        <v>1348.1399999999999</v>
      </c>
      <c r="AG214" s="161">
        <f t="shared" si="58"/>
        <v>1352.54</v>
      </c>
      <c r="AH214" s="161">
        <f t="shared" si="58"/>
        <v>1397.54</v>
      </c>
      <c r="AI214" s="161">
        <f t="shared" si="58"/>
        <v>1389.54</v>
      </c>
      <c r="AJ214" s="161">
        <f t="shared" si="58"/>
        <v>1439.14</v>
      </c>
      <c r="AK214" s="161">
        <f t="shared" si="58"/>
        <v>1422.1399999999999</v>
      </c>
      <c r="AL214" s="161">
        <f t="shared" si="58"/>
        <v>1425.1399999999999</v>
      </c>
      <c r="AM214" s="161">
        <f t="shared" si="58"/>
        <v>1456.44</v>
      </c>
      <c r="AN214" s="161">
        <f t="shared" si="58"/>
        <v>1426.74</v>
      </c>
      <c r="AO214" s="161">
        <f t="shared" si="58"/>
        <v>1361.8400000000001</v>
      </c>
      <c r="AP214" s="161">
        <f t="shared" si="58"/>
        <v>1346.8400000000001</v>
      </c>
      <c r="AQ214" s="161">
        <f t="shared" si="58"/>
        <v>1357.74</v>
      </c>
      <c r="AR214" s="161">
        <f t="shared" si="58"/>
        <v>1411.6399999999999</v>
      </c>
      <c r="AS214" s="161">
        <f t="shared" si="58"/>
        <v>1526.94</v>
      </c>
      <c r="AT214" s="161">
        <f t="shared" si="58"/>
        <v>1592.3400000000001</v>
      </c>
      <c r="AU214" s="161">
        <f t="shared" si="58"/>
        <v>1564.24</v>
      </c>
      <c r="AV214" s="161">
        <f t="shared" si="58"/>
        <v>1554.8400000000001</v>
      </c>
      <c r="AW214" s="161">
        <f t="shared" si="58"/>
        <v>1469.6399999999999</v>
      </c>
      <c r="AX214" s="161">
        <f t="shared" si="58"/>
        <v>1415.3400000000001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9">C199</f>
        <v>0.64</v>
      </c>
      <c r="C235" s="164">
        <f t="shared" si="59"/>
        <v>0.64</v>
      </c>
      <c r="D235" s="164">
        <f t="shared" si="59"/>
        <v>0.64</v>
      </c>
      <c r="E235" s="164">
        <f t="shared" si="59"/>
        <v>0.64</v>
      </c>
      <c r="F235" s="164">
        <f t="shared" si="59"/>
        <v>0.64</v>
      </c>
      <c r="G235" s="164">
        <f t="shared" si="59"/>
        <v>0.64</v>
      </c>
      <c r="H235" s="164">
        <f t="shared" si="59"/>
        <v>0.64</v>
      </c>
      <c r="I235" s="164">
        <f t="shared" si="59"/>
        <v>0.64</v>
      </c>
      <c r="J235" s="164">
        <f t="shared" si="59"/>
        <v>0.64</v>
      </c>
      <c r="K235" s="164">
        <f t="shared" si="59"/>
        <v>0.64</v>
      </c>
      <c r="L235" s="164">
        <f t="shared" si="59"/>
        <v>0.64</v>
      </c>
      <c r="M235" s="164">
        <f t="shared" si="59"/>
        <v>0.64</v>
      </c>
      <c r="N235" s="164">
        <f t="shared" si="59"/>
        <v>0.64</v>
      </c>
      <c r="O235" s="164">
        <f t="shared" si="59"/>
        <v>0.64</v>
      </c>
      <c r="P235" s="164">
        <f t="shared" si="59"/>
        <v>0.64</v>
      </c>
      <c r="Q235" s="164">
        <f t="shared" si="59"/>
        <v>0.64</v>
      </c>
      <c r="R235" s="164">
        <f t="shared" si="59"/>
        <v>0.64</v>
      </c>
      <c r="S235" s="164">
        <f t="shared" si="59"/>
        <v>0.64</v>
      </c>
      <c r="T235" s="164">
        <f t="shared" si="59"/>
        <v>0.64</v>
      </c>
      <c r="U235" s="164">
        <f t="shared" si="59"/>
        <v>0.64</v>
      </c>
      <c r="V235" s="164">
        <f t="shared" si="59"/>
        <v>0.64</v>
      </c>
      <c r="W235" s="164">
        <f t="shared" si="59"/>
        <v>0.64</v>
      </c>
      <c r="X235" s="164">
        <f t="shared" si="59"/>
        <v>0.64</v>
      </c>
      <c r="Y235" s="164">
        <f t="shared" si="59"/>
        <v>0.64</v>
      </c>
      <c r="Z235" s="164">
        <f t="shared" si="59"/>
        <v>0.64</v>
      </c>
      <c r="AA235" s="164">
        <f t="shared" si="59"/>
        <v>0.64</v>
      </c>
      <c r="AB235" s="164">
        <f t="shared" si="59"/>
        <v>0.64</v>
      </c>
      <c r="AC235" s="164">
        <f t="shared" si="59"/>
        <v>0.64</v>
      </c>
      <c r="AD235" s="164">
        <f t="shared" si="59"/>
        <v>0.64</v>
      </c>
      <c r="AE235" s="164">
        <f t="shared" si="59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0">IF(C203&lt;100,"",C203-520)</f>
        <v/>
      </c>
      <c r="D236" s="107" t="str">
        <f t="shared" si="60"/>
        <v/>
      </c>
      <c r="E236" s="107" t="str">
        <f t="shared" si="60"/>
        <v/>
      </c>
      <c r="F236" s="107" t="str">
        <f t="shared" si="60"/>
        <v/>
      </c>
      <c r="G236" s="107" t="str">
        <f t="shared" si="60"/>
        <v/>
      </c>
      <c r="H236" s="107" t="str">
        <f t="shared" si="60"/>
        <v/>
      </c>
      <c r="I236" s="107" t="str">
        <f t="shared" si="60"/>
        <v/>
      </c>
      <c r="J236" s="107" t="str">
        <f t="shared" si="60"/>
        <v/>
      </c>
      <c r="K236" s="107" t="str">
        <f t="shared" si="60"/>
        <v/>
      </c>
      <c r="L236" s="107" t="str">
        <f t="shared" si="60"/>
        <v/>
      </c>
      <c r="M236" s="107" t="str">
        <f t="shared" si="60"/>
        <v/>
      </c>
      <c r="N236" s="107" t="str">
        <f t="shared" si="60"/>
        <v/>
      </c>
      <c r="O236" s="107" t="str">
        <f t="shared" si="60"/>
        <v/>
      </c>
      <c r="P236" s="107" t="str">
        <f t="shared" si="60"/>
        <v/>
      </c>
      <c r="Q236" s="107" t="str">
        <f t="shared" si="60"/>
        <v/>
      </c>
      <c r="R236" s="107" t="str">
        <f t="shared" si="60"/>
        <v/>
      </c>
      <c r="S236" s="107" t="str">
        <f t="shared" si="60"/>
        <v/>
      </c>
      <c r="T236" s="107" t="str">
        <f t="shared" si="60"/>
        <v/>
      </c>
      <c r="U236" s="107" t="str">
        <f t="shared" si="60"/>
        <v/>
      </c>
      <c r="V236" s="107" t="str">
        <f t="shared" si="60"/>
        <v/>
      </c>
      <c r="W236" s="107" t="str">
        <f t="shared" si="60"/>
        <v/>
      </c>
      <c r="X236" s="107" t="str">
        <f t="shared" si="60"/>
        <v/>
      </c>
      <c r="Y236" s="107" t="str">
        <f t="shared" si="60"/>
        <v/>
      </c>
      <c r="Z236" s="107" t="str">
        <f t="shared" si="60"/>
        <v/>
      </c>
      <c r="AA236" s="107" t="str">
        <f t="shared" si="60"/>
        <v/>
      </c>
      <c r="AB236" s="107" t="str">
        <f t="shared" si="60"/>
        <v/>
      </c>
      <c r="AC236" s="107" t="str">
        <f t="shared" si="60"/>
        <v/>
      </c>
      <c r="AD236" s="107" t="str">
        <f t="shared" si="60"/>
        <v/>
      </c>
      <c r="AE236" s="107" t="str">
        <f t="shared" si="60"/>
        <v/>
      </c>
      <c r="AF236" s="107" t="str">
        <f t="shared" si="60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1">IF(B204&lt;100,"",B204-620)</f>
        <v/>
      </c>
      <c r="C237" s="107" t="str">
        <f t="shared" si="61"/>
        <v/>
      </c>
      <c r="D237" s="107" t="str">
        <f t="shared" si="61"/>
        <v/>
      </c>
      <c r="E237" s="107" t="str">
        <f t="shared" si="61"/>
        <v/>
      </c>
      <c r="F237" s="107" t="str">
        <f t="shared" si="61"/>
        <v/>
      </c>
      <c r="G237" s="107" t="str">
        <f t="shared" si="61"/>
        <v/>
      </c>
      <c r="H237" s="107" t="str">
        <f t="shared" si="61"/>
        <v/>
      </c>
      <c r="I237" s="107" t="str">
        <f t="shared" si="61"/>
        <v/>
      </c>
      <c r="J237" s="107" t="str">
        <f t="shared" si="61"/>
        <v/>
      </c>
      <c r="K237" s="107" t="str">
        <f t="shared" si="61"/>
        <v/>
      </c>
      <c r="L237" s="107" t="str">
        <f t="shared" si="61"/>
        <v/>
      </c>
      <c r="M237" s="107" t="str">
        <f t="shared" si="61"/>
        <v/>
      </c>
      <c r="N237" s="107" t="str">
        <f t="shared" si="61"/>
        <v/>
      </c>
      <c r="O237" s="107" t="str">
        <f t="shared" si="61"/>
        <v/>
      </c>
      <c r="P237" s="107" t="str">
        <f t="shared" si="61"/>
        <v/>
      </c>
      <c r="Q237" s="107" t="str">
        <f t="shared" si="61"/>
        <v/>
      </c>
      <c r="R237" s="107" t="str">
        <f t="shared" si="61"/>
        <v/>
      </c>
      <c r="S237" s="107" t="str">
        <f t="shared" si="61"/>
        <v/>
      </c>
      <c r="T237" s="107" t="str">
        <f t="shared" si="61"/>
        <v/>
      </c>
      <c r="U237" s="107" t="str">
        <f t="shared" si="61"/>
        <v/>
      </c>
      <c r="V237" s="107" t="str">
        <f t="shared" si="61"/>
        <v/>
      </c>
      <c r="W237" s="107" t="str">
        <f t="shared" si="61"/>
        <v/>
      </c>
      <c r="X237" s="107" t="str">
        <f t="shared" si="61"/>
        <v/>
      </c>
      <c r="Y237" s="107" t="str">
        <f t="shared" si="61"/>
        <v/>
      </c>
      <c r="Z237" s="107" t="str">
        <f t="shared" si="61"/>
        <v/>
      </c>
      <c r="AA237" s="107" t="str">
        <f t="shared" si="61"/>
        <v/>
      </c>
      <c r="AB237" s="107" t="str">
        <f t="shared" si="61"/>
        <v/>
      </c>
      <c r="AC237" s="107" t="str">
        <f t="shared" si="61"/>
        <v/>
      </c>
      <c r="AD237" s="107" t="str">
        <f t="shared" si="61"/>
        <v/>
      </c>
      <c r="AE237" s="107" t="str">
        <f t="shared" si="61"/>
        <v/>
      </c>
      <c r="AF237" s="107" t="str">
        <f t="shared" si="61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2">IF(B205&lt;100,"",B205-330)</f>
        <v/>
      </c>
      <c r="C238" s="107" t="str">
        <f t="shared" si="62"/>
        <v/>
      </c>
      <c r="D238" s="107" t="str">
        <f t="shared" si="62"/>
        <v/>
      </c>
      <c r="E238" s="107" t="str">
        <f t="shared" si="62"/>
        <v/>
      </c>
      <c r="F238" s="107" t="str">
        <f t="shared" si="62"/>
        <v/>
      </c>
      <c r="G238" s="107" t="str">
        <f t="shared" si="62"/>
        <v/>
      </c>
      <c r="H238" s="107" t="str">
        <f t="shared" si="62"/>
        <v/>
      </c>
      <c r="I238" s="107" t="str">
        <f t="shared" si="62"/>
        <v/>
      </c>
      <c r="J238" s="107" t="str">
        <f t="shared" si="62"/>
        <v/>
      </c>
      <c r="K238" s="107" t="str">
        <f t="shared" si="62"/>
        <v/>
      </c>
      <c r="L238" s="107" t="str">
        <f t="shared" si="62"/>
        <v/>
      </c>
      <c r="M238" s="107" t="str">
        <f t="shared" si="62"/>
        <v/>
      </c>
      <c r="N238" s="107" t="str">
        <f t="shared" si="62"/>
        <v/>
      </c>
      <c r="O238" s="107" t="str">
        <f t="shared" si="62"/>
        <v/>
      </c>
      <c r="P238" s="107" t="str">
        <f t="shared" si="62"/>
        <v/>
      </c>
      <c r="Q238" s="107" t="str">
        <f t="shared" si="62"/>
        <v/>
      </c>
      <c r="R238" s="107" t="str">
        <f t="shared" si="62"/>
        <v/>
      </c>
      <c r="S238" s="107" t="str">
        <f t="shared" si="62"/>
        <v/>
      </c>
      <c r="T238" s="107" t="str">
        <f t="shared" si="62"/>
        <v/>
      </c>
      <c r="U238" s="107" t="str">
        <f t="shared" si="62"/>
        <v/>
      </c>
      <c r="V238" s="107" t="str">
        <f t="shared" si="62"/>
        <v/>
      </c>
      <c r="W238" s="107" t="str">
        <f t="shared" si="62"/>
        <v/>
      </c>
      <c r="X238" s="107" t="str">
        <f t="shared" si="62"/>
        <v/>
      </c>
      <c r="Y238" s="107" t="str">
        <f t="shared" si="62"/>
        <v/>
      </c>
      <c r="Z238" s="107" t="str">
        <f t="shared" si="62"/>
        <v/>
      </c>
      <c r="AA238" s="107" t="str">
        <f t="shared" si="62"/>
        <v/>
      </c>
      <c r="AB238" s="107" t="str">
        <f t="shared" si="62"/>
        <v/>
      </c>
      <c r="AC238" s="107" t="str">
        <f t="shared" si="62"/>
        <v/>
      </c>
      <c r="AD238" s="107" t="str">
        <f t="shared" si="62"/>
        <v/>
      </c>
      <c r="AE238" s="107" t="str">
        <f t="shared" si="62"/>
        <v/>
      </c>
      <c r="AF238" s="107" t="str">
        <f t="shared" si="62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3">IF(C206&lt;100,"",C206-1500)</f>
        <v/>
      </c>
      <c r="D239" s="107" t="str">
        <f t="shared" si="63"/>
        <v/>
      </c>
      <c r="E239" s="107" t="str">
        <f t="shared" si="63"/>
        <v/>
      </c>
      <c r="F239" s="107" t="str">
        <f t="shared" si="63"/>
        <v/>
      </c>
      <c r="G239" s="107" t="str">
        <f t="shared" si="63"/>
        <v/>
      </c>
      <c r="H239" s="107" t="str">
        <f t="shared" si="63"/>
        <v/>
      </c>
      <c r="I239" s="107" t="str">
        <f t="shared" si="63"/>
        <v/>
      </c>
      <c r="J239" s="107" t="str">
        <f t="shared" si="63"/>
        <v/>
      </c>
      <c r="K239" s="107" t="str">
        <f t="shared" si="63"/>
        <v/>
      </c>
      <c r="L239" s="107" t="str">
        <f t="shared" si="63"/>
        <v/>
      </c>
      <c r="M239" s="107" t="str">
        <f t="shared" si="63"/>
        <v/>
      </c>
      <c r="N239" s="107" t="str">
        <f t="shared" si="63"/>
        <v/>
      </c>
      <c r="O239" s="107" t="str">
        <f t="shared" si="63"/>
        <v/>
      </c>
      <c r="P239" s="107" t="str">
        <f t="shared" si="63"/>
        <v/>
      </c>
      <c r="Q239" s="107" t="str">
        <f t="shared" si="63"/>
        <v/>
      </c>
      <c r="R239" s="107" t="str">
        <f t="shared" si="63"/>
        <v/>
      </c>
      <c r="S239" s="107" t="str">
        <f t="shared" si="63"/>
        <v/>
      </c>
      <c r="T239" s="107" t="str">
        <f t="shared" si="63"/>
        <v/>
      </c>
      <c r="U239" s="107" t="str">
        <f t="shared" si="63"/>
        <v/>
      </c>
      <c r="V239" s="107" t="str">
        <f t="shared" si="63"/>
        <v/>
      </c>
      <c r="W239" s="107" t="str">
        <f t="shared" si="63"/>
        <v/>
      </c>
      <c r="X239" s="107" t="str">
        <f t="shared" si="63"/>
        <v/>
      </c>
      <c r="Y239" s="107" t="str">
        <f t="shared" si="63"/>
        <v/>
      </c>
      <c r="Z239" s="107" t="str">
        <f t="shared" si="63"/>
        <v/>
      </c>
      <c r="AA239" s="107" t="str">
        <f t="shared" si="63"/>
        <v/>
      </c>
      <c r="AB239" s="107" t="str">
        <f t="shared" si="63"/>
        <v/>
      </c>
      <c r="AC239" s="107" t="str">
        <f t="shared" si="63"/>
        <v/>
      </c>
      <c r="AD239" s="107" t="str">
        <f t="shared" si="63"/>
        <v/>
      </c>
      <c r="AE239" s="107" t="str">
        <f t="shared" si="63"/>
        <v/>
      </c>
      <c r="AF239" s="107" t="str">
        <f t="shared" si="63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J74:AF74 U11:AF11">
    <cfRule type="expression" dxfId="3083" priority="202">
      <formula>B$9&gt;=20/24</formula>
    </cfRule>
    <cfRule type="expression" dxfId="3082" priority="203">
      <formula>AND(B$9&gt;=14/24,B$9&lt;20/24)</formula>
    </cfRule>
    <cfRule type="expression" dxfId="3081" priority="204">
      <formula>AND(B$9&gt;=8/24,B$9&lt;14/24)</formula>
    </cfRule>
    <cfRule type="expression" dxfId="3080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079" priority="197">
      <formula>S$9&gt;=20/24</formula>
    </cfRule>
    <cfRule type="expression" dxfId="3078" priority="198">
      <formula>AND(S$9&gt;=14/24,S$9&lt;20/24)</formula>
    </cfRule>
    <cfRule type="expression" dxfId="3077" priority="199">
      <formula>AND(S$9&gt;=8/24,S$9&lt;14/24)</formula>
    </cfRule>
    <cfRule type="expression" dxfId="3076" priority="200">
      <formula>S$9&lt;8/24</formula>
    </cfRule>
  </conditionalFormatting>
  <conditionalFormatting sqref="AG51 S37:AF37 J11:AF11">
    <cfRule type="expression" dxfId="3075" priority="196">
      <formula>J11&gt;$AG11</formula>
    </cfRule>
  </conditionalFormatting>
  <conditionalFormatting sqref="A101:A157 A84:A97 A11:A14 A16:A32 A45:A72 A80:A82 A74:A78 A35:A43 A170:A200">
    <cfRule type="expression" dxfId="3074" priority="195">
      <formula>$AH11=0</formula>
    </cfRule>
  </conditionalFormatting>
  <conditionalFormatting sqref="A98">
    <cfRule type="expression" dxfId="3073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072" priority="192">
      <formula>$AH34=0</formula>
    </cfRule>
  </conditionalFormatting>
  <conditionalFormatting sqref="A83">
    <cfRule type="expression" dxfId="3071" priority="191">
      <formula>$AH83=0</formula>
    </cfRule>
  </conditionalFormatting>
  <conditionalFormatting sqref="A15">
    <cfRule type="expression" dxfId="3070" priority="190">
      <formula>$AH15=0</formula>
    </cfRule>
  </conditionalFormatting>
  <conditionalFormatting sqref="A164:A169">
    <cfRule type="expression" dxfId="3069" priority="189">
      <formula>$AH164=0</formula>
    </cfRule>
  </conditionalFormatting>
  <conditionalFormatting sqref="A158:A163">
    <cfRule type="expression" dxfId="3068" priority="188">
      <formula>$AH158=0</formula>
    </cfRule>
  </conditionalFormatting>
  <conditionalFormatting sqref="A44">
    <cfRule type="expression" dxfId="3067" priority="187">
      <formula>$AH44=0</formula>
    </cfRule>
  </conditionalFormatting>
  <conditionalFormatting sqref="A79">
    <cfRule type="expression" dxfId="3066" priority="186">
      <formula>$AH79=0</formula>
    </cfRule>
  </conditionalFormatting>
  <conditionalFormatting sqref="A73">
    <cfRule type="expression" dxfId="3065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3064" priority="181">
      <formula>D$9&gt;=20/24</formula>
    </cfRule>
    <cfRule type="expression" dxfId="3063" priority="182">
      <formula>AND(D$9&gt;=14/24,D$9&lt;20/24)</formula>
    </cfRule>
    <cfRule type="expression" dxfId="3062" priority="183">
      <formula>AND(D$9&gt;=8/24,D$9&lt;14/24)</formula>
    </cfRule>
    <cfRule type="expression" dxfId="3061" priority="184">
      <formula>D$9&lt;8/24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60" priority="209">
      <formula>C$9&gt;=20/24</formula>
    </cfRule>
    <cfRule type="expression" dxfId="3059" priority="210">
      <formula>AND(C$9&gt;=14/24,C$9&lt;20/24)</formula>
    </cfRule>
    <cfRule type="expression" dxfId="3058" priority="211">
      <formula>AND(C$9&gt;=8/24,C$9&lt;14/24)</formula>
    </cfRule>
    <cfRule type="expression" dxfId="3057" priority="212">
      <formula>C$9&lt;8/24</formula>
    </cfRule>
  </conditionalFormatting>
  <conditionalFormatting sqref="A201">
    <cfRule type="expression" dxfId="3056" priority="213">
      <formula>$AH201=0</formula>
    </cfRule>
  </conditionalFormatting>
  <conditionalFormatting sqref="AG213">
    <cfRule type="expression" dxfId="3055" priority="214">
      <formula>B$9&gt;=20/24</formula>
    </cfRule>
    <cfRule type="expression" dxfId="3054" priority="215">
      <formula>AND(B$9&gt;=14/24,B$9&lt;20/24)</formula>
    </cfRule>
    <cfRule type="expression" dxfId="3053" priority="216">
      <formula>AND(B$9&gt;=8/24,B$9&lt;14/24)</formula>
    </cfRule>
    <cfRule type="expression" dxfId="3052" priority="217">
      <formula>B$9&lt;8/24</formula>
    </cfRule>
  </conditionalFormatting>
  <conditionalFormatting sqref="S8">
    <cfRule type="expression" dxfId="3051" priority="175">
      <formula>U$9&gt;=20/24</formula>
    </cfRule>
    <cfRule type="expression" dxfId="3050" priority="176">
      <formula>AND(U$9&gt;=14/24,U$9&lt;20/24)</formula>
    </cfRule>
    <cfRule type="expression" dxfId="3049" priority="177">
      <formula>AND(U$9&gt;=8/24,U$9&lt;14/24)</formula>
    </cfRule>
    <cfRule type="expression" dxfId="3048" priority="178">
      <formula>U$9&lt;8/24</formula>
    </cfRule>
  </conditionalFormatting>
  <conditionalFormatting sqref="AB8">
    <cfRule type="expression" dxfId="3047" priority="171">
      <formula>AD$9&gt;=20/24</formula>
    </cfRule>
    <cfRule type="expression" dxfId="3046" priority="172">
      <formula>AND(AD$9&gt;=14/24,AD$9&lt;20/24)</formula>
    </cfRule>
    <cfRule type="expression" dxfId="3045" priority="173">
      <formula>AND(AD$9&gt;=8/24,AD$9&lt;14/24)</formula>
    </cfRule>
    <cfRule type="expression" dxfId="3044" priority="174">
      <formula>AD$9&lt;8/24</formula>
    </cfRule>
  </conditionalFormatting>
  <conditionalFormatting sqref="AH213:AX213">
    <cfRule type="expression" dxfId="3043" priority="218">
      <formula>AG$9&gt;=20/24</formula>
    </cfRule>
    <cfRule type="expression" dxfId="3042" priority="219">
      <formula>AND(AG$9&gt;=14/24,AG$9&lt;20/24)</formula>
    </cfRule>
    <cfRule type="expression" dxfId="3041" priority="220">
      <formula>AND(AG$9&gt;=8/24,AG$9&lt;14/24)</formula>
    </cfRule>
    <cfRule type="expression" dxfId="3040" priority="221">
      <formula>AG$9&lt;8/24</formula>
    </cfRule>
  </conditionalFormatting>
  <conditionalFormatting sqref="T213">
    <cfRule type="expression" dxfId="3039" priority="222">
      <formula>AX$9&gt;=20/24</formula>
    </cfRule>
    <cfRule type="expression" dxfId="3038" priority="223">
      <formula>AND(AX$9&gt;=14/24,AX$9&lt;20/24)</formula>
    </cfRule>
    <cfRule type="expression" dxfId="3037" priority="224">
      <formula>AND(AX$9&gt;=8/24,AX$9&lt;14/24)</formula>
    </cfRule>
    <cfRule type="expression" dxfId="3036" priority="225">
      <formula>AX$9&lt;8/24</formula>
    </cfRule>
  </conditionalFormatting>
  <conditionalFormatting sqref="A99:A100">
    <cfRule type="expression" dxfId="3035" priority="170">
      <formula>$AH99=0</formula>
    </cfRule>
  </conditionalFormatting>
  <conditionalFormatting sqref="E11:I11 U40:AF41 C57:AF57">
    <cfRule type="expression" dxfId="3034" priority="166">
      <formula>C$9&gt;=20/24</formula>
    </cfRule>
    <cfRule type="expression" dxfId="3033" priority="167">
      <formula>AND(C$9&gt;=14/24,C$9&lt;20/24)</formula>
    </cfRule>
    <cfRule type="expression" dxfId="3032" priority="168">
      <formula>AND(C$9&gt;=8/24,C$9&lt;14/24)</formula>
    </cfRule>
    <cfRule type="expression" dxfId="3031" priority="169">
      <formula>C$9&lt;8/24</formula>
    </cfRule>
  </conditionalFormatting>
  <conditionalFormatting sqref="U39:AF39">
    <cfRule type="expression" dxfId="3030" priority="162">
      <formula>U$9&gt;=20/24</formula>
    </cfRule>
    <cfRule type="expression" dxfId="3029" priority="163">
      <formula>AND(U$9&gt;=14/24,U$9&lt;20/24)</formula>
    </cfRule>
    <cfRule type="expression" dxfId="3028" priority="164">
      <formula>AND(U$9&gt;=8/24,U$9&lt;14/24)</formula>
    </cfRule>
    <cfRule type="expression" dxfId="3027" priority="165">
      <formula>U$9&lt;8/24</formula>
    </cfRule>
  </conditionalFormatting>
  <conditionalFormatting sqref="E11:I11 U39:AF41">
    <cfRule type="expression" dxfId="3026" priority="161">
      <formula>E11&gt;$AG11</formula>
    </cfRule>
  </conditionalFormatting>
  <conditionalFormatting sqref="C83:AF83 C75:AF81 C58:H59 G62 C56:P56 D60:G61 H60:H62 I58:I62 J60:L62 M53:P55 J58:P59 M60:P67 C68:AF73 M11:T14 Q53:AF56 D85:AF91 M16:AF16 U12:AF14 M36:AF36 M28:AF31 M18:AF22 M24:AF26 Q58:AF67">
    <cfRule type="expression" dxfId="3025" priority="157">
      <formula>C$9&gt;=20/24</formula>
    </cfRule>
    <cfRule type="expression" dxfId="3024" priority="158">
      <formula>AND(C$9&gt;=14/24,C$9&lt;20/24)</formula>
    </cfRule>
    <cfRule type="expression" dxfId="3023" priority="159">
      <formula>AND(C$9&gt;=8/24,C$9&lt;14/24)</formula>
    </cfRule>
    <cfRule type="expression" dxfId="3022" priority="160">
      <formula>C$9&lt;8/24</formula>
    </cfRule>
  </conditionalFormatting>
  <conditionalFormatting sqref="M32:AF32">
    <cfRule type="expression" dxfId="3021" priority="153">
      <formula>M$9&gt;=20/24</formula>
    </cfRule>
    <cfRule type="expression" dxfId="3020" priority="154">
      <formula>AND(M$9&gt;=14/24,M$9&lt;20/24)</formula>
    </cfRule>
    <cfRule type="expression" dxfId="3019" priority="155">
      <formula>AND(M$9&gt;=8/24,M$9&lt;14/24)</formula>
    </cfRule>
    <cfRule type="expression" dxfId="3018" priority="156">
      <formula>M$9&lt;8/24</formula>
    </cfRule>
  </conditionalFormatting>
  <conditionalFormatting sqref="M35:AF35">
    <cfRule type="expression" dxfId="3017" priority="149">
      <formula>M$9&gt;=20/24</formula>
    </cfRule>
    <cfRule type="expression" dxfId="3016" priority="150">
      <formula>AND(M$9&gt;=14/24,M$9&lt;20/24)</formula>
    </cfRule>
    <cfRule type="expression" dxfId="3015" priority="151">
      <formula>AND(M$9&gt;=8/24,M$9&lt;14/24)</formula>
    </cfRule>
    <cfRule type="expression" dxfId="3014" priority="152">
      <formula>M$9&lt;8/24</formula>
    </cfRule>
  </conditionalFormatting>
  <conditionalFormatting sqref="C38:P38 C51:P52 C56:P56 M34:P37 M53:P55 R38:AF38 Q34:Q38 R34:R37 M11:T16 T16:U16 Q51:AF56 AB42:AF43 U12:AF16 S34:AF36 M18:AF22 M24:AF32">
    <cfRule type="expression" dxfId="3013" priority="148">
      <formula>C11&gt;$AG11</formula>
    </cfRule>
  </conditionalFormatting>
  <conditionalFormatting sqref="M34:AF34">
    <cfRule type="expression" dxfId="3012" priority="144">
      <formula>M$9&gt;=20/24</formula>
    </cfRule>
    <cfRule type="expression" dxfId="3011" priority="145">
      <formula>AND(M$9&gt;=14/24,M$9&lt;20/24)</formula>
    </cfRule>
    <cfRule type="expression" dxfId="3010" priority="146">
      <formula>AND(M$9&gt;=8/24,M$9&lt;14/24)</formula>
    </cfRule>
    <cfRule type="expression" dxfId="3009" priority="147">
      <formula>M$9&lt;8/24</formula>
    </cfRule>
  </conditionalFormatting>
  <conditionalFormatting sqref="M15:AF15">
    <cfRule type="expression" dxfId="3008" priority="140">
      <formula>M$9&gt;=20/24</formula>
    </cfRule>
    <cfRule type="expression" dxfId="3007" priority="141">
      <formula>AND(M$9&gt;=14/24,M$9&lt;20/24)</formula>
    </cfRule>
    <cfRule type="expression" dxfId="3006" priority="142">
      <formula>AND(M$9&gt;=8/24,M$9&lt;14/24)</formula>
    </cfRule>
    <cfRule type="expression" dxfId="3005" priority="143">
      <formula>M$9&lt;8/24</formula>
    </cfRule>
  </conditionalFormatting>
  <conditionalFormatting sqref="M33:AF33">
    <cfRule type="expression" dxfId="3004" priority="136">
      <formula>M$9&gt;=20/24</formula>
    </cfRule>
    <cfRule type="expression" dxfId="3003" priority="137">
      <formula>AND(M$9&gt;=14/24,M$9&lt;20/24)</formula>
    </cfRule>
    <cfRule type="expression" dxfId="3002" priority="138">
      <formula>AND(M$9&gt;=8/24,M$9&lt;14/24)</formula>
    </cfRule>
    <cfRule type="expression" dxfId="3001" priority="139">
      <formula>M$9&lt;8/24</formula>
    </cfRule>
  </conditionalFormatting>
  <conditionalFormatting sqref="M33:AF33">
    <cfRule type="expression" dxfId="3000" priority="135">
      <formula>M33&gt;$AG33</formula>
    </cfRule>
  </conditionalFormatting>
  <conditionalFormatting sqref="W42:AA43 AB44:AF50">
    <cfRule type="expression" dxfId="2999" priority="127">
      <formula>W$9&gt;=20/24</formula>
    </cfRule>
    <cfRule type="expression" dxfId="2998" priority="128">
      <formula>AND(W$9&gt;=14/24,W$9&lt;20/24)</formula>
    </cfRule>
    <cfRule type="expression" dxfId="2997" priority="129">
      <formula>AND(W$9&gt;=8/24,W$9&lt;14/24)</formula>
    </cfRule>
    <cfRule type="expression" dxfId="2996" priority="130">
      <formula>W$9&lt;8/24</formula>
    </cfRule>
  </conditionalFormatting>
  <conditionalFormatting sqref="W42:AA43 AB44:AF50">
    <cfRule type="expression" dxfId="2995" priority="126">
      <formula>W42&gt;$AG42</formula>
    </cfRule>
  </conditionalFormatting>
  <conditionalFormatting sqref="M39:T50 U42:V50 W44:AA50">
    <cfRule type="expression" dxfId="2994" priority="122">
      <formula>M$9&gt;=20/24</formula>
    </cfRule>
    <cfRule type="expression" dxfId="2993" priority="123">
      <formula>AND(M$9&gt;=14/24,M$9&lt;20/24)</formula>
    </cfRule>
    <cfRule type="expression" dxfId="2992" priority="124">
      <formula>AND(M$9&gt;=8/24,M$9&lt;14/24)</formula>
    </cfRule>
    <cfRule type="expression" dxfId="2991" priority="125">
      <formula>M$9&lt;8/24</formula>
    </cfRule>
  </conditionalFormatting>
  <conditionalFormatting sqref="M39:T50 U42:V50 W44:AA50">
    <cfRule type="expression" dxfId="2990" priority="121">
      <formula>M39&gt;$AG39</formula>
    </cfRule>
  </conditionalFormatting>
  <conditionalFormatting sqref="M27:AF27">
    <cfRule type="expression" dxfId="2989" priority="117">
      <formula>M$9&gt;=20/24</formula>
    </cfRule>
    <cfRule type="expression" dxfId="2988" priority="118">
      <formula>AND(M$9&gt;=14/24,M$9&lt;20/24)</formula>
    </cfRule>
    <cfRule type="expression" dxfId="2987" priority="119">
      <formula>AND(M$9&gt;=8/24,M$9&lt;14/24)</formula>
    </cfRule>
    <cfRule type="expression" dxfId="2986" priority="120">
      <formula>M$9&lt;8/24</formula>
    </cfRule>
  </conditionalFormatting>
  <conditionalFormatting sqref="C11:D11 C74:I74 D26:L26 M17:AF17 M23:AF23">
    <cfRule type="expression" dxfId="2985" priority="113">
      <formula>C$9&gt;=20/24</formula>
    </cfRule>
    <cfRule type="expression" dxfId="2984" priority="114">
      <formula>AND(C$9&gt;=14/24,C$9&lt;20/24)</formula>
    </cfRule>
    <cfRule type="expression" dxfId="2983" priority="115">
      <formula>AND(C$9&gt;=8/24,C$9&lt;14/24)</formula>
    </cfRule>
    <cfRule type="expression" dxfId="2982" priority="116">
      <formula>C$9&lt;8/24</formula>
    </cfRule>
  </conditionalFormatting>
  <conditionalFormatting sqref="C11:D11 D26:L26 M17:AF17 M23:AF23">
    <cfRule type="expression" dxfId="2981" priority="104">
      <formula>C11&gt;$AG11</formula>
    </cfRule>
  </conditionalFormatting>
  <conditionalFormatting sqref="B82 B74 B94:B100 B11">
    <cfRule type="expression" dxfId="2980" priority="59">
      <formula>B$9&gt;=20/24</formula>
    </cfRule>
    <cfRule type="expression" dxfId="2979" priority="60">
      <formula>AND(B$9&gt;=14/24,B$9&lt;20/24)</formula>
    </cfRule>
    <cfRule type="expression" dxfId="2978" priority="61">
      <formula>AND(B$9&gt;=8/24,B$9&lt;14/24)</formula>
    </cfRule>
    <cfRule type="expression" dxfId="2977" priority="62">
      <formula>B$9&lt;8/24</formula>
    </cfRule>
  </conditionalFormatting>
  <conditionalFormatting sqref="B37:L37">
    <cfRule type="expression" dxfId="2976" priority="55">
      <formula>B$9&gt;=20/24</formula>
    </cfRule>
    <cfRule type="expression" dxfId="2975" priority="56">
      <formula>AND(B$9&gt;=14/24,B$9&lt;20/24)</formula>
    </cfRule>
    <cfRule type="expression" dxfId="2974" priority="57">
      <formula>AND(B$9&gt;=8/24,B$9&lt;14/24)</formula>
    </cfRule>
    <cfRule type="expression" dxfId="2973" priority="58">
      <formula>B$9&lt;8/24</formula>
    </cfRule>
  </conditionalFormatting>
  <conditionalFormatting sqref="B11 B37:L37">
    <cfRule type="expression" dxfId="2972" priority="54">
      <formula>B11&gt;$AG11</formula>
    </cfRule>
  </conditionalFormatting>
  <conditionalFormatting sqref="B84:C84">
    <cfRule type="expression" dxfId="2971" priority="50">
      <formula>B$9&gt;=20/24</formula>
    </cfRule>
    <cfRule type="expression" dxfId="2970" priority="51">
      <formula>AND(B$9&gt;=14/24,B$9&lt;20/24)</formula>
    </cfRule>
    <cfRule type="expression" dxfId="2969" priority="52">
      <formula>AND(B$9&gt;=8/24,B$9&lt;14/24)</formula>
    </cfRule>
    <cfRule type="expression" dxfId="2968" priority="53">
      <formula>B$9&lt;8/24</formula>
    </cfRule>
  </conditionalFormatting>
  <conditionalFormatting sqref="B57 B36:L36 B40:L41">
    <cfRule type="expression" dxfId="2967" priority="46">
      <formula>B$9&gt;=20/24</formula>
    </cfRule>
    <cfRule type="expression" dxfId="2966" priority="47">
      <formula>AND(B$9&gt;=14/24,B$9&lt;20/24)</formula>
    </cfRule>
    <cfRule type="expression" dxfId="2965" priority="48">
      <formula>AND(B$9&gt;=8/24,B$9&lt;14/24)</formula>
    </cfRule>
    <cfRule type="expression" dxfId="2964" priority="49">
      <formula>B$9&lt;8/24</formula>
    </cfRule>
  </conditionalFormatting>
  <conditionalFormatting sqref="B39:L39">
    <cfRule type="expression" dxfId="2963" priority="42">
      <formula>B$9&gt;=20/24</formula>
    </cfRule>
    <cfRule type="expression" dxfId="2962" priority="43">
      <formula>AND(B$9&gt;=14/24,B$9&lt;20/24)</formula>
    </cfRule>
    <cfRule type="expression" dxfId="2961" priority="44">
      <formula>AND(B$9&gt;=8/24,B$9&lt;14/24)</formula>
    </cfRule>
    <cfRule type="expression" dxfId="2960" priority="45">
      <formula>B$9&lt;8/24</formula>
    </cfRule>
  </conditionalFormatting>
  <conditionalFormatting sqref="B36:L36 B39:L41">
    <cfRule type="expression" dxfId="2959" priority="41">
      <formula>B36&gt;$AG36</formula>
    </cfRule>
  </conditionalFormatting>
  <conditionalFormatting sqref="B83 B75:B81 B53:B56 B58:B73 B24:C26 C60:C67 B85:C91 D62:F67 B16:L16 B18:L22 D24:L25 B28:L31 B12:L14 C53:L55 G63:L67">
    <cfRule type="expression" dxfId="2958" priority="37">
      <formula>B$9&gt;=20/24</formula>
    </cfRule>
    <cfRule type="expression" dxfId="2957" priority="38">
      <formula>AND(B$9&gt;=14/24,B$9&lt;20/24)</formula>
    </cfRule>
    <cfRule type="expression" dxfId="2956" priority="39">
      <formula>AND(B$9&gt;=8/24,B$9&lt;14/24)</formula>
    </cfRule>
    <cfRule type="expression" dxfId="2955" priority="40">
      <formula>B$9&lt;8/24</formula>
    </cfRule>
  </conditionalFormatting>
  <conditionalFormatting sqref="B32:L32">
    <cfRule type="expression" dxfId="2954" priority="33">
      <formula>B$9&gt;=20/24</formula>
    </cfRule>
    <cfRule type="expression" dxfId="2953" priority="34">
      <formula>AND(B$9&gt;=14/24,B$9&lt;20/24)</formula>
    </cfRule>
    <cfRule type="expression" dxfId="2952" priority="35">
      <formula>AND(B$9&gt;=8/24,B$9&lt;14/24)</formula>
    </cfRule>
    <cfRule type="expression" dxfId="2951" priority="36">
      <formula>B$9&lt;8/24</formula>
    </cfRule>
  </conditionalFormatting>
  <conditionalFormatting sqref="B35:L35">
    <cfRule type="expression" dxfId="2950" priority="29">
      <formula>B$9&gt;=20/24</formula>
    </cfRule>
    <cfRule type="expression" dxfId="2949" priority="30">
      <formula>AND(B$9&gt;=14/24,B$9&lt;20/24)</formula>
    </cfRule>
    <cfRule type="expression" dxfId="2948" priority="31">
      <formula>AND(B$9&gt;=8/24,B$9&lt;14/24)</formula>
    </cfRule>
    <cfRule type="expression" dxfId="2947" priority="32">
      <formula>B$9&lt;8/24</formula>
    </cfRule>
  </conditionalFormatting>
  <conditionalFormatting sqref="B38 B51:B56 B24:C32 B18:L22 D24:L25 B34:L35 D27:L32 B12:L16 B42:L43 C53:L55">
    <cfRule type="expression" dxfId="2946" priority="28">
      <formula>B12&gt;$AG12</formula>
    </cfRule>
  </conditionalFormatting>
  <conditionalFormatting sqref="B34:L34">
    <cfRule type="expression" dxfId="2945" priority="24">
      <formula>B$9&gt;=20/24</formula>
    </cfRule>
    <cfRule type="expression" dxfId="2944" priority="25">
      <formula>AND(B$9&gt;=14/24,B$9&lt;20/24)</formula>
    </cfRule>
    <cfRule type="expression" dxfId="2943" priority="26">
      <formula>AND(B$9&gt;=8/24,B$9&lt;14/24)</formula>
    </cfRule>
    <cfRule type="expression" dxfId="2942" priority="27">
      <formula>B$9&lt;8/24</formula>
    </cfRule>
  </conditionalFormatting>
  <conditionalFormatting sqref="B15:L15">
    <cfRule type="expression" dxfId="2941" priority="20">
      <formula>B$9&gt;=20/24</formula>
    </cfRule>
    <cfRule type="expression" dxfId="2940" priority="21">
      <formula>AND(B$9&gt;=14/24,B$9&lt;20/24)</formula>
    </cfRule>
    <cfRule type="expression" dxfId="2939" priority="22">
      <formula>AND(B$9&gt;=8/24,B$9&lt;14/24)</formula>
    </cfRule>
    <cfRule type="expression" dxfId="2938" priority="23">
      <formula>B$9&lt;8/24</formula>
    </cfRule>
  </conditionalFormatting>
  <conditionalFormatting sqref="B33:L33">
    <cfRule type="expression" dxfId="2937" priority="16">
      <formula>B$9&gt;=20/24</formula>
    </cfRule>
    <cfRule type="expression" dxfId="2936" priority="17">
      <formula>AND(B$9&gt;=14/24,B$9&lt;20/24)</formula>
    </cfRule>
    <cfRule type="expression" dxfId="2935" priority="18">
      <formula>AND(B$9&gt;=8/24,B$9&lt;14/24)</formula>
    </cfRule>
    <cfRule type="expression" dxfId="2934" priority="19">
      <formula>B$9&lt;8/24</formula>
    </cfRule>
  </conditionalFormatting>
  <conditionalFormatting sqref="B33:L33">
    <cfRule type="expression" dxfId="2933" priority="15">
      <formula>B33&gt;$AG33</formula>
    </cfRule>
  </conditionalFormatting>
  <conditionalFormatting sqref="B44:L50">
    <cfRule type="expression" dxfId="2932" priority="11">
      <formula>B$9&gt;=20/24</formula>
    </cfRule>
    <cfRule type="expression" dxfId="2931" priority="12">
      <formula>AND(B$9&gt;=14/24,B$9&lt;20/24)</formula>
    </cfRule>
    <cfRule type="expression" dxfId="2930" priority="13">
      <formula>AND(B$9&gt;=8/24,B$9&lt;14/24)</formula>
    </cfRule>
    <cfRule type="expression" dxfId="2929" priority="14">
      <formula>B$9&lt;8/24</formula>
    </cfRule>
  </conditionalFormatting>
  <conditionalFormatting sqref="B44:L50">
    <cfRule type="expression" dxfId="2928" priority="10">
      <formula>B44&gt;$AG44</formula>
    </cfRule>
  </conditionalFormatting>
  <conditionalFormatting sqref="B27:L27">
    <cfRule type="expression" dxfId="2927" priority="6">
      <formula>B$9&gt;=20/24</formula>
    </cfRule>
    <cfRule type="expression" dxfId="2926" priority="7">
      <formula>AND(B$9&gt;=14/24,B$9&lt;20/24)</formula>
    </cfRule>
    <cfRule type="expression" dxfId="2925" priority="8">
      <formula>AND(B$9&gt;=8/24,B$9&lt;14/24)</formula>
    </cfRule>
    <cfRule type="expression" dxfId="2924" priority="9">
      <formula>B$9&lt;8/24</formula>
    </cfRule>
  </conditionalFormatting>
  <conditionalFormatting sqref="B17:L17 B23:L23">
    <cfRule type="expression" dxfId="2923" priority="2">
      <formula>B$9&gt;=20/24</formula>
    </cfRule>
    <cfRule type="expression" dxfId="2922" priority="3">
      <formula>AND(B$9&gt;=14/24,B$9&lt;20/24)</formula>
    </cfRule>
    <cfRule type="expression" dxfId="2921" priority="4">
      <formula>AND(B$9&gt;=8/24,B$9&lt;14/24)</formula>
    </cfRule>
    <cfRule type="expression" dxfId="2920" priority="5">
      <formula>B$9&lt;8/24</formula>
    </cfRule>
  </conditionalFormatting>
  <conditionalFormatting sqref="B17:L17 B23:L23">
    <cfRule type="expression" dxfId="2919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A2E160BB-D3FC-4D8A-BAC7-B427F5C6F3B4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F100" sqref="AF10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2079/02/17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76.5</v>
      </c>
      <c r="C5" s="32">
        <f t="shared" si="0"/>
        <v>76.5</v>
      </c>
      <c r="D5" s="32">
        <f t="shared" si="0"/>
        <v>67.900000000000006</v>
      </c>
      <c r="E5" s="32">
        <f t="shared" si="0"/>
        <v>74.400000000000006</v>
      </c>
      <c r="F5" s="32">
        <f t="shared" si="0"/>
        <v>63.8</v>
      </c>
      <c r="G5" s="32">
        <f t="shared" si="0"/>
        <v>72</v>
      </c>
      <c r="H5" s="32">
        <f t="shared" si="0"/>
        <v>92</v>
      </c>
      <c r="I5" s="32">
        <f t="shared" si="0"/>
        <v>129</v>
      </c>
      <c r="J5" s="32">
        <f t="shared" si="0"/>
        <v>190.3</v>
      </c>
      <c r="K5" s="32">
        <f t="shared" si="0"/>
        <v>177.1</v>
      </c>
      <c r="L5" s="32">
        <f t="shared" si="0"/>
        <v>161</v>
      </c>
      <c r="M5" s="32">
        <f t="shared" si="0"/>
        <v>163.4</v>
      </c>
      <c r="N5" s="32">
        <f t="shared" si="0"/>
        <v>204.9</v>
      </c>
      <c r="O5" s="32">
        <f t="shared" si="0"/>
        <v>213.3</v>
      </c>
      <c r="P5" s="32">
        <f t="shared" si="0"/>
        <v>174</v>
      </c>
      <c r="Q5" s="32">
        <f t="shared" si="0"/>
        <v>217.5</v>
      </c>
      <c r="R5" s="32">
        <f t="shared" si="0"/>
        <v>206</v>
      </c>
      <c r="S5" s="32">
        <f t="shared" si="0"/>
        <v>226</v>
      </c>
      <c r="T5" s="32">
        <f t="shared" si="0"/>
        <v>234</v>
      </c>
      <c r="U5" s="32">
        <f t="shared" si="0"/>
        <v>206.2</v>
      </c>
      <c r="V5" s="32">
        <f t="shared" si="0"/>
        <v>176.9</v>
      </c>
      <c r="W5" s="32">
        <f t="shared" si="0"/>
        <v>166.9</v>
      </c>
      <c r="X5" s="32">
        <f t="shared" si="0"/>
        <v>120.3</v>
      </c>
      <c r="Y5" s="32">
        <f t="shared" si="0"/>
        <v>119.9</v>
      </c>
      <c r="Z5" s="32">
        <f t="shared" si="0"/>
        <v>122.2</v>
      </c>
      <c r="AA5" s="32">
        <f t="shared" si="0"/>
        <v>119.1</v>
      </c>
      <c r="AB5" s="32">
        <f t="shared" si="0"/>
        <v>89.8</v>
      </c>
      <c r="AC5" s="32">
        <f t="shared" si="0"/>
        <v>76.099999999999994</v>
      </c>
      <c r="AD5" s="32">
        <f t="shared" si="0"/>
        <v>80.400000000000006</v>
      </c>
      <c r="AE5" s="32">
        <f t="shared" si="0"/>
        <v>81.099999999999994</v>
      </c>
      <c r="AF5" s="32">
        <f>B68</f>
        <v>91.1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1415MW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Load=1265</v>
      </c>
      <c r="B7" s="37">
        <f>B75</f>
        <v>1351.8400000000001</v>
      </c>
      <c r="C7" s="37">
        <f t="shared" ref="C7:AF7" si="1">C75</f>
        <v>1289.44</v>
      </c>
      <c r="D7" s="37">
        <f t="shared" si="1"/>
        <v>1289.44</v>
      </c>
      <c r="E7" s="37">
        <f t="shared" si="1"/>
        <v>1280.8400000000001</v>
      </c>
      <c r="F7" s="37">
        <f t="shared" si="1"/>
        <v>1267.3400000000001</v>
      </c>
      <c r="G7" s="37">
        <f t="shared" si="1"/>
        <v>1265.1400000000001</v>
      </c>
      <c r="H7" s="37">
        <f t="shared" si="1"/>
        <v>1273.3400000000001</v>
      </c>
      <c r="I7" s="37">
        <f t="shared" si="1"/>
        <v>1274.24</v>
      </c>
      <c r="J7" s="37">
        <f t="shared" si="1"/>
        <v>1301.24</v>
      </c>
      <c r="K7" s="37">
        <f t="shared" si="1"/>
        <v>1395.3400000000001</v>
      </c>
      <c r="L7" s="37">
        <f t="shared" si="1"/>
        <v>1400.6399999999999</v>
      </c>
      <c r="M7" s="37">
        <f t="shared" si="1"/>
        <v>1412.8400000000001</v>
      </c>
      <c r="N7" s="37">
        <f t="shared" si="1"/>
        <v>1415.04</v>
      </c>
      <c r="O7" s="37">
        <f t="shared" si="1"/>
        <v>1457.8400000000001</v>
      </c>
      <c r="P7" s="37">
        <f t="shared" si="1"/>
        <v>1490.8400000000001</v>
      </c>
      <c r="Q7" s="37">
        <f t="shared" si="1"/>
        <v>1444.3400000000001</v>
      </c>
      <c r="R7" s="37">
        <f t="shared" si="1"/>
        <v>1452.7400000000002</v>
      </c>
      <c r="S7" s="37">
        <f t="shared" si="1"/>
        <v>1460.54</v>
      </c>
      <c r="T7" s="37">
        <f t="shared" si="1"/>
        <v>1489.6399999999999</v>
      </c>
      <c r="U7" s="37">
        <f t="shared" si="1"/>
        <v>1497.6399999999999</v>
      </c>
      <c r="V7" s="37">
        <f t="shared" si="1"/>
        <v>1395.94</v>
      </c>
      <c r="W7" s="37">
        <f t="shared" si="1"/>
        <v>1372.8400000000001</v>
      </c>
      <c r="X7" s="37">
        <f t="shared" si="1"/>
        <v>1361.94</v>
      </c>
      <c r="Y7" s="37">
        <f t="shared" si="1"/>
        <v>1407.44</v>
      </c>
      <c r="Z7" s="37">
        <f t="shared" si="1"/>
        <v>1472.7399999999998</v>
      </c>
      <c r="AA7" s="37">
        <f t="shared" si="1"/>
        <v>1592.04</v>
      </c>
      <c r="AB7" s="37">
        <f t="shared" si="1"/>
        <v>1569.94</v>
      </c>
      <c r="AC7" s="37">
        <f t="shared" si="1"/>
        <v>1538.24</v>
      </c>
      <c r="AD7" s="37">
        <f t="shared" si="1"/>
        <v>1455.3400000000001</v>
      </c>
      <c r="AE7" s="37">
        <f t="shared" si="1"/>
        <v>1456.04</v>
      </c>
      <c r="AF7" s="37">
        <f t="shared" si="1"/>
        <v>1368.1399999999999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192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230</v>
      </c>
      <c r="C11" s="49">
        <v>220</v>
      </c>
      <c r="D11" s="49">
        <v>220</v>
      </c>
      <c r="E11" s="49">
        <v>220</v>
      </c>
      <c r="F11" s="51">
        <v>200</v>
      </c>
      <c r="G11" s="51">
        <v>200</v>
      </c>
      <c r="H11" s="51">
        <v>200</v>
      </c>
      <c r="I11" s="51">
        <v>200</v>
      </c>
      <c r="J11" s="51">
        <v>200</v>
      </c>
      <c r="K11" s="51">
        <v>200</v>
      </c>
      <c r="L11" s="51">
        <v>220</v>
      </c>
      <c r="M11" s="51">
        <v>220</v>
      </c>
      <c r="N11" s="51">
        <v>210</v>
      </c>
      <c r="O11" s="51">
        <v>220</v>
      </c>
      <c r="P11" s="51">
        <v>250</v>
      </c>
      <c r="Q11" s="51">
        <v>250</v>
      </c>
      <c r="R11" s="51">
        <v>220</v>
      </c>
      <c r="S11" s="51">
        <v>220</v>
      </c>
      <c r="T11" s="51">
        <v>218</v>
      </c>
      <c r="U11" s="51">
        <v>218</v>
      </c>
      <c r="V11" s="51">
        <v>160</v>
      </c>
      <c r="W11" s="51">
        <v>180</v>
      </c>
      <c r="X11" s="51">
        <v>180</v>
      </c>
      <c r="Y11" s="51">
        <v>260</v>
      </c>
      <c r="Z11" s="51">
        <v>260</v>
      </c>
      <c r="AA11" s="49">
        <v>360</v>
      </c>
      <c r="AB11" s="49">
        <v>340</v>
      </c>
      <c r="AC11" s="49">
        <v>360</v>
      </c>
      <c r="AD11" s="49">
        <v>330</v>
      </c>
      <c r="AE11" s="49">
        <v>280</v>
      </c>
      <c r="AF11" s="49">
        <v>230</v>
      </c>
      <c r="AG11" s="53">
        <v>456</v>
      </c>
      <c r="AH11" s="54">
        <f>MAX(B11:AF11)</f>
        <v>360</v>
      </c>
      <c r="AI11" s="55">
        <f>MIN(B11:AF11)</f>
        <v>160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60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21.9</v>
      </c>
      <c r="C13" s="51">
        <v>25.2</v>
      </c>
      <c r="D13" s="51">
        <v>25.2</v>
      </c>
      <c r="E13" s="51">
        <v>25.2</v>
      </c>
      <c r="F13" s="51">
        <v>25.2</v>
      </c>
      <c r="G13" s="51">
        <v>25.2</v>
      </c>
      <c r="H13" s="51">
        <v>25.2</v>
      </c>
      <c r="I13" s="51">
        <v>25.2</v>
      </c>
      <c r="J13" s="51">
        <v>25.2</v>
      </c>
      <c r="K13" s="51">
        <v>25.2</v>
      </c>
      <c r="L13" s="51">
        <v>26.9</v>
      </c>
      <c r="M13" s="51">
        <v>48.3</v>
      </c>
      <c r="N13" s="51">
        <v>41.4</v>
      </c>
      <c r="O13" s="51">
        <v>32.299999999999997</v>
      </c>
      <c r="P13" s="51">
        <v>30.4</v>
      </c>
      <c r="Q13" s="51">
        <v>29</v>
      </c>
      <c r="R13" s="51">
        <v>29.7</v>
      </c>
      <c r="S13" s="51">
        <v>29.7</v>
      </c>
      <c r="T13" s="51">
        <v>29.7</v>
      </c>
      <c r="U13" s="51">
        <v>29.7</v>
      </c>
      <c r="V13" s="51">
        <v>29.7</v>
      </c>
      <c r="W13" s="51">
        <v>24.9</v>
      </c>
      <c r="X13" s="51">
        <v>24.9</v>
      </c>
      <c r="Y13" s="51">
        <v>24.9</v>
      </c>
      <c r="Z13" s="51">
        <v>24.9</v>
      </c>
      <c r="AA13" s="51">
        <v>29.9</v>
      </c>
      <c r="AB13" s="51">
        <v>31</v>
      </c>
      <c r="AC13" s="51">
        <v>31</v>
      </c>
      <c r="AD13" s="51">
        <v>31</v>
      </c>
      <c r="AE13" s="51">
        <v>31</v>
      </c>
      <c r="AF13" s="51">
        <v>31</v>
      </c>
      <c r="AG13" s="58">
        <v>52.4</v>
      </c>
      <c r="AH13" s="54">
        <f t="shared" si="2"/>
        <v>48.3</v>
      </c>
      <c r="AI13" s="55">
        <f t="shared" si="3"/>
        <v>21.9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50.3</v>
      </c>
      <c r="C14" s="51">
        <v>50.3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50.1</v>
      </c>
      <c r="M14" s="51">
        <v>50.5</v>
      </c>
      <c r="N14" s="51">
        <v>50.4</v>
      </c>
      <c r="O14" s="51">
        <v>50.3</v>
      </c>
      <c r="P14" s="51">
        <v>50.6</v>
      </c>
      <c r="Q14" s="51">
        <v>50.5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50.2</v>
      </c>
      <c r="X14" s="51">
        <v>50.2</v>
      </c>
      <c r="Y14" s="51">
        <v>50.2</v>
      </c>
      <c r="Z14" s="51">
        <v>50.2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8">
        <v>50</v>
      </c>
      <c r="AH14" s="54">
        <f t="shared" si="2"/>
        <v>50.6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41.5</v>
      </c>
      <c r="C15" s="51">
        <v>41.4</v>
      </c>
      <c r="D15" s="51">
        <v>41.4</v>
      </c>
      <c r="E15" s="51">
        <v>41.4</v>
      </c>
      <c r="F15" s="51">
        <v>41.4</v>
      </c>
      <c r="G15" s="51">
        <v>41.4</v>
      </c>
      <c r="H15" s="51">
        <v>41.4</v>
      </c>
      <c r="I15" s="51">
        <v>41.4</v>
      </c>
      <c r="J15" s="51">
        <v>41.4</v>
      </c>
      <c r="K15" s="51">
        <v>41.4</v>
      </c>
      <c r="L15" s="51">
        <v>40.5</v>
      </c>
      <c r="M15" s="51">
        <v>41.1</v>
      </c>
      <c r="N15" s="51">
        <v>39.4</v>
      </c>
      <c r="O15" s="51">
        <v>39.299999999999997</v>
      </c>
      <c r="P15" s="51">
        <v>39.299999999999997</v>
      </c>
      <c r="Q15" s="51">
        <v>37</v>
      </c>
      <c r="R15" s="51">
        <v>38</v>
      </c>
      <c r="S15" s="51">
        <v>38</v>
      </c>
      <c r="T15" s="51">
        <v>38</v>
      </c>
      <c r="U15" s="51">
        <v>38</v>
      </c>
      <c r="V15" s="51">
        <v>38</v>
      </c>
      <c r="W15" s="51">
        <v>43.2</v>
      </c>
      <c r="X15" s="51">
        <v>43.2</v>
      </c>
      <c r="Y15" s="51">
        <v>43.2</v>
      </c>
      <c r="Z15" s="51">
        <v>43.2</v>
      </c>
      <c r="AA15" s="51">
        <v>42.9</v>
      </c>
      <c r="AB15" s="51">
        <v>43.2</v>
      </c>
      <c r="AC15" s="51">
        <v>43.2</v>
      </c>
      <c r="AD15" s="51">
        <v>43.2</v>
      </c>
      <c r="AE15" s="51">
        <v>43.2</v>
      </c>
      <c r="AF15" s="51">
        <v>43.2</v>
      </c>
      <c r="AG15" s="59">
        <v>45</v>
      </c>
      <c r="AH15" s="54">
        <f t="shared" si="2"/>
        <v>43.2</v>
      </c>
      <c r="AI15" s="55">
        <f t="shared" si="3"/>
        <v>37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30</v>
      </c>
      <c r="C16" s="51">
        <v>30</v>
      </c>
      <c r="D16" s="51">
        <v>30</v>
      </c>
      <c r="E16" s="51">
        <v>30</v>
      </c>
      <c r="F16" s="51">
        <v>30</v>
      </c>
      <c r="G16" s="51">
        <v>30</v>
      </c>
      <c r="H16" s="51">
        <v>30</v>
      </c>
      <c r="I16" s="51">
        <v>0</v>
      </c>
      <c r="J16" s="51">
        <v>0</v>
      </c>
      <c r="K16" s="51">
        <v>30</v>
      </c>
      <c r="L16" s="51">
        <v>30</v>
      </c>
      <c r="M16" s="51">
        <v>30</v>
      </c>
      <c r="N16" s="51">
        <v>30</v>
      </c>
      <c r="O16" s="51">
        <v>30</v>
      </c>
      <c r="P16" s="51">
        <v>30</v>
      </c>
      <c r="Q16" s="51">
        <v>30</v>
      </c>
      <c r="R16" s="51">
        <v>30</v>
      </c>
      <c r="S16" s="51">
        <v>30</v>
      </c>
      <c r="T16" s="51">
        <v>30</v>
      </c>
      <c r="U16" s="51">
        <v>30</v>
      </c>
      <c r="V16" s="51">
        <v>30</v>
      </c>
      <c r="W16" s="51">
        <v>28</v>
      </c>
      <c r="X16" s="51">
        <v>28</v>
      </c>
      <c r="Y16" s="51">
        <v>28</v>
      </c>
      <c r="Z16" s="51">
        <v>28</v>
      </c>
      <c r="AA16" s="51">
        <v>28</v>
      </c>
      <c r="AB16" s="51">
        <v>37</v>
      </c>
      <c r="AC16" s="51">
        <v>37</v>
      </c>
      <c r="AD16" s="51">
        <v>37</v>
      </c>
      <c r="AE16" s="51">
        <v>37</v>
      </c>
      <c r="AF16" s="51">
        <v>37</v>
      </c>
      <c r="AG16" s="58">
        <v>45</v>
      </c>
      <c r="AH16" s="54">
        <f t="shared" si="2"/>
        <v>37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8.5</v>
      </c>
      <c r="C18" s="51">
        <v>8.5</v>
      </c>
      <c r="D18" s="51">
        <v>8.5</v>
      </c>
      <c r="E18" s="51">
        <v>8.5</v>
      </c>
      <c r="F18" s="51">
        <v>8.5</v>
      </c>
      <c r="G18" s="51">
        <v>8.5</v>
      </c>
      <c r="H18" s="51">
        <v>8.5</v>
      </c>
      <c r="I18" s="51">
        <v>8.5</v>
      </c>
      <c r="J18" s="51">
        <v>8.5</v>
      </c>
      <c r="K18" s="51">
        <v>8.5</v>
      </c>
      <c r="L18" s="51">
        <v>8.5</v>
      </c>
      <c r="M18" s="51">
        <v>8.5</v>
      </c>
      <c r="N18" s="51">
        <v>8.5</v>
      </c>
      <c r="O18" s="51">
        <v>8.5</v>
      </c>
      <c r="P18" s="51">
        <v>8.5</v>
      </c>
      <c r="Q18" s="51">
        <v>8.5</v>
      </c>
      <c r="R18" s="51">
        <v>8.5</v>
      </c>
      <c r="S18" s="51">
        <v>8.5</v>
      </c>
      <c r="T18" s="51">
        <v>8.5</v>
      </c>
      <c r="U18" s="51">
        <v>8.5</v>
      </c>
      <c r="V18" s="51">
        <v>8.5</v>
      </c>
      <c r="W18" s="51">
        <v>8.5</v>
      </c>
      <c r="X18" s="51">
        <v>8.5</v>
      </c>
      <c r="Y18" s="51">
        <v>8.5</v>
      </c>
      <c r="Z18" s="51">
        <v>8.5</v>
      </c>
      <c r="AA18" s="51">
        <v>8.5</v>
      </c>
      <c r="AB18" s="51">
        <v>18</v>
      </c>
      <c r="AC18" s="51">
        <v>18</v>
      </c>
      <c r="AD18" s="51">
        <v>18</v>
      </c>
      <c r="AE18" s="51">
        <v>18</v>
      </c>
      <c r="AF18" s="51">
        <v>16</v>
      </c>
      <c r="AG18" s="58">
        <v>36</v>
      </c>
      <c r="AH18" s="54">
        <f t="shared" si="2"/>
        <v>18</v>
      </c>
      <c r="AI18" s="55">
        <f t="shared" si="3"/>
        <v>8.5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20.100000000000001</v>
      </c>
      <c r="C19" s="51">
        <v>19.600000000000001</v>
      </c>
      <c r="D19" s="51">
        <v>19.600000000000001</v>
      </c>
      <c r="E19" s="51">
        <v>19.600000000000001</v>
      </c>
      <c r="F19" s="51">
        <v>19.600000000000001</v>
      </c>
      <c r="G19" s="51">
        <v>19.600000000000001</v>
      </c>
      <c r="H19" s="51">
        <v>19.600000000000001</v>
      </c>
      <c r="I19" s="51">
        <v>0</v>
      </c>
      <c r="J19" s="51">
        <v>0</v>
      </c>
      <c r="K19" s="51">
        <v>18.399999999999999</v>
      </c>
      <c r="L19" s="51">
        <v>18.399999999999999</v>
      </c>
      <c r="M19" s="51">
        <v>16.600000000000001</v>
      </c>
      <c r="N19" s="51">
        <v>16.600000000000001</v>
      </c>
      <c r="O19" s="51">
        <v>16.600000000000001</v>
      </c>
      <c r="P19" s="51">
        <v>16.600000000000001</v>
      </c>
      <c r="Q19" s="51">
        <v>17.600000000000001</v>
      </c>
      <c r="R19" s="51">
        <v>16.899999999999999</v>
      </c>
      <c r="S19" s="51">
        <v>16.899999999999999</v>
      </c>
      <c r="T19" s="51">
        <v>16.899999999999999</v>
      </c>
      <c r="U19" s="51">
        <v>16.899999999999999</v>
      </c>
      <c r="V19" s="51">
        <v>16.899999999999999</v>
      </c>
      <c r="W19" s="51">
        <v>19.8</v>
      </c>
      <c r="X19" s="51">
        <v>19.8</v>
      </c>
      <c r="Y19" s="51">
        <v>19.8</v>
      </c>
      <c r="Z19" s="51">
        <v>19.8</v>
      </c>
      <c r="AA19" s="51">
        <v>19.8</v>
      </c>
      <c r="AB19" s="51">
        <v>19.8</v>
      </c>
      <c r="AC19" s="51">
        <v>19.8</v>
      </c>
      <c r="AD19" s="51">
        <v>19.8</v>
      </c>
      <c r="AE19" s="51">
        <v>19.8</v>
      </c>
      <c r="AF19" s="51">
        <v>19.8</v>
      </c>
      <c r="AG19" s="58">
        <v>30</v>
      </c>
      <c r="AH19" s="54">
        <f t="shared" si="2"/>
        <v>20.100000000000001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8</v>
      </c>
      <c r="C20" s="51">
        <v>8</v>
      </c>
      <c r="D20" s="51">
        <v>8</v>
      </c>
      <c r="E20" s="51">
        <v>8</v>
      </c>
      <c r="F20" s="51">
        <v>8</v>
      </c>
      <c r="G20" s="51">
        <v>8</v>
      </c>
      <c r="H20" s="51">
        <v>8</v>
      </c>
      <c r="I20" s="51">
        <v>8</v>
      </c>
      <c r="J20" s="51">
        <v>8</v>
      </c>
      <c r="K20" s="51">
        <v>8</v>
      </c>
      <c r="L20" s="51">
        <v>8</v>
      </c>
      <c r="M20" s="51">
        <v>8</v>
      </c>
      <c r="N20" s="51">
        <v>8</v>
      </c>
      <c r="O20" s="51">
        <v>8</v>
      </c>
      <c r="P20" s="51">
        <v>8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10</v>
      </c>
      <c r="AI20" s="55">
        <f t="shared" si="3"/>
        <v>8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23.1</v>
      </c>
      <c r="C22" s="51">
        <v>23.1</v>
      </c>
      <c r="D22" s="51">
        <v>23.1</v>
      </c>
      <c r="E22" s="51">
        <v>23.1</v>
      </c>
      <c r="F22" s="51">
        <v>23.1</v>
      </c>
      <c r="G22" s="51">
        <v>23.1</v>
      </c>
      <c r="H22" s="51">
        <v>23.1</v>
      </c>
      <c r="I22" s="51">
        <v>23.1</v>
      </c>
      <c r="J22" s="51">
        <v>23.1</v>
      </c>
      <c r="K22" s="51">
        <v>23.1</v>
      </c>
      <c r="L22" s="51">
        <v>23.1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23</v>
      </c>
      <c r="AC22" s="51">
        <v>23</v>
      </c>
      <c r="AD22" s="51">
        <v>23</v>
      </c>
      <c r="AE22" s="51">
        <v>23</v>
      </c>
      <c r="AF22" s="51">
        <v>23</v>
      </c>
      <c r="AG22" s="58">
        <v>25</v>
      </c>
      <c r="AH22" s="54">
        <f t="shared" si="2"/>
        <v>23.1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6.5</v>
      </c>
      <c r="C23" s="51">
        <v>6.5</v>
      </c>
      <c r="D23" s="51">
        <v>6.5</v>
      </c>
      <c r="E23" s="51">
        <v>6.5</v>
      </c>
      <c r="F23" s="51">
        <v>6.5</v>
      </c>
      <c r="G23" s="51">
        <v>6.5</v>
      </c>
      <c r="H23" s="51">
        <v>6.5</v>
      </c>
      <c r="I23" s="51">
        <v>6.5</v>
      </c>
      <c r="J23" s="51">
        <v>6.5</v>
      </c>
      <c r="K23" s="51">
        <v>6.5</v>
      </c>
      <c r="L23" s="51">
        <v>6.5</v>
      </c>
      <c r="M23" s="51">
        <v>6.5</v>
      </c>
      <c r="N23" s="51">
        <v>6.5</v>
      </c>
      <c r="O23" s="51">
        <v>6.5</v>
      </c>
      <c r="P23" s="51">
        <v>6.5</v>
      </c>
      <c r="Q23" s="51">
        <v>6.5</v>
      </c>
      <c r="R23" s="51">
        <v>6.5</v>
      </c>
      <c r="S23" s="51">
        <v>6.5</v>
      </c>
      <c r="T23" s="51">
        <v>6.5</v>
      </c>
      <c r="U23" s="51">
        <v>6.5</v>
      </c>
      <c r="V23" s="51">
        <v>6.5</v>
      </c>
      <c r="W23" s="51">
        <v>6.5</v>
      </c>
      <c r="X23" s="51">
        <v>6.5</v>
      </c>
      <c r="Y23" s="51">
        <v>6.5</v>
      </c>
      <c r="Z23" s="51">
        <v>6.5</v>
      </c>
      <c r="AA23" s="51">
        <v>6.5</v>
      </c>
      <c r="AB23" s="51">
        <v>6.5</v>
      </c>
      <c r="AC23" s="51">
        <v>6.5</v>
      </c>
      <c r="AD23" s="51">
        <v>6.5</v>
      </c>
      <c r="AE23" s="51">
        <v>6.5</v>
      </c>
      <c r="AF23" s="51">
        <v>6.5</v>
      </c>
      <c r="AG23" s="58">
        <v>25</v>
      </c>
      <c r="AH23" s="54">
        <f t="shared" si="2"/>
        <v>6.5</v>
      </c>
      <c r="AI23" s="55">
        <f t="shared" si="3"/>
        <v>6.5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23.1</v>
      </c>
      <c r="C24" s="51">
        <v>23</v>
      </c>
      <c r="D24" s="51">
        <v>23</v>
      </c>
      <c r="E24" s="51">
        <v>23</v>
      </c>
      <c r="F24" s="51">
        <v>23</v>
      </c>
      <c r="G24" s="51">
        <v>23</v>
      </c>
      <c r="H24" s="51">
        <v>23</v>
      </c>
      <c r="I24" s="51">
        <v>23</v>
      </c>
      <c r="J24" s="51">
        <v>23</v>
      </c>
      <c r="K24" s="51">
        <v>22.8</v>
      </c>
      <c r="L24" s="51">
        <v>22.8</v>
      </c>
      <c r="M24" s="51">
        <v>22.7</v>
      </c>
      <c r="N24" s="51">
        <v>22.7</v>
      </c>
      <c r="O24" s="51">
        <v>22.7</v>
      </c>
      <c r="P24" s="51">
        <v>22.7</v>
      </c>
      <c r="Q24" s="51">
        <v>22.1</v>
      </c>
      <c r="R24" s="51">
        <v>22.9</v>
      </c>
      <c r="S24" s="51">
        <v>22.9</v>
      </c>
      <c r="T24" s="51">
        <v>22.9</v>
      </c>
      <c r="U24" s="51">
        <v>22.9</v>
      </c>
      <c r="V24" s="51">
        <v>22.9</v>
      </c>
      <c r="W24" s="51">
        <v>21.8</v>
      </c>
      <c r="X24" s="51">
        <v>21.8</v>
      </c>
      <c r="Y24" s="51">
        <v>21.8</v>
      </c>
      <c r="Z24" s="51">
        <v>21.8</v>
      </c>
      <c r="AA24" s="51">
        <v>21.8</v>
      </c>
      <c r="AB24" s="51">
        <v>21.8</v>
      </c>
      <c r="AC24" s="51">
        <v>21.8</v>
      </c>
      <c r="AD24" s="51">
        <v>21.8</v>
      </c>
      <c r="AE24" s="51">
        <v>21.8</v>
      </c>
      <c r="AF24" s="51">
        <v>21.8</v>
      </c>
      <c r="AG24" s="58">
        <v>25</v>
      </c>
      <c r="AH24" s="54">
        <f t="shared" si="2"/>
        <v>23.1</v>
      </c>
      <c r="AI24" s="55">
        <f t="shared" si="3"/>
        <v>21.8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9.5</v>
      </c>
      <c r="C25" s="51">
        <v>9.5</v>
      </c>
      <c r="D25" s="51">
        <v>9.5</v>
      </c>
      <c r="E25" s="51">
        <v>9.5</v>
      </c>
      <c r="F25" s="51">
        <v>9.5</v>
      </c>
      <c r="G25" s="51">
        <v>9.5</v>
      </c>
      <c r="H25" s="51">
        <v>9.5</v>
      </c>
      <c r="I25" s="51">
        <v>9.5</v>
      </c>
      <c r="J25" s="51">
        <v>9.5</v>
      </c>
      <c r="K25" s="51">
        <v>9.5</v>
      </c>
      <c r="L25" s="51">
        <v>9.5</v>
      </c>
      <c r="M25" s="51">
        <v>9.5</v>
      </c>
      <c r="N25" s="51">
        <v>9.5</v>
      </c>
      <c r="O25" s="51">
        <v>9.5</v>
      </c>
      <c r="P25" s="51">
        <v>9.5</v>
      </c>
      <c r="Q25" s="51">
        <v>9.5</v>
      </c>
      <c r="R25" s="51">
        <v>9.5</v>
      </c>
      <c r="S25" s="51">
        <v>9.5</v>
      </c>
      <c r="T25" s="51">
        <v>9.5</v>
      </c>
      <c r="U25" s="51">
        <v>9.5</v>
      </c>
      <c r="V25" s="51">
        <v>9.5</v>
      </c>
      <c r="W25" s="51">
        <v>9.5</v>
      </c>
      <c r="X25" s="51">
        <v>9.5</v>
      </c>
      <c r="Y25" s="51">
        <v>9.5</v>
      </c>
      <c r="Z25" s="51">
        <v>9.5</v>
      </c>
      <c r="AA25" s="51">
        <v>9.5</v>
      </c>
      <c r="AB25" s="51">
        <v>9.5</v>
      </c>
      <c r="AC25" s="51">
        <v>9.5</v>
      </c>
      <c r="AD25" s="51">
        <v>9.5</v>
      </c>
      <c r="AE25" s="51">
        <v>9.5</v>
      </c>
      <c r="AF25" s="51">
        <v>9.5</v>
      </c>
      <c r="AG25" s="58">
        <v>24.2</v>
      </c>
      <c r="AH25" s="54">
        <f t="shared" si="2"/>
        <v>9.5</v>
      </c>
      <c r="AI25" s="55">
        <f t="shared" si="3"/>
        <v>9.5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5</v>
      </c>
      <c r="C26" s="51">
        <v>5</v>
      </c>
      <c r="D26" s="51">
        <v>5</v>
      </c>
      <c r="E26" s="51">
        <v>5</v>
      </c>
      <c r="F26" s="51">
        <v>5</v>
      </c>
      <c r="G26" s="51">
        <v>5</v>
      </c>
      <c r="H26" s="51">
        <v>5</v>
      </c>
      <c r="I26" s="51">
        <v>0</v>
      </c>
      <c r="J26" s="51">
        <v>0</v>
      </c>
      <c r="K26" s="51">
        <v>5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10.5</v>
      </c>
      <c r="Z26" s="51">
        <v>10.5</v>
      </c>
      <c r="AA26" s="51">
        <v>10.5</v>
      </c>
      <c r="AB26" s="51">
        <v>10.5</v>
      </c>
      <c r="AC26" s="51">
        <v>10.5</v>
      </c>
      <c r="AD26" s="51">
        <v>10.5</v>
      </c>
      <c r="AE26" s="51">
        <v>10.5</v>
      </c>
      <c r="AF26" s="51">
        <v>10.5</v>
      </c>
      <c r="AG26" s="58">
        <v>20</v>
      </c>
      <c r="AH26" s="54">
        <f t="shared" si="2"/>
        <v>10.5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5.5</v>
      </c>
      <c r="C30" s="51">
        <v>5.5</v>
      </c>
      <c r="D30" s="51">
        <v>5.5</v>
      </c>
      <c r="E30" s="51">
        <v>5.5</v>
      </c>
      <c r="F30" s="51">
        <v>5.5</v>
      </c>
      <c r="G30" s="51">
        <v>5.5</v>
      </c>
      <c r="H30" s="51">
        <v>5.5</v>
      </c>
      <c r="I30" s="51">
        <v>5.5</v>
      </c>
      <c r="J30" s="51">
        <v>5.5</v>
      </c>
      <c r="K30" s="51">
        <v>5.5</v>
      </c>
      <c r="L30" s="51">
        <v>5.5</v>
      </c>
      <c r="M30" s="51">
        <v>5.5</v>
      </c>
      <c r="N30" s="51">
        <v>5.5</v>
      </c>
      <c r="O30" s="51">
        <v>5.5</v>
      </c>
      <c r="P30" s="51">
        <v>5.5</v>
      </c>
      <c r="Q30" s="51">
        <v>5.5</v>
      </c>
      <c r="R30" s="51">
        <v>5.5</v>
      </c>
      <c r="S30" s="51">
        <v>5.5</v>
      </c>
      <c r="T30" s="51">
        <v>5.5</v>
      </c>
      <c r="U30" s="51">
        <v>5.5</v>
      </c>
      <c r="V30" s="51">
        <v>5.5</v>
      </c>
      <c r="W30" s="51">
        <v>5.5</v>
      </c>
      <c r="X30" s="51">
        <v>5.5</v>
      </c>
      <c r="Y30" s="51">
        <v>5.5</v>
      </c>
      <c r="Z30" s="51">
        <v>5.5</v>
      </c>
      <c r="AA30" s="51">
        <v>5.5</v>
      </c>
      <c r="AB30" s="51">
        <v>5.5</v>
      </c>
      <c r="AC30" s="51">
        <v>5.5</v>
      </c>
      <c r="AD30" s="51">
        <v>5.5</v>
      </c>
      <c r="AE30" s="51">
        <v>5.5</v>
      </c>
      <c r="AF30" s="51">
        <v>5.5</v>
      </c>
      <c r="AG30" s="58">
        <v>22.1</v>
      </c>
      <c r="AH30" s="54">
        <f t="shared" si="2"/>
        <v>5.5</v>
      </c>
      <c r="AI30" s="55">
        <f t="shared" si="3"/>
        <v>5.5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6.5</v>
      </c>
      <c r="C32" s="51">
        <v>6.5</v>
      </c>
      <c r="D32" s="51">
        <v>6.5</v>
      </c>
      <c r="E32" s="51">
        <v>6.5</v>
      </c>
      <c r="F32" s="51">
        <v>6.5</v>
      </c>
      <c r="G32" s="51">
        <v>6.5</v>
      </c>
      <c r="H32" s="51">
        <v>6.5</v>
      </c>
      <c r="I32" s="51">
        <v>6.5</v>
      </c>
      <c r="J32" s="51">
        <v>6.5</v>
      </c>
      <c r="K32" s="51">
        <v>6.5</v>
      </c>
      <c r="L32" s="51">
        <v>6.5</v>
      </c>
      <c r="M32" s="51">
        <v>6.5</v>
      </c>
      <c r="N32" s="51">
        <v>6.5</v>
      </c>
      <c r="O32" s="51">
        <v>6.5</v>
      </c>
      <c r="P32" s="51">
        <v>6.5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6.4</v>
      </c>
      <c r="AG32" s="63">
        <v>22</v>
      </c>
      <c r="AH32" s="54">
        <f t="shared" si="2"/>
        <v>6.5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7</v>
      </c>
      <c r="C34" s="51">
        <v>7</v>
      </c>
      <c r="D34" s="51">
        <v>7</v>
      </c>
      <c r="E34" s="51">
        <v>7</v>
      </c>
      <c r="F34" s="51">
        <v>7</v>
      </c>
      <c r="G34" s="51">
        <v>7</v>
      </c>
      <c r="H34" s="51">
        <v>7</v>
      </c>
      <c r="I34" s="51">
        <v>0</v>
      </c>
      <c r="J34" s="51">
        <v>0</v>
      </c>
      <c r="K34" s="51">
        <v>7</v>
      </c>
      <c r="L34" s="51">
        <v>7</v>
      </c>
      <c r="M34" s="51">
        <v>7</v>
      </c>
      <c r="N34" s="51">
        <v>7</v>
      </c>
      <c r="O34" s="51">
        <v>7</v>
      </c>
      <c r="P34" s="51">
        <v>7</v>
      </c>
      <c r="Q34" s="51">
        <v>7</v>
      </c>
      <c r="R34" s="51">
        <v>7</v>
      </c>
      <c r="S34" s="51">
        <v>7</v>
      </c>
      <c r="T34" s="51">
        <v>7</v>
      </c>
      <c r="U34" s="51">
        <v>7</v>
      </c>
      <c r="V34" s="51">
        <v>7</v>
      </c>
      <c r="W34" s="51">
        <v>7</v>
      </c>
      <c r="X34" s="51">
        <v>7</v>
      </c>
      <c r="Y34" s="51">
        <v>7</v>
      </c>
      <c r="Z34" s="51">
        <v>7</v>
      </c>
      <c r="AA34" s="51">
        <v>7</v>
      </c>
      <c r="AB34" s="51">
        <v>7</v>
      </c>
      <c r="AC34" s="51">
        <v>7</v>
      </c>
      <c r="AD34" s="51">
        <v>7</v>
      </c>
      <c r="AE34" s="51">
        <v>7</v>
      </c>
      <c r="AF34" s="51">
        <v>7</v>
      </c>
      <c r="AG34" s="63">
        <v>20</v>
      </c>
      <c r="AH34" s="54">
        <f t="shared" si="2"/>
        <v>7</v>
      </c>
      <c r="AI34" s="55">
        <f t="shared" si="3"/>
        <v>0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f>62.7+56</f>
        <v>118.7</v>
      </c>
      <c r="C37" s="67">
        <f>62.2+53.4</f>
        <v>115.6</v>
      </c>
      <c r="D37" s="67">
        <v>113</v>
      </c>
      <c r="E37" s="67">
        <f>62+48.3</f>
        <v>110.3</v>
      </c>
      <c r="F37" s="65">
        <f>61.9+50.1</f>
        <v>112</v>
      </c>
      <c r="G37" s="65">
        <f>59.6+47.1</f>
        <v>106.7</v>
      </c>
      <c r="H37" s="65">
        <v>106</v>
      </c>
      <c r="I37" s="65">
        <v>105</v>
      </c>
      <c r="J37" s="65">
        <f t="shared" ref="J37" si="4">59.6+47.1</f>
        <v>106.7</v>
      </c>
      <c r="K37" s="65">
        <f>59.4+45.5</f>
        <v>104.9</v>
      </c>
      <c r="L37" s="65">
        <f>60+44.9</f>
        <v>104.9</v>
      </c>
      <c r="M37" s="65">
        <f>46.7+61</f>
        <v>107.7</v>
      </c>
      <c r="N37" s="65">
        <f>59.5+47.9</f>
        <v>107.4</v>
      </c>
      <c r="O37" s="65">
        <v>107.3</v>
      </c>
      <c r="P37" s="65">
        <f>61+43.6</f>
        <v>104.6</v>
      </c>
      <c r="Q37" s="65">
        <v>106</v>
      </c>
      <c r="R37" s="65">
        <f>63.3+46.9</f>
        <v>110.19999999999999</v>
      </c>
      <c r="S37" s="65">
        <f>63.3+46.9</f>
        <v>110.19999999999999</v>
      </c>
      <c r="T37" s="65">
        <f>60.2+45.7</f>
        <v>105.9</v>
      </c>
      <c r="U37" s="65">
        <f>60.2+45.7</f>
        <v>105.9</v>
      </c>
      <c r="V37" s="65">
        <f>60+63</f>
        <v>123</v>
      </c>
      <c r="W37" s="65">
        <f>59.5+62.3</f>
        <v>121.8</v>
      </c>
      <c r="X37" s="65">
        <f>59.5+59.9</f>
        <v>119.4</v>
      </c>
      <c r="Y37" s="65">
        <f>59.5+59.9</f>
        <v>119.4</v>
      </c>
      <c r="Z37" s="65">
        <f>59.5+59.9</f>
        <v>119.4</v>
      </c>
      <c r="AA37" s="67">
        <v>125.5</v>
      </c>
      <c r="AB37" s="67">
        <f>66+78</f>
        <v>144</v>
      </c>
      <c r="AC37" s="67">
        <f>66+80</f>
        <v>146</v>
      </c>
      <c r="AD37" s="67">
        <f>70.3+81.3</f>
        <v>151.6</v>
      </c>
      <c r="AE37" s="67">
        <f>66.2+81.1</f>
        <v>147.30000000000001</v>
      </c>
      <c r="AF37" s="67">
        <f>66.2+81.3</f>
        <v>147.5</v>
      </c>
      <c r="AG37" s="63">
        <v>240</v>
      </c>
      <c r="AH37" s="54">
        <f t="shared" si="2"/>
        <v>151.6</v>
      </c>
      <c r="AI37" s="55">
        <f t="shared" si="3"/>
        <v>104.6</v>
      </c>
      <c r="AK37" s="56"/>
    </row>
    <row r="38" spans="1:88" ht="15.75" thickBot="1" x14ac:dyDescent="0.3">
      <c r="A38" s="68" t="s">
        <v>46</v>
      </c>
      <c r="B38" s="69">
        <f t="shared" ref="B38" si="5">SUM(B11:B36)</f>
        <v>811.5</v>
      </c>
      <c r="C38" s="69">
        <f t="shared" ref="C38:AF38" si="6">SUM(C11:C36)</f>
        <v>804.1</v>
      </c>
      <c r="D38" s="69">
        <f t="shared" si="6"/>
        <v>804.1</v>
      </c>
      <c r="E38" s="69">
        <f t="shared" si="6"/>
        <v>804.1</v>
      </c>
      <c r="F38" s="69">
        <f t="shared" si="6"/>
        <v>784.1</v>
      </c>
      <c r="G38" s="69">
        <f t="shared" si="6"/>
        <v>784.1</v>
      </c>
      <c r="H38" s="69">
        <f t="shared" si="6"/>
        <v>784.1</v>
      </c>
      <c r="I38" s="69">
        <f t="shared" si="6"/>
        <v>722.5</v>
      </c>
      <c r="J38" s="69">
        <f t="shared" si="6"/>
        <v>722.5</v>
      </c>
      <c r="K38" s="69">
        <f t="shared" si="6"/>
        <v>782.69999999999993</v>
      </c>
      <c r="L38" s="69">
        <f t="shared" si="6"/>
        <v>798.3</v>
      </c>
      <c r="M38" s="69">
        <f t="shared" si="6"/>
        <v>817.7</v>
      </c>
      <c r="N38" s="69">
        <f t="shared" si="6"/>
        <v>799</v>
      </c>
      <c r="O38" s="69">
        <f t="shared" si="6"/>
        <v>799.7</v>
      </c>
      <c r="P38" s="69">
        <f t="shared" si="6"/>
        <v>828.10000000000014</v>
      </c>
      <c r="Q38" s="69">
        <f t="shared" si="6"/>
        <v>820.2</v>
      </c>
      <c r="R38" s="69">
        <f t="shared" si="6"/>
        <v>791.9</v>
      </c>
      <c r="S38" s="69">
        <f t="shared" si="6"/>
        <v>791.9</v>
      </c>
      <c r="T38" s="69">
        <f t="shared" si="6"/>
        <v>789.9</v>
      </c>
      <c r="U38" s="69">
        <f t="shared" si="6"/>
        <v>789.9</v>
      </c>
      <c r="V38" s="69">
        <f t="shared" si="6"/>
        <v>731.89999999999986</v>
      </c>
      <c r="W38" s="69">
        <f t="shared" si="6"/>
        <v>751.9</v>
      </c>
      <c r="X38" s="69">
        <f t="shared" si="6"/>
        <v>751.9</v>
      </c>
      <c r="Y38" s="69">
        <f t="shared" si="6"/>
        <v>842.39999999999986</v>
      </c>
      <c r="Z38" s="69">
        <f t="shared" si="6"/>
        <v>842.39999999999986</v>
      </c>
      <c r="AA38" s="69">
        <v>936.89999999999986</v>
      </c>
      <c r="AB38" s="69">
        <f t="shared" si="6"/>
        <v>948.3</v>
      </c>
      <c r="AC38" s="69">
        <f t="shared" si="6"/>
        <v>968.3</v>
      </c>
      <c r="AD38" s="69">
        <f t="shared" si="6"/>
        <v>938.3</v>
      </c>
      <c r="AE38" s="69">
        <f t="shared" si="6"/>
        <v>888.3</v>
      </c>
      <c r="AF38" s="69">
        <f t="shared" si="6"/>
        <v>842.69999999999993</v>
      </c>
      <c r="AG38" s="63">
        <f>SUM(AG11:AG37)</f>
        <v>1492.8299999999997</v>
      </c>
      <c r="AH38" s="54">
        <f t="shared" si="2"/>
        <v>968.3</v>
      </c>
      <c r="AI38" s="55">
        <f t="shared" si="3"/>
        <v>722.5</v>
      </c>
      <c r="AK38" s="56"/>
    </row>
    <row r="39" spans="1:88" x14ac:dyDescent="0.25">
      <c r="A39" s="57" t="s">
        <v>47</v>
      </c>
      <c r="B39" s="51">
        <v>145.6</v>
      </c>
      <c r="C39" s="51">
        <v>145.5</v>
      </c>
      <c r="D39" s="51">
        <v>145.5</v>
      </c>
      <c r="E39" s="51">
        <v>145.5</v>
      </c>
      <c r="F39" s="51">
        <v>145.5</v>
      </c>
      <c r="G39" s="51">
        <v>145.5</v>
      </c>
      <c r="H39" s="51">
        <v>145.5</v>
      </c>
      <c r="I39" s="51">
        <v>145.5</v>
      </c>
      <c r="J39" s="51">
        <v>145.5</v>
      </c>
      <c r="K39" s="51">
        <v>145.5</v>
      </c>
      <c r="L39" s="51">
        <v>145.5</v>
      </c>
      <c r="M39" s="51">
        <v>145.6</v>
      </c>
      <c r="N39" s="51">
        <v>145.4</v>
      </c>
      <c r="O39" s="51">
        <v>145.4</v>
      </c>
      <c r="P39" s="51">
        <v>145.5</v>
      </c>
      <c r="Q39" s="51">
        <v>145.6</v>
      </c>
      <c r="R39" s="51">
        <v>145.30000000000001</v>
      </c>
      <c r="S39" s="51">
        <v>145.30000000000001</v>
      </c>
      <c r="T39" s="51">
        <v>142.80000000000001</v>
      </c>
      <c r="U39" s="51">
        <v>142.80000000000001</v>
      </c>
      <c r="V39" s="51">
        <v>104</v>
      </c>
      <c r="W39" s="51">
        <v>97.1</v>
      </c>
      <c r="X39" s="51">
        <v>97.1</v>
      </c>
      <c r="Y39" s="51">
        <v>97.1</v>
      </c>
      <c r="Z39" s="51">
        <v>144.5</v>
      </c>
      <c r="AA39" s="51">
        <v>142</v>
      </c>
      <c r="AB39" s="51">
        <v>145.69999999999999</v>
      </c>
      <c r="AC39" s="51">
        <v>145.69999999999999</v>
      </c>
      <c r="AD39" s="51">
        <v>145.69999999999999</v>
      </c>
      <c r="AE39" s="51">
        <v>145.69999999999999</v>
      </c>
      <c r="AF39" s="51">
        <v>145.69999999999999</v>
      </c>
      <c r="AG39" s="59">
        <v>144</v>
      </c>
      <c r="AH39" s="54">
        <f t="shared" si="2"/>
        <v>145.69999999999999</v>
      </c>
      <c r="AI39" s="55">
        <f t="shared" si="3"/>
        <v>97.1</v>
      </c>
      <c r="AK39" s="56"/>
    </row>
    <row r="40" spans="1:88" x14ac:dyDescent="0.25">
      <c r="A40" s="62" t="s">
        <v>48</v>
      </c>
      <c r="B40" s="70">
        <v>71.5</v>
      </c>
      <c r="C40" s="70">
        <v>71.099999999999994</v>
      </c>
      <c r="D40" s="70">
        <v>71.099999999999994</v>
      </c>
      <c r="E40" s="70">
        <v>71.099999999999994</v>
      </c>
      <c r="F40" s="70">
        <v>71.099999999999994</v>
      </c>
      <c r="G40" s="70">
        <v>71.099999999999994</v>
      </c>
      <c r="H40" s="70">
        <v>71.099999999999994</v>
      </c>
      <c r="I40" s="70">
        <v>71.099999999999994</v>
      </c>
      <c r="J40" s="70">
        <v>71.099999999999994</v>
      </c>
      <c r="K40" s="70">
        <v>71.099999999999994</v>
      </c>
      <c r="L40" s="70">
        <v>71.7</v>
      </c>
      <c r="M40" s="51">
        <v>72.2</v>
      </c>
      <c r="N40" s="51">
        <v>71.5</v>
      </c>
      <c r="O40" s="51">
        <v>72.8</v>
      </c>
      <c r="P40" s="51">
        <v>72.5</v>
      </c>
      <c r="Q40" s="51">
        <v>71.900000000000006</v>
      </c>
      <c r="R40" s="51">
        <v>70.5</v>
      </c>
      <c r="S40" s="51">
        <v>70.5</v>
      </c>
      <c r="T40" s="51">
        <v>71.599999999999994</v>
      </c>
      <c r="U40" s="51">
        <v>71.599999999999994</v>
      </c>
      <c r="V40" s="51">
        <v>71.400000000000006</v>
      </c>
      <c r="W40" s="70">
        <v>71.2</v>
      </c>
      <c r="X40" s="70">
        <v>71.099999999999994</v>
      </c>
      <c r="Y40" s="70">
        <v>71.3</v>
      </c>
      <c r="Z40" s="70">
        <v>71.400000000000006</v>
      </c>
      <c r="AA40" s="70">
        <v>71.099999999999994</v>
      </c>
      <c r="AB40" s="70">
        <v>71.099999999999994</v>
      </c>
      <c r="AC40" s="70">
        <v>71.099999999999994</v>
      </c>
      <c r="AD40" s="70">
        <v>71.099999999999994</v>
      </c>
      <c r="AE40" s="70">
        <v>72</v>
      </c>
      <c r="AF40" s="70">
        <v>71.400000000000006</v>
      </c>
      <c r="AG40" s="63">
        <v>70</v>
      </c>
      <c r="AH40" s="54">
        <f t="shared" si="2"/>
        <v>72.8</v>
      </c>
      <c r="AI40" s="55">
        <f t="shared" si="3"/>
        <v>70.5</v>
      </c>
      <c r="AK40" s="56"/>
    </row>
    <row r="41" spans="1:88" x14ac:dyDescent="0.25">
      <c r="A41" s="62" t="s">
        <v>49</v>
      </c>
      <c r="B41" s="70">
        <v>67.8</v>
      </c>
      <c r="C41" s="70">
        <v>67.5</v>
      </c>
      <c r="D41" s="70">
        <v>67.5</v>
      </c>
      <c r="E41" s="70">
        <v>67.5</v>
      </c>
      <c r="F41" s="70">
        <v>67.5</v>
      </c>
      <c r="G41" s="70">
        <v>67.5</v>
      </c>
      <c r="H41" s="70">
        <v>67.5</v>
      </c>
      <c r="I41" s="70">
        <v>67.5</v>
      </c>
      <c r="J41" s="70">
        <v>67.5</v>
      </c>
      <c r="K41" s="70">
        <v>67.5</v>
      </c>
      <c r="L41" s="70">
        <v>69.599999999999994</v>
      </c>
      <c r="M41" s="51">
        <v>68.900000000000006</v>
      </c>
      <c r="N41" s="51">
        <v>69.3</v>
      </c>
      <c r="O41" s="51">
        <v>69</v>
      </c>
      <c r="P41" s="51">
        <v>68.5</v>
      </c>
      <c r="Q41" s="51">
        <v>69.5</v>
      </c>
      <c r="R41" s="51">
        <v>68.7</v>
      </c>
      <c r="S41" s="51">
        <v>68.7</v>
      </c>
      <c r="T41" s="51">
        <v>69.3</v>
      </c>
      <c r="U41" s="51">
        <v>69.3</v>
      </c>
      <c r="V41" s="51">
        <v>68.900000000000006</v>
      </c>
      <c r="W41" s="70">
        <v>68.099999999999994</v>
      </c>
      <c r="X41" s="70">
        <v>68.3</v>
      </c>
      <c r="Y41" s="70">
        <v>70.3</v>
      </c>
      <c r="Z41" s="70">
        <v>68.8</v>
      </c>
      <c r="AA41" s="70">
        <v>69.099999999999994</v>
      </c>
      <c r="AB41" s="70">
        <v>69.099999999999994</v>
      </c>
      <c r="AC41" s="70">
        <v>63.8</v>
      </c>
      <c r="AD41" s="70">
        <v>43.7</v>
      </c>
      <c r="AE41" s="70">
        <v>45.5</v>
      </c>
      <c r="AF41" s="70">
        <v>69</v>
      </c>
      <c r="AG41" s="63">
        <v>69</v>
      </c>
      <c r="AH41" s="54">
        <f t="shared" si="2"/>
        <v>70.3</v>
      </c>
      <c r="AI41" s="55">
        <f t="shared" si="3"/>
        <v>43.7</v>
      </c>
      <c r="AK41" s="56"/>
    </row>
    <row r="42" spans="1:88" x14ac:dyDescent="0.25">
      <c r="A42" s="62" t="s">
        <v>50</v>
      </c>
      <c r="B42" s="65">
        <v>60.2</v>
      </c>
      <c r="C42" s="65">
        <v>60.4</v>
      </c>
      <c r="D42" s="65">
        <v>60.4</v>
      </c>
      <c r="E42" s="65">
        <v>60.4</v>
      </c>
      <c r="F42" s="65">
        <v>60.4</v>
      </c>
      <c r="G42" s="65">
        <v>60.4</v>
      </c>
      <c r="H42" s="65">
        <v>60.4</v>
      </c>
      <c r="I42" s="65">
        <v>60.4</v>
      </c>
      <c r="J42" s="65">
        <v>60.4</v>
      </c>
      <c r="K42" s="65">
        <v>60.4</v>
      </c>
      <c r="L42" s="65">
        <v>60.4</v>
      </c>
      <c r="M42" s="51">
        <v>60.4</v>
      </c>
      <c r="N42" s="51">
        <v>59</v>
      </c>
      <c r="O42" s="51">
        <v>58.5</v>
      </c>
      <c r="P42" s="51">
        <v>55.4</v>
      </c>
      <c r="Q42" s="51">
        <v>55.9</v>
      </c>
      <c r="R42" s="51">
        <v>59</v>
      </c>
      <c r="S42" s="51">
        <v>59</v>
      </c>
      <c r="T42" s="51">
        <v>59</v>
      </c>
      <c r="U42" s="51">
        <v>59</v>
      </c>
      <c r="V42" s="51">
        <v>36.799999999999997</v>
      </c>
      <c r="W42" s="70">
        <v>60.4</v>
      </c>
      <c r="X42" s="70">
        <v>60.4</v>
      </c>
      <c r="Y42" s="70">
        <v>60.4</v>
      </c>
      <c r="Z42" s="70">
        <v>60.4</v>
      </c>
      <c r="AA42" s="70">
        <v>61.2</v>
      </c>
      <c r="AB42" s="70">
        <v>61.2</v>
      </c>
      <c r="AC42" s="70">
        <v>61.2</v>
      </c>
      <c r="AD42" s="70">
        <v>61.2</v>
      </c>
      <c r="AE42" s="70">
        <v>61.2</v>
      </c>
      <c r="AF42" s="70">
        <v>61.2</v>
      </c>
      <c r="AG42" s="63">
        <v>60</v>
      </c>
      <c r="AH42" s="54">
        <f t="shared" si="2"/>
        <v>61.2</v>
      </c>
      <c r="AI42" s="55">
        <f t="shared" si="3"/>
        <v>36.799999999999997</v>
      </c>
      <c r="AK42" s="56"/>
    </row>
    <row r="43" spans="1:88" x14ac:dyDescent="0.25">
      <c r="A43" s="62" t="s">
        <v>51</v>
      </c>
      <c r="B43" s="65">
        <v>6.3</v>
      </c>
      <c r="C43" s="65">
        <v>6.5</v>
      </c>
      <c r="D43" s="65">
        <v>6.5</v>
      </c>
      <c r="E43" s="65">
        <v>6.5</v>
      </c>
      <c r="F43" s="65">
        <v>6.5</v>
      </c>
      <c r="G43" s="65">
        <v>14.9</v>
      </c>
      <c r="H43" s="65">
        <v>14.9</v>
      </c>
      <c r="I43" s="65">
        <v>30</v>
      </c>
      <c r="J43" s="65">
        <v>20</v>
      </c>
      <c r="K43" s="65">
        <v>20</v>
      </c>
      <c r="L43" s="65">
        <v>20</v>
      </c>
      <c r="M43" s="51">
        <v>25</v>
      </c>
      <c r="N43" s="51">
        <v>25</v>
      </c>
      <c r="O43" s="51">
        <v>25</v>
      </c>
      <c r="P43" s="51">
        <v>25</v>
      </c>
      <c r="Q43" s="51">
        <v>25</v>
      </c>
      <c r="R43" s="51">
        <v>24.6</v>
      </c>
      <c r="S43" s="51">
        <v>24.6</v>
      </c>
      <c r="T43" s="51">
        <v>24.6</v>
      </c>
      <c r="U43" s="51">
        <v>24.6</v>
      </c>
      <c r="V43" s="51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29</v>
      </c>
      <c r="AB43" s="70">
        <v>29</v>
      </c>
      <c r="AC43" s="70">
        <v>30</v>
      </c>
      <c r="AD43" s="70">
        <v>30</v>
      </c>
      <c r="AE43" s="70">
        <v>25</v>
      </c>
      <c r="AF43" s="70">
        <v>20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51">
        <v>4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17.7</v>
      </c>
      <c r="C45" s="70">
        <v>17.7</v>
      </c>
      <c r="D45" s="70">
        <v>17.7</v>
      </c>
      <c r="E45" s="70">
        <v>17.7</v>
      </c>
      <c r="F45" s="70">
        <v>17.7</v>
      </c>
      <c r="G45" s="70">
        <v>17.7</v>
      </c>
      <c r="H45" s="70">
        <v>17.7</v>
      </c>
      <c r="I45" s="70">
        <v>17.7</v>
      </c>
      <c r="J45" s="70">
        <v>17.7</v>
      </c>
      <c r="K45" s="70">
        <v>17.7</v>
      </c>
      <c r="L45" s="70">
        <v>17.7</v>
      </c>
      <c r="M45" s="51">
        <v>17.7</v>
      </c>
      <c r="N45" s="51">
        <v>17.7</v>
      </c>
      <c r="O45" s="51">
        <v>17.7</v>
      </c>
      <c r="P45" s="51">
        <v>17.7</v>
      </c>
      <c r="Q45" s="51">
        <v>17.7</v>
      </c>
      <c r="R45" s="51">
        <v>15</v>
      </c>
      <c r="S45" s="51">
        <v>15</v>
      </c>
      <c r="T45" s="51">
        <v>15</v>
      </c>
      <c r="U45" s="51">
        <v>15</v>
      </c>
      <c r="V45" s="51">
        <v>15</v>
      </c>
      <c r="W45" s="51">
        <v>17.600000000000001</v>
      </c>
      <c r="X45" s="51">
        <v>17.600000000000001</v>
      </c>
      <c r="Y45" s="51">
        <v>17.600000000000001</v>
      </c>
      <c r="Z45" s="51">
        <v>17.600000000000001</v>
      </c>
      <c r="AA45" s="51">
        <v>17.600000000000001</v>
      </c>
      <c r="AB45" s="51">
        <v>17.600000000000001</v>
      </c>
      <c r="AC45" s="51">
        <v>17.600000000000001</v>
      </c>
      <c r="AD45" s="51">
        <v>17.600000000000001</v>
      </c>
      <c r="AE45" s="51">
        <v>17.600000000000001</v>
      </c>
      <c r="AF45" s="51">
        <v>17.600000000000001</v>
      </c>
      <c r="AG45" s="63">
        <v>24</v>
      </c>
      <c r="AH45" s="54">
        <f t="shared" si="2"/>
        <v>17.7</v>
      </c>
      <c r="AI45" s="55">
        <f t="shared" si="3"/>
        <v>15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13.3</v>
      </c>
      <c r="C47" s="70">
        <v>13.3</v>
      </c>
      <c r="D47" s="70">
        <v>13.3</v>
      </c>
      <c r="E47" s="70">
        <v>13.3</v>
      </c>
      <c r="F47" s="70">
        <v>13.3</v>
      </c>
      <c r="G47" s="70">
        <v>13.3</v>
      </c>
      <c r="H47" s="70">
        <v>13.3</v>
      </c>
      <c r="I47" s="70">
        <v>13.3</v>
      </c>
      <c r="J47" s="70">
        <v>13.3</v>
      </c>
      <c r="K47" s="70">
        <v>13.3</v>
      </c>
      <c r="L47" s="70">
        <v>13.5</v>
      </c>
      <c r="M47" s="51">
        <v>13.5</v>
      </c>
      <c r="N47" s="51">
        <v>13.5</v>
      </c>
      <c r="O47" s="51">
        <v>13.5</v>
      </c>
      <c r="P47" s="51">
        <v>13.5</v>
      </c>
      <c r="Q47" s="51">
        <v>13.9</v>
      </c>
      <c r="R47" s="51">
        <v>12.5</v>
      </c>
      <c r="S47" s="51">
        <v>12.5</v>
      </c>
      <c r="T47" s="51">
        <v>12.5</v>
      </c>
      <c r="U47" s="51">
        <v>12.5</v>
      </c>
      <c r="V47" s="51">
        <v>12.5</v>
      </c>
      <c r="W47" s="51">
        <v>13.2</v>
      </c>
      <c r="X47" s="51">
        <v>13.2</v>
      </c>
      <c r="Y47" s="51">
        <v>14</v>
      </c>
      <c r="Z47" s="51">
        <v>14</v>
      </c>
      <c r="AA47" s="51">
        <v>14</v>
      </c>
      <c r="AB47" s="51">
        <v>14</v>
      </c>
      <c r="AC47" s="51">
        <v>14</v>
      </c>
      <c r="AD47" s="51">
        <v>14</v>
      </c>
      <c r="AE47" s="51">
        <v>14</v>
      </c>
      <c r="AF47" s="51">
        <v>14</v>
      </c>
      <c r="AG47" s="63">
        <v>14.1</v>
      </c>
      <c r="AH47" s="54">
        <f t="shared" si="2"/>
        <v>14</v>
      </c>
      <c r="AI47" s="55">
        <f t="shared" si="3"/>
        <v>12.5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12.6</v>
      </c>
      <c r="C48" s="70">
        <v>12.6</v>
      </c>
      <c r="D48" s="70">
        <v>12.6</v>
      </c>
      <c r="E48" s="70">
        <v>12.6</v>
      </c>
      <c r="F48" s="70">
        <v>12.6</v>
      </c>
      <c r="G48" s="70">
        <v>12.6</v>
      </c>
      <c r="H48" s="70">
        <v>12.6</v>
      </c>
      <c r="I48" s="70">
        <v>0</v>
      </c>
      <c r="J48" s="70">
        <v>0</v>
      </c>
      <c r="K48" s="70">
        <v>12.6</v>
      </c>
      <c r="L48" s="70">
        <v>12.6</v>
      </c>
      <c r="M48" s="51">
        <v>12.6</v>
      </c>
      <c r="N48" s="51">
        <v>12.6</v>
      </c>
      <c r="O48" s="51">
        <v>12.6</v>
      </c>
      <c r="P48" s="51">
        <v>12.6</v>
      </c>
      <c r="Q48" s="51">
        <v>12.6</v>
      </c>
      <c r="R48" s="51">
        <v>11.3</v>
      </c>
      <c r="S48" s="51">
        <v>11.3</v>
      </c>
      <c r="T48" s="51">
        <v>11.3</v>
      </c>
      <c r="U48" s="51">
        <v>11.3</v>
      </c>
      <c r="V48" s="51">
        <v>11.3</v>
      </c>
      <c r="W48" s="51">
        <v>11.3</v>
      </c>
      <c r="X48" s="51">
        <v>11.3</v>
      </c>
      <c r="Y48" s="51">
        <v>11.3</v>
      </c>
      <c r="Z48" s="51">
        <v>11.3</v>
      </c>
      <c r="AA48" s="51">
        <v>11.3</v>
      </c>
      <c r="AB48" s="51">
        <v>11.3</v>
      </c>
      <c r="AC48" s="51">
        <v>11.3</v>
      </c>
      <c r="AD48" s="51">
        <v>11.3</v>
      </c>
      <c r="AE48" s="51">
        <v>11.3</v>
      </c>
      <c r="AF48" s="51">
        <v>11.3</v>
      </c>
      <c r="AG48" s="63">
        <v>14</v>
      </c>
      <c r="AH48" s="54">
        <f t="shared" si="2"/>
        <v>12.6</v>
      </c>
      <c r="AI48" s="55">
        <f t="shared" si="3"/>
        <v>0</v>
      </c>
      <c r="AK48" s="56"/>
    </row>
    <row r="49" spans="1:37" x14ac:dyDescent="0.25">
      <c r="A49" s="62" t="s">
        <v>57</v>
      </c>
      <c r="B49" s="70">
        <v>7.6</v>
      </c>
      <c r="C49" s="70">
        <v>7.6</v>
      </c>
      <c r="D49" s="70">
        <v>7.6</v>
      </c>
      <c r="E49" s="70">
        <v>7.6</v>
      </c>
      <c r="F49" s="70">
        <v>7.6</v>
      </c>
      <c r="G49" s="70">
        <v>7.6</v>
      </c>
      <c r="H49" s="70">
        <v>7.6</v>
      </c>
      <c r="I49" s="70">
        <v>7.6</v>
      </c>
      <c r="J49" s="70">
        <v>7.6</v>
      </c>
      <c r="K49" s="70">
        <v>7.6</v>
      </c>
      <c r="L49" s="70">
        <v>7.6</v>
      </c>
      <c r="M49" s="51">
        <v>7.6</v>
      </c>
      <c r="N49" s="51">
        <v>7.6</v>
      </c>
      <c r="O49" s="51">
        <v>7.6</v>
      </c>
      <c r="P49" s="51">
        <v>7.6</v>
      </c>
      <c r="Q49" s="51">
        <v>7.6</v>
      </c>
      <c r="R49" s="51">
        <v>6.1</v>
      </c>
      <c r="S49" s="51">
        <v>6.1</v>
      </c>
      <c r="T49" s="51">
        <v>6.1</v>
      </c>
      <c r="U49" s="51">
        <v>6.1</v>
      </c>
      <c r="V49" s="51">
        <v>6.1</v>
      </c>
      <c r="W49" s="51">
        <v>7.5</v>
      </c>
      <c r="X49" s="51">
        <v>7.5</v>
      </c>
      <c r="Y49" s="51">
        <v>7.5</v>
      </c>
      <c r="Z49" s="51">
        <v>7.5</v>
      </c>
      <c r="AA49" s="51">
        <v>7.5</v>
      </c>
      <c r="AB49" s="51">
        <v>7.5</v>
      </c>
      <c r="AC49" s="51">
        <v>7.5</v>
      </c>
      <c r="AD49" s="51">
        <v>7.5</v>
      </c>
      <c r="AE49" s="51">
        <v>7.5</v>
      </c>
      <c r="AF49" s="51">
        <v>7.5</v>
      </c>
      <c r="AG49" s="63">
        <v>10.050000000000001</v>
      </c>
      <c r="AH49" s="54">
        <f t="shared" si="2"/>
        <v>7.6</v>
      </c>
      <c r="AI49" s="55">
        <f t="shared" si="3"/>
        <v>6.1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51">
        <v>3.1</v>
      </c>
      <c r="N50" s="51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8">SUM(B39:B51)</f>
        <v>409.24000000000007</v>
      </c>
      <c r="C52" s="69">
        <f t="shared" ref="C52:AF52" si="9">SUM(C39:C51)</f>
        <v>408.84000000000009</v>
      </c>
      <c r="D52" s="69">
        <f t="shared" si="9"/>
        <v>408.84000000000009</v>
      </c>
      <c r="E52" s="69">
        <f t="shared" si="9"/>
        <v>408.84000000000009</v>
      </c>
      <c r="F52" s="69">
        <f t="shared" si="9"/>
        <v>408.84000000000009</v>
      </c>
      <c r="G52" s="69">
        <f t="shared" si="9"/>
        <v>417.24000000000007</v>
      </c>
      <c r="H52" s="69">
        <f t="shared" si="9"/>
        <v>417.24000000000007</v>
      </c>
      <c r="I52" s="69">
        <f t="shared" si="9"/>
        <v>419.74000000000007</v>
      </c>
      <c r="J52" s="69">
        <f t="shared" si="9"/>
        <v>409.74000000000007</v>
      </c>
      <c r="K52" s="69">
        <f t="shared" si="9"/>
        <v>422.34000000000009</v>
      </c>
      <c r="L52" s="69">
        <f t="shared" si="9"/>
        <v>425.24</v>
      </c>
      <c r="M52" s="69">
        <f t="shared" si="9"/>
        <v>434.1400000000001</v>
      </c>
      <c r="N52" s="69">
        <f t="shared" si="9"/>
        <v>436.24000000000007</v>
      </c>
      <c r="O52" s="69">
        <f t="shared" si="9"/>
        <v>436.74000000000007</v>
      </c>
      <c r="P52" s="69">
        <f t="shared" si="9"/>
        <v>432.94000000000005</v>
      </c>
      <c r="Q52" s="69">
        <f t="shared" si="9"/>
        <v>434.34000000000003</v>
      </c>
      <c r="R52" s="69">
        <f t="shared" si="9"/>
        <v>427.6400000000001</v>
      </c>
      <c r="S52" s="69">
        <f t="shared" si="9"/>
        <v>427.6400000000001</v>
      </c>
      <c r="T52" s="69">
        <f t="shared" si="9"/>
        <v>426.84000000000009</v>
      </c>
      <c r="U52" s="69">
        <f t="shared" si="9"/>
        <v>426.84000000000009</v>
      </c>
      <c r="V52" s="69">
        <f t="shared" si="9"/>
        <v>340.6400000000001</v>
      </c>
      <c r="W52" s="69">
        <f t="shared" si="9"/>
        <v>361.04000000000008</v>
      </c>
      <c r="X52" s="69">
        <f>SUM(X39:X51)</f>
        <v>361.14000000000004</v>
      </c>
      <c r="Y52" s="69">
        <f t="shared" si="9"/>
        <v>364.14000000000004</v>
      </c>
      <c r="Z52" s="69">
        <f t="shared" si="9"/>
        <v>410.14000000000004</v>
      </c>
      <c r="AA52" s="69">
        <v>437.44000000000005</v>
      </c>
      <c r="AB52" s="69">
        <f t="shared" si="9"/>
        <v>433.14000000000004</v>
      </c>
      <c r="AC52" s="69">
        <f t="shared" si="9"/>
        <v>428.84000000000003</v>
      </c>
      <c r="AD52" s="69">
        <f t="shared" si="9"/>
        <v>408.74000000000007</v>
      </c>
      <c r="AE52" s="69">
        <f t="shared" si="9"/>
        <v>406.44000000000005</v>
      </c>
      <c r="AF52" s="69">
        <f t="shared" si="9"/>
        <v>424.34000000000009</v>
      </c>
      <c r="AG52" s="74">
        <f>SUM(AG39:AG51)</f>
        <v>489.91</v>
      </c>
      <c r="AH52" s="54">
        <f t="shared" si="2"/>
        <v>437.44000000000005</v>
      </c>
      <c r="AI52" s="55">
        <f t="shared" si="3"/>
        <v>340.6400000000001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10.7</v>
      </c>
      <c r="O53" s="51">
        <v>10.8</v>
      </c>
      <c r="P53" s="51">
        <v>10.8</v>
      </c>
      <c r="Q53" s="51">
        <v>10</v>
      </c>
      <c r="R53" s="51">
        <v>10</v>
      </c>
      <c r="S53" s="51">
        <v>20</v>
      </c>
      <c r="T53" s="51">
        <v>29.5</v>
      </c>
      <c r="U53" s="51">
        <v>29.5</v>
      </c>
      <c r="V53" s="51">
        <v>35</v>
      </c>
      <c r="W53" s="51">
        <v>14</v>
      </c>
      <c r="X53" s="51">
        <v>14</v>
      </c>
      <c r="Y53" s="51">
        <v>14</v>
      </c>
      <c r="Z53" s="51">
        <v>24</v>
      </c>
      <c r="AA53" s="51">
        <v>45</v>
      </c>
      <c r="AB53" s="51">
        <v>29.7</v>
      </c>
      <c r="AC53" s="51">
        <v>30</v>
      </c>
      <c r="AD53" s="51">
        <v>13</v>
      </c>
      <c r="AE53" s="51">
        <v>30</v>
      </c>
      <c r="AF53" s="51">
        <v>0</v>
      </c>
      <c r="AG53" s="59">
        <v>60</v>
      </c>
      <c r="AH53" s="54">
        <f t="shared" si="2"/>
        <v>45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4.2</v>
      </c>
      <c r="O54" s="70">
        <v>4.2</v>
      </c>
      <c r="P54" s="70">
        <v>4.2</v>
      </c>
      <c r="Q54" s="70">
        <v>4.2</v>
      </c>
      <c r="R54" s="70">
        <v>4.2</v>
      </c>
      <c r="S54" s="70">
        <v>11</v>
      </c>
      <c r="T54" s="70">
        <v>12.8</v>
      </c>
      <c r="U54" s="70">
        <v>12.8</v>
      </c>
      <c r="V54" s="70">
        <v>16.2</v>
      </c>
      <c r="W54" s="70">
        <v>6.6</v>
      </c>
      <c r="X54" s="70">
        <v>5.9</v>
      </c>
      <c r="Y54" s="70">
        <v>4.8</v>
      </c>
      <c r="Z54" s="70">
        <v>11.9</v>
      </c>
      <c r="AA54" s="70">
        <v>22.3</v>
      </c>
      <c r="AB54" s="70">
        <v>14.4</v>
      </c>
      <c r="AC54" s="70">
        <v>15.6</v>
      </c>
      <c r="AD54" s="70">
        <v>14.1</v>
      </c>
      <c r="AE54" s="70">
        <v>15.3</v>
      </c>
      <c r="AF54" s="70">
        <v>0</v>
      </c>
      <c r="AG54" s="63">
        <v>32</v>
      </c>
      <c r="AH54" s="54">
        <f t="shared" si="2"/>
        <v>22.3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1.5</v>
      </c>
      <c r="O55" s="75">
        <v>1.5</v>
      </c>
      <c r="P55" s="75">
        <v>1.5</v>
      </c>
      <c r="Q55" s="75">
        <v>1.6</v>
      </c>
      <c r="R55" s="75">
        <v>1.5</v>
      </c>
      <c r="S55" s="75">
        <v>4</v>
      </c>
      <c r="T55" s="75">
        <v>4.5999999999999996</v>
      </c>
      <c r="U55" s="75">
        <v>4.5999999999999996</v>
      </c>
      <c r="V55" s="75">
        <v>6</v>
      </c>
      <c r="W55" s="75">
        <v>2.4</v>
      </c>
      <c r="X55" s="75">
        <v>2.1</v>
      </c>
      <c r="Y55" s="75">
        <v>1.8</v>
      </c>
      <c r="Z55" s="75">
        <v>4.4000000000000004</v>
      </c>
      <c r="AA55" s="75">
        <v>8.1999999999999993</v>
      </c>
      <c r="AB55" s="75">
        <v>5.3</v>
      </c>
      <c r="AC55" s="75">
        <v>5.7</v>
      </c>
      <c r="AD55" s="75">
        <v>5.0999999999999996</v>
      </c>
      <c r="AE55" s="75">
        <v>5.6</v>
      </c>
      <c r="AF55" s="75">
        <v>0</v>
      </c>
      <c r="AG55" s="76">
        <v>14</v>
      </c>
      <c r="AH55" s="54">
        <f t="shared" si="2"/>
        <v>8.1999999999999993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10">SUM(B53:B55)</f>
        <v>0</v>
      </c>
      <c r="C56" s="69">
        <f t="shared" ref="C56:AF56" si="11">SUM(C53:C55)</f>
        <v>0</v>
      </c>
      <c r="D56" s="69">
        <f t="shared" si="11"/>
        <v>0</v>
      </c>
      <c r="E56" s="69">
        <f t="shared" si="11"/>
        <v>0</v>
      </c>
      <c r="F56" s="69">
        <f t="shared" si="11"/>
        <v>0</v>
      </c>
      <c r="G56" s="69">
        <f t="shared" si="11"/>
        <v>0</v>
      </c>
      <c r="H56" s="69">
        <f t="shared" si="11"/>
        <v>0</v>
      </c>
      <c r="I56" s="69">
        <f t="shared" si="11"/>
        <v>0</v>
      </c>
      <c r="J56" s="69">
        <f t="shared" si="11"/>
        <v>0</v>
      </c>
      <c r="K56" s="69">
        <f t="shared" si="11"/>
        <v>0</v>
      </c>
      <c r="L56" s="69">
        <f t="shared" si="11"/>
        <v>0</v>
      </c>
      <c r="M56" s="69">
        <f t="shared" si="11"/>
        <v>0</v>
      </c>
      <c r="N56" s="69">
        <f t="shared" si="11"/>
        <v>16.399999999999999</v>
      </c>
      <c r="O56" s="69">
        <f t="shared" si="11"/>
        <v>16.5</v>
      </c>
      <c r="P56" s="69">
        <f t="shared" si="11"/>
        <v>16.5</v>
      </c>
      <c r="Q56" s="69">
        <f t="shared" si="11"/>
        <v>15.799999999999999</v>
      </c>
      <c r="R56" s="69">
        <f t="shared" si="11"/>
        <v>15.7</v>
      </c>
      <c r="S56" s="69">
        <f t="shared" si="11"/>
        <v>35</v>
      </c>
      <c r="T56" s="69">
        <f t="shared" si="11"/>
        <v>46.9</v>
      </c>
      <c r="U56" s="69">
        <f t="shared" si="11"/>
        <v>46.9</v>
      </c>
      <c r="V56" s="69">
        <f t="shared" si="11"/>
        <v>57.2</v>
      </c>
      <c r="W56" s="69">
        <f t="shared" si="11"/>
        <v>23</v>
      </c>
      <c r="X56" s="69">
        <f t="shared" si="11"/>
        <v>22</v>
      </c>
      <c r="Y56" s="69">
        <f t="shared" si="11"/>
        <v>20.6</v>
      </c>
      <c r="Z56" s="69">
        <f t="shared" si="11"/>
        <v>40.299999999999997</v>
      </c>
      <c r="AA56" s="69">
        <v>75.5</v>
      </c>
      <c r="AB56" s="69">
        <f t="shared" si="11"/>
        <v>49.4</v>
      </c>
      <c r="AC56" s="69">
        <f t="shared" si="11"/>
        <v>51.300000000000004</v>
      </c>
      <c r="AD56" s="69">
        <f t="shared" si="11"/>
        <v>32.200000000000003</v>
      </c>
      <c r="AE56" s="69">
        <f t="shared" si="11"/>
        <v>50.9</v>
      </c>
      <c r="AF56" s="69">
        <f t="shared" si="11"/>
        <v>0</v>
      </c>
      <c r="AG56" s="74">
        <f>SUM(AG53:AG55)</f>
        <v>106</v>
      </c>
      <c r="AH56" s="54">
        <f t="shared" si="2"/>
        <v>75.5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55.9</v>
      </c>
      <c r="C57" s="51">
        <v>56.5</v>
      </c>
      <c r="D57" s="51">
        <v>56.5</v>
      </c>
      <c r="E57" s="51">
        <v>56</v>
      </c>
      <c r="F57" s="51">
        <v>54.4</v>
      </c>
      <c r="G57" s="51">
        <v>43.8</v>
      </c>
      <c r="H57" s="51">
        <v>52</v>
      </c>
      <c r="I57" s="51">
        <v>57</v>
      </c>
      <c r="J57" s="51">
        <v>59</v>
      </c>
      <c r="K57" s="51">
        <v>55.9</v>
      </c>
      <c r="L57" s="51">
        <v>55.6</v>
      </c>
      <c r="M57" s="51">
        <v>50</v>
      </c>
      <c r="N57" s="51">
        <v>54</v>
      </c>
      <c r="O57" s="51">
        <v>67.400000000000006</v>
      </c>
      <c r="P57" s="51">
        <v>61.3</v>
      </c>
      <c r="Q57" s="51">
        <v>62</v>
      </c>
      <c r="R57" s="51">
        <v>69.5</v>
      </c>
      <c r="S57" s="51">
        <v>68</v>
      </c>
      <c r="T57" s="51">
        <v>78</v>
      </c>
      <c r="U57" s="51">
        <v>76</v>
      </c>
      <c r="V57" s="51">
        <v>68.2</v>
      </c>
      <c r="W57" s="51">
        <v>58.9</v>
      </c>
      <c r="X57" s="51">
        <v>58.9</v>
      </c>
      <c r="Y57" s="51">
        <v>72.3</v>
      </c>
      <c r="Z57" s="51">
        <v>66.900000000000006</v>
      </c>
      <c r="AA57" s="51">
        <v>70.2</v>
      </c>
      <c r="AB57" s="51">
        <v>78</v>
      </c>
      <c r="AC57" s="51">
        <v>78.599999999999994</v>
      </c>
      <c r="AD57" s="51">
        <v>68.099999999999994</v>
      </c>
      <c r="AE57" s="51">
        <v>72.400000000000006</v>
      </c>
      <c r="AF57" s="51">
        <v>73.099999999999994</v>
      </c>
      <c r="AG57" s="59"/>
      <c r="AH57" s="54">
        <f t="shared" si="2"/>
        <v>78.599999999999994</v>
      </c>
      <c r="AI57" s="55">
        <f t="shared" si="3"/>
        <v>43.8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15.2</v>
      </c>
      <c r="C59" s="70">
        <v>0</v>
      </c>
      <c r="D59" s="70">
        <v>0</v>
      </c>
      <c r="E59" s="70">
        <v>-8.1</v>
      </c>
      <c r="F59" s="70">
        <v>0</v>
      </c>
      <c r="G59" s="70">
        <v>0</v>
      </c>
      <c r="H59" s="70">
        <v>0</v>
      </c>
      <c r="I59" s="70">
        <v>15</v>
      </c>
      <c r="J59" s="70">
        <v>50</v>
      </c>
      <c r="K59" s="70">
        <v>126.4</v>
      </c>
      <c r="L59" s="70">
        <v>113.5</v>
      </c>
      <c r="M59" s="70">
        <v>111</v>
      </c>
      <c r="N59" s="70">
        <v>109.4</v>
      </c>
      <c r="O59" s="70">
        <v>137.5</v>
      </c>
      <c r="P59" s="70">
        <v>144</v>
      </c>
      <c r="Q59" s="70">
        <v>104</v>
      </c>
      <c r="R59" s="70">
        <v>140</v>
      </c>
      <c r="S59" s="70">
        <v>130</v>
      </c>
      <c r="T59" s="70">
        <v>130</v>
      </c>
      <c r="U59" s="70">
        <v>140</v>
      </c>
      <c r="V59" s="70">
        <v>120</v>
      </c>
      <c r="W59" s="70">
        <v>100</v>
      </c>
      <c r="X59" s="70">
        <v>90</v>
      </c>
      <c r="Y59" s="70">
        <v>30</v>
      </c>
      <c r="Z59" s="70">
        <v>45</v>
      </c>
      <c r="AA59" s="70">
        <v>44</v>
      </c>
      <c r="AB59" s="70">
        <v>33.1</v>
      </c>
      <c r="AC59" s="70">
        <v>3.2</v>
      </c>
      <c r="AD59" s="70">
        <v>0</v>
      </c>
      <c r="AE59" s="70">
        <v>0</v>
      </c>
      <c r="AF59" s="70">
        <v>0</v>
      </c>
      <c r="AG59" s="77"/>
      <c r="AH59" s="54">
        <f t="shared" si="2"/>
        <v>144</v>
      </c>
      <c r="AI59" s="55">
        <f t="shared" si="3"/>
        <v>-8.1</v>
      </c>
      <c r="AK59" s="56"/>
    </row>
    <row r="60" spans="1:37" x14ac:dyDescent="0.25">
      <c r="A60" s="62" t="s">
        <v>68</v>
      </c>
      <c r="B60" s="78">
        <v>12</v>
      </c>
      <c r="C60" s="78">
        <v>12</v>
      </c>
      <c r="D60" s="78">
        <v>12</v>
      </c>
      <c r="E60" s="78">
        <v>12</v>
      </c>
      <c r="F60" s="78">
        <v>12</v>
      </c>
      <c r="G60" s="78">
        <v>12</v>
      </c>
      <c r="H60" s="78">
        <v>12</v>
      </c>
      <c r="I60" s="78">
        <v>12</v>
      </c>
      <c r="J60" s="78">
        <v>12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10</v>
      </c>
      <c r="U60" s="78">
        <v>10</v>
      </c>
      <c r="V60" s="78">
        <v>10</v>
      </c>
      <c r="W60" s="78">
        <v>10</v>
      </c>
      <c r="X60" s="78">
        <v>10</v>
      </c>
      <c r="Y60" s="78">
        <v>10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12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0</v>
      </c>
      <c r="N62" s="79">
        <v>0</v>
      </c>
      <c r="O62" s="79">
        <v>0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9">
        <v>0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79">
        <v>0</v>
      </c>
      <c r="L64" s="79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9">
        <v>0</v>
      </c>
      <c r="C65" s="79">
        <v>0</v>
      </c>
      <c r="D65" s="79">
        <v>0</v>
      </c>
      <c r="E65" s="79">
        <v>0</v>
      </c>
      <c r="F65" s="79">
        <v>0</v>
      </c>
      <c r="G65" s="79">
        <v>0</v>
      </c>
      <c r="H65" s="79">
        <v>0</v>
      </c>
      <c r="I65" s="79">
        <v>0</v>
      </c>
      <c r="J65" s="79">
        <v>0</v>
      </c>
      <c r="K65" s="79">
        <v>0</v>
      </c>
      <c r="L65" s="79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79">
        <v>0</v>
      </c>
      <c r="C66" s="79">
        <v>0</v>
      </c>
      <c r="D66" s="79">
        <v>0</v>
      </c>
      <c r="E66" s="79">
        <v>0</v>
      </c>
      <c r="F66" s="79">
        <v>0</v>
      </c>
      <c r="G66" s="79">
        <v>0</v>
      </c>
      <c r="H66" s="79">
        <v>0</v>
      </c>
      <c r="I66" s="79">
        <v>0</v>
      </c>
      <c r="J66" s="79">
        <v>0</v>
      </c>
      <c r="K66" s="79">
        <v>0</v>
      </c>
      <c r="L66" s="79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79">
        <v>0</v>
      </c>
      <c r="C67" s="79">
        <v>0</v>
      </c>
      <c r="D67" s="79">
        <v>0</v>
      </c>
      <c r="E67" s="79">
        <v>0</v>
      </c>
      <c r="F67" s="79">
        <v>0</v>
      </c>
      <c r="G67" s="79">
        <v>0</v>
      </c>
      <c r="H67" s="79">
        <v>0</v>
      </c>
      <c r="I67" s="79">
        <v>0</v>
      </c>
      <c r="J67" s="79">
        <v>0</v>
      </c>
      <c r="K67" s="79">
        <v>0</v>
      </c>
      <c r="L67" s="79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2">SUM(B57:B67)</f>
        <v>91.1</v>
      </c>
      <c r="C68" s="69">
        <f t="shared" ref="C68:AF68" si="13">SUM(C57:C67)</f>
        <v>76.5</v>
      </c>
      <c r="D68" s="69">
        <f t="shared" si="13"/>
        <v>76.5</v>
      </c>
      <c r="E68" s="69">
        <f t="shared" si="13"/>
        <v>67.900000000000006</v>
      </c>
      <c r="F68" s="69">
        <f t="shared" si="13"/>
        <v>74.400000000000006</v>
      </c>
      <c r="G68" s="69">
        <f t="shared" si="13"/>
        <v>63.8</v>
      </c>
      <c r="H68" s="69">
        <f t="shared" si="13"/>
        <v>72</v>
      </c>
      <c r="I68" s="69">
        <f t="shared" si="13"/>
        <v>92</v>
      </c>
      <c r="J68" s="69">
        <f t="shared" si="13"/>
        <v>129</v>
      </c>
      <c r="K68" s="69">
        <f t="shared" si="13"/>
        <v>190.3</v>
      </c>
      <c r="L68" s="69">
        <f t="shared" si="13"/>
        <v>177.1</v>
      </c>
      <c r="M68" s="69">
        <f t="shared" si="13"/>
        <v>161</v>
      </c>
      <c r="N68" s="69">
        <f t="shared" si="13"/>
        <v>163.4</v>
      </c>
      <c r="O68" s="69">
        <f t="shared" si="13"/>
        <v>204.9</v>
      </c>
      <c r="P68" s="69">
        <f t="shared" si="13"/>
        <v>213.3</v>
      </c>
      <c r="Q68" s="69">
        <f t="shared" si="13"/>
        <v>174</v>
      </c>
      <c r="R68" s="69">
        <f t="shared" si="13"/>
        <v>217.5</v>
      </c>
      <c r="S68" s="69">
        <f t="shared" si="13"/>
        <v>206</v>
      </c>
      <c r="T68" s="69">
        <f t="shared" si="13"/>
        <v>226</v>
      </c>
      <c r="U68" s="69">
        <f t="shared" si="13"/>
        <v>234</v>
      </c>
      <c r="V68" s="69">
        <f>SUM(V57:V67)</f>
        <v>206.2</v>
      </c>
      <c r="W68" s="69">
        <f t="shared" si="13"/>
        <v>176.9</v>
      </c>
      <c r="X68" s="69">
        <f t="shared" si="13"/>
        <v>166.9</v>
      </c>
      <c r="Y68" s="69">
        <f t="shared" si="13"/>
        <v>120.3</v>
      </c>
      <c r="Z68" s="69">
        <f t="shared" si="13"/>
        <v>119.9</v>
      </c>
      <c r="AA68" s="69">
        <v>122.2</v>
      </c>
      <c r="AB68" s="69">
        <f t="shared" si="13"/>
        <v>119.1</v>
      </c>
      <c r="AC68" s="69">
        <f t="shared" si="13"/>
        <v>89.8</v>
      </c>
      <c r="AD68" s="69">
        <f t="shared" si="13"/>
        <v>76.099999999999994</v>
      </c>
      <c r="AE68" s="69">
        <f t="shared" si="13"/>
        <v>80.400000000000006</v>
      </c>
      <c r="AF68" s="69">
        <f t="shared" si="13"/>
        <v>81.099999999999994</v>
      </c>
      <c r="AG68" s="74">
        <f>SUM(AG57:AG67)</f>
        <v>0</v>
      </c>
      <c r="AH68" s="54">
        <f t="shared" si="2"/>
        <v>234</v>
      </c>
      <c r="AI68" s="55">
        <f t="shared" si="3"/>
        <v>63.8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1572.04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4">AG68+AG56+AG52+AG38+AG72</f>
        <v>2144.14</v>
      </c>
      <c r="AH73" s="54">
        <f t="shared" si="2"/>
        <v>1572.04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40</v>
      </c>
      <c r="C74" s="86"/>
      <c r="D74" s="86"/>
      <c r="E74" s="86"/>
      <c r="F74" s="86"/>
      <c r="G74" s="86"/>
      <c r="H74" s="86"/>
      <c r="I74" s="86">
        <v>40</v>
      </c>
      <c r="J74" s="86">
        <v>40</v>
      </c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>
        <v>60</v>
      </c>
      <c r="W74" s="86">
        <v>60</v>
      </c>
      <c r="X74" s="86">
        <v>60</v>
      </c>
      <c r="Y74" s="86">
        <v>60</v>
      </c>
      <c r="Z74" s="86">
        <v>60</v>
      </c>
      <c r="AA74" s="86">
        <v>20</v>
      </c>
      <c r="AB74" s="86">
        <v>20</v>
      </c>
      <c r="AC74" s="86"/>
      <c r="AD74" s="86"/>
      <c r="AE74" s="86">
        <v>30</v>
      </c>
      <c r="AF74" s="86">
        <v>20</v>
      </c>
      <c r="AG74" s="74"/>
      <c r="AH74" s="54">
        <f t="shared" si="2"/>
        <v>60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5">B72+B68+B56+B52+B38+B74</f>
        <v>1351.8400000000001</v>
      </c>
      <c r="C75" s="84">
        <f t="shared" ref="C75:AF75" si="16">C72+C68+C56+C52+C38+C74</f>
        <v>1289.44</v>
      </c>
      <c r="D75" s="84">
        <f t="shared" si="16"/>
        <v>1289.44</v>
      </c>
      <c r="E75" s="84">
        <f t="shared" si="16"/>
        <v>1280.8400000000001</v>
      </c>
      <c r="F75" s="84">
        <f t="shared" si="16"/>
        <v>1267.3400000000001</v>
      </c>
      <c r="G75" s="84">
        <f t="shared" si="16"/>
        <v>1265.1400000000001</v>
      </c>
      <c r="H75" s="84">
        <f t="shared" si="16"/>
        <v>1273.3400000000001</v>
      </c>
      <c r="I75" s="84">
        <f t="shared" si="16"/>
        <v>1274.24</v>
      </c>
      <c r="J75" s="84">
        <f t="shared" si="16"/>
        <v>1301.24</v>
      </c>
      <c r="K75" s="84">
        <f t="shared" si="16"/>
        <v>1395.3400000000001</v>
      </c>
      <c r="L75" s="84">
        <f t="shared" si="16"/>
        <v>1400.6399999999999</v>
      </c>
      <c r="M75" s="84">
        <f t="shared" si="16"/>
        <v>1412.8400000000001</v>
      </c>
      <c r="N75" s="84">
        <f t="shared" si="16"/>
        <v>1415.04</v>
      </c>
      <c r="O75" s="84">
        <f t="shared" si="16"/>
        <v>1457.8400000000001</v>
      </c>
      <c r="P75" s="84">
        <f t="shared" si="16"/>
        <v>1490.8400000000001</v>
      </c>
      <c r="Q75" s="84">
        <f t="shared" si="16"/>
        <v>1444.3400000000001</v>
      </c>
      <c r="R75" s="84">
        <f t="shared" si="16"/>
        <v>1452.7400000000002</v>
      </c>
      <c r="S75" s="84">
        <f t="shared" si="16"/>
        <v>1460.54</v>
      </c>
      <c r="T75" s="84">
        <f t="shared" si="16"/>
        <v>1489.6399999999999</v>
      </c>
      <c r="U75" s="84">
        <f t="shared" si="16"/>
        <v>1497.6399999999999</v>
      </c>
      <c r="V75" s="84">
        <f t="shared" si="16"/>
        <v>1395.94</v>
      </c>
      <c r="W75" s="84">
        <f t="shared" si="16"/>
        <v>1372.8400000000001</v>
      </c>
      <c r="X75" s="84">
        <f t="shared" si="16"/>
        <v>1361.94</v>
      </c>
      <c r="Y75" s="84">
        <f t="shared" si="16"/>
        <v>1407.44</v>
      </c>
      <c r="Z75" s="84">
        <f t="shared" si="16"/>
        <v>1472.7399999999998</v>
      </c>
      <c r="AA75" s="84">
        <v>1592.04</v>
      </c>
      <c r="AB75" s="84">
        <f t="shared" si="16"/>
        <v>1569.94</v>
      </c>
      <c r="AC75" s="84">
        <f t="shared" si="16"/>
        <v>1538.24</v>
      </c>
      <c r="AD75" s="84">
        <f t="shared" si="16"/>
        <v>1455.3400000000001</v>
      </c>
      <c r="AE75" s="84">
        <f t="shared" si="16"/>
        <v>1456.04</v>
      </c>
      <c r="AF75" s="84">
        <f t="shared" si="16"/>
        <v>1368.1399999999999</v>
      </c>
      <c r="AG75" s="74">
        <f>AG72+AG68+AG56+AG52+AG38+AG74</f>
        <v>2144.14</v>
      </c>
      <c r="AH75" s="54">
        <f t="shared" si="2"/>
        <v>1592.04</v>
      </c>
      <c r="AI75" s="55">
        <f t="shared" si="3"/>
        <v>1265.1400000000001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7">MAX(B76:AF76)</f>
        <v>0</v>
      </c>
      <c r="AI76" s="55">
        <f t="shared" ref="AI76:AI91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7"/>
        <v>0</v>
      </c>
      <c r="AI77" s="55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7"/>
        <v>0</v>
      </c>
      <c r="AI78" s="55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7"/>
        <v>0</v>
      </c>
      <c r="AI79" s="55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7"/>
        <v>0</v>
      </c>
      <c r="AI80" s="55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7"/>
        <v>0</v>
      </c>
      <c r="AI81" s="55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9">SUM(AG76:AG81)</f>
        <v>0</v>
      </c>
      <c r="AH82" s="54">
        <f t="shared" si="17"/>
        <v>0</v>
      </c>
      <c r="AI82" s="55">
        <f t="shared" si="18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20">SUM(B70:B82)</f>
        <v>2593.73</v>
      </c>
      <c r="C83" s="69">
        <f t="shared" ref="C83:AG83" si="21">SUM(C70:C82)</f>
        <v>2491.33</v>
      </c>
      <c r="D83" s="69">
        <f t="shared" si="21"/>
        <v>2491.33</v>
      </c>
      <c r="E83" s="69">
        <f t="shared" si="21"/>
        <v>2482.73</v>
      </c>
      <c r="F83" s="69">
        <f t="shared" si="21"/>
        <v>2469.23</v>
      </c>
      <c r="G83" s="69">
        <f t="shared" si="21"/>
        <v>2467.0299999999997</v>
      </c>
      <c r="H83" s="69">
        <f t="shared" si="21"/>
        <v>2475.23</v>
      </c>
      <c r="I83" s="69">
        <f t="shared" si="21"/>
        <v>2516.13</v>
      </c>
      <c r="J83" s="69">
        <f t="shared" si="21"/>
        <v>2543.13</v>
      </c>
      <c r="K83" s="69">
        <f t="shared" si="21"/>
        <v>2597.23</v>
      </c>
      <c r="L83" s="69">
        <f t="shared" si="21"/>
        <v>2602.5299999999997</v>
      </c>
      <c r="M83" s="69">
        <f t="shared" si="21"/>
        <v>2614.73</v>
      </c>
      <c r="N83" s="69">
        <f t="shared" si="21"/>
        <v>2616.9299999999998</v>
      </c>
      <c r="O83" s="69">
        <f t="shared" si="21"/>
        <v>2659.73</v>
      </c>
      <c r="P83" s="69">
        <f t="shared" si="21"/>
        <v>2692.73</v>
      </c>
      <c r="Q83" s="69">
        <f t="shared" si="21"/>
        <v>2646.23</v>
      </c>
      <c r="R83" s="69">
        <f t="shared" si="21"/>
        <v>2654.63</v>
      </c>
      <c r="S83" s="69">
        <f t="shared" si="21"/>
        <v>2662.43</v>
      </c>
      <c r="T83" s="69">
        <f t="shared" si="21"/>
        <v>2691.5299999999997</v>
      </c>
      <c r="U83" s="69">
        <f t="shared" si="21"/>
        <v>2699.5299999999997</v>
      </c>
      <c r="V83" s="69">
        <f t="shared" si="21"/>
        <v>2657.83</v>
      </c>
      <c r="W83" s="69">
        <f t="shared" si="21"/>
        <v>2634.73</v>
      </c>
      <c r="X83" s="69">
        <f t="shared" si="21"/>
        <v>2623.83</v>
      </c>
      <c r="Y83" s="69">
        <f t="shared" si="21"/>
        <v>2669.33</v>
      </c>
      <c r="Z83" s="69">
        <f t="shared" si="21"/>
        <v>2734.6299999999997</v>
      </c>
      <c r="AA83" s="69">
        <f t="shared" si="21"/>
        <v>3184.08</v>
      </c>
      <c r="AB83" s="69">
        <f t="shared" si="21"/>
        <v>2791.83</v>
      </c>
      <c r="AC83" s="69">
        <f t="shared" si="21"/>
        <v>2740.13</v>
      </c>
      <c r="AD83" s="69">
        <f t="shared" si="21"/>
        <v>2657.23</v>
      </c>
      <c r="AE83" s="69">
        <f t="shared" si="21"/>
        <v>2687.93</v>
      </c>
      <c r="AF83" s="69">
        <f t="shared" si="21"/>
        <v>2590.0299999999997</v>
      </c>
      <c r="AG83" s="74">
        <f t="shared" si="21"/>
        <v>4360.08</v>
      </c>
      <c r="AH83" s="54">
        <f t="shared" si="17"/>
        <v>3184.08</v>
      </c>
      <c r="AI83" s="55">
        <f t="shared" si="18"/>
        <v>2467.0299999999997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</v>
      </c>
      <c r="C84" s="90">
        <v>50</v>
      </c>
      <c r="D84" s="90">
        <v>50</v>
      </c>
      <c r="E84" s="90">
        <v>49.994999999999997</v>
      </c>
      <c r="F84" s="90">
        <v>49.999000000000002</v>
      </c>
      <c r="G84" s="90">
        <v>49.991999999999997</v>
      </c>
      <c r="H84" s="90">
        <v>49.991999999999997</v>
      </c>
      <c r="I84" s="90">
        <v>49.997999999999998</v>
      </c>
      <c r="J84" s="90">
        <v>49.95</v>
      </c>
      <c r="K84" s="90">
        <v>50.082999999999998</v>
      </c>
      <c r="L84" s="90">
        <v>50.05</v>
      </c>
      <c r="M84" s="90">
        <v>50.026000000000003</v>
      </c>
      <c r="N84" s="90">
        <v>50.01</v>
      </c>
      <c r="O84" s="90">
        <v>49.945</v>
      </c>
      <c r="P84" s="90">
        <v>50.026000000000003</v>
      </c>
      <c r="Q84" s="90">
        <v>50.045000000000002</v>
      </c>
      <c r="R84" s="90">
        <v>49.906999999999996</v>
      </c>
      <c r="S84" s="90">
        <v>49.906999999999996</v>
      </c>
      <c r="T84" s="90">
        <v>50</v>
      </c>
      <c r="U84" s="90">
        <v>50</v>
      </c>
      <c r="V84" s="90">
        <v>50.03</v>
      </c>
      <c r="W84" s="90">
        <v>50.02</v>
      </c>
      <c r="X84" s="90">
        <v>50.06</v>
      </c>
      <c r="Y84" s="90">
        <v>49.96</v>
      </c>
      <c r="Z84" s="90">
        <v>49.98</v>
      </c>
      <c r="AA84" s="90">
        <v>50.03</v>
      </c>
      <c r="AB84" s="90">
        <v>50.045999999999999</v>
      </c>
      <c r="AC84" s="90">
        <v>50.021000000000001</v>
      </c>
      <c r="AD84" s="90">
        <v>49.968000000000004</v>
      </c>
      <c r="AE84" s="90">
        <v>50.023000000000003</v>
      </c>
      <c r="AF84" s="90">
        <v>49.942</v>
      </c>
      <c r="AG84" s="91"/>
      <c r="AH84" s="54">
        <f t="shared" si="17"/>
        <v>50.082999999999998</v>
      </c>
      <c r="AI84" s="55">
        <f t="shared" si="18"/>
        <v>49.906999999999996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122.8</v>
      </c>
      <c r="C85" s="70">
        <v>122.4</v>
      </c>
      <c r="D85" s="70">
        <v>122.4</v>
      </c>
      <c r="E85" s="70">
        <v>121.8</v>
      </c>
      <c r="F85" s="70">
        <v>123.5</v>
      </c>
      <c r="G85" s="70">
        <v>124.6</v>
      </c>
      <c r="H85" s="70">
        <v>124.6</v>
      </c>
      <c r="I85" s="70">
        <v>124.6</v>
      </c>
      <c r="J85" s="70">
        <v>124.6</v>
      </c>
      <c r="K85" s="70">
        <v>121.4</v>
      </c>
      <c r="L85" s="70">
        <v>120.8</v>
      </c>
      <c r="M85" s="70">
        <v>120.5</v>
      </c>
      <c r="N85" s="70">
        <v>120.7</v>
      </c>
      <c r="O85" s="70">
        <v>118.5</v>
      </c>
      <c r="P85" s="70">
        <v>117.7</v>
      </c>
      <c r="Q85" s="70">
        <v>119.1</v>
      </c>
      <c r="R85" s="70">
        <v>119.1</v>
      </c>
      <c r="S85" s="70">
        <v>119.1</v>
      </c>
      <c r="T85" s="70">
        <v>120.8</v>
      </c>
      <c r="U85" s="70">
        <v>120.8</v>
      </c>
      <c r="V85" s="70">
        <v>124.1</v>
      </c>
      <c r="W85" s="70">
        <v>121.8</v>
      </c>
      <c r="X85" s="70">
        <v>122.6</v>
      </c>
      <c r="Y85" s="70">
        <v>121.8</v>
      </c>
      <c r="Z85" s="70">
        <v>122.5</v>
      </c>
      <c r="AA85" s="70">
        <v>120.8</v>
      </c>
      <c r="AB85" s="70">
        <v>121.8</v>
      </c>
      <c r="AC85" s="70">
        <v>122.3</v>
      </c>
      <c r="AD85" s="70">
        <v>124.1</v>
      </c>
      <c r="AE85" s="70">
        <v>122.9</v>
      </c>
      <c r="AF85" s="70">
        <v>122.6</v>
      </c>
      <c r="AG85" s="93"/>
      <c r="AH85" s="54">
        <f t="shared" si="17"/>
        <v>124.6</v>
      </c>
      <c r="AI85" s="55">
        <f t="shared" si="18"/>
        <v>117.7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128.30000000000001</v>
      </c>
      <c r="C86" s="70">
        <v>128.69999999999999</v>
      </c>
      <c r="D86" s="70">
        <v>128.69999999999999</v>
      </c>
      <c r="E86" s="70">
        <v>127.2</v>
      </c>
      <c r="F86" s="70">
        <v>128.69999999999999</v>
      </c>
      <c r="G86" s="70">
        <v>129</v>
      </c>
      <c r="H86" s="70">
        <v>129</v>
      </c>
      <c r="I86" s="70">
        <v>129</v>
      </c>
      <c r="J86" s="70">
        <v>129</v>
      </c>
      <c r="K86" s="70">
        <v>126</v>
      </c>
      <c r="L86" s="70">
        <v>125.8</v>
      </c>
      <c r="M86" s="70">
        <v>125.5</v>
      </c>
      <c r="N86" s="70">
        <v>125.6</v>
      </c>
      <c r="O86" s="70">
        <v>123.9</v>
      </c>
      <c r="P86" s="70">
        <v>123.4</v>
      </c>
      <c r="Q86" s="70">
        <v>124.4</v>
      </c>
      <c r="R86" s="70">
        <v>124.2</v>
      </c>
      <c r="S86" s="70">
        <v>124.2</v>
      </c>
      <c r="T86" s="70">
        <v>126.5</v>
      </c>
      <c r="U86" s="70">
        <v>126.5</v>
      </c>
      <c r="V86" s="70">
        <v>128.30000000000001</v>
      </c>
      <c r="W86" s="70">
        <v>126.8</v>
      </c>
      <c r="X86" s="70">
        <v>127.3</v>
      </c>
      <c r="Y86" s="70">
        <v>126.6</v>
      </c>
      <c r="Z86" s="70">
        <v>127</v>
      </c>
      <c r="AA86" s="70">
        <v>125.8</v>
      </c>
      <c r="AB86" s="70">
        <v>126.8</v>
      </c>
      <c r="AC86" s="70">
        <v>127.3</v>
      </c>
      <c r="AD86" s="70">
        <v>128.69999999999999</v>
      </c>
      <c r="AE86" s="70">
        <v>128.80000000000001</v>
      </c>
      <c r="AF86" s="70">
        <v>128.30000000000001</v>
      </c>
      <c r="AG86" s="93"/>
      <c r="AH86" s="54">
        <f t="shared" si="17"/>
        <v>129</v>
      </c>
      <c r="AI86" s="55">
        <f t="shared" si="18"/>
        <v>123.4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127.2</v>
      </c>
      <c r="C87" s="70">
        <v>127.9</v>
      </c>
      <c r="D87" s="70">
        <v>127.9</v>
      </c>
      <c r="E87" s="70">
        <v>130.6</v>
      </c>
      <c r="F87" s="70">
        <v>131.19999999999999</v>
      </c>
      <c r="G87" s="70">
        <v>130.30000000000001</v>
      </c>
      <c r="H87" s="70">
        <v>130.30000000000001</v>
      </c>
      <c r="I87" s="70">
        <v>130.30000000000001</v>
      </c>
      <c r="J87" s="70">
        <v>130.30000000000001</v>
      </c>
      <c r="K87" s="70">
        <v>126.1</v>
      </c>
      <c r="L87" s="70">
        <v>124.8</v>
      </c>
      <c r="M87" s="70">
        <v>125.7</v>
      </c>
      <c r="N87" s="70">
        <v>125.4</v>
      </c>
      <c r="O87" s="70">
        <v>124</v>
      </c>
      <c r="P87" s="70">
        <v>125.1</v>
      </c>
      <c r="Q87" s="70">
        <v>122.5</v>
      </c>
      <c r="R87" s="70">
        <v>126.6</v>
      </c>
      <c r="S87" s="70">
        <v>126.6</v>
      </c>
      <c r="T87" s="70">
        <v>125.3</v>
      </c>
      <c r="U87" s="70">
        <v>125.3</v>
      </c>
      <c r="V87" s="70">
        <v>129.30000000000001</v>
      </c>
      <c r="W87" s="70">
        <v>129.19999999999999</v>
      </c>
      <c r="X87" s="70">
        <v>129.30000000000001</v>
      </c>
      <c r="Y87" s="70">
        <v>125.9</v>
      </c>
      <c r="Z87" s="70">
        <v>125.9</v>
      </c>
      <c r="AA87" s="70">
        <v>122.8</v>
      </c>
      <c r="AB87" s="70">
        <v>126.9</v>
      </c>
      <c r="AC87" s="70">
        <v>126.6</v>
      </c>
      <c r="AD87" s="70">
        <v>121.1</v>
      </c>
      <c r="AE87" s="70">
        <v>125.5</v>
      </c>
      <c r="AF87" s="70">
        <v>127.4</v>
      </c>
      <c r="AG87" s="93"/>
      <c r="AH87" s="54">
        <f t="shared" si="17"/>
        <v>131.19999999999999</v>
      </c>
      <c r="AI87" s="55">
        <f t="shared" si="18"/>
        <v>121.1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131.69999999999999</v>
      </c>
      <c r="C88" s="70">
        <v>132.80000000000001</v>
      </c>
      <c r="D88" s="70">
        <v>132.80000000000001</v>
      </c>
      <c r="E88" s="70">
        <v>134.4</v>
      </c>
      <c r="F88" s="70">
        <v>135.30000000000001</v>
      </c>
      <c r="G88" s="70">
        <v>133.1</v>
      </c>
      <c r="H88" s="70">
        <v>133.1</v>
      </c>
      <c r="I88" s="70">
        <v>133.1</v>
      </c>
      <c r="J88" s="70">
        <v>133.1</v>
      </c>
      <c r="K88" s="70">
        <v>128.1</v>
      </c>
      <c r="L88" s="70">
        <v>127</v>
      </c>
      <c r="M88" s="70">
        <v>127.9</v>
      </c>
      <c r="N88" s="70">
        <v>128.5</v>
      </c>
      <c r="O88" s="70">
        <v>125.9</v>
      </c>
      <c r="P88" s="70">
        <v>125.9</v>
      </c>
      <c r="Q88" s="70">
        <v>124.1</v>
      </c>
      <c r="R88" s="70">
        <v>128</v>
      </c>
      <c r="S88" s="70">
        <v>128</v>
      </c>
      <c r="T88" s="70">
        <v>125.9</v>
      </c>
      <c r="U88" s="70">
        <v>125.9</v>
      </c>
      <c r="V88" s="70">
        <v>130.9</v>
      </c>
      <c r="W88" s="70">
        <v>131.30000000000001</v>
      </c>
      <c r="X88" s="70">
        <v>128.80000000000001</v>
      </c>
      <c r="Y88" s="70">
        <v>128.5</v>
      </c>
      <c r="Z88" s="70">
        <v>130</v>
      </c>
      <c r="AA88" s="70">
        <v>125.6</v>
      </c>
      <c r="AB88" s="70">
        <v>130</v>
      </c>
      <c r="AC88" s="70">
        <v>129.80000000000001</v>
      </c>
      <c r="AD88" s="70">
        <v>124.6</v>
      </c>
      <c r="AE88" s="70">
        <v>129.5</v>
      </c>
      <c r="AF88" s="70">
        <v>130.80000000000001</v>
      </c>
      <c r="AG88" s="93"/>
      <c r="AH88" s="54">
        <f t="shared" si="17"/>
        <v>135.30000000000001</v>
      </c>
      <c r="AI88" s="55">
        <f t="shared" si="18"/>
        <v>124.1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131.80000000000001</v>
      </c>
      <c r="C89" s="95">
        <v>132.19999999999999</v>
      </c>
      <c r="D89" s="95">
        <v>132.19999999999999</v>
      </c>
      <c r="E89" s="95">
        <v>127.3</v>
      </c>
      <c r="F89" s="95">
        <v>132.4</v>
      </c>
      <c r="G89" s="95">
        <v>129</v>
      </c>
      <c r="H89" s="95">
        <v>129</v>
      </c>
      <c r="I89" s="95">
        <v>129</v>
      </c>
      <c r="J89" s="95">
        <v>129</v>
      </c>
      <c r="K89" s="95">
        <v>130.4</v>
      </c>
      <c r="L89" s="95">
        <v>133</v>
      </c>
      <c r="M89" s="95">
        <v>132.5</v>
      </c>
      <c r="N89" s="95">
        <v>133.4</v>
      </c>
      <c r="O89" s="95">
        <v>129.4</v>
      </c>
      <c r="P89" s="95">
        <v>128.9</v>
      </c>
      <c r="Q89" s="95">
        <v>129.9</v>
      </c>
      <c r="R89" s="95">
        <v>129.30000000000001</v>
      </c>
      <c r="S89" s="95">
        <v>129.30000000000001</v>
      </c>
      <c r="T89" s="95">
        <v>134.9</v>
      </c>
      <c r="U89" s="95">
        <v>134.9</v>
      </c>
      <c r="V89" s="95">
        <v>133.80000000000001</v>
      </c>
      <c r="W89" s="95">
        <v>129</v>
      </c>
      <c r="X89" s="95">
        <v>131.80000000000001</v>
      </c>
      <c r="Y89" s="95">
        <v>130.1</v>
      </c>
      <c r="Z89" s="95">
        <v>132.4</v>
      </c>
      <c r="AA89" s="95">
        <v>129.6</v>
      </c>
      <c r="AB89" s="95">
        <v>132.80000000000001</v>
      </c>
      <c r="AC89" s="95">
        <v>133</v>
      </c>
      <c r="AD89" s="95">
        <v>132.69999999999999</v>
      </c>
      <c r="AE89" s="95">
        <v>129.80000000000001</v>
      </c>
      <c r="AF89" s="95">
        <v>132.4</v>
      </c>
      <c r="AG89" s="96"/>
      <c r="AH89" s="54">
        <f t="shared" si="17"/>
        <v>134.9</v>
      </c>
      <c r="AI89" s="55">
        <f t="shared" si="18"/>
        <v>127.3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128.6</v>
      </c>
      <c r="C90" s="70">
        <v>126.5</v>
      </c>
      <c r="D90" s="70">
        <v>126.5</v>
      </c>
      <c r="E90" s="70">
        <v>121.4</v>
      </c>
      <c r="F90" s="70">
        <v>130.69999999999999</v>
      </c>
      <c r="G90" s="70">
        <v>122.1</v>
      </c>
      <c r="H90" s="70">
        <v>122.1</v>
      </c>
      <c r="I90" s="70">
        <v>122.1</v>
      </c>
      <c r="J90" s="70">
        <v>122.1</v>
      </c>
      <c r="K90" s="70">
        <v>131.6</v>
      </c>
      <c r="L90" s="70">
        <v>129</v>
      </c>
      <c r="M90" s="70">
        <v>128.9</v>
      </c>
      <c r="N90" s="70">
        <v>126.6</v>
      </c>
      <c r="O90" s="70">
        <v>120.4</v>
      </c>
      <c r="P90" s="70">
        <v>126.4</v>
      </c>
      <c r="Q90" s="70">
        <v>128.19999999999999</v>
      </c>
      <c r="R90" s="70">
        <v>125.2</v>
      </c>
      <c r="S90" s="70">
        <v>125.2</v>
      </c>
      <c r="T90" s="70">
        <v>135.19999999999999</v>
      </c>
      <c r="U90" s="70">
        <v>135.19999999999999</v>
      </c>
      <c r="V90" s="70">
        <v>133.80000000000001</v>
      </c>
      <c r="W90" s="70">
        <v>121.7</v>
      </c>
      <c r="X90" s="70">
        <v>128.69999999999999</v>
      </c>
      <c r="Y90" s="70">
        <v>127.6</v>
      </c>
      <c r="Z90" s="70">
        <v>125.6</v>
      </c>
      <c r="AA90" s="70">
        <v>123.7</v>
      </c>
      <c r="AB90" s="70">
        <v>132.1</v>
      </c>
      <c r="AC90" s="70">
        <v>128.5</v>
      </c>
      <c r="AD90" s="70">
        <v>129.30000000000001</v>
      </c>
      <c r="AE90" s="70">
        <v>126.9</v>
      </c>
      <c r="AF90" s="70">
        <v>129.9</v>
      </c>
      <c r="AG90" s="93"/>
      <c r="AH90" s="54">
        <f t="shared" si="17"/>
        <v>135.19999999999999</v>
      </c>
      <c r="AI90" s="55">
        <f t="shared" si="18"/>
        <v>120.4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64.3</v>
      </c>
      <c r="C91" s="97">
        <v>64.099999999999994</v>
      </c>
      <c r="D91" s="97">
        <v>64.099999999999994</v>
      </c>
      <c r="E91" s="97">
        <v>63.7</v>
      </c>
      <c r="F91" s="97">
        <v>64.400000000000006</v>
      </c>
      <c r="G91" s="97">
        <v>64.400000000000006</v>
      </c>
      <c r="H91" s="97">
        <v>64.400000000000006</v>
      </c>
      <c r="I91" s="97">
        <v>64.400000000000006</v>
      </c>
      <c r="J91" s="97">
        <v>64.400000000000006</v>
      </c>
      <c r="K91" s="97">
        <v>62.6</v>
      </c>
      <c r="L91" s="97">
        <v>62.8</v>
      </c>
      <c r="M91" s="97">
        <v>62.5</v>
      </c>
      <c r="N91" s="97">
        <v>62.9</v>
      </c>
      <c r="O91" s="97">
        <v>61.9</v>
      </c>
      <c r="P91" s="97">
        <v>61.3</v>
      </c>
      <c r="Q91" s="97">
        <v>62</v>
      </c>
      <c r="R91" s="97">
        <v>61.9</v>
      </c>
      <c r="S91" s="97">
        <v>61.9</v>
      </c>
      <c r="T91" s="97">
        <v>63.4</v>
      </c>
      <c r="U91" s="97">
        <v>63.4</v>
      </c>
      <c r="V91" s="97">
        <v>63.5</v>
      </c>
      <c r="W91" s="97">
        <v>63.6</v>
      </c>
      <c r="X91" s="97">
        <v>63.6</v>
      </c>
      <c r="Y91" s="97">
        <v>63.3</v>
      </c>
      <c r="Z91" s="97">
        <v>63.6</v>
      </c>
      <c r="AA91" s="97">
        <v>63.1</v>
      </c>
      <c r="AB91" s="97">
        <v>63.6</v>
      </c>
      <c r="AC91" s="97">
        <v>64.099999999999994</v>
      </c>
      <c r="AD91" s="97">
        <v>64.7</v>
      </c>
      <c r="AE91" s="97">
        <v>64.900000000000006</v>
      </c>
      <c r="AF91" s="97">
        <v>64.8</v>
      </c>
      <c r="AG91" s="98"/>
      <c r="AH91" s="54">
        <f t="shared" si="17"/>
        <v>64.900000000000006</v>
      </c>
      <c r="AI91" s="55">
        <f t="shared" si="18"/>
        <v>61.3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22">SUM(B15,B18,B21:B22,B42,B44:B45,B47,B49,B94:B97,B103,B109,B115,B124,B126,B138,B145,B148:B149,B156,B158,B160,B164:B166,B168:B170,B175,B181:B182,B184:B186,B194,B199)</f>
        <v>162.14000000000001</v>
      </c>
      <c r="C93" s="103">
        <f t="shared" ref="C93:AF93" si="23">SUM(C15,C18,C21:C22,C42,C44:C45,C47,C49,C94:C97,C103,C109,C115,C124,C126,C138,C145,C148:C149,C156,C158,C160,C164:C166,C168:C170,C175,C181:C182,C184:C186,C194,C199)</f>
        <v>151.83999999999997</v>
      </c>
      <c r="D93" s="103">
        <f t="shared" si="23"/>
        <v>152.83999999999997</v>
      </c>
      <c r="E93" s="103">
        <f t="shared" si="23"/>
        <v>129.83999999999997</v>
      </c>
      <c r="F93" s="103">
        <f t="shared" si="23"/>
        <v>139.23999999999998</v>
      </c>
      <c r="G93" s="103">
        <f t="shared" si="23"/>
        <v>168.93999999999997</v>
      </c>
      <c r="H93" s="103">
        <f t="shared" si="23"/>
        <v>202.83999999999997</v>
      </c>
      <c r="I93" s="103">
        <f t="shared" si="23"/>
        <v>231.33999999999997</v>
      </c>
      <c r="J93" s="103">
        <f t="shared" si="23"/>
        <v>263.94</v>
      </c>
      <c r="K93" s="103">
        <f t="shared" si="23"/>
        <v>291.24</v>
      </c>
      <c r="L93" s="103">
        <f t="shared" si="23"/>
        <v>296.64000000000004</v>
      </c>
      <c r="M93" s="103">
        <f t="shared" si="23"/>
        <v>295.44000000000005</v>
      </c>
      <c r="N93" s="103">
        <f t="shared" si="23"/>
        <v>298.14</v>
      </c>
      <c r="O93" s="103">
        <f t="shared" si="23"/>
        <v>291.04000000000008</v>
      </c>
      <c r="P93" s="103">
        <f t="shared" si="23"/>
        <v>298.74</v>
      </c>
      <c r="Q93" s="103">
        <f t="shared" si="23"/>
        <v>291.24</v>
      </c>
      <c r="R93" s="103">
        <f t="shared" si="23"/>
        <v>277.04000000000002</v>
      </c>
      <c r="S93" s="103">
        <f t="shared" si="23"/>
        <v>265.94</v>
      </c>
      <c r="T93" s="103">
        <f t="shared" si="23"/>
        <v>262.14000000000004</v>
      </c>
      <c r="U93" s="103">
        <f t="shared" si="23"/>
        <v>263.14000000000004</v>
      </c>
      <c r="V93" s="103">
        <f t="shared" si="23"/>
        <v>251.64</v>
      </c>
      <c r="W93" s="103">
        <f>SUM(W15,W18,W21:W22,W42,W44:W45,W47,W49,W94:W97,W103,W109,W115,W124,W126,W138,W145,W148:W149,W156,W158,W160,W164:W166,W168:W170,W175,W181:W182,W184:W186,W194,W199)</f>
        <v>267.84000000000003</v>
      </c>
      <c r="X93" s="103">
        <f>SUM(X15,X18,X21:X22,X42,X44:X45,X47,X49,X94:X97,X103,X109,X115,X124,X126,X138,X145,X148:X149,X156,X158,X160,X164:X166,X168:X170,X175,X181:X182,X184:X186,X194,X199)</f>
        <v>267.24</v>
      </c>
      <c r="Y93" s="103">
        <f t="shared" si="23"/>
        <v>299.24</v>
      </c>
      <c r="Z93" s="103">
        <f t="shared" si="23"/>
        <v>322.54000000000008</v>
      </c>
      <c r="AA93" s="103">
        <v>391.69708333333335</v>
      </c>
      <c r="AB93" s="103">
        <f t="shared" si="23"/>
        <v>321.14</v>
      </c>
      <c r="AC93" s="103">
        <f t="shared" si="23"/>
        <v>304.04000000000008</v>
      </c>
      <c r="AD93" s="103">
        <f t="shared" si="23"/>
        <v>264.53999999999996</v>
      </c>
      <c r="AE93" s="103">
        <f t="shared" si="23"/>
        <v>204.64</v>
      </c>
      <c r="AF93" s="103">
        <f t="shared" si="23"/>
        <v>158.23999999999998</v>
      </c>
      <c r="AG93" s="104"/>
      <c r="AH93" s="54">
        <f>MAX(C93:AF93)</f>
        <v>391.69708333333335</v>
      </c>
      <c r="AI93" s="55">
        <f>MIN(C93:AF93)</f>
        <v>129.83999999999997</v>
      </c>
    </row>
    <row r="94" spans="1:88" x14ac:dyDescent="0.25">
      <c r="A94" s="105" t="s">
        <v>99</v>
      </c>
      <c r="B94" s="106">
        <v>45.2</v>
      </c>
      <c r="C94" s="106">
        <v>42.5</v>
      </c>
      <c r="D94" s="106">
        <v>43.5</v>
      </c>
      <c r="E94" s="106">
        <v>37</v>
      </c>
      <c r="F94" s="106">
        <v>37.1</v>
      </c>
      <c r="G94" s="106">
        <v>37.6</v>
      </c>
      <c r="H94" s="106">
        <v>38</v>
      </c>
      <c r="I94" s="106">
        <v>35</v>
      </c>
      <c r="J94" s="106">
        <v>37.6</v>
      </c>
      <c r="K94" s="106">
        <v>40</v>
      </c>
      <c r="L94" s="106">
        <v>47.7</v>
      </c>
      <c r="M94" s="106">
        <v>37.200000000000003</v>
      </c>
      <c r="N94" s="106">
        <v>40.6</v>
      </c>
      <c r="O94" s="106">
        <v>28.8</v>
      </c>
      <c r="P94" s="106">
        <v>24.2</v>
      </c>
      <c r="Q94" s="106">
        <v>37.1</v>
      </c>
      <c r="R94" s="106">
        <v>29</v>
      </c>
      <c r="S94" s="106">
        <v>24</v>
      </c>
      <c r="T94" s="106">
        <v>31.4</v>
      </c>
      <c r="U94" s="106">
        <v>32.4</v>
      </c>
      <c r="V94" s="106">
        <v>18.899999999999999</v>
      </c>
      <c r="W94" s="106">
        <v>20.7</v>
      </c>
      <c r="X94" s="106">
        <v>20</v>
      </c>
      <c r="Y94" s="106">
        <v>31.1</v>
      </c>
      <c r="Z94" s="106">
        <v>53.1</v>
      </c>
      <c r="AA94" s="106">
        <v>28.9</v>
      </c>
      <c r="AB94" s="106">
        <v>23.4</v>
      </c>
      <c r="AC94" s="106">
        <v>24.4</v>
      </c>
      <c r="AD94" s="106">
        <v>21.2</v>
      </c>
      <c r="AE94" s="106">
        <v>31.9</v>
      </c>
      <c r="AF94" s="106">
        <v>40.5</v>
      </c>
      <c r="AG94" s="107">
        <v>75</v>
      </c>
      <c r="AH94" s="54">
        <f t="shared" ref="AH94:AH100" si="24">IF(ABS(MAX(C94:AF94))&gt;ABS(MIN(C94:AF94)),MAX(C94:AF94),MIN(C94:AF94))</f>
        <v>53.1</v>
      </c>
      <c r="AI94" s="108">
        <f t="shared" ref="AI94:AI100" si="25">INDEX($C$9:$AF$9,1,MATCH(AH94,C94:AF94,0))</f>
        <v>0.79166666666666663</v>
      </c>
    </row>
    <row r="95" spans="1:88" x14ac:dyDescent="0.25">
      <c r="A95" s="109" t="s">
        <v>100</v>
      </c>
      <c r="B95" s="110">
        <f>-57.4-60.9</f>
        <v>-118.3</v>
      </c>
      <c r="C95" s="110">
        <f>-56.2-59.3</f>
        <v>-115.5</v>
      </c>
      <c r="D95" s="110">
        <f t="shared" ref="D95" si="26">-56.2-59.3</f>
        <v>-115.5</v>
      </c>
      <c r="E95" s="110">
        <v>-118</v>
      </c>
      <c r="F95" s="110">
        <v>-110</v>
      </c>
      <c r="G95" s="110">
        <v>-85</v>
      </c>
      <c r="H95" s="110">
        <v>-56</v>
      </c>
      <c r="I95" s="110">
        <v>-85</v>
      </c>
      <c r="J95" s="110">
        <v>-60</v>
      </c>
      <c r="K95" s="110">
        <v>-49</v>
      </c>
      <c r="L95" s="110">
        <v>-51</v>
      </c>
      <c r="M95" s="110">
        <v>-54</v>
      </c>
      <c r="N95" s="110">
        <v>-55.8</v>
      </c>
      <c r="O95" s="110">
        <v>-57.8</v>
      </c>
      <c r="P95" s="110">
        <v>-58.9</v>
      </c>
      <c r="Q95" s="110">
        <v>-64</v>
      </c>
      <c r="R95" s="110">
        <v>-68</v>
      </c>
      <c r="S95" s="110">
        <v>-66</v>
      </c>
      <c r="T95" s="110">
        <f>-35-40.4</f>
        <v>-75.400000000000006</v>
      </c>
      <c r="U95" s="110">
        <f>-35-40.4</f>
        <v>-75.400000000000006</v>
      </c>
      <c r="V95" s="110">
        <f>-26.4-33.5</f>
        <v>-59.9</v>
      </c>
      <c r="W95" s="110">
        <f>-30.2-34.9</f>
        <v>-65.099999999999994</v>
      </c>
      <c r="X95" s="110">
        <f>-30.2-34.8</f>
        <v>-65</v>
      </c>
      <c r="Y95" s="110">
        <f>-26.9-30.8</f>
        <v>-57.7</v>
      </c>
      <c r="Z95" s="110">
        <f>-21.4-27.4</f>
        <v>-48.8</v>
      </c>
      <c r="AA95" s="110">
        <v>-42.8</v>
      </c>
      <c r="AB95" s="110">
        <f>-23-29</f>
        <v>-52</v>
      </c>
      <c r="AC95" s="110">
        <f>-26.9-34.1</f>
        <v>-61</v>
      </c>
      <c r="AD95" s="110">
        <f>-33.6-38.7</f>
        <v>-72.300000000000011</v>
      </c>
      <c r="AE95" s="110">
        <f>-47.1-55.7</f>
        <v>-102.80000000000001</v>
      </c>
      <c r="AF95" s="110">
        <f>-51.4-56.5</f>
        <v>-107.9</v>
      </c>
      <c r="AG95" s="107">
        <v>240</v>
      </c>
      <c r="AH95" s="54">
        <f t="shared" si="24"/>
        <v>-118</v>
      </c>
      <c r="AI95" s="108">
        <f t="shared" si="25"/>
        <v>0.125</v>
      </c>
    </row>
    <row r="96" spans="1:88" x14ac:dyDescent="0.25">
      <c r="A96" s="109" t="s">
        <v>101</v>
      </c>
      <c r="B96" s="110">
        <v>1</v>
      </c>
      <c r="C96" s="110">
        <v>0.5</v>
      </c>
      <c r="D96" s="110">
        <v>0.5</v>
      </c>
      <c r="E96" s="110">
        <v>0</v>
      </c>
      <c r="F96" s="110">
        <v>1.3</v>
      </c>
      <c r="G96" s="110">
        <v>5.5</v>
      </c>
      <c r="H96" s="110">
        <v>10</v>
      </c>
      <c r="I96" s="110">
        <v>5.5</v>
      </c>
      <c r="J96" s="110">
        <v>5.5</v>
      </c>
      <c r="K96" s="110">
        <v>11.1</v>
      </c>
      <c r="L96" s="110">
        <v>12</v>
      </c>
      <c r="M96" s="110">
        <v>14.6</v>
      </c>
      <c r="N96" s="110">
        <v>18.7</v>
      </c>
      <c r="O96" s="110">
        <v>20</v>
      </c>
      <c r="P96" s="110">
        <v>19.7</v>
      </c>
      <c r="Q96" s="110">
        <v>15.4</v>
      </c>
      <c r="R96" s="110">
        <v>16.399999999999999</v>
      </c>
      <c r="S96" s="110">
        <v>18</v>
      </c>
      <c r="T96" s="110">
        <v>28.5</v>
      </c>
      <c r="U96" s="110">
        <v>28.5</v>
      </c>
      <c r="V96" s="110">
        <v>38.1</v>
      </c>
      <c r="W96" s="110">
        <v>23.8</v>
      </c>
      <c r="X96" s="110">
        <v>24.1</v>
      </c>
      <c r="Y96" s="110">
        <v>23.1</v>
      </c>
      <c r="Z96" s="110">
        <v>33.799999999999997</v>
      </c>
      <c r="AA96" s="110">
        <v>45.2</v>
      </c>
      <c r="AB96" s="110">
        <v>34.799999999999997</v>
      </c>
      <c r="AC96" s="110">
        <v>32.700000000000003</v>
      </c>
      <c r="AD96" s="110">
        <v>20.7</v>
      </c>
      <c r="AE96" s="110">
        <v>17.399999999999999</v>
      </c>
      <c r="AF96" s="110">
        <v>4.3</v>
      </c>
      <c r="AG96" s="107">
        <v>60</v>
      </c>
      <c r="AH96" s="54">
        <f t="shared" si="24"/>
        <v>45.2</v>
      </c>
      <c r="AI96" s="108">
        <f t="shared" si="25"/>
        <v>0.8125</v>
      </c>
    </row>
    <row r="97" spans="1:37" x14ac:dyDescent="0.25">
      <c r="A97" s="111" t="s">
        <v>102</v>
      </c>
      <c r="B97" s="112">
        <v>23.5</v>
      </c>
      <c r="C97" s="112">
        <v>13.5</v>
      </c>
      <c r="D97" s="112">
        <v>13.5</v>
      </c>
      <c r="E97" s="112">
        <v>0</v>
      </c>
      <c r="F97" s="112">
        <v>0</v>
      </c>
      <c r="G97" s="112">
        <v>0</v>
      </c>
      <c r="H97" s="112">
        <v>0</v>
      </c>
      <c r="I97" s="112">
        <v>65</v>
      </c>
      <c r="J97" s="112">
        <v>70</v>
      </c>
      <c r="K97" s="112">
        <v>78.3</v>
      </c>
      <c r="L97" s="112">
        <v>77.8</v>
      </c>
      <c r="M97" s="112">
        <v>84</v>
      </c>
      <c r="N97" s="112">
        <v>80.099999999999994</v>
      </c>
      <c r="O97" s="112">
        <v>86.1</v>
      </c>
      <c r="P97" s="112">
        <v>102.9</v>
      </c>
      <c r="Q97" s="112">
        <v>93.3</v>
      </c>
      <c r="R97" s="112">
        <v>91.7</v>
      </c>
      <c r="S97" s="112">
        <v>82</v>
      </c>
      <c r="T97" s="112">
        <v>69.7</v>
      </c>
      <c r="U97" s="112">
        <v>69.7</v>
      </c>
      <c r="V97" s="112">
        <v>68.8</v>
      </c>
      <c r="W97" s="112">
        <v>69.2</v>
      </c>
      <c r="X97" s="112">
        <v>68.900000000000006</v>
      </c>
      <c r="Y97" s="112">
        <v>82.7</v>
      </c>
      <c r="Z97" s="112">
        <v>64.400000000000006</v>
      </c>
      <c r="AA97" s="112">
        <v>99.9</v>
      </c>
      <c r="AB97" s="112">
        <v>91.6</v>
      </c>
      <c r="AC97" s="112">
        <v>84.6</v>
      </c>
      <c r="AD97" s="112">
        <v>71.599999999999994</v>
      </c>
      <c r="AE97" s="112">
        <v>34.799999999999997</v>
      </c>
      <c r="AF97" s="112">
        <v>0</v>
      </c>
      <c r="AG97" s="113">
        <v>120</v>
      </c>
      <c r="AH97" s="54">
        <f t="shared" si="24"/>
        <v>102.9</v>
      </c>
      <c r="AI97" s="108">
        <f t="shared" si="25"/>
        <v>0.45833333333333298</v>
      </c>
    </row>
    <row r="98" spans="1:37" x14ac:dyDescent="0.25">
      <c r="A98" s="111" t="s">
        <v>103</v>
      </c>
      <c r="B98" s="112">
        <v>49.2</v>
      </c>
      <c r="C98" s="112">
        <v>47.6</v>
      </c>
      <c r="D98" s="112">
        <v>47.6</v>
      </c>
      <c r="E98" s="112">
        <v>54.1</v>
      </c>
      <c r="F98" s="112">
        <v>55.7</v>
      </c>
      <c r="G98" s="112">
        <v>65.599999999999994</v>
      </c>
      <c r="H98" s="112">
        <v>65.599999999999994</v>
      </c>
      <c r="I98" s="112">
        <v>65.599999999999994</v>
      </c>
      <c r="J98" s="112">
        <v>65.599999999999994</v>
      </c>
      <c r="K98" s="112">
        <v>85.6</v>
      </c>
      <c r="L98" s="112">
        <v>85.5</v>
      </c>
      <c r="M98" s="112">
        <v>93</v>
      </c>
      <c r="N98" s="112">
        <v>89.1</v>
      </c>
      <c r="O98" s="112">
        <v>98</v>
      </c>
      <c r="P98" s="112">
        <v>106</v>
      </c>
      <c r="Q98" s="112">
        <v>96</v>
      </c>
      <c r="R98" s="112">
        <v>100</v>
      </c>
      <c r="S98" s="112">
        <v>88</v>
      </c>
      <c r="T98" s="112">
        <v>84.2</v>
      </c>
      <c r="U98" s="112">
        <v>84.2</v>
      </c>
      <c r="V98" s="112">
        <v>79.900000000000006</v>
      </c>
      <c r="W98" s="112">
        <v>80.400000000000006</v>
      </c>
      <c r="X98" s="112">
        <v>79.2</v>
      </c>
      <c r="Y98" s="112">
        <v>83.4</v>
      </c>
      <c r="Z98" s="112">
        <v>63.8</v>
      </c>
      <c r="AA98" s="112">
        <v>90.4</v>
      </c>
      <c r="AB98" s="112">
        <v>88</v>
      </c>
      <c r="AC98" s="112">
        <v>85.3</v>
      </c>
      <c r="AD98" s="112">
        <v>74</v>
      </c>
      <c r="AE98" s="112">
        <v>56</v>
      </c>
      <c r="AF98" s="112">
        <v>53.4</v>
      </c>
      <c r="AG98" s="113"/>
      <c r="AH98" s="54">
        <f t="shared" si="24"/>
        <v>106</v>
      </c>
      <c r="AI98" s="108">
        <f t="shared" si="25"/>
        <v>0.45833333333333298</v>
      </c>
    </row>
    <row r="99" spans="1:37" x14ac:dyDescent="0.25">
      <c r="A99" s="111" t="s">
        <v>104</v>
      </c>
      <c r="B99" s="112">
        <v>72.099999999999994</v>
      </c>
      <c r="C99" s="112">
        <v>68.5</v>
      </c>
      <c r="D99" s="112">
        <v>68.5</v>
      </c>
      <c r="E99" s="112">
        <v>68.099999999999994</v>
      </c>
      <c r="F99" s="112">
        <v>70.8</v>
      </c>
      <c r="G99" s="112">
        <v>76.7</v>
      </c>
      <c r="H99" s="112">
        <v>79</v>
      </c>
      <c r="I99" s="112">
        <v>81</v>
      </c>
      <c r="J99" s="112">
        <v>82</v>
      </c>
      <c r="K99" s="112">
        <v>70.8</v>
      </c>
      <c r="L99" s="112">
        <v>61.7</v>
      </c>
      <c r="M99" s="112">
        <v>75</v>
      </c>
      <c r="N99" s="112">
        <v>68.099999999999994</v>
      </c>
      <c r="O99" s="112">
        <v>77.400000000000006</v>
      </c>
      <c r="P99" s="112">
        <v>77.099999999999994</v>
      </c>
      <c r="Q99" s="112">
        <v>62.2</v>
      </c>
      <c r="R99" s="112">
        <v>76</v>
      </c>
      <c r="S99" s="112">
        <v>81</v>
      </c>
      <c r="T99" s="112">
        <v>74.599999999999994</v>
      </c>
      <c r="U99" s="112">
        <v>74.599999999999994</v>
      </c>
      <c r="V99" s="112">
        <v>80.7</v>
      </c>
      <c r="W99" s="112">
        <v>75.8</v>
      </c>
      <c r="X99" s="112">
        <v>76.7</v>
      </c>
      <c r="Y99" s="112">
        <v>68.3</v>
      </c>
      <c r="Z99" s="112">
        <v>46.4</v>
      </c>
      <c r="AA99" s="112">
        <v>81.7</v>
      </c>
      <c r="AB99" s="112">
        <v>79.2</v>
      </c>
      <c r="AC99" s="112">
        <v>84</v>
      </c>
      <c r="AD99" s="112">
        <v>81</v>
      </c>
      <c r="AE99" s="112">
        <v>74.2</v>
      </c>
      <c r="AF99" s="112">
        <v>51.2</v>
      </c>
      <c r="AG99" s="114"/>
      <c r="AH99" s="54">
        <f t="shared" si="24"/>
        <v>84</v>
      </c>
      <c r="AI99" s="108">
        <f t="shared" si="25"/>
        <v>0.85416666666666663</v>
      </c>
    </row>
    <row r="100" spans="1:37" ht="15.75" thickBot="1" x14ac:dyDescent="0.3">
      <c r="A100" s="115" t="s">
        <v>105</v>
      </c>
      <c r="B100" s="95">
        <v>71.599999999999994</v>
      </c>
      <c r="C100" s="95">
        <v>69.900000000000006</v>
      </c>
      <c r="D100" s="95">
        <v>69.900000000000006</v>
      </c>
      <c r="E100" s="95">
        <v>64.099999999999994</v>
      </c>
      <c r="F100" s="95">
        <v>57.5</v>
      </c>
      <c r="G100" s="95">
        <v>46.6</v>
      </c>
      <c r="H100" s="95">
        <v>45</v>
      </c>
      <c r="I100" s="95">
        <v>56</v>
      </c>
      <c r="J100" s="95">
        <v>62</v>
      </c>
      <c r="K100" s="95">
        <v>64</v>
      </c>
      <c r="L100" s="95">
        <v>63.9</v>
      </c>
      <c r="M100" s="95">
        <v>64</v>
      </c>
      <c r="N100" s="95">
        <v>64.099999999999994</v>
      </c>
      <c r="O100" s="95">
        <v>63</v>
      </c>
      <c r="P100" s="95">
        <v>70.400000000000006</v>
      </c>
      <c r="Q100" s="95">
        <v>72</v>
      </c>
      <c r="R100" s="95">
        <v>67</v>
      </c>
      <c r="S100" s="95">
        <v>77</v>
      </c>
      <c r="T100" s="95">
        <v>76.400000000000006</v>
      </c>
      <c r="U100" s="95">
        <v>76.400000000000006</v>
      </c>
      <c r="V100" s="95">
        <v>56.4</v>
      </c>
      <c r="W100" s="95">
        <v>46.5</v>
      </c>
      <c r="X100" s="95">
        <v>46</v>
      </c>
      <c r="Y100" s="95">
        <v>62</v>
      </c>
      <c r="Z100" s="95">
        <v>68.8</v>
      </c>
      <c r="AA100" s="95">
        <v>80.900000000000006</v>
      </c>
      <c r="AB100" s="95">
        <v>70</v>
      </c>
      <c r="AC100" s="95">
        <v>75.2</v>
      </c>
      <c r="AD100" s="95">
        <v>77</v>
      </c>
      <c r="AE100" s="95">
        <v>68</v>
      </c>
      <c r="AF100" s="95">
        <v>70</v>
      </c>
      <c r="AG100" s="114"/>
      <c r="AH100" s="54">
        <f t="shared" si="24"/>
        <v>80.900000000000006</v>
      </c>
      <c r="AI100" s="108">
        <f t="shared" si="25"/>
        <v>0.8125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7">AF102</f>
        <v>9.9</v>
      </c>
      <c r="C102" s="53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131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3"/>
        <v>0.04</v>
      </c>
      <c r="C190" s="53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3"/>
        <v>2.3E-2</v>
      </c>
      <c r="C191" s="53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1415.04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17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2079/02/17)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2079/02/17)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3">B75</f>
        <v>1351.8400000000001</v>
      </c>
      <c r="U214" s="161">
        <f t="shared" si="63"/>
        <v>1289.44</v>
      </c>
      <c r="V214" s="161">
        <f t="shared" si="63"/>
        <v>1289.44</v>
      </c>
      <c r="W214" s="161">
        <f t="shared" si="63"/>
        <v>1280.8400000000001</v>
      </c>
      <c r="X214" s="161">
        <f t="shared" si="63"/>
        <v>1267.3400000000001</v>
      </c>
      <c r="Y214" s="161">
        <f t="shared" si="63"/>
        <v>1265.1400000000001</v>
      </c>
      <c r="Z214" s="161">
        <f t="shared" si="63"/>
        <v>1273.3400000000001</v>
      </c>
      <c r="AA214" s="161">
        <f t="shared" si="63"/>
        <v>1274.24</v>
      </c>
      <c r="AB214" s="161">
        <f t="shared" si="63"/>
        <v>1301.24</v>
      </c>
      <c r="AC214" s="161">
        <f t="shared" si="63"/>
        <v>1395.3400000000001</v>
      </c>
      <c r="AD214" s="161">
        <f t="shared" si="63"/>
        <v>1400.6399999999999</v>
      </c>
      <c r="AE214" s="161">
        <f t="shared" si="63"/>
        <v>1412.8400000000001</v>
      </c>
      <c r="AF214" s="161">
        <f t="shared" si="63"/>
        <v>1415.04</v>
      </c>
      <c r="AG214" s="161">
        <f t="shared" si="63"/>
        <v>1457.8400000000001</v>
      </c>
      <c r="AH214" s="161">
        <f t="shared" si="63"/>
        <v>1490.8400000000001</v>
      </c>
      <c r="AI214" s="161">
        <f t="shared" si="63"/>
        <v>1444.3400000000001</v>
      </c>
      <c r="AJ214" s="161">
        <f t="shared" si="63"/>
        <v>1452.7400000000002</v>
      </c>
      <c r="AK214" s="161">
        <f t="shared" si="63"/>
        <v>1460.54</v>
      </c>
      <c r="AL214" s="161">
        <f t="shared" si="63"/>
        <v>1489.6399999999999</v>
      </c>
      <c r="AM214" s="161">
        <f t="shared" si="63"/>
        <v>1497.6399999999999</v>
      </c>
      <c r="AN214" s="161">
        <f t="shared" si="63"/>
        <v>1395.94</v>
      </c>
      <c r="AO214" s="161">
        <f t="shared" si="63"/>
        <v>1372.8400000000001</v>
      </c>
      <c r="AP214" s="161">
        <f t="shared" si="63"/>
        <v>1361.94</v>
      </c>
      <c r="AQ214" s="161">
        <f t="shared" si="63"/>
        <v>1407.44</v>
      </c>
      <c r="AR214" s="161">
        <f t="shared" si="63"/>
        <v>1472.7399999999998</v>
      </c>
      <c r="AS214" s="161">
        <f t="shared" si="63"/>
        <v>1592.04</v>
      </c>
      <c r="AT214" s="161">
        <f t="shared" si="63"/>
        <v>1569.94</v>
      </c>
      <c r="AU214" s="161">
        <f t="shared" si="63"/>
        <v>1538.24</v>
      </c>
      <c r="AV214" s="161">
        <f t="shared" si="63"/>
        <v>1455.3400000000001</v>
      </c>
      <c r="AW214" s="161">
        <f t="shared" si="63"/>
        <v>1456.04</v>
      </c>
      <c r="AX214" s="161">
        <f t="shared" si="63"/>
        <v>1368.1399999999999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J74:AF74 AA11:AF11">
    <cfRule type="expression" dxfId="2917" priority="313">
      <formula>B$9&gt;=20/24</formula>
    </cfRule>
    <cfRule type="expression" dxfId="2916" priority="314">
      <formula>AND(B$9&gt;=14/24,B$9&lt;20/24)</formula>
    </cfRule>
    <cfRule type="expression" dxfId="2915" priority="315">
      <formula>AND(B$9&gt;=8/24,B$9&lt;14/24)</formula>
    </cfRule>
    <cfRule type="expression" dxfId="2914" priority="316">
      <formula>B$9&lt;8/24</formula>
    </cfRule>
  </conditionalFormatting>
  <conditionalFormatting sqref="AL4:AL6">
    <cfRule type="iconSet" priority="312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2913" priority="308">
      <formula>AA$9&gt;=20/24</formula>
    </cfRule>
    <cfRule type="expression" dxfId="2912" priority="309">
      <formula>AND(AA$9&gt;=14/24,AA$9&lt;20/24)</formula>
    </cfRule>
    <cfRule type="expression" dxfId="2911" priority="310">
      <formula>AND(AA$9&gt;=8/24,AA$9&lt;14/24)</formula>
    </cfRule>
    <cfRule type="expression" dxfId="2910" priority="311">
      <formula>AA$9&lt;8/24</formula>
    </cfRule>
  </conditionalFormatting>
  <conditionalFormatting sqref="AG51 AA37:AF37 M11:U11 AA11:AF11">
    <cfRule type="expression" dxfId="2909" priority="307">
      <formula>M11&gt;$AG11</formula>
    </cfRule>
  </conditionalFormatting>
  <conditionalFormatting sqref="A101:A157 A84:A97 A11:A14 A16:A32 A45:A72 A80:A82 A74:A78 A35:A43 A170:A200">
    <cfRule type="expression" dxfId="2908" priority="306">
      <formula>$AH11=0</formula>
    </cfRule>
  </conditionalFormatting>
  <conditionalFormatting sqref="A98">
    <cfRule type="expression" dxfId="2907" priority="305">
      <formula>$AH98=0</formula>
    </cfRule>
  </conditionalFormatting>
  <conditionalFormatting sqref="AL32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906" priority="303">
      <formula>$AH34=0</formula>
    </cfRule>
  </conditionalFormatting>
  <conditionalFormatting sqref="A83">
    <cfRule type="expression" dxfId="2905" priority="302">
      <formula>$AH83=0</formula>
    </cfRule>
  </conditionalFormatting>
  <conditionalFormatting sqref="A15">
    <cfRule type="expression" dxfId="2904" priority="301">
      <formula>$AH15=0</formula>
    </cfRule>
  </conditionalFormatting>
  <conditionalFormatting sqref="A164:A169">
    <cfRule type="expression" dxfId="2903" priority="300">
      <formula>$AH164=0</formula>
    </cfRule>
  </conditionalFormatting>
  <conditionalFormatting sqref="A158:A163">
    <cfRule type="expression" dxfId="2902" priority="299">
      <formula>$AH158=0</formula>
    </cfRule>
  </conditionalFormatting>
  <conditionalFormatting sqref="A44">
    <cfRule type="expression" dxfId="2901" priority="298">
      <formula>$AH44=0</formula>
    </cfRule>
  </conditionalFormatting>
  <conditionalFormatting sqref="A79">
    <cfRule type="expression" dxfId="2900" priority="297">
      <formula>$AH79=0</formula>
    </cfRule>
  </conditionalFormatting>
  <conditionalFormatting sqref="A73">
    <cfRule type="expression" dxfId="2899" priority="296">
      <formula>$AH73=0</formula>
    </cfRule>
  </conditionalFormatting>
  <conditionalFormatting sqref="AL34:AL35 AL7:AL31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898" priority="292">
      <formula>C$9&gt;=20/24</formula>
    </cfRule>
    <cfRule type="expression" dxfId="2897" priority="293">
      <formula>AND(C$9&gt;=14/24,C$9&lt;20/24)</formula>
    </cfRule>
    <cfRule type="expression" dxfId="2896" priority="294">
      <formula>AND(C$9&gt;=8/24,C$9&lt;14/24)</formula>
    </cfRule>
    <cfRule type="expression" dxfId="2895" priority="295">
      <formula>C$9&lt;8/24</formula>
    </cfRule>
  </conditionalFormatting>
  <conditionalFormatting sqref="AL33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894" priority="320">
      <formula>C$9&gt;=20/24</formula>
    </cfRule>
    <cfRule type="expression" dxfId="2893" priority="321">
      <formula>AND(C$9&gt;=14/24,C$9&lt;20/24)</formula>
    </cfRule>
    <cfRule type="expression" dxfId="2892" priority="322">
      <formula>AND(C$9&gt;=8/24,C$9&lt;14/24)</formula>
    </cfRule>
    <cfRule type="expression" dxfId="2891" priority="323">
      <formula>C$9&lt;8/24</formula>
    </cfRule>
  </conditionalFormatting>
  <conditionalFormatting sqref="A201">
    <cfRule type="expression" dxfId="2890" priority="324">
      <formula>$AH201=0</formula>
    </cfRule>
  </conditionalFormatting>
  <conditionalFormatting sqref="AG213">
    <cfRule type="expression" dxfId="2889" priority="325">
      <formula>B$9&gt;=20/24</formula>
    </cfRule>
    <cfRule type="expression" dxfId="2888" priority="326">
      <formula>AND(B$9&gt;=14/24,B$9&lt;20/24)</formula>
    </cfRule>
    <cfRule type="expression" dxfId="2887" priority="327">
      <formula>AND(B$9&gt;=8/24,B$9&lt;14/24)</formula>
    </cfRule>
    <cfRule type="expression" dxfId="2886" priority="328">
      <formula>B$9&lt;8/24</formula>
    </cfRule>
  </conditionalFormatting>
  <conditionalFormatting sqref="S8">
    <cfRule type="expression" dxfId="2885" priority="286">
      <formula>U$9&gt;=20/24</formula>
    </cfRule>
    <cfRule type="expression" dxfId="2884" priority="287">
      <formula>AND(U$9&gt;=14/24,U$9&lt;20/24)</formula>
    </cfRule>
    <cfRule type="expression" dxfId="2883" priority="288">
      <formula>AND(U$9&gt;=8/24,U$9&lt;14/24)</formula>
    </cfRule>
    <cfRule type="expression" dxfId="2882" priority="289">
      <formula>U$9&lt;8/24</formula>
    </cfRule>
  </conditionalFormatting>
  <conditionalFormatting sqref="AB8">
    <cfRule type="expression" dxfId="2881" priority="282">
      <formula>AD$9&gt;=20/24</formula>
    </cfRule>
    <cfRule type="expression" dxfId="2880" priority="283">
      <formula>AND(AD$9&gt;=14/24,AD$9&lt;20/24)</formula>
    </cfRule>
    <cfRule type="expression" dxfId="2879" priority="284">
      <formula>AND(AD$9&gt;=8/24,AD$9&lt;14/24)</formula>
    </cfRule>
    <cfRule type="expression" dxfId="2878" priority="285">
      <formula>AD$9&lt;8/24</formula>
    </cfRule>
  </conditionalFormatting>
  <conditionalFormatting sqref="AH213:AX213">
    <cfRule type="expression" dxfId="2877" priority="329">
      <formula>AG$9&gt;=20/24</formula>
    </cfRule>
    <cfRule type="expression" dxfId="2876" priority="330">
      <formula>AND(AG$9&gt;=14/24,AG$9&lt;20/24)</formula>
    </cfRule>
    <cfRule type="expression" dxfId="2875" priority="331">
      <formula>AND(AG$9&gt;=8/24,AG$9&lt;14/24)</formula>
    </cfRule>
    <cfRule type="expression" dxfId="2874" priority="332">
      <formula>AG$9&lt;8/24</formula>
    </cfRule>
  </conditionalFormatting>
  <conditionalFormatting sqref="T213">
    <cfRule type="expression" dxfId="2873" priority="333">
      <formula>AX$9&gt;=20/24</formula>
    </cfRule>
    <cfRule type="expression" dxfId="2872" priority="334">
      <formula>AND(AX$9&gt;=14/24,AX$9&lt;20/24)</formula>
    </cfRule>
    <cfRule type="expression" dxfId="2871" priority="335">
      <formula>AND(AX$9&gt;=8/24,AX$9&lt;14/24)</formula>
    </cfRule>
    <cfRule type="expression" dxfId="2870" priority="336">
      <formula>AX$9&lt;8/24</formula>
    </cfRule>
  </conditionalFormatting>
  <conditionalFormatting sqref="A99:A100">
    <cfRule type="expression" dxfId="2869" priority="281">
      <formula>$AH99=0</formula>
    </cfRule>
  </conditionalFormatting>
  <conditionalFormatting sqref="F11:L11 M57:U57 W57:AF57 AA36:AF36 W40:AF41">
    <cfRule type="expression" dxfId="2868" priority="277">
      <formula>F$9&gt;=20/24</formula>
    </cfRule>
    <cfRule type="expression" dxfId="2867" priority="278">
      <formula>AND(F$9&gt;=14/24,F$9&lt;20/24)</formula>
    </cfRule>
    <cfRule type="expression" dxfId="2866" priority="279">
      <formula>AND(F$9&gt;=8/24,F$9&lt;14/24)</formula>
    </cfRule>
    <cfRule type="expression" dxfId="2865" priority="280">
      <formula>F$9&lt;8/24</formula>
    </cfRule>
  </conditionalFormatting>
  <conditionalFormatting sqref="W39:AF39">
    <cfRule type="expression" dxfId="2864" priority="273">
      <formula>W$9&gt;=20/24</formula>
    </cfRule>
    <cfRule type="expression" dxfId="2863" priority="274">
      <formula>AND(W$9&gt;=14/24,W$9&lt;20/24)</formula>
    </cfRule>
    <cfRule type="expression" dxfId="2862" priority="275">
      <formula>AND(W$9&gt;=8/24,W$9&lt;14/24)</formula>
    </cfRule>
    <cfRule type="expression" dxfId="2861" priority="276">
      <formula>W$9&lt;8/24</formula>
    </cfRule>
  </conditionalFormatting>
  <conditionalFormatting sqref="F11:L11 AA36:AF36 W39:AF41">
    <cfRule type="expression" dxfId="2860" priority="272">
      <formula>F11&gt;$AG11</formula>
    </cfRule>
  </conditionalFormatting>
  <conditionalFormatting sqref="C75:AF81 C68:AF73 C56:AF56 M11:U14 M36:U36 M16:U16 M28:U31 M18:U22 M24:U26 M53:AF55 M58:U67 C85:AF91 C83:AF83 AA24:AF25 AA28:AF31 AA16:AF16 AA12:AF14 W58:AF67 AA18:AF22">
    <cfRule type="expression" dxfId="2859" priority="268">
      <formula>C$9&gt;=20/24</formula>
    </cfRule>
    <cfRule type="expression" dxfId="2858" priority="269">
      <formula>AND(C$9&gt;=14/24,C$9&lt;20/24)</formula>
    </cfRule>
    <cfRule type="expression" dxfId="2857" priority="270">
      <formula>AND(C$9&gt;=8/24,C$9&lt;14/24)</formula>
    </cfRule>
    <cfRule type="expression" dxfId="2856" priority="271">
      <formula>C$9&lt;8/24</formula>
    </cfRule>
  </conditionalFormatting>
  <conditionalFormatting sqref="M32:U32 AA32:AF32">
    <cfRule type="expression" dxfId="2855" priority="264">
      <formula>M$9&gt;=20/24</formula>
    </cfRule>
    <cfRule type="expression" dxfId="2854" priority="265">
      <formula>AND(M$9&gt;=14/24,M$9&lt;20/24)</formula>
    </cfRule>
    <cfRule type="expression" dxfId="2853" priority="266">
      <formula>AND(M$9&gt;=8/24,M$9&lt;14/24)</formula>
    </cfRule>
    <cfRule type="expression" dxfId="2852" priority="267">
      <formula>M$9&lt;8/24</formula>
    </cfRule>
  </conditionalFormatting>
  <conditionalFormatting sqref="M35:U35 AA35:AF35">
    <cfRule type="expression" dxfId="2851" priority="260">
      <formula>M$9&gt;=20/24</formula>
    </cfRule>
    <cfRule type="expression" dxfId="2850" priority="261">
      <formula>AND(M$9&gt;=14/24,M$9&lt;20/24)</formula>
    </cfRule>
    <cfRule type="expression" dxfId="2849" priority="262">
      <formula>AND(M$9&gt;=8/24,M$9&lt;14/24)</formula>
    </cfRule>
    <cfRule type="expression" dxfId="2848" priority="263">
      <formula>M$9&lt;8/24</formula>
    </cfRule>
  </conditionalFormatting>
  <conditionalFormatting sqref="C38:AF38 C51:AF52 C56:AF56 F37:R37 M34:R36 S34:U37 M18:U22 M24:U32 M11:U16 M53:AF55 AA24:AF25 AA34:AF35 AA12:AF16 AA18:AF22 AA27:AF32">
    <cfRule type="expression" dxfId="2847" priority="259">
      <formula>C11&gt;$AG11</formula>
    </cfRule>
  </conditionalFormatting>
  <conditionalFormatting sqref="M34:U34 AA34:AF34">
    <cfRule type="expression" dxfId="2846" priority="255">
      <formula>M$9&gt;=20/24</formula>
    </cfRule>
    <cfRule type="expression" dxfId="2845" priority="256">
      <formula>AND(M$9&gt;=14/24,M$9&lt;20/24)</formula>
    </cfRule>
    <cfRule type="expression" dxfId="2844" priority="257">
      <formula>AND(M$9&gt;=8/24,M$9&lt;14/24)</formula>
    </cfRule>
    <cfRule type="expression" dxfId="2843" priority="258">
      <formula>M$9&lt;8/24</formula>
    </cfRule>
  </conditionalFormatting>
  <conditionalFormatting sqref="M15:U15 AA15:AF15">
    <cfRule type="expression" dxfId="2842" priority="251">
      <formula>M$9&gt;=20/24</formula>
    </cfRule>
    <cfRule type="expression" dxfId="2841" priority="252">
      <formula>AND(M$9&gt;=14/24,M$9&lt;20/24)</formula>
    </cfRule>
    <cfRule type="expression" dxfId="2840" priority="253">
      <formula>AND(M$9&gt;=8/24,M$9&lt;14/24)</formula>
    </cfRule>
    <cfRule type="expression" dxfId="2839" priority="254">
      <formula>M$9&lt;8/24</formula>
    </cfRule>
  </conditionalFormatting>
  <conditionalFormatting sqref="M33:U33 AA33:AF33">
    <cfRule type="expression" dxfId="2838" priority="247">
      <formula>M$9&gt;=20/24</formula>
    </cfRule>
    <cfRule type="expression" dxfId="2837" priority="248">
      <formula>AND(M$9&gt;=14/24,M$9&lt;20/24)</formula>
    </cfRule>
    <cfRule type="expression" dxfId="2836" priority="249">
      <formula>AND(M$9&gt;=8/24,M$9&lt;14/24)</formula>
    </cfRule>
    <cfRule type="expression" dxfId="2835" priority="250">
      <formula>M$9&lt;8/24</formula>
    </cfRule>
  </conditionalFormatting>
  <conditionalFormatting sqref="M33:U33 AA33:AF33">
    <cfRule type="expression" dxfId="2834" priority="246">
      <formula>M33&gt;$AG33</formula>
    </cfRule>
  </conditionalFormatting>
  <conditionalFormatting sqref="W42:AF43">
    <cfRule type="expression" dxfId="2833" priority="238">
      <formula>W$9&gt;=20/24</formula>
    </cfRule>
    <cfRule type="expression" dxfId="2832" priority="239">
      <formula>AND(W$9&gt;=14/24,W$9&lt;20/24)</formula>
    </cfRule>
    <cfRule type="expression" dxfId="2831" priority="240">
      <formula>AND(W$9&gt;=8/24,W$9&lt;14/24)</formula>
    </cfRule>
    <cfRule type="expression" dxfId="2830" priority="241">
      <formula>W$9&lt;8/24</formula>
    </cfRule>
  </conditionalFormatting>
  <conditionalFormatting sqref="W42:AF43">
    <cfRule type="expression" dxfId="2829" priority="237">
      <formula>W42&gt;$AG42</formula>
    </cfRule>
  </conditionalFormatting>
  <conditionalFormatting sqref="M39:U50 W44:AF50">
    <cfRule type="expression" dxfId="2828" priority="233">
      <formula>M$9&gt;=20/24</formula>
    </cfRule>
    <cfRule type="expression" dxfId="2827" priority="234">
      <formula>AND(M$9&gt;=14/24,M$9&lt;20/24)</formula>
    </cfRule>
    <cfRule type="expression" dxfId="2826" priority="235">
      <formula>AND(M$9&gt;=8/24,M$9&lt;14/24)</formula>
    </cfRule>
    <cfRule type="expression" dxfId="2825" priority="236">
      <formula>M$9&lt;8/24</formula>
    </cfRule>
  </conditionalFormatting>
  <conditionalFormatting sqref="M39:U50 W44:AF50">
    <cfRule type="expression" dxfId="2824" priority="232">
      <formula>M39&gt;$AG39</formula>
    </cfRule>
  </conditionalFormatting>
  <conditionalFormatting sqref="M27:U27 AA27:AF27">
    <cfRule type="expression" dxfId="2823" priority="228">
      <formula>M$9&gt;=20/24</formula>
    </cfRule>
    <cfRule type="expression" dxfId="2822" priority="229">
      <formula>AND(M$9&gt;=14/24,M$9&lt;20/24)</formula>
    </cfRule>
    <cfRule type="expression" dxfId="2821" priority="230">
      <formula>AND(M$9&gt;=8/24,M$9&lt;14/24)</formula>
    </cfRule>
    <cfRule type="expression" dxfId="2820" priority="231">
      <formula>M$9&lt;8/24</formula>
    </cfRule>
  </conditionalFormatting>
  <conditionalFormatting sqref="C74:I74 M17:U17 M23:U23 AA23:AF23 AA17:AF17">
    <cfRule type="expression" dxfId="2819" priority="224">
      <formula>C$9&gt;=20/24</formula>
    </cfRule>
    <cfRule type="expression" dxfId="2818" priority="225">
      <formula>AND(C$9&gt;=14/24,C$9&lt;20/24)</formula>
    </cfRule>
    <cfRule type="expression" dxfId="2817" priority="226">
      <formula>AND(C$9&gt;=8/24,C$9&lt;14/24)</formula>
    </cfRule>
    <cfRule type="expression" dxfId="2816" priority="227">
      <formula>C$9&lt;8/24</formula>
    </cfRule>
  </conditionalFormatting>
  <conditionalFormatting sqref="M17:U17 M23:U23 AA23:AF23 AA17:AF17">
    <cfRule type="expression" dxfId="2815" priority="215">
      <formula>M17&gt;$AG17</formula>
    </cfRule>
  </conditionalFormatting>
  <conditionalFormatting sqref="C40:L41">
    <cfRule type="expression" dxfId="2814" priority="198">
      <formula>C$9&gt;=20/24</formula>
    </cfRule>
    <cfRule type="expression" dxfId="2813" priority="199">
      <formula>AND(C$9&gt;=14/24,C$9&lt;20/24)</formula>
    </cfRule>
    <cfRule type="expression" dxfId="2812" priority="200">
      <formula>AND(C$9&gt;=8/24,C$9&lt;14/24)</formula>
    </cfRule>
    <cfRule type="expression" dxfId="2811" priority="201">
      <formula>C$9&lt;8/24</formula>
    </cfRule>
  </conditionalFormatting>
  <conditionalFormatting sqref="C39:L39">
    <cfRule type="expression" dxfId="2810" priority="194">
      <formula>C$9&gt;=20/24</formula>
    </cfRule>
    <cfRule type="expression" dxfId="2809" priority="195">
      <formula>AND(C$9&gt;=14/24,C$9&lt;20/24)</formula>
    </cfRule>
    <cfRule type="expression" dxfId="2808" priority="196">
      <formula>AND(C$9&gt;=8/24,C$9&lt;14/24)</formula>
    </cfRule>
    <cfRule type="expression" dxfId="2807" priority="197">
      <formula>C$9&lt;8/24</formula>
    </cfRule>
  </conditionalFormatting>
  <conditionalFormatting sqref="C39:L41">
    <cfRule type="expression" dxfId="2806" priority="193">
      <formula>C39&gt;$AG39</formula>
    </cfRule>
  </conditionalFormatting>
  <conditionalFormatting sqref="C42:L43">
    <cfRule type="expression" dxfId="2805" priority="188">
      <formula>C42&gt;$AG42</formula>
    </cfRule>
  </conditionalFormatting>
  <conditionalFormatting sqref="B27:L27">
    <cfRule type="expression" dxfId="2804" priority="55">
      <formula>B$9&gt;=20/24</formula>
    </cfRule>
    <cfRule type="expression" dxfId="2803" priority="56">
      <formula>AND(B$9&gt;=14/24,B$9&lt;20/24)</formula>
    </cfRule>
    <cfRule type="expression" dxfId="2802" priority="57">
      <formula>AND(B$9&gt;=8/24,B$9&lt;14/24)</formula>
    </cfRule>
    <cfRule type="expression" dxfId="2801" priority="58">
      <formula>B$9&lt;8/24</formula>
    </cfRule>
  </conditionalFormatting>
  <conditionalFormatting sqref="V35:Z35">
    <cfRule type="expression" dxfId="2800" priority="37">
      <formula>V$9&gt;=20/24</formula>
    </cfRule>
    <cfRule type="expression" dxfId="2799" priority="38">
      <formula>AND(V$9&gt;=14/24,V$9&lt;20/24)</formula>
    </cfRule>
    <cfRule type="expression" dxfId="2798" priority="39">
      <formula>AND(V$9&gt;=8/24,V$9&lt;14/24)</formula>
    </cfRule>
    <cfRule type="expression" dxfId="2797" priority="40">
      <formula>V$9&lt;8/24</formula>
    </cfRule>
  </conditionalFormatting>
  <conditionalFormatting sqref="V33:Z33">
    <cfRule type="expression" dxfId="2796" priority="24">
      <formula>V$9&gt;=20/24</formula>
    </cfRule>
    <cfRule type="expression" dxfId="2795" priority="25">
      <formula>AND(V$9&gt;=14/24,V$9&lt;20/24)</formula>
    </cfRule>
    <cfRule type="expression" dxfId="2794" priority="26">
      <formula>AND(V$9&gt;=8/24,V$9&lt;14/24)</formula>
    </cfRule>
    <cfRule type="expression" dxfId="2793" priority="27">
      <formula>V$9&lt;8/24</formula>
    </cfRule>
  </conditionalFormatting>
  <conditionalFormatting sqref="V58:V67">
    <cfRule type="expression" dxfId="2792" priority="1">
      <formula>V$9&gt;=20/24</formula>
    </cfRule>
    <cfRule type="expression" dxfId="2791" priority="2">
      <formula>AND(V$9&gt;=14/24,V$9&lt;20/24)</formula>
    </cfRule>
    <cfRule type="expression" dxfId="2790" priority="3">
      <formula>AND(V$9&gt;=8/24,V$9&lt;14/24)</formula>
    </cfRule>
    <cfRule type="expression" dxfId="2789" priority="4">
      <formula>V$9&lt;8/24</formula>
    </cfRule>
  </conditionalFormatting>
  <conditionalFormatting sqref="B82 B94:B100 B74 B11:E11">
    <cfRule type="expression" dxfId="2788" priority="108">
      <formula>B$9&gt;=20/24</formula>
    </cfRule>
    <cfRule type="expression" dxfId="2787" priority="109">
      <formula>AND(B$9&gt;=14/24,B$9&lt;20/24)</formula>
    </cfRule>
    <cfRule type="expression" dxfId="2786" priority="110">
      <formula>AND(B$9&gt;=8/24,B$9&lt;14/24)</formula>
    </cfRule>
    <cfRule type="expression" dxfId="2785" priority="111">
      <formula>B$9&lt;8/24</formula>
    </cfRule>
  </conditionalFormatting>
  <conditionalFormatting sqref="B37:E37">
    <cfRule type="expression" dxfId="2784" priority="104">
      <formula>B$9&gt;=20/24</formula>
    </cfRule>
    <cfRule type="expression" dxfId="2783" priority="105">
      <formula>AND(B$9&gt;=14/24,B$9&lt;20/24)</formula>
    </cfRule>
    <cfRule type="expression" dxfId="2782" priority="106">
      <formula>AND(B$9&gt;=8/24,B$9&lt;14/24)</formula>
    </cfRule>
    <cfRule type="expression" dxfId="2781" priority="107">
      <formula>B$9&lt;8/24</formula>
    </cfRule>
  </conditionalFormatting>
  <conditionalFormatting sqref="B37:E37 B11:E11">
    <cfRule type="expression" dxfId="2780" priority="103">
      <formula>B11&gt;$AG11</formula>
    </cfRule>
  </conditionalFormatting>
  <conditionalFormatting sqref="B84">
    <cfRule type="expression" dxfId="2779" priority="99">
      <formula>B$9&gt;=20/24</formula>
    </cfRule>
    <cfRule type="expression" dxfId="2778" priority="100">
      <formula>AND(B$9&gt;=14/24,B$9&lt;20/24)</formula>
    </cfRule>
    <cfRule type="expression" dxfId="2777" priority="101">
      <formula>AND(B$9&gt;=8/24,B$9&lt;14/24)</formula>
    </cfRule>
    <cfRule type="expression" dxfId="2776" priority="102">
      <formula>B$9&lt;8/24</formula>
    </cfRule>
  </conditionalFormatting>
  <conditionalFormatting sqref="B40:B41 B57:L57">
    <cfRule type="expression" dxfId="2775" priority="95">
      <formula>B$9&gt;=20/24</formula>
    </cfRule>
    <cfRule type="expression" dxfId="2774" priority="96">
      <formula>AND(B$9&gt;=14/24,B$9&lt;20/24)</formula>
    </cfRule>
    <cfRule type="expression" dxfId="2773" priority="97">
      <formula>AND(B$9&gt;=8/24,B$9&lt;14/24)</formula>
    </cfRule>
    <cfRule type="expression" dxfId="2772" priority="98">
      <formula>B$9&lt;8/24</formula>
    </cfRule>
  </conditionalFormatting>
  <conditionalFormatting sqref="B39">
    <cfRule type="expression" dxfId="2771" priority="91">
      <formula>B$9&gt;=20/24</formula>
    </cfRule>
    <cfRule type="expression" dxfId="2770" priority="92">
      <formula>AND(B$9&gt;=14/24,B$9&lt;20/24)</formula>
    </cfRule>
    <cfRule type="expression" dxfId="2769" priority="93">
      <formula>AND(B$9&gt;=8/24,B$9&lt;14/24)</formula>
    </cfRule>
    <cfRule type="expression" dxfId="2768" priority="94">
      <formula>B$9&lt;8/24</formula>
    </cfRule>
  </conditionalFormatting>
  <conditionalFormatting sqref="B39:B41">
    <cfRule type="expression" dxfId="2767" priority="90">
      <formula>B39&gt;$AG39</formula>
    </cfRule>
  </conditionalFormatting>
  <conditionalFormatting sqref="B83 B75:B81 B53:B56 B85:B91 B58:B73 B16:L16 B12:L14 B36:L36 B28:L31 B18:L22 B24:L26 C53:L55 C58:L67">
    <cfRule type="expression" dxfId="2766" priority="86">
      <formula>B$9&gt;=20/24</formula>
    </cfRule>
    <cfRule type="expression" dxfId="2765" priority="87">
      <formula>AND(B$9&gt;=14/24,B$9&lt;20/24)</formula>
    </cfRule>
    <cfRule type="expression" dxfId="2764" priority="88">
      <formula>AND(B$9&gt;=8/24,B$9&lt;14/24)</formula>
    </cfRule>
    <cfRule type="expression" dxfId="2763" priority="89">
      <formula>B$9&lt;8/24</formula>
    </cfRule>
  </conditionalFormatting>
  <conditionalFormatting sqref="B32:L32">
    <cfRule type="expression" dxfId="2762" priority="82">
      <formula>B$9&gt;=20/24</formula>
    </cfRule>
    <cfRule type="expression" dxfId="2761" priority="83">
      <formula>AND(B$9&gt;=14/24,B$9&lt;20/24)</formula>
    </cfRule>
    <cfRule type="expression" dxfId="2760" priority="84">
      <formula>AND(B$9&gt;=8/24,B$9&lt;14/24)</formula>
    </cfRule>
    <cfRule type="expression" dxfId="2759" priority="85">
      <formula>B$9&lt;8/24</formula>
    </cfRule>
  </conditionalFormatting>
  <conditionalFormatting sqref="B35:L35">
    <cfRule type="expression" dxfId="2758" priority="78">
      <formula>B$9&gt;=20/24</formula>
    </cfRule>
    <cfRule type="expression" dxfId="2757" priority="79">
      <formula>AND(B$9&gt;=14/24,B$9&lt;20/24)</formula>
    </cfRule>
    <cfRule type="expression" dxfId="2756" priority="80">
      <formula>AND(B$9&gt;=8/24,B$9&lt;14/24)</formula>
    </cfRule>
    <cfRule type="expression" dxfId="2755" priority="81">
      <formula>B$9&lt;8/24</formula>
    </cfRule>
  </conditionalFormatting>
  <conditionalFormatting sqref="B38 B51:B56 B42:B43 B12:L16 B34:L36 B18:L22 B24:L32 C53:L55">
    <cfRule type="expression" dxfId="2754" priority="77">
      <formula>B12&gt;$AG12</formula>
    </cfRule>
  </conditionalFormatting>
  <conditionalFormatting sqref="B34:L34">
    <cfRule type="expression" dxfId="2753" priority="73">
      <formula>B$9&gt;=20/24</formula>
    </cfRule>
    <cfRule type="expression" dxfId="2752" priority="74">
      <formula>AND(B$9&gt;=14/24,B$9&lt;20/24)</formula>
    </cfRule>
    <cfRule type="expression" dxfId="2751" priority="75">
      <formula>AND(B$9&gt;=8/24,B$9&lt;14/24)</formula>
    </cfRule>
    <cfRule type="expression" dxfId="2750" priority="76">
      <formula>B$9&lt;8/24</formula>
    </cfRule>
  </conditionalFormatting>
  <conditionalFormatting sqref="B15:L15">
    <cfRule type="expression" dxfId="2749" priority="69">
      <formula>B$9&gt;=20/24</formula>
    </cfRule>
    <cfRule type="expression" dxfId="2748" priority="70">
      <formula>AND(B$9&gt;=14/24,B$9&lt;20/24)</formula>
    </cfRule>
    <cfRule type="expression" dxfId="2747" priority="71">
      <formula>AND(B$9&gt;=8/24,B$9&lt;14/24)</formula>
    </cfRule>
    <cfRule type="expression" dxfId="2746" priority="72">
      <formula>B$9&lt;8/24</formula>
    </cfRule>
  </conditionalFormatting>
  <conditionalFormatting sqref="B33:L33">
    <cfRule type="expression" dxfId="2745" priority="65">
      <formula>B$9&gt;=20/24</formula>
    </cfRule>
    <cfRule type="expression" dxfId="2744" priority="66">
      <formula>AND(B$9&gt;=14/24,B$9&lt;20/24)</formula>
    </cfRule>
    <cfRule type="expression" dxfId="2743" priority="67">
      <formula>AND(B$9&gt;=8/24,B$9&lt;14/24)</formula>
    </cfRule>
    <cfRule type="expression" dxfId="2742" priority="68">
      <formula>B$9&lt;8/24</formula>
    </cfRule>
  </conditionalFormatting>
  <conditionalFormatting sqref="B33:L33">
    <cfRule type="expression" dxfId="2741" priority="64">
      <formula>B33&gt;$AG33</formula>
    </cfRule>
  </conditionalFormatting>
  <conditionalFormatting sqref="B44:L50">
    <cfRule type="expression" dxfId="2740" priority="60">
      <formula>B$9&gt;=20/24</formula>
    </cfRule>
    <cfRule type="expression" dxfId="2739" priority="61">
      <formula>AND(B$9&gt;=14/24,B$9&lt;20/24)</formula>
    </cfRule>
    <cfRule type="expression" dxfId="2738" priority="62">
      <formula>AND(B$9&gt;=8/24,B$9&lt;14/24)</formula>
    </cfRule>
    <cfRule type="expression" dxfId="2737" priority="63">
      <formula>B$9&lt;8/24</formula>
    </cfRule>
  </conditionalFormatting>
  <conditionalFormatting sqref="B44:L50">
    <cfRule type="expression" dxfId="2736" priority="59">
      <formula>B44&gt;$AG44</formula>
    </cfRule>
  </conditionalFormatting>
  <conditionalFormatting sqref="B17:L17 B23:L23">
    <cfRule type="expression" dxfId="2735" priority="51">
      <formula>B$9&gt;=20/24</formula>
    </cfRule>
    <cfRule type="expression" dxfId="2734" priority="52">
      <formula>AND(B$9&gt;=14/24,B$9&lt;20/24)</formula>
    </cfRule>
    <cfRule type="expression" dxfId="2733" priority="53">
      <formula>AND(B$9&gt;=8/24,B$9&lt;14/24)</formula>
    </cfRule>
    <cfRule type="expression" dxfId="2732" priority="54">
      <formula>B$9&lt;8/24</formula>
    </cfRule>
  </conditionalFormatting>
  <conditionalFormatting sqref="B17:L17 B23:L23">
    <cfRule type="expression" dxfId="2731" priority="50">
      <formula>B17&gt;$AG17</formula>
    </cfRule>
  </conditionalFormatting>
  <conditionalFormatting sqref="V11:Z11">
    <cfRule type="expression" dxfId="2730" priority="49">
      <formula>V11&gt;$AG11</formula>
    </cfRule>
  </conditionalFormatting>
  <conditionalFormatting sqref="V11:Z14 V36:Z36 V16:Z16 V28:Z31 V18:Z22 V24:Z25 V26:AF26">
    <cfRule type="expression" dxfId="2729" priority="45">
      <formula>V$9&gt;=20/24</formula>
    </cfRule>
    <cfRule type="expression" dxfId="2728" priority="46">
      <formula>AND(V$9&gt;=14/24,V$9&lt;20/24)</formula>
    </cfRule>
    <cfRule type="expression" dxfId="2727" priority="47">
      <formula>AND(V$9&gt;=8/24,V$9&lt;14/24)</formula>
    </cfRule>
    <cfRule type="expression" dxfId="2726" priority="48">
      <formula>V$9&lt;8/24</formula>
    </cfRule>
  </conditionalFormatting>
  <conditionalFormatting sqref="V32:Z32">
    <cfRule type="expression" dxfId="2725" priority="41">
      <formula>V$9&gt;=20/24</formula>
    </cfRule>
    <cfRule type="expression" dxfId="2724" priority="42">
      <formula>AND(V$9&gt;=14/24,V$9&lt;20/24)</formula>
    </cfRule>
    <cfRule type="expression" dxfId="2723" priority="43">
      <formula>AND(V$9&gt;=8/24,V$9&lt;14/24)</formula>
    </cfRule>
    <cfRule type="expression" dxfId="2722" priority="44">
      <formula>V$9&lt;8/24</formula>
    </cfRule>
  </conditionalFormatting>
  <conditionalFormatting sqref="V34:Z37 V18:Z22 V24:Z25 V11:Z16 V27:Z32 V26:AF26">
    <cfRule type="expression" dxfId="2721" priority="36">
      <formula>V11&gt;$AG11</formula>
    </cfRule>
  </conditionalFormatting>
  <conditionalFormatting sqref="V34:Z34">
    <cfRule type="expression" dxfId="2720" priority="32">
      <formula>V$9&gt;=20/24</formula>
    </cfRule>
    <cfRule type="expression" dxfId="2719" priority="33">
      <formula>AND(V$9&gt;=14/24,V$9&lt;20/24)</formula>
    </cfRule>
    <cfRule type="expression" dxfId="2718" priority="34">
      <formula>AND(V$9&gt;=8/24,V$9&lt;14/24)</formula>
    </cfRule>
    <cfRule type="expression" dxfId="2717" priority="35">
      <formula>V$9&lt;8/24</formula>
    </cfRule>
  </conditionalFormatting>
  <conditionalFormatting sqref="V15:Z15">
    <cfRule type="expression" dxfId="2716" priority="28">
      <formula>V$9&gt;=20/24</formula>
    </cfRule>
    <cfRule type="expression" dxfId="2715" priority="29">
      <formula>AND(V$9&gt;=14/24,V$9&lt;20/24)</formula>
    </cfRule>
    <cfRule type="expression" dxfId="2714" priority="30">
      <formula>AND(V$9&gt;=8/24,V$9&lt;14/24)</formula>
    </cfRule>
    <cfRule type="expression" dxfId="2713" priority="31">
      <formula>V$9&lt;8/24</formula>
    </cfRule>
  </conditionalFormatting>
  <conditionalFormatting sqref="V33:Z33">
    <cfRule type="expression" dxfId="2712" priority="23">
      <formula>V33&gt;$AG33</formula>
    </cfRule>
  </conditionalFormatting>
  <conditionalFormatting sqref="V27:Z27">
    <cfRule type="expression" dxfId="2711" priority="19">
      <formula>V$9&gt;=20/24</formula>
    </cfRule>
    <cfRule type="expression" dxfId="2710" priority="20">
      <formula>AND(V$9&gt;=14/24,V$9&lt;20/24)</formula>
    </cfRule>
    <cfRule type="expression" dxfId="2709" priority="21">
      <formula>AND(V$9&gt;=8/24,V$9&lt;14/24)</formula>
    </cfRule>
    <cfRule type="expression" dxfId="2708" priority="22">
      <formula>V$9&lt;8/24</formula>
    </cfRule>
  </conditionalFormatting>
  <conditionalFormatting sqref="V17:Z17 V23:Z23">
    <cfRule type="expression" dxfId="2707" priority="15">
      <formula>V$9&gt;=20/24</formula>
    </cfRule>
    <cfRule type="expression" dxfId="2706" priority="16">
      <formula>AND(V$9&gt;=14/24,V$9&lt;20/24)</formula>
    </cfRule>
    <cfRule type="expression" dxfId="2705" priority="17">
      <formula>AND(V$9&gt;=8/24,V$9&lt;14/24)</formula>
    </cfRule>
    <cfRule type="expression" dxfId="2704" priority="18">
      <formula>V$9&lt;8/24</formula>
    </cfRule>
  </conditionalFormatting>
  <conditionalFormatting sqref="V17:Z17 V23:Z23">
    <cfRule type="expression" dxfId="2703" priority="14">
      <formula>V17&gt;$AG17</formula>
    </cfRule>
  </conditionalFormatting>
  <conditionalFormatting sqref="V39:V50">
    <cfRule type="expression" dxfId="2702" priority="10">
      <formula>V$9&gt;=20/24</formula>
    </cfRule>
    <cfRule type="expression" dxfId="2701" priority="11">
      <formula>AND(V$9&gt;=14/24,V$9&lt;20/24)</formula>
    </cfRule>
    <cfRule type="expression" dxfId="2700" priority="12">
      <formula>AND(V$9&gt;=8/24,V$9&lt;14/24)</formula>
    </cfRule>
    <cfRule type="expression" dxfId="2699" priority="13">
      <formula>V$9&lt;8/24</formula>
    </cfRule>
  </conditionalFormatting>
  <conditionalFormatting sqref="V39:V50">
    <cfRule type="expression" dxfId="2698" priority="9">
      <formula>V39&gt;$AG39</formula>
    </cfRule>
  </conditionalFormatting>
  <conditionalFormatting sqref="V57">
    <cfRule type="expression" dxfId="2697" priority="5">
      <formula>V$9&gt;=20/24</formula>
    </cfRule>
    <cfRule type="expression" dxfId="2696" priority="6">
      <formula>AND(V$9&gt;=14/24,V$9&lt;20/24)</formula>
    </cfRule>
    <cfRule type="expression" dxfId="2695" priority="7">
      <formula>AND(V$9&gt;=8/24,V$9&lt;14/24)</formula>
    </cfRule>
    <cfRule type="expression" dxfId="2694" priority="8">
      <formula>V$9&lt;8/24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1" id="{E0AAA17C-1AEF-4717-9759-B619A685A6E4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4" activePane="bottomRight" state="frozen"/>
      <selection activeCell="AF88" sqref="AF88"/>
      <selection pane="topRight" activeCell="AF88" sqref="AF88"/>
      <selection pane="bottomLeft" activeCell="AF88" sqref="AF88"/>
      <selection pane="bottomRight" activeCell="AE99" sqref="AE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1.5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2079/02/18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50.099999999999994</v>
      </c>
      <c r="C5" s="32">
        <f t="shared" si="0"/>
        <v>28.099999999999994</v>
      </c>
      <c r="D5" s="32">
        <f t="shared" si="0"/>
        <v>2</v>
      </c>
      <c r="E5" s="32">
        <f t="shared" si="0"/>
        <v>0.20000000000000284</v>
      </c>
      <c r="F5" s="32">
        <f t="shared" si="0"/>
        <v>-15.900000000000006</v>
      </c>
      <c r="G5" s="32">
        <f t="shared" si="0"/>
        <v>-10.900000000000006</v>
      </c>
      <c r="H5" s="32">
        <f t="shared" si="0"/>
        <v>1</v>
      </c>
      <c r="I5" s="32">
        <f t="shared" si="0"/>
        <v>9.3000000000000043</v>
      </c>
      <c r="J5" s="32">
        <f t="shared" si="0"/>
        <v>-10.399999999999999</v>
      </c>
      <c r="K5" s="32">
        <f t="shared" si="0"/>
        <v>21.5</v>
      </c>
      <c r="L5" s="32">
        <f t="shared" si="0"/>
        <v>35.1</v>
      </c>
      <c r="M5" s="32">
        <f t="shared" si="0"/>
        <v>56.300000000000004</v>
      </c>
      <c r="N5" s="32">
        <f t="shared" si="0"/>
        <v>89</v>
      </c>
      <c r="O5" s="32">
        <f t="shared" si="0"/>
        <v>97</v>
      </c>
      <c r="P5" s="32">
        <f t="shared" si="0"/>
        <v>150</v>
      </c>
      <c r="Q5" s="32">
        <f t="shared" si="0"/>
        <v>168</v>
      </c>
      <c r="R5" s="32">
        <f t="shared" si="0"/>
        <v>175.2</v>
      </c>
      <c r="S5" s="32">
        <f t="shared" si="0"/>
        <v>69.900000000000006</v>
      </c>
      <c r="T5" s="32">
        <f t="shared" si="0"/>
        <v>92.2</v>
      </c>
      <c r="U5" s="32">
        <f t="shared" si="0"/>
        <v>90.9</v>
      </c>
      <c r="V5" s="32">
        <f t="shared" si="0"/>
        <v>76.900000000000006</v>
      </c>
      <c r="W5" s="32">
        <f t="shared" si="0"/>
        <v>75.849999999999994</v>
      </c>
      <c r="X5" s="32">
        <f t="shared" si="0"/>
        <v>93.09</v>
      </c>
      <c r="Y5" s="32">
        <f t="shared" si="0"/>
        <v>95.5</v>
      </c>
      <c r="Z5" s="32">
        <f t="shared" si="0"/>
        <v>89.5</v>
      </c>
      <c r="AA5" s="32">
        <f t="shared" si="0"/>
        <v>100</v>
      </c>
      <c r="AB5" s="32">
        <f t="shared" si="0"/>
        <v>101.2</v>
      </c>
      <c r="AC5" s="32">
        <f t="shared" si="0"/>
        <v>123</v>
      </c>
      <c r="AD5" s="32">
        <f t="shared" si="0"/>
        <v>97</v>
      </c>
      <c r="AE5" s="32">
        <f t="shared" si="0"/>
        <v>99</v>
      </c>
      <c r="AF5" s="32">
        <f>B68</f>
        <v>66.099999999999994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1374MW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Load=1209</v>
      </c>
      <c r="B7" s="37">
        <f>B75</f>
        <v>1322.1399999999999</v>
      </c>
      <c r="C7" s="37">
        <f t="shared" ref="C7:AF7" si="1">C75</f>
        <v>1317.94</v>
      </c>
      <c r="D7" s="37">
        <f t="shared" si="1"/>
        <v>1280.44</v>
      </c>
      <c r="E7" s="37">
        <f t="shared" si="1"/>
        <v>1247.6399999999999</v>
      </c>
      <c r="F7" s="37">
        <f t="shared" si="1"/>
        <v>1210.04</v>
      </c>
      <c r="G7" s="37">
        <f t="shared" si="1"/>
        <v>1227.24</v>
      </c>
      <c r="H7" s="37">
        <f t="shared" si="1"/>
        <v>1208.94</v>
      </c>
      <c r="I7" s="37">
        <f t="shared" si="1"/>
        <v>1268.3399999999999</v>
      </c>
      <c r="J7" s="37">
        <f t="shared" si="1"/>
        <v>1310.6399999999999</v>
      </c>
      <c r="K7" s="37">
        <f t="shared" si="1"/>
        <v>1325.34</v>
      </c>
      <c r="L7" s="37">
        <f t="shared" si="1"/>
        <v>1359.44</v>
      </c>
      <c r="M7" s="37">
        <f t="shared" si="1"/>
        <v>1360.44</v>
      </c>
      <c r="N7" s="37">
        <f t="shared" si="1"/>
        <v>1374.3400000000001</v>
      </c>
      <c r="O7" s="37">
        <f t="shared" si="1"/>
        <v>1425.94</v>
      </c>
      <c r="P7" s="37">
        <f t="shared" si="1"/>
        <v>1433.94</v>
      </c>
      <c r="Q7" s="37">
        <f t="shared" si="1"/>
        <v>1501.94</v>
      </c>
      <c r="R7" s="37">
        <f t="shared" si="1"/>
        <v>1477.94</v>
      </c>
      <c r="S7" s="37">
        <f t="shared" si="1"/>
        <v>1476.1399999999999</v>
      </c>
      <c r="T7" s="37">
        <f t="shared" si="1"/>
        <v>1339.3400000000001</v>
      </c>
      <c r="U7" s="37">
        <f t="shared" si="1"/>
        <v>1363.44</v>
      </c>
      <c r="V7" s="37">
        <f t="shared" si="1"/>
        <v>1324.54</v>
      </c>
      <c r="W7" s="37">
        <f t="shared" si="1"/>
        <v>1370.54</v>
      </c>
      <c r="X7" s="37">
        <f t="shared" si="1"/>
        <v>1326.99</v>
      </c>
      <c r="Y7" s="37">
        <f t="shared" si="1"/>
        <v>1334.13</v>
      </c>
      <c r="Z7" s="37">
        <f t="shared" si="1"/>
        <v>1417.24</v>
      </c>
      <c r="AA7" s="37">
        <f t="shared" si="1"/>
        <v>1512.8400000000001</v>
      </c>
      <c r="AB7" s="37">
        <f t="shared" si="1"/>
        <v>1530.44</v>
      </c>
      <c r="AC7" s="37">
        <f t="shared" si="1"/>
        <v>1504.14</v>
      </c>
      <c r="AD7" s="37">
        <f t="shared" si="1"/>
        <v>1527.04</v>
      </c>
      <c r="AE7" s="37">
        <f t="shared" si="1"/>
        <v>1425.74</v>
      </c>
      <c r="AF7" s="37">
        <f t="shared" si="1"/>
        <v>1362.04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230</v>
      </c>
      <c r="C11" s="70">
        <v>250</v>
      </c>
      <c r="D11" s="70">
        <v>250</v>
      </c>
      <c r="E11" s="51">
        <v>250</v>
      </c>
      <c r="F11" s="51">
        <v>250</v>
      </c>
      <c r="G11" s="51">
        <v>295</v>
      </c>
      <c r="H11" s="51">
        <v>270</v>
      </c>
      <c r="I11" s="51">
        <v>295</v>
      </c>
      <c r="J11" s="52">
        <v>280</v>
      </c>
      <c r="K11" s="52">
        <v>320</v>
      </c>
      <c r="L11" s="52">
        <v>330</v>
      </c>
      <c r="M11" s="51">
        <v>312</v>
      </c>
      <c r="N11" s="51">
        <v>312</v>
      </c>
      <c r="O11" s="51">
        <v>312</v>
      </c>
      <c r="P11" s="51">
        <v>312</v>
      </c>
      <c r="Q11" s="51">
        <v>312</v>
      </c>
      <c r="R11" s="51">
        <v>270</v>
      </c>
      <c r="S11" s="49">
        <v>305</v>
      </c>
      <c r="T11" s="49">
        <v>290</v>
      </c>
      <c r="U11" s="49">
        <v>290</v>
      </c>
      <c r="V11" s="49">
        <v>190</v>
      </c>
      <c r="W11" s="49">
        <v>250</v>
      </c>
      <c r="X11" s="49">
        <v>220</v>
      </c>
      <c r="Y11" s="49">
        <v>210</v>
      </c>
      <c r="Z11" s="49">
        <v>280</v>
      </c>
      <c r="AA11" s="49">
        <v>370</v>
      </c>
      <c r="AB11" s="49">
        <v>355</v>
      </c>
      <c r="AC11" s="49">
        <v>340</v>
      </c>
      <c r="AD11" s="49">
        <v>340</v>
      </c>
      <c r="AE11" s="49">
        <v>290</v>
      </c>
      <c r="AF11" s="49">
        <v>270</v>
      </c>
      <c r="AG11" s="53">
        <v>456</v>
      </c>
      <c r="AH11" s="54">
        <f>MAX(B11:AF11)</f>
        <v>370</v>
      </c>
      <c r="AI11" s="55">
        <f>MIN(B11:AF11)</f>
        <v>190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58</v>
      </c>
      <c r="F12" s="51">
        <v>58</v>
      </c>
      <c r="G12" s="51">
        <v>58</v>
      </c>
      <c r="H12" s="51">
        <v>58</v>
      </c>
      <c r="I12" s="51">
        <v>58</v>
      </c>
      <c r="J12" s="51">
        <v>58</v>
      </c>
      <c r="K12" s="51">
        <v>58</v>
      </c>
      <c r="L12" s="51">
        <v>58</v>
      </c>
      <c r="M12" s="51">
        <v>58</v>
      </c>
      <c r="N12" s="51">
        <v>58</v>
      </c>
      <c r="O12" s="51">
        <v>58</v>
      </c>
      <c r="P12" s="51">
        <v>58</v>
      </c>
      <c r="Q12" s="51">
        <v>58</v>
      </c>
      <c r="R12" s="51">
        <v>58</v>
      </c>
      <c r="S12" s="51">
        <v>35</v>
      </c>
      <c r="T12" s="51">
        <v>29</v>
      </c>
      <c r="U12" s="51">
        <v>29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29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27</v>
      </c>
      <c r="C13" s="51">
        <v>27</v>
      </c>
      <c r="D13" s="51">
        <v>27</v>
      </c>
      <c r="E13" s="51">
        <v>32</v>
      </c>
      <c r="F13" s="51">
        <v>32</v>
      </c>
      <c r="G13" s="51">
        <v>32</v>
      </c>
      <c r="H13" s="51">
        <v>33.799999999999997</v>
      </c>
      <c r="I13" s="51">
        <v>33.799999999999997</v>
      </c>
      <c r="J13" s="51">
        <v>33.799999999999997</v>
      </c>
      <c r="K13" s="51">
        <v>33.799999999999997</v>
      </c>
      <c r="L13" s="51">
        <v>33.799999999999997</v>
      </c>
      <c r="M13" s="51">
        <v>29.7</v>
      </c>
      <c r="N13" s="51">
        <v>28.5</v>
      </c>
      <c r="O13" s="51">
        <v>28.5</v>
      </c>
      <c r="P13" s="51">
        <v>28.5</v>
      </c>
      <c r="Q13" s="51">
        <v>28.5</v>
      </c>
      <c r="R13" s="51">
        <v>28.5</v>
      </c>
      <c r="S13" s="51">
        <v>28.5</v>
      </c>
      <c r="T13" s="51">
        <v>28.5</v>
      </c>
      <c r="U13" s="51">
        <v>28.5</v>
      </c>
      <c r="V13" s="51">
        <v>28.5</v>
      </c>
      <c r="W13" s="51">
        <v>28.5</v>
      </c>
      <c r="X13" s="51">
        <v>28.5</v>
      </c>
      <c r="Y13" s="51">
        <v>28.5</v>
      </c>
      <c r="Z13" s="51">
        <v>28.5</v>
      </c>
      <c r="AA13" s="51">
        <v>28.5</v>
      </c>
      <c r="AB13" s="51">
        <v>28.5</v>
      </c>
      <c r="AC13" s="51">
        <v>29.7</v>
      </c>
      <c r="AD13" s="51">
        <v>30.9</v>
      </c>
      <c r="AE13" s="51">
        <v>30.9</v>
      </c>
      <c r="AF13" s="51">
        <v>31.6</v>
      </c>
      <c r="AG13" s="58">
        <v>52.4</v>
      </c>
      <c r="AH13" s="54">
        <f t="shared" si="2"/>
        <v>33.799999999999997</v>
      </c>
      <c r="AI13" s="55">
        <f t="shared" si="3"/>
        <v>27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50.3</v>
      </c>
      <c r="N14" s="51">
        <v>50.3</v>
      </c>
      <c r="O14" s="51">
        <v>50.3</v>
      </c>
      <c r="P14" s="51">
        <v>50.3</v>
      </c>
      <c r="Q14" s="51">
        <v>50.3</v>
      </c>
      <c r="R14" s="51">
        <v>50.3</v>
      </c>
      <c r="S14" s="51">
        <v>50.3</v>
      </c>
      <c r="T14" s="51">
        <v>50.3</v>
      </c>
      <c r="U14" s="51">
        <v>50.3</v>
      </c>
      <c r="V14" s="51">
        <v>50.3</v>
      </c>
      <c r="W14" s="51">
        <v>50.3</v>
      </c>
      <c r="X14" s="51">
        <v>50.3</v>
      </c>
      <c r="Y14" s="51">
        <v>50.3</v>
      </c>
      <c r="Z14" s="51">
        <v>50.3</v>
      </c>
      <c r="AA14" s="51">
        <v>50.3</v>
      </c>
      <c r="AB14" s="51">
        <v>50.3</v>
      </c>
      <c r="AC14" s="51">
        <v>50.3</v>
      </c>
      <c r="AD14" s="51">
        <v>50.3</v>
      </c>
      <c r="AE14" s="51">
        <v>25</v>
      </c>
      <c r="AF14" s="51">
        <v>25</v>
      </c>
      <c r="AG14" s="58">
        <v>50</v>
      </c>
      <c r="AH14" s="54">
        <f t="shared" si="2"/>
        <v>50.5</v>
      </c>
      <c r="AI14" s="55">
        <f t="shared" si="3"/>
        <v>25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43.2</v>
      </c>
      <c r="C15" s="51">
        <v>43.2</v>
      </c>
      <c r="D15" s="51">
        <v>43.2</v>
      </c>
      <c r="E15" s="51">
        <v>43.2</v>
      </c>
      <c r="F15" s="51">
        <v>43.2</v>
      </c>
      <c r="G15" s="51">
        <v>43.2</v>
      </c>
      <c r="H15" s="51">
        <v>43.2</v>
      </c>
      <c r="I15" s="51">
        <v>43.2</v>
      </c>
      <c r="J15" s="51">
        <v>43.2</v>
      </c>
      <c r="K15" s="51">
        <v>43.2</v>
      </c>
      <c r="L15" s="51">
        <v>43.2</v>
      </c>
      <c r="M15" s="51">
        <v>43.2</v>
      </c>
      <c r="N15" s="51">
        <v>43.2</v>
      </c>
      <c r="O15" s="51">
        <v>43.2</v>
      </c>
      <c r="P15" s="51">
        <v>43.2</v>
      </c>
      <c r="Q15" s="51">
        <v>43.2</v>
      </c>
      <c r="R15" s="51">
        <v>43.2</v>
      </c>
      <c r="S15" s="51">
        <v>43.2</v>
      </c>
      <c r="T15" s="51">
        <v>43.2</v>
      </c>
      <c r="U15" s="51">
        <v>43.2</v>
      </c>
      <c r="V15" s="51">
        <v>43.2</v>
      </c>
      <c r="W15" s="51">
        <v>43.2</v>
      </c>
      <c r="X15" s="51">
        <v>43.2</v>
      </c>
      <c r="Y15" s="51">
        <v>43.2</v>
      </c>
      <c r="Z15" s="51">
        <v>43.2</v>
      </c>
      <c r="AA15" s="51">
        <v>43.2</v>
      </c>
      <c r="AB15" s="51">
        <v>43.2</v>
      </c>
      <c r="AC15" s="51">
        <v>45.2</v>
      </c>
      <c r="AD15" s="51">
        <v>45.2</v>
      </c>
      <c r="AE15" s="51">
        <v>45.2</v>
      </c>
      <c r="AF15" s="51">
        <v>45.2</v>
      </c>
      <c r="AG15" s="59">
        <v>45</v>
      </c>
      <c r="AH15" s="54">
        <f t="shared" si="2"/>
        <v>45.2</v>
      </c>
      <c r="AI15" s="55">
        <f t="shared" si="3"/>
        <v>43.2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32</v>
      </c>
      <c r="C16" s="51">
        <v>32</v>
      </c>
      <c r="D16" s="51">
        <v>25</v>
      </c>
      <c r="E16" s="51">
        <v>25</v>
      </c>
      <c r="F16" s="51">
        <v>25</v>
      </c>
      <c r="G16" s="51">
        <v>30</v>
      </c>
      <c r="H16" s="51">
        <v>30</v>
      </c>
      <c r="I16" s="51">
        <v>30</v>
      </c>
      <c r="J16" s="51">
        <v>30</v>
      </c>
      <c r="K16" s="51">
        <v>30</v>
      </c>
      <c r="L16" s="51">
        <v>25</v>
      </c>
      <c r="M16" s="51">
        <v>25</v>
      </c>
      <c r="N16" s="51">
        <v>25</v>
      </c>
      <c r="O16" s="51">
        <v>25</v>
      </c>
      <c r="P16" s="51">
        <v>25</v>
      </c>
      <c r="Q16" s="51">
        <v>25</v>
      </c>
      <c r="R16" s="51">
        <v>25</v>
      </c>
      <c r="S16" s="51">
        <v>30</v>
      </c>
      <c r="T16" s="51">
        <v>30</v>
      </c>
      <c r="U16" s="51">
        <v>30</v>
      </c>
      <c r="V16" s="51">
        <v>30</v>
      </c>
      <c r="W16" s="51">
        <v>30</v>
      </c>
      <c r="X16" s="51">
        <v>30</v>
      </c>
      <c r="Y16" s="51">
        <v>30</v>
      </c>
      <c r="Z16" s="51">
        <v>30</v>
      </c>
      <c r="AA16" s="51">
        <v>30</v>
      </c>
      <c r="AB16" s="51">
        <v>30</v>
      </c>
      <c r="AC16" s="51">
        <v>30</v>
      </c>
      <c r="AD16" s="51">
        <v>30</v>
      </c>
      <c r="AE16" s="51">
        <v>30</v>
      </c>
      <c r="AF16" s="51">
        <v>30</v>
      </c>
      <c r="AG16" s="58">
        <v>45</v>
      </c>
      <c r="AH16" s="54">
        <f t="shared" si="2"/>
        <v>32</v>
      </c>
      <c r="AI16" s="55">
        <f t="shared" si="3"/>
        <v>25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30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19.8</v>
      </c>
      <c r="C19" s="51">
        <v>19.8</v>
      </c>
      <c r="D19" s="51">
        <v>19.8</v>
      </c>
      <c r="E19" s="51">
        <v>19.8</v>
      </c>
      <c r="F19" s="51">
        <v>19.8</v>
      </c>
      <c r="G19" s="51">
        <v>19.8</v>
      </c>
      <c r="H19" s="51">
        <v>19.8</v>
      </c>
      <c r="I19" s="51">
        <v>19.8</v>
      </c>
      <c r="J19" s="51">
        <v>19.8</v>
      </c>
      <c r="K19" s="51">
        <v>19.8</v>
      </c>
      <c r="L19" s="51">
        <v>19.8</v>
      </c>
      <c r="M19" s="51">
        <v>20</v>
      </c>
      <c r="N19" s="51">
        <v>20</v>
      </c>
      <c r="O19" s="51">
        <v>20</v>
      </c>
      <c r="P19" s="51">
        <v>20</v>
      </c>
      <c r="Q19" s="51">
        <v>20</v>
      </c>
      <c r="R19" s="51">
        <v>20</v>
      </c>
      <c r="S19" s="51">
        <v>20</v>
      </c>
      <c r="T19" s="51">
        <v>20</v>
      </c>
      <c r="U19" s="51">
        <v>20</v>
      </c>
      <c r="V19" s="51">
        <v>20</v>
      </c>
      <c r="W19" s="51">
        <v>20</v>
      </c>
      <c r="X19" s="51">
        <v>20</v>
      </c>
      <c r="Y19" s="51">
        <v>20</v>
      </c>
      <c r="Z19" s="51">
        <v>20</v>
      </c>
      <c r="AA19" s="51">
        <v>20</v>
      </c>
      <c r="AB19" s="51">
        <v>20</v>
      </c>
      <c r="AC19" s="51">
        <v>20</v>
      </c>
      <c r="AD19" s="51">
        <v>22</v>
      </c>
      <c r="AE19" s="51">
        <v>21</v>
      </c>
      <c r="AF19" s="51">
        <v>21</v>
      </c>
      <c r="AG19" s="58">
        <v>30</v>
      </c>
      <c r="AH19" s="54">
        <f t="shared" si="2"/>
        <v>22</v>
      </c>
      <c r="AI19" s="55">
        <f t="shared" si="3"/>
        <v>19.8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</v>
      </c>
      <c r="C22" s="51">
        <v>23</v>
      </c>
      <c r="D22" s="51">
        <v>23</v>
      </c>
      <c r="E22" s="51">
        <v>23</v>
      </c>
      <c r="F22" s="51">
        <v>23</v>
      </c>
      <c r="G22" s="51">
        <v>23</v>
      </c>
      <c r="H22" s="51">
        <v>23</v>
      </c>
      <c r="I22" s="51">
        <v>23</v>
      </c>
      <c r="J22" s="51">
        <v>23</v>
      </c>
      <c r="K22" s="51">
        <v>23</v>
      </c>
      <c r="L22" s="51">
        <v>23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22</v>
      </c>
      <c r="AB22" s="51">
        <v>22</v>
      </c>
      <c r="AC22" s="51">
        <v>22</v>
      </c>
      <c r="AD22" s="51">
        <v>22</v>
      </c>
      <c r="AE22" s="51">
        <v>22</v>
      </c>
      <c r="AF22" s="51">
        <v>22</v>
      </c>
      <c r="AG22" s="58">
        <v>25</v>
      </c>
      <c r="AH22" s="54">
        <f t="shared" si="2"/>
        <v>23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6.5</v>
      </c>
      <c r="C23" s="51">
        <v>6.5</v>
      </c>
      <c r="D23" s="51">
        <v>6.5</v>
      </c>
      <c r="E23" s="51">
        <v>6.5</v>
      </c>
      <c r="F23" s="51">
        <v>6.5</v>
      </c>
      <c r="G23" s="51">
        <v>6.5</v>
      </c>
      <c r="H23" s="51">
        <v>6.5</v>
      </c>
      <c r="I23" s="51">
        <v>6.5</v>
      </c>
      <c r="J23" s="51">
        <v>6.5</v>
      </c>
      <c r="K23" s="51">
        <v>6.5</v>
      </c>
      <c r="L23" s="51">
        <v>6.5</v>
      </c>
      <c r="M23" s="51">
        <v>6.5</v>
      </c>
      <c r="N23" s="51">
        <v>6.5</v>
      </c>
      <c r="O23" s="51">
        <v>6.5</v>
      </c>
      <c r="P23" s="51">
        <v>6.5</v>
      </c>
      <c r="Q23" s="51">
        <v>6.5</v>
      </c>
      <c r="R23" s="51">
        <v>6.5</v>
      </c>
      <c r="S23" s="51">
        <v>6.5</v>
      </c>
      <c r="T23" s="51">
        <v>6.5</v>
      </c>
      <c r="U23" s="51">
        <v>6.5</v>
      </c>
      <c r="V23" s="51">
        <v>6.5</v>
      </c>
      <c r="W23" s="51">
        <v>6.5</v>
      </c>
      <c r="X23" s="51">
        <v>6.5</v>
      </c>
      <c r="Y23" s="51">
        <v>6.5</v>
      </c>
      <c r="Z23" s="51">
        <v>6.5</v>
      </c>
      <c r="AA23" s="51">
        <v>6.5</v>
      </c>
      <c r="AB23" s="51">
        <v>6.5</v>
      </c>
      <c r="AC23" s="51">
        <v>6.5</v>
      </c>
      <c r="AD23" s="51">
        <v>6.5</v>
      </c>
      <c r="AE23" s="51">
        <v>6.5</v>
      </c>
      <c r="AF23" s="51">
        <v>6.5</v>
      </c>
      <c r="AG23" s="58">
        <v>25</v>
      </c>
      <c r="AH23" s="54">
        <f t="shared" si="2"/>
        <v>6.5</v>
      </c>
      <c r="AI23" s="55">
        <f t="shared" si="3"/>
        <v>6.5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21.8</v>
      </c>
      <c r="C24" s="51">
        <v>21.8</v>
      </c>
      <c r="D24" s="51">
        <v>21.8</v>
      </c>
      <c r="E24" s="51">
        <v>21.8</v>
      </c>
      <c r="F24" s="51">
        <v>21.8</v>
      </c>
      <c r="G24" s="51">
        <v>21.8</v>
      </c>
      <c r="H24" s="51">
        <v>21.8</v>
      </c>
      <c r="I24" s="51">
        <v>21.8</v>
      </c>
      <c r="J24" s="51">
        <v>21.8</v>
      </c>
      <c r="K24" s="51">
        <v>21.8</v>
      </c>
      <c r="L24" s="51">
        <v>21.8</v>
      </c>
      <c r="M24" s="51">
        <v>20.399999999999999</v>
      </c>
      <c r="N24" s="51">
        <v>20.399999999999999</v>
      </c>
      <c r="O24" s="51">
        <v>20.399999999999999</v>
      </c>
      <c r="P24" s="51">
        <v>20.399999999999999</v>
      </c>
      <c r="Q24" s="51">
        <v>20.399999999999999</v>
      </c>
      <c r="R24" s="51">
        <v>20.399999999999999</v>
      </c>
      <c r="S24" s="51">
        <v>20.399999999999999</v>
      </c>
      <c r="T24" s="51">
        <v>20.399999999999999</v>
      </c>
      <c r="U24" s="51">
        <v>20.399999999999999</v>
      </c>
      <c r="V24" s="51">
        <v>20.399999999999999</v>
      </c>
      <c r="W24" s="51">
        <v>20.399999999999999</v>
      </c>
      <c r="X24" s="51">
        <v>20.399999999999999</v>
      </c>
      <c r="Y24" s="51">
        <v>20.399999999999999</v>
      </c>
      <c r="Z24" s="51">
        <v>20.399999999999999</v>
      </c>
      <c r="AA24" s="51">
        <v>20.399999999999999</v>
      </c>
      <c r="AB24" s="51">
        <v>20.399999999999999</v>
      </c>
      <c r="AC24" s="51">
        <v>20.399999999999999</v>
      </c>
      <c r="AD24" s="51">
        <v>18</v>
      </c>
      <c r="AE24" s="51">
        <v>18</v>
      </c>
      <c r="AF24" s="51">
        <v>18</v>
      </c>
      <c r="AG24" s="58">
        <v>25</v>
      </c>
      <c r="AH24" s="54">
        <f t="shared" si="2"/>
        <v>21.8</v>
      </c>
      <c r="AI24" s="55">
        <f t="shared" si="3"/>
        <v>18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9.5</v>
      </c>
      <c r="C25" s="51">
        <v>9.5</v>
      </c>
      <c r="D25" s="51">
        <v>9.5</v>
      </c>
      <c r="E25" s="51">
        <v>9.5</v>
      </c>
      <c r="F25" s="51">
        <v>9.5</v>
      </c>
      <c r="G25" s="51">
        <v>9.5</v>
      </c>
      <c r="H25" s="51">
        <v>9.5</v>
      </c>
      <c r="I25" s="51">
        <v>9.5</v>
      </c>
      <c r="J25" s="51">
        <v>9.5</v>
      </c>
      <c r="K25" s="51">
        <v>9.5</v>
      </c>
      <c r="L25" s="51">
        <v>9.5</v>
      </c>
      <c r="M25" s="51">
        <v>9.5</v>
      </c>
      <c r="N25" s="51">
        <v>9.5</v>
      </c>
      <c r="O25" s="51">
        <v>9.5</v>
      </c>
      <c r="P25" s="51">
        <v>9.5</v>
      </c>
      <c r="Q25" s="51">
        <v>9.5</v>
      </c>
      <c r="R25" s="51">
        <v>9.5</v>
      </c>
      <c r="S25" s="51">
        <v>9.5</v>
      </c>
      <c r="T25" s="51">
        <v>9.5</v>
      </c>
      <c r="U25" s="51">
        <v>9.5</v>
      </c>
      <c r="V25" s="51">
        <v>9.5</v>
      </c>
      <c r="W25" s="51">
        <v>9.5</v>
      </c>
      <c r="X25" s="51">
        <v>9.5</v>
      </c>
      <c r="Y25" s="51">
        <v>9.5</v>
      </c>
      <c r="Z25" s="51">
        <v>9.5</v>
      </c>
      <c r="AA25" s="51">
        <v>9.5</v>
      </c>
      <c r="AB25" s="51">
        <v>9.5</v>
      </c>
      <c r="AC25" s="51">
        <v>9.5</v>
      </c>
      <c r="AD25" s="51">
        <v>9.5</v>
      </c>
      <c r="AE25" s="51">
        <v>9.5</v>
      </c>
      <c r="AF25" s="51">
        <v>9.5</v>
      </c>
      <c r="AG25" s="58">
        <v>24.2</v>
      </c>
      <c r="AH25" s="54">
        <f t="shared" si="2"/>
        <v>9.5</v>
      </c>
      <c r="AI25" s="55">
        <f t="shared" si="3"/>
        <v>9.5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10.5</v>
      </c>
      <c r="C26" s="51">
        <v>5</v>
      </c>
      <c r="D26" s="51">
        <v>5</v>
      </c>
      <c r="E26" s="51">
        <v>0</v>
      </c>
      <c r="F26" s="51">
        <v>0</v>
      </c>
      <c r="G26" s="51">
        <v>5</v>
      </c>
      <c r="H26" s="51">
        <v>5</v>
      </c>
      <c r="I26" s="51">
        <v>5</v>
      </c>
      <c r="J26" s="51">
        <v>5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8">
        <v>20</v>
      </c>
      <c r="AH26" s="54">
        <f t="shared" si="2"/>
        <v>10.5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5.5</v>
      </c>
      <c r="C30" s="51">
        <v>5.5</v>
      </c>
      <c r="D30" s="51">
        <v>5.5</v>
      </c>
      <c r="E30" s="51">
        <v>5.5</v>
      </c>
      <c r="F30" s="51">
        <v>5.5</v>
      </c>
      <c r="G30" s="51">
        <v>5.5</v>
      </c>
      <c r="H30" s="51">
        <v>5.5</v>
      </c>
      <c r="I30" s="51">
        <v>5.5</v>
      </c>
      <c r="J30" s="51">
        <v>5.5</v>
      </c>
      <c r="K30" s="51">
        <v>5.5</v>
      </c>
      <c r="L30" s="51">
        <v>5.5</v>
      </c>
      <c r="M30" s="51">
        <v>5.5</v>
      </c>
      <c r="N30" s="51">
        <v>5.5</v>
      </c>
      <c r="O30" s="51">
        <v>5.5</v>
      </c>
      <c r="P30" s="51">
        <v>5.5</v>
      </c>
      <c r="Q30" s="51">
        <v>5.5</v>
      </c>
      <c r="R30" s="51">
        <v>5.5</v>
      </c>
      <c r="S30" s="51">
        <v>5.5</v>
      </c>
      <c r="T30" s="51">
        <v>5.5</v>
      </c>
      <c r="U30" s="51">
        <v>5.5</v>
      </c>
      <c r="V30" s="51">
        <v>5.5</v>
      </c>
      <c r="W30" s="51">
        <v>5.5</v>
      </c>
      <c r="X30" s="51">
        <v>5.5</v>
      </c>
      <c r="Y30" s="51">
        <v>5.5</v>
      </c>
      <c r="Z30" s="51">
        <v>5.5</v>
      </c>
      <c r="AA30" s="51">
        <v>5.5</v>
      </c>
      <c r="AB30" s="51">
        <v>5.5</v>
      </c>
      <c r="AC30" s="51">
        <v>5.5</v>
      </c>
      <c r="AD30" s="51">
        <v>5.8</v>
      </c>
      <c r="AE30" s="51">
        <v>7</v>
      </c>
      <c r="AF30" s="51">
        <v>7</v>
      </c>
      <c r="AG30" s="58">
        <v>22.1</v>
      </c>
      <c r="AH30" s="54">
        <f t="shared" si="2"/>
        <v>7</v>
      </c>
      <c r="AI30" s="55">
        <f t="shared" si="3"/>
        <v>5.5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6.4</v>
      </c>
      <c r="C32" s="51">
        <v>6.4</v>
      </c>
      <c r="D32" s="51">
        <v>6.4</v>
      </c>
      <c r="E32" s="51">
        <v>6.4</v>
      </c>
      <c r="F32" s="51">
        <v>6.4</v>
      </c>
      <c r="G32" s="51">
        <v>6.4</v>
      </c>
      <c r="H32" s="51">
        <v>6.4</v>
      </c>
      <c r="I32" s="51">
        <v>6.4</v>
      </c>
      <c r="J32" s="51">
        <v>6.4</v>
      </c>
      <c r="K32" s="51">
        <v>6.4</v>
      </c>
      <c r="L32" s="51">
        <v>6.4</v>
      </c>
      <c r="M32" s="51">
        <v>6.4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3">
        <v>22</v>
      </c>
      <c r="AH32" s="54">
        <f t="shared" si="2"/>
        <v>6.4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7</v>
      </c>
      <c r="C34" s="51">
        <v>7</v>
      </c>
      <c r="D34" s="51">
        <v>7</v>
      </c>
      <c r="E34" s="51">
        <v>7</v>
      </c>
      <c r="F34" s="51">
        <v>7</v>
      </c>
      <c r="G34" s="51">
        <v>7</v>
      </c>
      <c r="H34" s="51">
        <v>7</v>
      </c>
      <c r="I34" s="51">
        <v>7</v>
      </c>
      <c r="J34" s="51">
        <v>7</v>
      </c>
      <c r="K34" s="51">
        <v>7</v>
      </c>
      <c r="L34" s="51">
        <v>7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63">
        <v>20</v>
      </c>
      <c r="AH34" s="54">
        <f t="shared" si="2"/>
        <v>7</v>
      </c>
      <c r="AI34" s="55">
        <f t="shared" si="3"/>
        <v>0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147.5</v>
      </c>
      <c r="C37" s="65">
        <f>66+74</f>
        <v>140</v>
      </c>
      <c r="D37" s="65">
        <f>66.6+72</f>
        <v>138.6</v>
      </c>
      <c r="E37" s="65">
        <f>66.2+71.3</f>
        <v>137.5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>
        <v>120</v>
      </c>
      <c r="R37" s="65"/>
      <c r="S37" s="67">
        <v>120</v>
      </c>
      <c r="T37" s="67">
        <v>120</v>
      </c>
      <c r="U37" s="67">
        <v>120</v>
      </c>
      <c r="V37" s="67">
        <v>120</v>
      </c>
      <c r="W37" s="67">
        <v>120</v>
      </c>
      <c r="X37" s="67">
        <v>120</v>
      </c>
      <c r="Y37" s="67">
        <v>120</v>
      </c>
      <c r="Z37" s="67">
        <v>120</v>
      </c>
      <c r="AA37" s="67">
        <v>120</v>
      </c>
      <c r="AB37" s="67">
        <v>120</v>
      </c>
      <c r="AC37" s="67">
        <v>120</v>
      </c>
      <c r="AD37" s="67">
        <v>120</v>
      </c>
      <c r="AE37" s="67">
        <v>120</v>
      </c>
      <c r="AF37" s="67">
        <v>120</v>
      </c>
      <c r="AG37" s="63">
        <v>240</v>
      </c>
      <c r="AH37" s="54">
        <f t="shared" si="2"/>
        <v>147.5</v>
      </c>
      <c r="AI37" s="55">
        <f t="shared" si="3"/>
        <v>120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833.69999999999993</v>
      </c>
      <c r="C38" s="69">
        <f t="shared" si="4"/>
        <v>848.19999999999993</v>
      </c>
      <c r="D38" s="69">
        <f t="shared" si="4"/>
        <v>841.19999999999993</v>
      </c>
      <c r="E38" s="69">
        <f t="shared" si="4"/>
        <v>839.19999999999993</v>
      </c>
      <c r="F38" s="69">
        <f t="shared" si="4"/>
        <v>839.19999999999993</v>
      </c>
      <c r="G38" s="69">
        <f t="shared" si="4"/>
        <v>894.19999999999993</v>
      </c>
      <c r="H38" s="69">
        <f t="shared" si="4"/>
        <v>870.99999999999989</v>
      </c>
      <c r="I38" s="69">
        <f t="shared" si="4"/>
        <v>895.99999999999989</v>
      </c>
      <c r="J38" s="69">
        <f t="shared" si="4"/>
        <v>880.99999999999989</v>
      </c>
      <c r="K38" s="69">
        <f t="shared" si="4"/>
        <v>915.99999999999989</v>
      </c>
      <c r="L38" s="69">
        <f t="shared" si="4"/>
        <v>920.99999999999989</v>
      </c>
      <c r="M38" s="69">
        <f t="shared" si="4"/>
        <v>889.5</v>
      </c>
      <c r="N38" s="69">
        <f t="shared" si="4"/>
        <v>881.9</v>
      </c>
      <c r="O38" s="69">
        <f t="shared" si="4"/>
        <v>881.9</v>
      </c>
      <c r="P38" s="69">
        <f t="shared" si="4"/>
        <v>881.9</v>
      </c>
      <c r="Q38" s="69">
        <f t="shared" si="4"/>
        <v>881.9</v>
      </c>
      <c r="R38" s="69">
        <f t="shared" si="4"/>
        <v>839.9</v>
      </c>
      <c r="S38" s="69">
        <f t="shared" si="4"/>
        <v>856.9</v>
      </c>
      <c r="T38" s="69">
        <f t="shared" si="4"/>
        <v>835.9</v>
      </c>
      <c r="U38" s="69">
        <f t="shared" si="4"/>
        <v>835.9</v>
      </c>
      <c r="V38" s="69">
        <f t="shared" si="4"/>
        <v>766.9</v>
      </c>
      <c r="W38" s="69">
        <f t="shared" si="4"/>
        <v>826.9</v>
      </c>
      <c r="X38" s="69">
        <f t="shared" si="4"/>
        <v>796.9</v>
      </c>
      <c r="Y38" s="69">
        <f t="shared" si="4"/>
        <v>786.9</v>
      </c>
      <c r="Z38" s="69">
        <f t="shared" si="4"/>
        <v>856.9</v>
      </c>
      <c r="AA38" s="69">
        <f t="shared" si="4"/>
        <v>946.9</v>
      </c>
      <c r="AB38" s="69">
        <f t="shared" si="4"/>
        <v>931.9</v>
      </c>
      <c r="AC38" s="69">
        <f t="shared" si="4"/>
        <v>920.1</v>
      </c>
      <c r="AD38" s="69">
        <f t="shared" si="4"/>
        <v>921.19999999999993</v>
      </c>
      <c r="AE38" s="69">
        <f t="shared" si="4"/>
        <v>846.09999999999991</v>
      </c>
      <c r="AF38" s="69">
        <f t="shared" si="4"/>
        <v>826.8</v>
      </c>
      <c r="AG38" s="63">
        <f>SUM(AG11:AG37)</f>
        <v>1492.8299999999997</v>
      </c>
      <c r="AH38" s="54">
        <f t="shared" si="2"/>
        <v>946.9</v>
      </c>
      <c r="AI38" s="55">
        <f t="shared" si="3"/>
        <v>766.9</v>
      </c>
      <c r="AK38" s="56"/>
    </row>
    <row r="39" spans="1:88" x14ac:dyDescent="0.25">
      <c r="A39" s="57" t="s">
        <v>47</v>
      </c>
      <c r="B39" s="51">
        <v>145.69999999999999</v>
      </c>
      <c r="C39" s="51">
        <v>145.69999999999999</v>
      </c>
      <c r="D39" s="51">
        <v>145.69999999999999</v>
      </c>
      <c r="E39" s="51">
        <v>141.30000000000001</v>
      </c>
      <c r="F39" s="51">
        <v>101.6</v>
      </c>
      <c r="G39" s="51">
        <v>97.3</v>
      </c>
      <c r="H39" s="51">
        <v>96.8</v>
      </c>
      <c r="I39" s="51">
        <v>97.2</v>
      </c>
      <c r="J39" s="51">
        <v>145.69999999999999</v>
      </c>
      <c r="K39" s="51">
        <v>145.6</v>
      </c>
      <c r="L39" s="51">
        <v>145.69999999999999</v>
      </c>
      <c r="M39" s="51">
        <v>145.4</v>
      </c>
      <c r="N39" s="51">
        <v>145.4</v>
      </c>
      <c r="O39" s="51">
        <v>145.4</v>
      </c>
      <c r="P39" s="51">
        <v>145.4</v>
      </c>
      <c r="Q39" s="51">
        <v>145.4</v>
      </c>
      <c r="R39" s="51">
        <v>145.4</v>
      </c>
      <c r="S39" s="51">
        <v>143.69999999999999</v>
      </c>
      <c r="T39" s="51">
        <v>145.9</v>
      </c>
      <c r="U39" s="51">
        <v>143.6</v>
      </c>
      <c r="V39" s="51">
        <v>143.6</v>
      </c>
      <c r="W39" s="51">
        <v>143.6</v>
      </c>
      <c r="X39" s="51">
        <v>145.5</v>
      </c>
      <c r="Y39" s="51">
        <v>145.5</v>
      </c>
      <c r="Z39" s="51">
        <v>145.5</v>
      </c>
      <c r="AA39" s="51">
        <v>145.5</v>
      </c>
      <c r="AB39" s="51">
        <v>145.5</v>
      </c>
      <c r="AC39" s="51">
        <v>145.4</v>
      </c>
      <c r="AD39" s="51">
        <v>145.4</v>
      </c>
      <c r="AE39" s="51">
        <v>145.4</v>
      </c>
      <c r="AF39" s="51">
        <v>145.4</v>
      </c>
      <c r="AG39" s="59">
        <v>144</v>
      </c>
      <c r="AH39" s="54">
        <f t="shared" si="2"/>
        <v>145.9</v>
      </c>
      <c r="AI39" s="55">
        <f t="shared" si="3"/>
        <v>96.8</v>
      </c>
      <c r="AK39" s="56"/>
    </row>
    <row r="40" spans="1:88" x14ac:dyDescent="0.25">
      <c r="A40" s="62" t="s">
        <v>48</v>
      </c>
      <c r="B40" s="70">
        <v>71.400000000000006</v>
      </c>
      <c r="C40" s="70">
        <v>71.400000000000006</v>
      </c>
      <c r="D40" s="70">
        <v>71.400000000000006</v>
      </c>
      <c r="E40" s="70">
        <v>71</v>
      </c>
      <c r="F40" s="70">
        <v>70.7</v>
      </c>
      <c r="G40" s="70">
        <v>71.400000000000006</v>
      </c>
      <c r="H40" s="70">
        <v>72</v>
      </c>
      <c r="I40" s="70">
        <v>71.099999999999994</v>
      </c>
      <c r="J40" s="70">
        <v>70.8</v>
      </c>
      <c r="K40" s="70">
        <v>71.400000000000006</v>
      </c>
      <c r="L40" s="70">
        <v>71</v>
      </c>
      <c r="M40" s="51">
        <v>72</v>
      </c>
      <c r="N40" s="51">
        <v>71.599999999999994</v>
      </c>
      <c r="O40" s="51">
        <v>71.599999999999994</v>
      </c>
      <c r="P40" s="51">
        <v>71.599999999999994</v>
      </c>
      <c r="Q40" s="51">
        <v>71.599999999999994</v>
      </c>
      <c r="R40" s="51">
        <v>71.599999999999994</v>
      </c>
      <c r="S40" s="51">
        <v>70.099999999999994</v>
      </c>
      <c r="T40" s="51">
        <v>70.099999999999994</v>
      </c>
      <c r="U40" s="51">
        <v>70.099999999999994</v>
      </c>
      <c r="V40" s="51">
        <v>70.099999999999994</v>
      </c>
      <c r="W40" s="51">
        <v>70.099999999999994</v>
      </c>
      <c r="X40" s="51">
        <v>71.5</v>
      </c>
      <c r="Y40" s="51">
        <v>72.2</v>
      </c>
      <c r="Z40" s="51">
        <v>72.2</v>
      </c>
      <c r="AA40" s="51">
        <v>72.2</v>
      </c>
      <c r="AB40" s="51">
        <v>72.2</v>
      </c>
      <c r="AC40" s="51">
        <v>71.7</v>
      </c>
      <c r="AD40" s="51">
        <v>71.7</v>
      </c>
      <c r="AE40" s="51">
        <v>71.7</v>
      </c>
      <c r="AF40" s="51">
        <v>71.7</v>
      </c>
      <c r="AG40" s="63">
        <v>70</v>
      </c>
      <c r="AH40" s="54">
        <f t="shared" si="2"/>
        <v>72.2</v>
      </c>
      <c r="AI40" s="55">
        <f t="shared" si="3"/>
        <v>70.099999999999994</v>
      </c>
      <c r="AK40" s="56"/>
    </row>
    <row r="41" spans="1:88" x14ac:dyDescent="0.25">
      <c r="A41" s="62" t="s">
        <v>49</v>
      </c>
      <c r="B41" s="70">
        <v>69</v>
      </c>
      <c r="C41" s="70">
        <v>68.3</v>
      </c>
      <c r="D41" s="70">
        <v>62.8</v>
      </c>
      <c r="E41" s="70">
        <v>56</v>
      </c>
      <c r="F41" s="70">
        <v>56.2</v>
      </c>
      <c r="G41" s="70">
        <v>56.1</v>
      </c>
      <c r="H41" s="70">
        <v>56.1</v>
      </c>
      <c r="I41" s="70">
        <v>69.900000000000006</v>
      </c>
      <c r="J41" s="70">
        <v>69.7</v>
      </c>
      <c r="K41" s="70">
        <v>68.900000000000006</v>
      </c>
      <c r="L41" s="70">
        <v>68.8</v>
      </c>
      <c r="M41" s="51">
        <v>69.099999999999994</v>
      </c>
      <c r="N41" s="51">
        <v>69.7</v>
      </c>
      <c r="O41" s="51">
        <v>69.7</v>
      </c>
      <c r="P41" s="51">
        <v>69.7</v>
      </c>
      <c r="Q41" s="51">
        <v>69.7</v>
      </c>
      <c r="R41" s="51">
        <v>69.7</v>
      </c>
      <c r="S41" s="51">
        <v>67.400000000000006</v>
      </c>
      <c r="T41" s="51">
        <v>67.400000000000006</v>
      </c>
      <c r="U41" s="51">
        <v>67.400000000000006</v>
      </c>
      <c r="V41" s="51">
        <v>67.400000000000006</v>
      </c>
      <c r="W41" s="51">
        <v>67.400000000000006</v>
      </c>
      <c r="X41" s="51">
        <v>69.2</v>
      </c>
      <c r="Y41" s="51">
        <v>68.400000000000006</v>
      </c>
      <c r="Z41" s="51">
        <v>68.400000000000006</v>
      </c>
      <c r="AA41" s="51">
        <v>68.400000000000006</v>
      </c>
      <c r="AB41" s="51">
        <v>68.400000000000006</v>
      </c>
      <c r="AC41" s="51">
        <v>69.2</v>
      </c>
      <c r="AD41" s="51">
        <v>69.2</v>
      </c>
      <c r="AE41" s="51">
        <v>69</v>
      </c>
      <c r="AF41" s="51">
        <v>69</v>
      </c>
      <c r="AG41" s="63">
        <v>69</v>
      </c>
      <c r="AH41" s="54">
        <f t="shared" si="2"/>
        <v>69.900000000000006</v>
      </c>
      <c r="AI41" s="55">
        <f t="shared" si="3"/>
        <v>56</v>
      </c>
      <c r="AK41" s="56"/>
    </row>
    <row r="42" spans="1:88" x14ac:dyDescent="0.25">
      <c r="A42" s="62" t="s">
        <v>50</v>
      </c>
      <c r="B42" s="65">
        <v>61.2</v>
      </c>
      <c r="C42" s="65">
        <v>61.2</v>
      </c>
      <c r="D42" s="65">
        <v>61.2</v>
      </c>
      <c r="E42" s="65">
        <v>61.2</v>
      </c>
      <c r="F42" s="65">
        <v>61.2</v>
      </c>
      <c r="G42" s="65">
        <v>61.2</v>
      </c>
      <c r="H42" s="65">
        <v>61.2</v>
      </c>
      <c r="I42" s="65">
        <v>61.2</v>
      </c>
      <c r="J42" s="65">
        <v>61.2</v>
      </c>
      <c r="K42" s="65">
        <v>60.9</v>
      </c>
      <c r="L42" s="65">
        <v>58.5</v>
      </c>
      <c r="M42" s="51">
        <v>59</v>
      </c>
      <c r="N42" s="51">
        <v>59</v>
      </c>
      <c r="O42" s="51">
        <v>59</v>
      </c>
      <c r="P42" s="51">
        <v>59</v>
      </c>
      <c r="Q42" s="51">
        <v>59</v>
      </c>
      <c r="R42" s="51">
        <v>59</v>
      </c>
      <c r="S42" s="51">
        <v>59</v>
      </c>
      <c r="T42" s="51">
        <v>55.4</v>
      </c>
      <c r="U42" s="51">
        <v>59.5</v>
      </c>
      <c r="V42" s="51">
        <v>59.5</v>
      </c>
      <c r="W42" s="51">
        <v>59.5</v>
      </c>
      <c r="X42" s="51">
        <v>60.2</v>
      </c>
      <c r="Y42" s="51">
        <v>60.2</v>
      </c>
      <c r="Z42" s="51">
        <v>60.2</v>
      </c>
      <c r="AA42" s="51">
        <v>60.2</v>
      </c>
      <c r="AB42" s="51">
        <v>60.2</v>
      </c>
      <c r="AC42" s="51">
        <v>60.4</v>
      </c>
      <c r="AD42" s="51">
        <v>60.4</v>
      </c>
      <c r="AE42" s="51">
        <v>60.4</v>
      </c>
      <c r="AF42" s="51">
        <v>60.4</v>
      </c>
      <c r="AG42" s="63">
        <v>60</v>
      </c>
      <c r="AH42" s="54">
        <f t="shared" si="2"/>
        <v>61.2</v>
      </c>
      <c r="AI42" s="55">
        <f t="shared" si="3"/>
        <v>55.4</v>
      </c>
      <c r="AK42" s="56"/>
    </row>
    <row r="43" spans="1:88" x14ac:dyDescent="0.25">
      <c r="A43" s="62" t="s">
        <v>51</v>
      </c>
      <c r="B43" s="65">
        <v>18</v>
      </c>
      <c r="C43" s="65">
        <v>16</v>
      </c>
      <c r="D43" s="65">
        <v>13</v>
      </c>
      <c r="E43" s="65">
        <v>0</v>
      </c>
      <c r="F43" s="65">
        <v>24</v>
      </c>
      <c r="G43" s="65">
        <v>6</v>
      </c>
      <c r="H43" s="65">
        <v>5.8</v>
      </c>
      <c r="I43" s="65">
        <v>15</v>
      </c>
      <c r="J43" s="65">
        <v>16</v>
      </c>
      <c r="K43" s="65">
        <v>16</v>
      </c>
      <c r="L43" s="65">
        <v>16</v>
      </c>
      <c r="M43" s="51">
        <v>10</v>
      </c>
      <c r="N43" s="51">
        <v>10</v>
      </c>
      <c r="O43" s="51">
        <v>10</v>
      </c>
      <c r="P43" s="51">
        <v>10</v>
      </c>
      <c r="Q43" s="51">
        <v>25</v>
      </c>
      <c r="R43" s="51">
        <v>25</v>
      </c>
      <c r="S43" s="51">
        <v>25</v>
      </c>
      <c r="T43" s="51">
        <v>10</v>
      </c>
      <c r="U43" s="51">
        <v>10</v>
      </c>
      <c r="V43" s="51">
        <v>10</v>
      </c>
      <c r="W43" s="51">
        <v>10</v>
      </c>
      <c r="X43" s="51">
        <v>8</v>
      </c>
      <c r="Y43" s="51">
        <v>8</v>
      </c>
      <c r="Z43" s="51">
        <v>30</v>
      </c>
      <c r="AA43" s="51">
        <v>30</v>
      </c>
      <c r="AB43" s="51">
        <v>30</v>
      </c>
      <c r="AC43" s="51">
        <v>30</v>
      </c>
      <c r="AD43" s="51">
        <v>30</v>
      </c>
      <c r="AE43" s="51">
        <v>30</v>
      </c>
      <c r="AF43" s="51">
        <v>10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51">
        <v>8</v>
      </c>
      <c r="N44" s="51">
        <v>8</v>
      </c>
      <c r="O44" s="51">
        <v>8</v>
      </c>
      <c r="P44" s="51">
        <v>8</v>
      </c>
      <c r="Q44" s="51">
        <v>8</v>
      </c>
      <c r="R44" s="51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17.600000000000001</v>
      </c>
      <c r="C45" s="70">
        <v>17.600000000000001</v>
      </c>
      <c r="D45" s="70">
        <v>17.600000000000001</v>
      </c>
      <c r="E45" s="70">
        <v>17.5</v>
      </c>
      <c r="F45" s="70">
        <v>17.5</v>
      </c>
      <c r="G45" s="70">
        <v>17.5</v>
      </c>
      <c r="H45" s="70">
        <v>17.5</v>
      </c>
      <c r="I45" s="70">
        <v>17.5</v>
      </c>
      <c r="J45" s="70">
        <v>17.5</v>
      </c>
      <c r="K45" s="70">
        <v>17.5</v>
      </c>
      <c r="L45" s="70">
        <v>17.5</v>
      </c>
      <c r="M45" s="51">
        <v>17.399999999999999</v>
      </c>
      <c r="N45" s="51">
        <v>17.399999999999999</v>
      </c>
      <c r="O45" s="51">
        <v>17.399999999999999</v>
      </c>
      <c r="P45" s="51">
        <v>17.399999999999999</v>
      </c>
      <c r="Q45" s="51">
        <v>17.399999999999999</v>
      </c>
      <c r="R45" s="51">
        <v>17.399999999999999</v>
      </c>
      <c r="S45" s="51">
        <v>17.399999999999999</v>
      </c>
      <c r="T45" s="51">
        <v>17.399999999999999</v>
      </c>
      <c r="U45" s="51">
        <v>17.399999999999999</v>
      </c>
      <c r="V45" s="51">
        <v>17.399999999999999</v>
      </c>
      <c r="W45" s="51">
        <v>17.399999999999999</v>
      </c>
      <c r="X45" s="51">
        <v>17.399999999999999</v>
      </c>
      <c r="Y45" s="51">
        <v>17.399999999999999</v>
      </c>
      <c r="Z45" s="51">
        <v>17.399999999999999</v>
      </c>
      <c r="AA45" s="51">
        <v>17.399999999999999</v>
      </c>
      <c r="AB45" s="51">
        <v>17.399999999999999</v>
      </c>
      <c r="AC45" s="51">
        <v>17.399999999999999</v>
      </c>
      <c r="AD45" s="51">
        <v>17.399999999999999</v>
      </c>
      <c r="AE45" s="51">
        <v>17.399999999999999</v>
      </c>
      <c r="AF45" s="51">
        <v>17.399999999999999</v>
      </c>
      <c r="AG45" s="63">
        <v>24</v>
      </c>
      <c r="AH45" s="54">
        <f t="shared" si="2"/>
        <v>17.600000000000001</v>
      </c>
      <c r="AI45" s="55">
        <f t="shared" si="3"/>
        <v>17.399999999999999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14</v>
      </c>
      <c r="C47" s="70">
        <v>14</v>
      </c>
      <c r="D47" s="70">
        <v>14</v>
      </c>
      <c r="E47" s="70">
        <v>14</v>
      </c>
      <c r="F47" s="70">
        <v>14</v>
      </c>
      <c r="G47" s="70">
        <v>14</v>
      </c>
      <c r="H47" s="70">
        <v>14</v>
      </c>
      <c r="I47" s="70">
        <v>14</v>
      </c>
      <c r="J47" s="70">
        <v>14</v>
      </c>
      <c r="K47" s="70">
        <v>14</v>
      </c>
      <c r="L47" s="70">
        <v>14</v>
      </c>
      <c r="M47" s="51">
        <v>13.1</v>
      </c>
      <c r="N47" s="51">
        <v>13.1</v>
      </c>
      <c r="O47" s="51">
        <v>13.1</v>
      </c>
      <c r="P47" s="51">
        <v>13.1</v>
      </c>
      <c r="Q47" s="51">
        <v>13.1</v>
      </c>
      <c r="R47" s="51">
        <v>13.1</v>
      </c>
      <c r="S47" s="51">
        <v>13.1</v>
      </c>
      <c r="T47" s="51">
        <v>13.1</v>
      </c>
      <c r="U47" s="51">
        <v>13.1</v>
      </c>
      <c r="V47" s="51">
        <v>13.1</v>
      </c>
      <c r="W47" s="51">
        <v>13.1</v>
      </c>
      <c r="X47" s="51">
        <v>13.1</v>
      </c>
      <c r="Y47" s="51">
        <v>13.1</v>
      </c>
      <c r="Z47" s="51">
        <v>13.1</v>
      </c>
      <c r="AA47" s="51">
        <v>13.1</v>
      </c>
      <c r="AB47" s="51">
        <v>13.1</v>
      </c>
      <c r="AC47" s="51">
        <v>13.1</v>
      </c>
      <c r="AD47" s="51">
        <v>13.1</v>
      </c>
      <c r="AE47" s="51">
        <v>13.1</v>
      </c>
      <c r="AF47" s="51">
        <v>13.1</v>
      </c>
      <c r="AG47" s="63">
        <v>14.1</v>
      </c>
      <c r="AH47" s="54">
        <f t="shared" si="2"/>
        <v>14</v>
      </c>
      <c r="AI47" s="55">
        <f t="shared" si="3"/>
        <v>13.1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11.3</v>
      </c>
      <c r="C48" s="70">
        <v>11.3</v>
      </c>
      <c r="D48" s="70">
        <v>11.3</v>
      </c>
      <c r="E48" s="70">
        <v>11.3</v>
      </c>
      <c r="F48" s="70">
        <v>11.3</v>
      </c>
      <c r="G48" s="70">
        <v>11.3</v>
      </c>
      <c r="H48" s="70">
        <v>11.3</v>
      </c>
      <c r="I48" s="70">
        <v>11.3</v>
      </c>
      <c r="J48" s="70">
        <v>11.3</v>
      </c>
      <c r="K48" s="70">
        <v>11.3</v>
      </c>
      <c r="L48" s="70">
        <v>11.3</v>
      </c>
      <c r="M48" s="51">
        <v>11.3</v>
      </c>
      <c r="N48" s="51">
        <v>11.3</v>
      </c>
      <c r="O48" s="51">
        <v>11.3</v>
      </c>
      <c r="P48" s="51">
        <v>11.3</v>
      </c>
      <c r="Q48" s="51">
        <v>11.3</v>
      </c>
      <c r="R48" s="51">
        <v>11.3</v>
      </c>
      <c r="S48" s="51">
        <v>11.3</v>
      </c>
      <c r="T48" s="51">
        <v>11.3</v>
      </c>
      <c r="U48" s="51">
        <v>11.3</v>
      </c>
      <c r="V48" s="51">
        <v>11.3</v>
      </c>
      <c r="W48" s="51">
        <v>11.3</v>
      </c>
      <c r="X48" s="51">
        <v>11.3</v>
      </c>
      <c r="Y48" s="51">
        <v>11.3</v>
      </c>
      <c r="Z48" s="51">
        <v>11.3</v>
      </c>
      <c r="AA48" s="51">
        <v>11.3</v>
      </c>
      <c r="AB48" s="51">
        <v>11.3</v>
      </c>
      <c r="AC48" s="51">
        <v>11.3</v>
      </c>
      <c r="AD48" s="51">
        <v>11.3</v>
      </c>
      <c r="AE48" s="51">
        <v>11.3</v>
      </c>
      <c r="AF48" s="51">
        <v>11.3</v>
      </c>
      <c r="AG48" s="63">
        <v>14</v>
      </c>
      <c r="AH48" s="54">
        <f t="shared" si="2"/>
        <v>11.3</v>
      </c>
      <c r="AI48" s="55">
        <f t="shared" si="3"/>
        <v>11.3</v>
      </c>
      <c r="AK48" s="56"/>
    </row>
    <row r="49" spans="1:37" x14ac:dyDescent="0.25">
      <c r="A49" s="62" t="s">
        <v>57</v>
      </c>
      <c r="B49" s="70">
        <v>7.5</v>
      </c>
      <c r="C49" s="70">
        <v>7.5</v>
      </c>
      <c r="D49" s="70">
        <v>7.5</v>
      </c>
      <c r="E49" s="70">
        <v>7.5</v>
      </c>
      <c r="F49" s="70">
        <v>7.5</v>
      </c>
      <c r="G49" s="70">
        <v>7.5</v>
      </c>
      <c r="H49" s="70">
        <v>7.5</v>
      </c>
      <c r="I49" s="70">
        <v>7.5</v>
      </c>
      <c r="J49" s="70">
        <v>7.5</v>
      </c>
      <c r="K49" s="70">
        <v>7.5</v>
      </c>
      <c r="L49" s="70">
        <v>7.5</v>
      </c>
      <c r="M49" s="51">
        <v>7.8</v>
      </c>
      <c r="N49" s="51">
        <v>7.8</v>
      </c>
      <c r="O49" s="51">
        <v>7.8</v>
      </c>
      <c r="P49" s="51">
        <v>7.8</v>
      </c>
      <c r="Q49" s="51">
        <v>7.8</v>
      </c>
      <c r="R49" s="51">
        <v>7.8</v>
      </c>
      <c r="S49" s="51">
        <v>7.8</v>
      </c>
      <c r="T49" s="51">
        <v>7.8</v>
      </c>
      <c r="U49" s="51">
        <v>7.8</v>
      </c>
      <c r="V49" s="51">
        <v>7.8</v>
      </c>
      <c r="W49" s="51">
        <v>7.8</v>
      </c>
      <c r="X49" s="51">
        <v>7.8</v>
      </c>
      <c r="Y49" s="51">
        <v>7.8</v>
      </c>
      <c r="Z49" s="51">
        <v>7.8</v>
      </c>
      <c r="AA49" s="51">
        <v>7.8</v>
      </c>
      <c r="AB49" s="51">
        <v>7.8</v>
      </c>
      <c r="AC49" s="51">
        <v>7.8</v>
      </c>
      <c r="AD49" s="51">
        <v>7.8</v>
      </c>
      <c r="AE49" s="51">
        <v>7.8</v>
      </c>
      <c r="AF49" s="51">
        <v>7.8</v>
      </c>
      <c r="AG49" s="63">
        <v>10.050000000000001</v>
      </c>
      <c r="AH49" s="54">
        <f t="shared" si="2"/>
        <v>7.8</v>
      </c>
      <c r="AI49" s="55">
        <f t="shared" si="3"/>
        <v>7.5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51">
        <v>3.1</v>
      </c>
      <c r="N50" s="51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422.34000000000009</v>
      </c>
      <c r="C52" s="69">
        <f t="shared" si="6"/>
        <v>419.64000000000004</v>
      </c>
      <c r="D52" s="69">
        <f t="shared" si="6"/>
        <v>411.14000000000004</v>
      </c>
      <c r="E52" s="69">
        <f t="shared" si="6"/>
        <v>386.44000000000005</v>
      </c>
      <c r="F52" s="69">
        <f t="shared" si="6"/>
        <v>370.64000000000004</v>
      </c>
      <c r="G52" s="69">
        <f t="shared" si="6"/>
        <v>348.94000000000005</v>
      </c>
      <c r="H52" s="69">
        <f t="shared" si="6"/>
        <v>348.84000000000009</v>
      </c>
      <c r="I52" s="69">
        <f t="shared" si="6"/>
        <v>371.34000000000009</v>
      </c>
      <c r="J52" s="69">
        <f t="shared" si="6"/>
        <v>420.34000000000003</v>
      </c>
      <c r="K52" s="69">
        <f t="shared" si="6"/>
        <v>419.74</v>
      </c>
      <c r="L52" s="69">
        <f t="shared" si="6"/>
        <v>416.94000000000005</v>
      </c>
      <c r="M52" s="69">
        <f t="shared" si="6"/>
        <v>419.74000000000007</v>
      </c>
      <c r="N52" s="69">
        <f t="shared" si="6"/>
        <v>419.94000000000005</v>
      </c>
      <c r="O52" s="69">
        <f t="shared" si="6"/>
        <v>419.94000000000005</v>
      </c>
      <c r="P52" s="69">
        <f t="shared" si="6"/>
        <v>419.94000000000005</v>
      </c>
      <c r="Q52" s="69">
        <f t="shared" si="6"/>
        <v>434.94000000000005</v>
      </c>
      <c r="R52" s="69">
        <f t="shared" si="6"/>
        <v>434.94000000000005</v>
      </c>
      <c r="S52" s="69">
        <f t="shared" si="6"/>
        <v>429.44000000000005</v>
      </c>
      <c r="T52" s="69">
        <f t="shared" si="6"/>
        <v>413.04</v>
      </c>
      <c r="U52" s="69">
        <f t="shared" si="6"/>
        <v>414.84000000000009</v>
      </c>
      <c r="V52" s="69">
        <f t="shared" si="6"/>
        <v>414.84000000000009</v>
      </c>
      <c r="W52" s="69">
        <f t="shared" si="6"/>
        <v>414.84000000000009</v>
      </c>
      <c r="X52" s="69">
        <f>SUM(X39:X51)</f>
        <v>410.64000000000004</v>
      </c>
      <c r="Y52" s="69">
        <f t="shared" si="6"/>
        <v>410.54000000000008</v>
      </c>
      <c r="Z52" s="69">
        <f t="shared" si="6"/>
        <v>432.54000000000008</v>
      </c>
      <c r="AA52" s="69">
        <f t="shared" si="6"/>
        <v>432.54000000000008</v>
      </c>
      <c r="AB52" s="69">
        <f t="shared" si="6"/>
        <v>432.54000000000008</v>
      </c>
      <c r="AC52" s="69">
        <f t="shared" si="6"/>
        <v>432.94000000000005</v>
      </c>
      <c r="AD52" s="69">
        <f t="shared" si="6"/>
        <v>432.94000000000005</v>
      </c>
      <c r="AE52" s="69">
        <f t="shared" si="6"/>
        <v>432.74000000000007</v>
      </c>
      <c r="AF52" s="69">
        <f t="shared" si="6"/>
        <v>412.74000000000007</v>
      </c>
      <c r="AG52" s="74">
        <f>SUM(AG39:AG51)</f>
        <v>489.91</v>
      </c>
      <c r="AH52" s="54">
        <f t="shared" si="2"/>
        <v>434.94000000000005</v>
      </c>
      <c r="AI52" s="55">
        <f t="shared" si="3"/>
        <v>348.84000000000009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10</v>
      </c>
      <c r="N53" s="51">
        <v>10</v>
      </c>
      <c r="O53" s="51">
        <v>20</v>
      </c>
      <c r="P53" s="51">
        <v>20</v>
      </c>
      <c r="Q53" s="51">
        <v>20</v>
      </c>
      <c r="R53" s="51">
        <v>20</v>
      </c>
      <c r="S53" s="51">
        <v>10</v>
      </c>
      <c r="T53" s="51">
        <v>13.7</v>
      </c>
      <c r="U53" s="51">
        <v>13.7</v>
      </c>
      <c r="V53" s="51">
        <v>19.600000000000001</v>
      </c>
      <c r="W53" s="51">
        <v>19.600000000000001</v>
      </c>
      <c r="X53" s="51">
        <v>13.6</v>
      </c>
      <c r="Y53" s="51">
        <v>13.6</v>
      </c>
      <c r="Z53" s="51">
        <v>19.899999999999999</v>
      </c>
      <c r="AA53" s="51">
        <v>30</v>
      </c>
      <c r="AB53" s="51">
        <v>40</v>
      </c>
      <c r="AC53" s="51">
        <v>29.3</v>
      </c>
      <c r="AD53" s="51">
        <v>29.3</v>
      </c>
      <c r="AE53" s="51">
        <v>29.3</v>
      </c>
      <c r="AF53" s="51">
        <v>14</v>
      </c>
      <c r="AG53" s="59">
        <v>60</v>
      </c>
      <c r="AH53" s="54">
        <f t="shared" si="2"/>
        <v>40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4.5</v>
      </c>
      <c r="N54" s="70">
        <v>4.5</v>
      </c>
      <c r="O54" s="70">
        <v>11</v>
      </c>
      <c r="P54" s="70">
        <v>11</v>
      </c>
      <c r="Q54" s="70">
        <v>11</v>
      </c>
      <c r="R54" s="70">
        <v>11</v>
      </c>
      <c r="S54" s="70">
        <v>3.4</v>
      </c>
      <c r="T54" s="70">
        <v>5</v>
      </c>
      <c r="U54" s="70">
        <v>5</v>
      </c>
      <c r="V54" s="70">
        <v>9</v>
      </c>
      <c r="W54" s="70">
        <v>9</v>
      </c>
      <c r="X54" s="70">
        <v>7.3</v>
      </c>
      <c r="Y54" s="70">
        <v>7.3</v>
      </c>
      <c r="Z54" s="70">
        <v>9.1</v>
      </c>
      <c r="AA54" s="70">
        <v>10.199999999999999</v>
      </c>
      <c r="AB54" s="70">
        <v>19</v>
      </c>
      <c r="AC54" s="70">
        <v>15.1</v>
      </c>
      <c r="AD54" s="70">
        <v>15.1</v>
      </c>
      <c r="AE54" s="70">
        <v>15.1</v>
      </c>
      <c r="AF54" s="70">
        <v>7</v>
      </c>
      <c r="AG54" s="63">
        <v>32</v>
      </c>
      <c r="AH54" s="54">
        <f t="shared" si="2"/>
        <v>19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1.6</v>
      </c>
      <c r="N55" s="75">
        <v>1.7</v>
      </c>
      <c r="O55" s="75">
        <v>4.0999999999999996</v>
      </c>
      <c r="P55" s="75">
        <v>4.0999999999999996</v>
      </c>
      <c r="Q55" s="75">
        <v>4.0999999999999996</v>
      </c>
      <c r="R55" s="75">
        <v>4.0999999999999996</v>
      </c>
      <c r="S55" s="75">
        <v>1.2</v>
      </c>
      <c r="T55" s="75">
        <v>1.8</v>
      </c>
      <c r="U55" s="75">
        <v>1.8</v>
      </c>
      <c r="V55" s="75">
        <v>3.3</v>
      </c>
      <c r="W55" s="75">
        <v>3.3</v>
      </c>
      <c r="X55" s="75">
        <v>2.7</v>
      </c>
      <c r="Y55" s="75">
        <v>2.7</v>
      </c>
      <c r="Z55" s="75">
        <v>3.3</v>
      </c>
      <c r="AA55" s="75">
        <v>3.7</v>
      </c>
      <c r="AB55" s="75">
        <v>7</v>
      </c>
      <c r="AC55" s="75">
        <v>5.5</v>
      </c>
      <c r="AD55" s="75">
        <v>5.5</v>
      </c>
      <c r="AE55" s="75">
        <v>5.5</v>
      </c>
      <c r="AF55" s="75">
        <v>2.5</v>
      </c>
      <c r="AG55" s="76">
        <v>14</v>
      </c>
      <c r="AH55" s="54">
        <f t="shared" si="2"/>
        <v>7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0</v>
      </c>
      <c r="C56" s="69">
        <f t="shared" si="7"/>
        <v>0</v>
      </c>
      <c r="D56" s="69">
        <f t="shared" si="7"/>
        <v>0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16.100000000000001</v>
      </c>
      <c r="N56" s="69">
        <f t="shared" si="7"/>
        <v>16.2</v>
      </c>
      <c r="O56" s="69">
        <f t="shared" si="7"/>
        <v>35.1</v>
      </c>
      <c r="P56" s="69">
        <f t="shared" si="7"/>
        <v>35.1</v>
      </c>
      <c r="Q56" s="69">
        <f t="shared" si="7"/>
        <v>35.1</v>
      </c>
      <c r="R56" s="69">
        <f t="shared" si="7"/>
        <v>35.1</v>
      </c>
      <c r="S56" s="69">
        <f t="shared" si="7"/>
        <v>14.6</v>
      </c>
      <c r="T56" s="69">
        <f t="shared" si="7"/>
        <v>20.5</v>
      </c>
      <c r="U56" s="69">
        <f t="shared" si="7"/>
        <v>20.5</v>
      </c>
      <c r="V56" s="69">
        <f t="shared" si="7"/>
        <v>31.900000000000002</v>
      </c>
      <c r="W56" s="69">
        <f t="shared" si="7"/>
        <v>31.900000000000002</v>
      </c>
      <c r="X56" s="69">
        <f t="shared" si="7"/>
        <v>23.599999999999998</v>
      </c>
      <c r="Y56" s="69">
        <f t="shared" si="7"/>
        <v>23.599999999999998</v>
      </c>
      <c r="Z56" s="69">
        <f t="shared" si="7"/>
        <v>32.299999999999997</v>
      </c>
      <c r="AA56" s="69">
        <f t="shared" si="7"/>
        <v>43.900000000000006</v>
      </c>
      <c r="AB56" s="69">
        <f t="shared" si="7"/>
        <v>66</v>
      </c>
      <c r="AC56" s="69">
        <f t="shared" si="7"/>
        <v>49.9</v>
      </c>
      <c r="AD56" s="69">
        <f t="shared" si="7"/>
        <v>49.9</v>
      </c>
      <c r="AE56" s="69">
        <f t="shared" si="7"/>
        <v>49.9</v>
      </c>
      <c r="AF56" s="69">
        <f t="shared" si="7"/>
        <v>23.5</v>
      </c>
      <c r="AG56" s="74">
        <f>SUM(AG53:AG55)</f>
        <v>106</v>
      </c>
      <c r="AH56" s="54">
        <f t="shared" si="2"/>
        <v>66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73.099999999999994</v>
      </c>
      <c r="C57" s="51">
        <v>71.099999999999994</v>
      </c>
      <c r="D57" s="51">
        <v>72.099999999999994</v>
      </c>
      <c r="E57" s="51">
        <v>77</v>
      </c>
      <c r="F57" s="51">
        <v>76</v>
      </c>
      <c r="G57" s="51">
        <v>60</v>
      </c>
      <c r="H57" s="51">
        <v>57</v>
      </c>
      <c r="I57" s="51">
        <v>72</v>
      </c>
      <c r="J57" s="51">
        <v>62.2</v>
      </c>
      <c r="K57" s="51">
        <v>60.6</v>
      </c>
      <c r="L57" s="51">
        <v>58.5</v>
      </c>
      <c r="M57" s="51">
        <v>50.1</v>
      </c>
      <c r="N57" s="51">
        <v>53.7</v>
      </c>
      <c r="O57" s="51">
        <v>57</v>
      </c>
      <c r="P57" s="51">
        <v>57</v>
      </c>
      <c r="Q57" s="51">
        <v>57</v>
      </c>
      <c r="R57" s="51">
        <v>65</v>
      </c>
      <c r="S57" s="51">
        <v>65</v>
      </c>
      <c r="T57" s="51">
        <v>43.6</v>
      </c>
      <c r="U57" s="51">
        <v>45</v>
      </c>
      <c r="V57" s="51">
        <v>72</v>
      </c>
      <c r="W57" s="51">
        <v>56</v>
      </c>
      <c r="X57" s="51">
        <v>47.85</v>
      </c>
      <c r="Y57" s="51">
        <v>50.69</v>
      </c>
      <c r="Z57" s="51">
        <v>57</v>
      </c>
      <c r="AA57" s="51">
        <v>61</v>
      </c>
      <c r="AB57" s="51">
        <v>75</v>
      </c>
      <c r="AC57" s="51">
        <v>76.2</v>
      </c>
      <c r="AD57" s="51">
        <v>78</v>
      </c>
      <c r="AE57" s="51">
        <v>75</v>
      </c>
      <c r="AF57" s="51">
        <v>63</v>
      </c>
      <c r="AG57" s="59"/>
      <c r="AH57" s="54">
        <f t="shared" si="2"/>
        <v>78</v>
      </c>
      <c r="AI57" s="55">
        <f t="shared" si="3"/>
        <v>43.6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-15</v>
      </c>
      <c r="C59" s="70">
        <v>-29</v>
      </c>
      <c r="D59" s="70">
        <v>-52</v>
      </c>
      <c r="E59" s="70">
        <v>-79</v>
      </c>
      <c r="F59" s="70">
        <v>-79.8</v>
      </c>
      <c r="G59" s="70">
        <v>-83.9</v>
      </c>
      <c r="H59" s="70">
        <v>-75.900000000000006</v>
      </c>
      <c r="I59" s="70">
        <v>-79</v>
      </c>
      <c r="J59" s="70">
        <v>-52.9</v>
      </c>
      <c r="K59" s="70">
        <v>-71</v>
      </c>
      <c r="L59" s="70">
        <v>-37</v>
      </c>
      <c r="M59" s="70">
        <v>-15</v>
      </c>
      <c r="N59" s="70">
        <v>2.6</v>
      </c>
      <c r="O59" s="70">
        <v>32</v>
      </c>
      <c r="P59" s="70">
        <v>32</v>
      </c>
      <c r="Q59" s="70">
        <v>85</v>
      </c>
      <c r="R59" s="70">
        <v>85</v>
      </c>
      <c r="S59" s="70">
        <v>92.2</v>
      </c>
      <c r="T59" s="70">
        <v>8.3000000000000007</v>
      </c>
      <c r="U59" s="70">
        <v>29.2</v>
      </c>
      <c r="V59" s="70">
        <v>0.9</v>
      </c>
      <c r="W59" s="70">
        <v>2.9</v>
      </c>
      <c r="X59" s="70">
        <v>10</v>
      </c>
      <c r="Y59" s="70">
        <v>24.4</v>
      </c>
      <c r="Z59" s="70">
        <v>20.5</v>
      </c>
      <c r="AA59" s="70">
        <v>10.5</v>
      </c>
      <c r="AB59" s="70">
        <v>7</v>
      </c>
      <c r="AC59" s="70">
        <v>7</v>
      </c>
      <c r="AD59" s="70">
        <v>25</v>
      </c>
      <c r="AE59" s="70">
        <v>2</v>
      </c>
      <c r="AF59" s="70">
        <v>16</v>
      </c>
      <c r="AG59" s="77"/>
      <c r="AH59" s="54">
        <f t="shared" si="2"/>
        <v>92.2</v>
      </c>
      <c r="AI59" s="55">
        <f t="shared" si="3"/>
        <v>-83.9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10</v>
      </c>
      <c r="S60" s="78">
        <v>10</v>
      </c>
      <c r="T60" s="78">
        <v>10</v>
      </c>
      <c r="U60" s="78">
        <v>10</v>
      </c>
      <c r="V60" s="78">
        <v>10</v>
      </c>
      <c r="W60" s="78">
        <v>10</v>
      </c>
      <c r="X60" s="78">
        <v>10</v>
      </c>
      <c r="Y60" s="78">
        <v>10</v>
      </c>
      <c r="Z60" s="78">
        <v>10</v>
      </c>
      <c r="AA60" s="78">
        <v>10</v>
      </c>
      <c r="AB60" s="78">
        <v>10</v>
      </c>
      <c r="AC60" s="78">
        <v>10</v>
      </c>
      <c r="AD60" s="78">
        <v>12</v>
      </c>
      <c r="AE60" s="78">
        <v>12</v>
      </c>
      <c r="AF60" s="78">
        <v>12</v>
      </c>
      <c r="AG60" s="77"/>
      <c r="AH60" s="54">
        <f t="shared" si="2"/>
        <v>12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4</v>
      </c>
      <c r="F62" s="79">
        <v>4</v>
      </c>
      <c r="G62" s="79">
        <v>8</v>
      </c>
      <c r="H62" s="79">
        <v>8</v>
      </c>
      <c r="I62" s="79">
        <v>8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66.099999999999994</v>
      </c>
      <c r="C68" s="69">
        <f t="shared" si="8"/>
        <v>50.099999999999994</v>
      </c>
      <c r="D68" s="69">
        <f t="shared" si="8"/>
        <v>28.099999999999994</v>
      </c>
      <c r="E68" s="69">
        <f t="shared" si="8"/>
        <v>2</v>
      </c>
      <c r="F68" s="69">
        <f t="shared" si="8"/>
        <v>0.20000000000000284</v>
      </c>
      <c r="G68" s="69">
        <f t="shared" si="8"/>
        <v>-15.900000000000006</v>
      </c>
      <c r="H68" s="69">
        <f t="shared" si="8"/>
        <v>-10.900000000000006</v>
      </c>
      <c r="I68" s="69">
        <f t="shared" si="8"/>
        <v>1</v>
      </c>
      <c r="J68" s="69">
        <f t="shared" si="8"/>
        <v>9.3000000000000043</v>
      </c>
      <c r="K68" s="69">
        <f t="shared" si="8"/>
        <v>-10.399999999999999</v>
      </c>
      <c r="L68" s="69">
        <f t="shared" si="8"/>
        <v>21.5</v>
      </c>
      <c r="M68" s="69">
        <f t="shared" si="8"/>
        <v>35.1</v>
      </c>
      <c r="N68" s="69">
        <f t="shared" si="8"/>
        <v>56.300000000000004</v>
      </c>
      <c r="O68" s="69">
        <f t="shared" si="8"/>
        <v>89</v>
      </c>
      <c r="P68" s="69">
        <f t="shared" si="8"/>
        <v>97</v>
      </c>
      <c r="Q68" s="69">
        <f t="shared" si="8"/>
        <v>150</v>
      </c>
      <c r="R68" s="69">
        <f t="shared" si="8"/>
        <v>168</v>
      </c>
      <c r="S68" s="69">
        <f t="shared" si="8"/>
        <v>175.2</v>
      </c>
      <c r="T68" s="69">
        <f t="shared" si="8"/>
        <v>69.900000000000006</v>
      </c>
      <c r="U68" s="69">
        <f t="shared" si="8"/>
        <v>92.2</v>
      </c>
      <c r="V68" s="69">
        <f>SUM(V57:V67)</f>
        <v>90.9</v>
      </c>
      <c r="W68" s="69">
        <f t="shared" si="8"/>
        <v>76.900000000000006</v>
      </c>
      <c r="X68" s="69">
        <f t="shared" si="8"/>
        <v>75.849999999999994</v>
      </c>
      <c r="Y68" s="69">
        <f t="shared" si="8"/>
        <v>93.09</v>
      </c>
      <c r="Z68" s="69">
        <f t="shared" si="8"/>
        <v>95.5</v>
      </c>
      <c r="AA68" s="69">
        <f t="shared" si="8"/>
        <v>89.5</v>
      </c>
      <c r="AB68" s="69">
        <f t="shared" si="8"/>
        <v>100</v>
      </c>
      <c r="AC68" s="69">
        <f t="shared" si="8"/>
        <v>101.2</v>
      </c>
      <c r="AD68" s="69">
        <f t="shared" si="8"/>
        <v>123</v>
      </c>
      <c r="AE68" s="69">
        <f t="shared" si="8"/>
        <v>97</v>
      </c>
      <c r="AF68" s="69">
        <f t="shared" si="8"/>
        <v>99</v>
      </c>
      <c r="AG68" s="74">
        <f>SUM(AG57:AG67)</f>
        <v>0</v>
      </c>
      <c r="AH68" s="54">
        <f t="shared" si="2"/>
        <v>175.2</v>
      </c>
      <c r="AI68" s="55">
        <f t="shared" si="3"/>
        <v>-15.900000000000006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>
        <v>20</v>
      </c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>
        <v>20</v>
      </c>
      <c r="W74" s="86">
        <v>20</v>
      </c>
      <c r="X74" s="86">
        <v>20</v>
      </c>
      <c r="Y74" s="86">
        <v>20</v>
      </c>
      <c r="Z74" s="86">
        <v>0</v>
      </c>
      <c r="AA74" s="86"/>
      <c r="AB74" s="86"/>
      <c r="AC74" s="86"/>
      <c r="AD74" s="86"/>
      <c r="AE74" s="86"/>
      <c r="AF74" s="86"/>
      <c r="AG74" s="74"/>
      <c r="AH74" s="54">
        <f t="shared" si="2"/>
        <v>20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1322.1399999999999</v>
      </c>
      <c r="C75" s="84">
        <f t="shared" si="10"/>
        <v>1317.94</v>
      </c>
      <c r="D75" s="84">
        <f t="shared" si="10"/>
        <v>1280.44</v>
      </c>
      <c r="E75" s="84">
        <f t="shared" si="10"/>
        <v>1247.6399999999999</v>
      </c>
      <c r="F75" s="84">
        <f t="shared" si="10"/>
        <v>1210.04</v>
      </c>
      <c r="G75" s="84">
        <f t="shared" si="10"/>
        <v>1227.24</v>
      </c>
      <c r="H75" s="84">
        <f t="shared" si="10"/>
        <v>1208.94</v>
      </c>
      <c r="I75" s="84">
        <f t="shared" si="10"/>
        <v>1268.3399999999999</v>
      </c>
      <c r="J75" s="84">
        <f t="shared" si="10"/>
        <v>1310.6399999999999</v>
      </c>
      <c r="K75" s="84">
        <f t="shared" si="10"/>
        <v>1325.34</v>
      </c>
      <c r="L75" s="84">
        <f t="shared" si="10"/>
        <v>1359.44</v>
      </c>
      <c r="M75" s="84">
        <f t="shared" si="10"/>
        <v>1360.44</v>
      </c>
      <c r="N75" s="84">
        <f t="shared" si="10"/>
        <v>1374.3400000000001</v>
      </c>
      <c r="O75" s="84">
        <f t="shared" si="10"/>
        <v>1425.94</v>
      </c>
      <c r="P75" s="84">
        <f t="shared" si="10"/>
        <v>1433.94</v>
      </c>
      <c r="Q75" s="84">
        <f t="shared" si="10"/>
        <v>1501.94</v>
      </c>
      <c r="R75" s="84">
        <f t="shared" si="10"/>
        <v>1477.94</v>
      </c>
      <c r="S75" s="84">
        <f t="shared" si="10"/>
        <v>1476.1399999999999</v>
      </c>
      <c r="T75" s="84">
        <f t="shared" si="10"/>
        <v>1339.3400000000001</v>
      </c>
      <c r="U75" s="84">
        <f t="shared" si="10"/>
        <v>1363.44</v>
      </c>
      <c r="V75" s="84">
        <f t="shared" si="10"/>
        <v>1324.54</v>
      </c>
      <c r="W75" s="84">
        <f t="shared" si="10"/>
        <v>1370.54</v>
      </c>
      <c r="X75" s="84">
        <f t="shared" si="10"/>
        <v>1326.99</v>
      </c>
      <c r="Y75" s="84">
        <f t="shared" si="10"/>
        <v>1334.13</v>
      </c>
      <c r="Z75" s="84">
        <f t="shared" si="10"/>
        <v>1417.24</v>
      </c>
      <c r="AA75" s="84">
        <f t="shared" si="10"/>
        <v>1512.8400000000001</v>
      </c>
      <c r="AB75" s="84">
        <f t="shared" si="10"/>
        <v>1530.44</v>
      </c>
      <c r="AC75" s="84">
        <f t="shared" si="10"/>
        <v>1504.14</v>
      </c>
      <c r="AD75" s="84">
        <f t="shared" si="10"/>
        <v>1527.04</v>
      </c>
      <c r="AE75" s="84">
        <f t="shared" si="10"/>
        <v>1425.74</v>
      </c>
      <c r="AF75" s="84">
        <f t="shared" si="10"/>
        <v>1362.04</v>
      </c>
      <c r="AG75" s="74">
        <f>AG72+AG68+AG56+AG52+AG38+AG74</f>
        <v>2144.14</v>
      </c>
      <c r="AH75" s="54">
        <f t="shared" si="2"/>
        <v>1530.44</v>
      </c>
      <c r="AI75" s="55">
        <f t="shared" si="3"/>
        <v>1208.94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2524.0299999999997</v>
      </c>
      <c r="C83" s="69">
        <f t="shared" si="14"/>
        <v>2519.83</v>
      </c>
      <c r="D83" s="69">
        <f t="shared" si="14"/>
        <v>2482.33</v>
      </c>
      <c r="E83" s="69">
        <f t="shared" si="14"/>
        <v>2469.5299999999997</v>
      </c>
      <c r="F83" s="69">
        <f t="shared" si="14"/>
        <v>2411.9299999999998</v>
      </c>
      <c r="G83" s="69">
        <f t="shared" si="14"/>
        <v>2429.13</v>
      </c>
      <c r="H83" s="69">
        <f t="shared" si="14"/>
        <v>2410.83</v>
      </c>
      <c r="I83" s="69">
        <f t="shared" si="14"/>
        <v>2470.2299999999996</v>
      </c>
      <c r="J83" s="69">
        <f t="shared" si="14"/>
        <v>2512.5299999999997</v>
      </c>
      <c r="K83" s="69">
        <f t="shared" si="14"/>
        <v>2527.2299999999996</v>
      </c>
      <c r="L83" s="69">
        <f t="shared" si="14"/>
        <v>2561.33</v>
      </c>
      <c r="M83" s="69">
        <f t="shared" si="14"/>
        <v>2562.33</v>
      </c>
      <c r="N83" s="69">
        <f t="shared" si="14"/>
        <v>2576.23</v>
      </c>
      <c r="O83" s="69">
        <f t="shared" si="14"/>
        <v>2627.83</v>
      </c>
      <c r="P83" s="69">
        <f t="shared" si="14"/>
        <v>2635.83</v>
      </c>
      <c r="Q83" s="69">
        <f t="shared" si="14"/>
        <v>2703.83</v>
      </c>
      <c r="R83" s="69">
        <f t="shared" si="14"/>
        <v>2679.83</v>
      </c>
      <c r="S83" s="69">
        <f t="shared" si="14"/>
        <v>2678.0299999999997</v>
      </c>
      <c r="T83" s="69">
        <f t="shared" si="14"/>
        <v>2541.23</v>
      </c>
      <c r="U83" s="69">
        <f t="shared" si="14"/>
        <v>2565.33</v>
      </c>
      <c r="V83" s="69">
        <f t="shared" si="14"/>
        <v>2546.4299999999998</v>
      </c>
      <c r="W83" s="69">
        <f t="shared" si="14"/>
        <v>2592.4299999999998</v>
      </c>
      <c r="X83" s="69">
        <f t="shared" si="14"/>
        <v>2548.88</v>
      </c>
      <c r="Y83" s="69">
        <f t="shared" si="14"/>
        <v>2556.02</v>
      </c>
      <c r="Z83" s="69">
        <f t="shared" si="14"/>
        <v>2619.13</v>
      </c>
      <c r="AA83" s="69">
        <f t="shared" si="14"/>
        <v>2714.73</v>
      </c>
      <c r="AB83" s="69">
        <f t="shared" si="14"/>
        <v>2732.33</v>
      </c>
      <c r="AC83" s="69">
        <f t="shared" si="14"/>
        <v>2706.0299999999997</v>
      </c>
      <c r="AD83" s="69">
        <f t="shared" si="14"/>
        <v>2728.93</v>
      </c>
      <c r="AE83" s="69">
        <f t="shared" si="14"/>
        <v>2627.63</v>
      </c>
      <c r="AF83" s="69">
        <f t="shared" si="14"/>
        <v>2563.9299999999998</v>
      </c>
      <c r="AG83" s="74">
        <f t="shared" si="14"/>
        <v>4360.08</v>
      </c>
      <c r="AH83" s="54">
        <f t="shared" si="11"/>
        <v>2732.33</v>
      </c>
      <c r="AI83" s="55">
        <f t="shared" si="12"/>
        <v>2410.83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49.957000000000001</v>
      </c>
      <c r="C84" s="90">
        <v>50.006</v>
      </c>
      <c r="D84" s="90">
        <v>49.973999999999997</v>
      </c>
      <c r="E84" s="90">
        <v>50.012999999999998</v>
      </c>
      <c r="F84" s="90">
        <v>50.042000000000002</v>
      </c>
      <c r="G84" s="90">
        <v>50.058999999999997</v>
      </c>
      <c r="H84" s="90">
        <v>49.957000000000001</v>
      </c>
      <c r="I84" s="90">
        <v>49.975999999999999</v>
      </c>
      <c r="J84" s="90">
        <v>50.026000000000003</v>
      </c>
      <c r="K84" s="90">
        <v>50.05</v>
      </c>
      <c r="L84" s="90">
        <v>50.033999999999999</v>
      </c>
      <c r="M84" s="90">
        <v>50.011000000000003</v>
      </c>
      <c r="N84" s="90">
        <v>50.067</v>
      </c>
      <c r="O84" s="90">
        <v>50.067</v>
      </c>
      <c r="P84" s="90"/>
      <c r="Q84" s="90">
        <v>49.966999999999999</v>
      </c>
      <c r="R84" s="90">
        <v>49.966999999999999</v>
      </c>
      <c r="S84" s="90">
        <v>49.962000000000003</v>
      </c>
      <c r="T84" s="90">
        <v>49.908999999999999</v>
      </c>
      <c r="U84" s="90">
        <v>50.014000000000003</v>
      </c>
      <c r="V84" s="90">
        <v>50.042999999999999</v>
      </c>
      <c r="W84" s="90">
        <v>50.008000000000003</v>
      </c>
      <c r="X84" s="90">
        <v>49.984999999999999</v>
      </c>
      <c r="Y84" s="90">
        <v>50.012</v>
      </c>
      <c r="Z84" s="90">
        <v>49.98</v>
      </c>
      <c r="AA84" s="90">
        <v>49.917999999999999</v>
      </c>
      <c r="AB84" s="90">
        <v>49.86</v>
      </c>
      <c r="AC84" s="90">
        <v>49.97</v>
      </c>
      <c r="AD84" s="90">
        <v>50</v>
      </c>
      <c r="AE84" s="90">
        <v>49.8</v>
      </c>
      <c r="AF84" s="90">
        <v>49.884999999999998</v>
      </c>
      <c r="AG84" s="91"/>
      <c r="AH84" s="54">
        <f t="shared" si="11"/>
        <v>50.067</v>
      </c>
      <c r="AI84" s="55">
        <f t="shared" si="12"/>
        <v>49.8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121.7</v>
      </c>
      <c r="C85" s="70">
        <v>122.4</v>
      </c>
      <c r="D85" s="70">
        <v>122.6</v>
      </c>
      <c r="E85" s="70">
        <v>124.8</v>
      </c>
      <c r="F85" s="70">
        <v>121.8</v>
      </c>
      <c r="G85" s="70">
        <v>122.9</v>
      </c>
      <c r="H85" s="70">
        <v>122.4</v>
      </c>
      <c r="I85" s="70">
        <v>123.7</v>
      </c>
      <c r="J85" s="70">
        <v>121.5</v>
      </c>
      <c r="K85" s="70">
        <v>120.6</v>
      </c>
      <c r="L85" s="70">
        <v>120.4</v>
      </c>
      <c r="M85" s="70">
        <v>120.7</v>
      </c>
      <c r="N85" s="70">
        <v>120.3</v>
      </c>
      <c r="O85" s="70">
        <v>120.3</v>
      </c>
      <c r="P85" s="70"/>
      <c r="Q85" s="70">
        <v>120.7</v>
      </c>
      <c r="R85" s="70">
        <v>120.7</v>
      </c>
      <c r="S85" s="70">
        <v>119.1</v>
      </c>
      <c r="T85" s="70">
        <v>124</v>
      </c>
      <c r="U85" s="70">
        <v>121.1</v>
      </c>
      <c r="V85" s="70">
        <v>124.5</v>
      </c>
      <c r="W85" s="70">
        <v>122.2</v>
      </c>
      <c r="X85" s="70">
        <v>122.8</v>
      </c>
      <c r="Y85" s="70">
        <v>123.6</v>
      </c>
      <c r="Z85" s="70">
        <v>121.4</v>
      </c>
      <c r="AA85" s="70">
        <v>121.5</v>
      </c>
      <c r="AB85" s="70">
        <v>122.8</v>
      </c>
      <c r="AC85" s="70">
        <v>124.4</v>
      </c>
      <c r="AD85" s="70">
        <v>122.5</v>
      </c>
      <c r="AE85" s="70">
        <v>122.5</v>
      </c>
      <c r="AF85" s="70">
        <v>122.7</v>
      </c>
      <c r="AG85" s="93"/>
      <c r="AH85" s="54">
        <f t="shared" si="11"/>
        <v>124.8</v>
      </c>
      <c r="AI85" s="55">
        <f t="shared" si="12"/>
        <v>119.1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127.9</v>
      </c>
      <c r="C86" s="70">
        <v>128.30000000000001</v>
      </c>
      <c r="D86" s="70">
        <v>128.5</v>
      </c>
      <c r="E86" s="70">
        <v>129.9</v>
      </c>
      <c r="F86" s="70">
        <v>127.9</v>
      </c>
      <c r="G86" s="70">
        <v>128.30000000000001</v>
      </c>
      <c r="H86" s="70">
        <v>127.5</v>
      </c>
      <c r="I86" s="70">
        <v>128.80000000000001</v>
      </c>
      <c r="J86" s="70">
        <v>126.3</v>
      </c>
      <c r="K86" s="70">
        <v>126.1</v>
      </c>
      <c r="L86" s="70">
        <v>125.7</v>
      </c>
      <c r="M86" s="70">
        <v>125.4</v>
      </c>
      <c r="N86" s="70">
        <v>125.1</v>
      </c>
      <c r="O86" s="70">
        <v>125.1</v>
      </c>
      <c r="P86" s="70"/>
      <c r="Q86" s="70">
        <v>125.3</v>
      </c>
      <c r="R86" s="70">
        <v>125.3</v>
      </c>
      <c r="S86" s="70">
        <v>124.4</v>
      </c>
      <c r="T86" s="70">
        <v>127.9</v>
      </c>
      <c r="U86" s="70">
        <v>125.7</v>
      </c>
      <c r="V86" s="70">
        <v>128.1</v>
      </c>
      <c r="W86" s="70">
        <v>126.8</v>
      </c>
      <c r="X86" s="70">
        <v>127.3</v>
      </c>
      <c r="Y86" s="70">
        <v>127.7</v>
      </c>
      <c r="Z86" s="70">
        <v>126.1</v>
      </c>
      <c r="AA86" s="70">
        <v>125.8</v>
      </c>
      <c r="AB86" s="70">
        <v>127</v>
      </c>
      <c r="AC86" s="70">
        <v>128.5</v>
      </c>
      <c r="AD86" s="70">
        <v>128</v>
      </c>
      <c r="AE86" s="70">
        <v>128</v>
      </c>
      <c r="AF86" s="70">
        <v>128</v>
      </c>
      <c r="AG86" s="93"/>
      <c r="AH86" s="54">
        <f t="shared" si="11"/>
        <v>129.9</v>
      </c>
      <c r="AI86" s="55">
        <f t="shared" si="12"/>
        <v>124.4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</v>
      </c>
      <c r="C87" s="70">
        <v>125.1</v>
      </c>
      <c r="D87" s="70">
        <v>125.9</v>
      </c>
      <c r="E87" s="70">
        <v>129.1</v>
      </c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93"/>
      <c r="AH87" s="54">
        <f t="shared" si="11"/>
        <v>129.1</v>
      </c>
      <c r="AI87" s="55">
        <f t="shared" si="12"/>
        <v>125.1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132.1</v>
      </c>
      <c r="C88" s="70">
        <v>130.1</v>
      </c>
      <c r="D88" s="70">
        <v>131</v>
      </c>
      <c r="E88" s="70">
        <v>134.80000000000001</v>
      </c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93"/>
      <c r="AH88" s="54">
        <f t="shared" si="11"/>
        <v>134.80000000000001</v>
      </c>
      <c r="AI88" s="55">
        <f t="shared" si="12"/>
        <v>130.1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132.30000000000001</v>
      </c>
      <c r="C89" s="95">
        <v>134</v>
      </c>
      <c r="D89" s="95">
        <v>134</v>
      </c>
      <c r="E89" s="95">
        <v>132</v>
      </c>
      <c r="F89" s="95">
        <v>131.30000000000001</v>
      </c>
      <c r="G89" s="95">
        <v>132.19999999999999</v>
      </c>
      <c r="H89" s="95">
        <v>129.69999999999999</v>
      </c>
      <c r="I89" s="95">
        <v>129.6</v>
      </c>
      <c r="J89" s="95">
        <v>132.5</v>
      </c>
      <c r="K89" s="95">
        <v>132.6</v>
      </c>
      <c r="L89" s="95">
        <v>132.4</v>
      </c>
      <c r="M89" s="95">
        <v>131.1</v>
      </c>
      <c r="N89" s="95">
        <v>134.69999999999999</v>
      </c>
      <c r="O89" s="95">
        <v>134.69999999999999</v>
      </c>
      <c r="P89" s="95"/>
      <c r="Q89" s="95">
        <v>130</v>
      </c>
      <c r="R89" s="95">
        <v>130</v>
      </c>
      <c r="S89" s="95">
        <v>128.4</v>
      </c>
      <c r="T89" s="95">
        <v>135.19999999999999</v>
      </c>
      <c r="U89" s="95">
        <v>130.1</v>
      </c>
      <c r="V89" s="95">
        <v>133.4</v>
      </c>
      <c r="W89" s="95">
        <v>128.69999999999999</v>
      </c>
      <c r="X89" s="95">
        <v>132.1</v>
      </c>
      <c r="Y89" s="95">
        <v>130.19999999999999</v>
      </c>
      <c r="Z89" s="95">
        <v>132.80000000000001</v>
      </c>
      <c r="AA89" s="95">
        <v>130.1</v>
      </c>
      <c r="AB89" s="95">
        <v>134</v>
      </c>
      <c r="AC89" s="95">
        <v>132.80000000000001</v>
      </c>
      <c r="AD89" s="95">
        <v>132</v>
      </c>
      <c r="AE89" s="95">
        <v>132</v>
      </c>
      <c r="AF89" s="95">
        <v>129</v>
      </c>
      <c r="AG89" s="96"/>
      <c r="AH89" s="54">
        <f t="shared" si="11"/>
        <v>135.19999999999999</v>
      </c>
      <c r="AI89" s="55">
        <f t="shared" si="12"/>
        <v>128.4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130.4</v>
      </c>
      <c r="C90" s="70">
        <v>132.80000000000001</v>
      </c>
      <c r="D90" s="70">
        <v>132.69999999999999</v>
      </c>
      <c r="E90" s="70">
        <v>128.19999999999999</v>
      </c>
      <c r="F90" s="70">
        <v>131.30000000000001</v>
      </c>
      <c r="G90" s="70">
        <v>129.19999999999999</v>
      </c>
      <c r="H90" s="70">
        <v>126.4</v>
      </c>
      <c r="I90" s="70">
        <v>129</v>
      </c>
      <c r="J90" s="70">
        <v>131.9</v>
      </c>
      <c r="K90" s="70">
        <v>128.1</v>
      </c>
      <c r="L90" s="70">
        <v>126</v>
      </c>
      <c r="M90" s="70">
        <v>121.6</v>
      </c>
      <c r="N90" s="70">
        <v>127.4</v>
      </c>
      <c r="O90" s="70">
        <v>127.4</v>
      </c>
      <c r="P90" s="70"/>
      <c r="Q90" s="70">
        <v>117</v>
      </c>
      <c r="R90" s="70">
        <v>117</v>
      </c>
      <c r="S90" s="70">
        <v>124.8</v>
      </c>
      <c r="T90" s="70">
        <v>126.6</v>
      </c>
      <c r="U90" s="70">
        <v>123.2</v>
      </c>
      <c r="V90" s="70">
        <v>129.4</v>
      </c>
      <c r="W90" s="70">
        <v>125.1</v>
      </c>
      <c r="X90" s="70">
        <v>127.8</v>
      </c>
      <c r="Y90" s="70">
        <v>127.5</v>
      </c>
      <c r="Z90" s="70">
        <v>132.80000000000001</v>
      </c>
      <c r="AA90" s="70">
        <v>126.6</v>
      </c>
      <c r="AB90" s="70">
        <v>124</v>
      </c>
      <c r="AC90" s="70">
        <v>124.7</v>
      </c>
      <c r="AD90" s="70">
        <v>127</v>
      </c>
      <c r="AE90" s="70">
        <v>127</v>
      </c>
      <c r="AF90" s="70">
        <v>121</v>
      </c>
      <c r="AG90" s="93"/>
      <c r="AH90" s="54">
        <f t="shared" si="11"/>
        <v>132.80000000000001</v>
      </c>
      <c r="AI90" s="55">
        <f t="shared" si="12"/>
        <v>117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64.400000000000006</v>
      </c>
      <c r="C91" s="97">
        <v>64.8</v>
      </c>
      <c r="D91" s="97">
        <v>64.900000000000006</v>
      </c>
      <c r="E91" s="97">
        <v>65.5</v>
      </c>
      <c r="F91" s="97">
        <v>64.599999999999994</v>
      </c>
      <c r="G91" s="97">
        <v>64.8</v>
      </c>
      <c r="H91" s="97">
        <v>64.2</v>
      </c>
      <c r="I91" s="97">
        <v>64.5</v>
      </c>
      <c r="J91" s="97">
        <v>63.6</v>
      </c>
      <c r="K91" s="97">
        <v>62.9</v>
      </c>
      <c r="L91" s="97">
        <v>62.9</v>
      </c>
      <c r="M91" s="97">
        <v>62.6</v>
      </c>
      <c r="N91" s="97">
        <v>62.5</v>
      </c>
      <c r="O91" s="97">
        <v>62.5</v>
      </c>
      <c r="P91" s="97"/>
      <c r="Q91" s="97">
        <v>62.5</v>
      </c>
      <c r="R91" s="97">
        <v>62.5</v>
      </c>
      <c r="S91" s="97">
        <v>61.9</v>
      </c>
      <c r="T91" s="97">
        <v>63.9</v>
      </c>
      <c r="U91" s="97">
        <v>63</v>
      </c>
      <c r="V91" s="97">
        <v>64.3</v>
      </c>
      <c r="W91" s="97">
        <v>63.7</v>
      </c>
      <c r="X91" s="97">
        <v>64.2</v>
      </c>
      <c r="Y91" s="97">
        <v>64.400000000000006</v>
      </c>
      <c r="Z91" s="97">
        <v>63.3</v>
      </c>
      <c r="AA91" s="97">
        <v>63.2</v>
      </c>
      <c r="AB91" s="97">
        <v>64</v>
      </c>
      <c r="AC91" s="97">
        <v>64.8</v>
      </c>
      <c r="AD91" s="97">
        <v>64.400000000000006</v>
      </c>
      <c r="AE91" s="97">
        <v>64.400000000000006</v>
      </c>
      <c r="AF91" s="97">
        <v>65</v>
      </c>
      <c r="AG91" s="98"/>
      <c r="AH91" s="54">
        <f t="shared" si="11"/>
        <v>65.5</v>
      </c>
      <c r="AI91" s="55">
        <f t="shared" si="12"/>
        <v>61.9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144.43999999999997</v>
      </c>
      <c r="C93" s="103">
        <f t="shared" si="15"/>
        <v>137.04</v>
      </c>
      <c r="D93" s="103">
        <f t="shared" si="15"/>
        <v>130.03999999999996</v>
      </c>
      <c r="E93" s="103">
        <f t="shared" si="15"/>
        <v>128.73999999999998</v>
      </c>
      <c r="F93" s="103">
        <f t="shared" si="15"/>
        <v>132.14000000000001</v>
      </c>
      <c r="G93" s="103">
        <f t="shared" si="15"/>
        <v>157.83999999999997</v>
      </c>
      <c r="H93" s="103">
        <f t="shared" si="15"/>
        <v>179.53999999999996</v>
      </c>
      <c r="I93" s="103">
        <f t="shared" si="15"/>
        <v>211.83999999999997</v>
      </c>
      <c r="J93" s="103">
        <f t="shared" si="15"/>
        <v>251.94</v>
      </c>
      <c r="K93" s="103">
        <f t="shared" si="15"/>
        <v>271.04000000000002</v>
      </c>
      <c r="L93" s="103">
        <f t="shared" si="15"/>
        <v>294.04000000000002</v>
      </c>
      <c r="M93" s="103">
        <f t="shared" si="15"/>
        <v>299.94000000000005</v>
      </c>
      <c r="N93" s="103">
        <f t="shared" si="15"/>
        <v>299.04000000000002</v>
      </c>
      <c r="O93" s="103">
        <f t="shared" si="15"/>
        <v>299.04000000000002</v>
      </c>
      <c r="P93" s="103">
        <f t="shared" si="15"/>
        <v>225.33999999999997</v>
      </c>
      <c r="Q93" s="103">
        <f t="shared" si="15"/>
        <v>299.34000000000003</v>
      </c>
      <c r="R93" s="103">
        <f t="shared" si="15"/>
        <v>292.34000000000003</v>
      </c>
      <c r="S93" s="103">
        <f t="shared" si="15"/>
        <v>298.24000000000007</v>
      </c>
      <c r="T93" s="103">
        <f t="shared" si="15"/>
        <v>298.04000000000002</v>
      </c>
      <c r="U93" s="103">
        <f t="shared" si="15"/>
        <v>288.94</v>
      </c>
      <c r="V93" s="103">
        <f t="shared" si="15"/>
        <v>283.64</v>
      </c>
      <c r="W93" s="103">
        <f>SUM(W15,W18,W21:W22,W42,W44:W45,W47,W49,W94:W97,W103,W109,W115,W124,W126,W138,W145,W148:W149,W156,W158,W160,W164:W166,W168:W170,W175,W181:W182,W184:W186,W194,W199)</f>
        <v>277.84000000000003</v>
      </c>
      <c r="X93" s="103">
        <f>SUM(X15,X18,X21:X22,X42,X44:X45,X47,X49,X94:X97,X103,X109,X115,X124,X126,X138,X145,X148:X149,X156,X158,X160,X164:X166,X168:X170,X175,X181:X182,X184:X186,X194,X199)</f>
        <v>264.64000000000004</v>
      </c>
      <c r="Y93" s="103">
        <f t="shared" si="15"/>
        <v>275.64000000000004</v>
      </c>
      <c r="Z93" s="103">
        <f t="shared" si="15"/>
        <v>345.14000000000004</v>
      </c>
      <c r="AA93" s="103">
        <f t="shared" si="15"/>
        <v>350.44000000000005</v>
      </c>
      <c r="AB93" s="103">
        <f t="shared" si="15"/>
        <v>323.24</v>
      </c>
      <c r="AC93" s="103">
        <f t="shared" si="15"/>
        <v>294.44000000000005</v>
      </c>
      <c r="AD93" s="103">
        <f t="shared" si="15"/>
        <v>267.64</v>
      </c>
      <c r="AE93" s="103">
        <f t="shared" si="15"/>
        <v>210.93999999999997</v>
      </c>
      <c r="AF93" s="103">
        <f t="shared" si="15"/>
        <v>169.83999999999997</v>
      </c>
      <c r="AG93" s="104"/>
      <c r="AH93" s="54">
        <f>MAX(C93:AF93)</f>
        <v>350.44000000000005</v>
      </c>
      <c r="AI93" s="55">
        <f>MIN(C93:AF93)</f>
        <v>128.73999999999998</v>
      </c>
    </row>
    <row r="94" spans="1:88" x14ac:dyDescent="0.25">
      <c r="A94" s="105" t="s">
        <v>99</v>
      </c>
      <c r="B94" s="106">
        <v>44.1</v>
      </c>
      <c r="C94" s="106">
        <v>34.6</v>
      </c>
      <c r="D94" s="106">
        <v>30.7</v>
      </c>
      <c r="E94" s="106">
        <v>22.6</v>
      </c>
      <c r="F94" s="106">
        <v>35.200000000000003</v>
      </c>
      <c r="G94" s="106">
        <v>22.6</v>
      </c>
      <c r="H94" s="106">
        <v>33.299999999999997</v>
      </c>
      <c r="I94" s="106">
        <v>33</v>
      </c>
      <c r="J94" s="106">
        <v>45.4</v>
      </c>
      <c r="K94" s="106">
        <v>50.4</v>
      </c>
      <c r="L94" s="106">
        <v>51.8</v>
      </c>
      <c r="M94" s="106">
        <v>49.6</v>
      </c>
      <c r="N94" s="106">
        <v>36.6</v>
      </c>
      <c r="O94" s="106">
        <v>36.6</v>
      </c>
      <c r="P94" s="106"/>
      <c r="Q94" s="106">
        <v>14</v>
      </c>
      <c r="R94" s="106">
        <v>30</v>
      </c>
      <c r="S94" s="106">
        <v>31.5</v>
      </c>
      <c r="T94" s="106">
        <v>43.3</v>
      </c>
      <c r="U94" s="106">
        <v>35.1</v>
      </c>
      <c r="V94" s="106">
        <v>51.2</v>
      </c>
      <c r="W94" s="106">
        <v>35</v>
      </c>
      <c r="X94" s="106">
        <v>40.200000000000003</v>
      </c>
      <c r="Y94" s="106">
        <v>41.9</v>
      </c>
      <c r="Z94" s="106">
        <v>48.5</v>
      </c>
      <c r="AA94" s="106">
        <v>40.700000000000003</v>
      </c>
      <c r="AB94" s="106">
        <v>32.799999999999997</v>
      </c>
      <c r="AC94" s="106">
        <v>34.200000000000003</v>
      </c>
      <c r="AD94" s="106">
        <v>31.5</v>
      </c>
      <c r="AE94" s="106">
        <v>21.6</v>
      </c>
      <c r="AF94" s="106">
        <v>15.5</v>
      </c>
      <c r="AG94" s="107">
        <v>75</v>
      </c>
      <c r="AH94" s="54">
        <f t="shared" ref="AH94:AH100" si="16">IF(ABS(MAX(C94:AF94))&gt;ABS(MIN(C94:AF94)),MAX(C94:AF94),MIN(C94:AF94))</f>
        <v>51.8</v>
      </c>
      <c r="AI94" s="108">
        <f t="shared" ref="AI94:AI100" si="17">INDEX($C$9:$AF$9,1,MATCH(AH94,C94:AF94,0))</f>
        <v>0.3125</v>
      </c>
    </row>
    <row r="95" spans="1:88" x14ac:dyDescent="0.25">
      <c r="A95" s="109" t="s">
        <v>100</v>
      </c>
      <c r="B95" s="110">
        <f>-60-63.7</f>
        <v>-123.7</v>
      </c>
      <c r="C95" s="110">
        <f>-58.3-63</f>
        <v>-121.3</v>
      </c>
      <c r="D95" s="110">
        <f>-59-64</f>
        <v>-123</v>
      </c>
      <c r="E95" s="110">
        <f>-56.4-60.8</f>
        <v>-117.19999999999999</v>
      </c>
      <c r="F95" s="110">
        <f>-60.2-64.6</f>
        <v>-124.8</v>
      </c>
      <c r="G95" s="110">
        <f>-43.3-47.5</f>
        <v>-90.8</v>
      </c>
      <c r="H95" s="110">
        <v>-80</v>
      </c>
      <c r="I95" s="110">
        <v>-96</v>
      </c>
      <c r="J95" s="110">
        <f>-37.9-40.9</f>
        <v>-78.8</v>
      </c>
      <c r="K95" s="110">
        <f>-35.2-38.3</f>
        <v>-73.5</v>
      </c>
      <c r="L95" s="110">
        <v>-67</v>
      </c>
      <c r="M95" s="110">
        <v>-64</v>
      </c>
      <c r="N95" s="110">
        <v>-65</v>
      </c>
      <c r="O95" s="110">
        <v>-65</v>
      </c>
      <c r="P95" s="110"/>
      <c r="Q95" s="110">
        <v>-54</v>
      </c>
      <c r="R95" s="110">
        <v>-62</v>
      </c>
      <c r="S95" s="110">
        <f>-28.6-32.6</f>
        <v>-61.2</v>
      </c>
      <c r="T95" s="110">
        <f>-22.6-26.9</f>
        <v>-49.5</v>
      </c>
      <c r="U95" s="110">
        <f>-29.8-34.1</f>
        <v>-63.900000000000006</v>
      </c>
      <c r="V95" s="110">
        <f>-29-35</f>
        <v>-64</v>
      </c>
      <c r="W95" s="110">
        <f>-31.4-37.3</f>
        <v>-68.699999999999989</v>
      </c>
      <c r="X95" s="110">
        <f>-32.1-38</f>
        <v>-70.099999999999994</v>
      </c>
      <c r="Y95" s="110">
        <f>-30.5-35.4</f>
        <v>-65.900000000000006</v>
      </c>
      <c r="Z95" s="110">
        <f>-18.8-25.1</f>
        <v>-43.900000000000006</v>
      </c>
      <c r="AA95" s="110">
        <f>-18-24</f>
        <v>-42</v>
      </c>
      <c r="AB95" s="110">
        <v>-52</v>
      </c>
      <c r="AC95" s="110">
        <f>-24.8-32</f>
        <v>-56.8</v>
      </c>
      <c r="AD95" s="110">
        <v>-77</v>
      </c>
      <c r="AE95" s="110">
        <v>-95.9</v>
      </c>
      <c r="AF95" s="110">
        <v>-110</v>
      </c>
      <c r="AG95" s="107">
        <v>240</v>
      </c>
      <c r="AH95" s="54">
        <f t="shared" si="16"/>
        <v>-124.8</v>
      </c>
      <c r="AI95" s="108">
        <f t="shared" si="17"/>
        <v>0.16666666666666699</v>
      </c>
    </row>
    <row r="96" spans="1:88" x14ac:dyDescent="0.25">
      <c r="A96" s="109" t="s">
        <v>101</v>
      </c>
      <c r="B96" s="110">
        <v>2.7</v>
      </c>
      <c r="C96" s="110">
        <v>2.4</v>
      </c>
      <c r="D96" s="110">
        <v>1</v>
      </c>
      <c r="E96" s="110">
        <v>2.1</v>
      </c>
      <c r="F96" s="110">
        <v>0.5</v>
      </c>
      <c r="G96" s="110">
        <v>4.8</v>
      </c>
      <c r="H96" s="110">
        <v>5</v>
      </c>
      <c r="I96" s="110">
        <v>6.5</v>
      </c>
      <c r="J96" s="110">
        <v>9.8000000000000007</v>
      </c>
      <c r="K96" s="110">
        <v>11.4</v>
      </c>
      <c r="L96" s="110">
        <v>16</v>
      </c>
      <c r="M96" s="110">
        <v>19.8</v>
      </c>
      <c r="N96" s="110">
        <v>18.2</v>
      </c>
      <c r="O96" s="110">
        <v>18.2</v>
      </c>
      <c r="P96" s="110"/>
      <c r="Q96" s="110">
        <v>28</v>
      </c>
      <c r="R96" s="110">
        <v>21</v>
      </c>
      <c r="S96" s="110">
        <v>21.3</v>
      </c>
      <c r="T96" s="110">
        <v>26.5</v>
      </c>
      <c r="U96" s="110">
        <v>28.9</v>
      </c>
      <c r="V96" s="110">
        <v>32.6</v>
      </c>
      <c r="W96" s="110">
        <v>31.3</v>
      </c>
      <c r="X96" s="110">
        <v>26</v>
      </c>
      <c r="Y96" s="110">
        <v>26.4</v>
      </c>
      <c r="Z96" s="110">
        <v>30</v>
      </c>
      <c r="AA96" s="110">
        <v>35.4</v>
      </c>
      <c r="AB96" s="110">
        <v>38.9</v>
      </c>
      <c r="AC96" s="110">
        <v>28.6</v>
      </c>
      <c r="AD96" s="110">
        <v>25.4</v>
      </c>
      <c r="AE96" s="110">
        <v>20.5</v>
      </c>
      <c r="AF96" s="110">
        <v>5.9</v>
      </c>
      <c r="AG96" s="107">
        <v>60</v>
      </c>
      <c r="AH96" s="54">
        <f t="shared" si="16"/>
        <v>38.9</v>
      </c>
      <c r="AI96" s="108">
        <f t="shared" si="17"/>
        <v>0.83333333333333337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47.1</v>
      </c>
      <c r="J97" s="112">
        <v>54.3</v>
      </c>
      <c r="K97" s="112">
        <v>61.8</v>
      </c>
      <c r="L97" s="112">
        <v>74.7</v>
      </c>
      <c r="M97" s="112">
        <v>69.2</v>
      </c>
      <c r="N97" s="112">
        <v>83.9</v>
      </c>
      <c r="O97" s="112">
        <v>83.9</v>
      </c>
      <c r="P97" s="112"/>
      <c r="Q97" s="112">
        <v>86</v>
      </c>
      <c r="R97" s="112">
        <v>78</v>
      </c>
      <c r="S97" s="112">
        <v>81.3</v>
      </c>
      <c r="T97" s="112">
        <v>56</v>
      </c>
      <c r="U97" s="112">
        <v>63</v>
      </c>
      <c r="V97" s="112">
        <v>38</v>
      </c>
      <c r="W97" s="112">
        <v>54.4</v>
      </c>
      <c r="X97" s="112">
        <v>50</v>
      </c>
      <c r="Y97" s="112">
        <v>54.7</v>
      </c>
      <c r="Z97" s="112">
        <v>92</v>
      </c>
      <c r="AA97" s="112">
        <v>97.8</v>
      </c>
      <c r="AB97" s="112">
        <v>85</v>
      </c>
      <c r="AC97" s="112">
        <v>67.7</v>
      </c>
      <c r="AD97" s="112">
        <v>67</v>
      </c>
      <c r="AE97" s="112">
        <v>44</v>
      </c>
      <c r="AF97" s="112">
        <v>37.700000000000003</v>
      </c>
      <c r="AG97" s="113">
        <v>120</v>
      </c>
      <c r="AH97" s="54">
        <f t="shared" si="16"/>
        <v>97.8</v>
      </c>
      <c r="AI97" s="108">
        <f t="shared" si="17"/>
        <v>0.8125</v>
      </c>
    </row>
    <row r="98" spans="1:37" x14ac:dyDescent="0.25">
      <c r="A98" s="111" t="s">
        <v>103</v>
      </c>
      <c r="B98" s="112">
        <v>56</v>
      </c>
      <c r="C98" s="112">
        <v>57</v>
      </c>
      <c r="D98" s="112">
        <v>53</v>
      </c>
      <c r="E98" s="112">
        <v>55.4</v>
      </c>
      <c r="F98" s="112">
        <v>49.2</v>
      </c>
      <c r="G98" s="112">
        <v>84</v>
      </c>
      <c r="H98" s="112">
        <v>76.599999999999994</v>
      </c>
      <c r="I98" s="112">
        <v>59.5</v>
      </c>
      <c r="J98" s="112">
        <v>54.2</v>
      </c>
      <c r="K98" s="112">
        <v>67.3</v>
      </c>
      <c r="L98" s="112">
        <v>78</v>
      </c>
      <c r="M98" s="112">
        <v>83</v>
      </c>
      <c r="N98" s="112">
        <v>90.8</v>
      </c>
      <c r="O98" s="112">
        <v>90.8</v>
      </c>
      <c r="P98" s="112"/>
      <c r="Q98" s="112">
        <v>91</v>
      </c>
      <c r="R98" s="112">
        <v>90</v>
      </c>
      <c r="S98" s="112">
        <v>97</v>
      </c>
      <c r="T98" s="112">
        <v>63.2</v>
      </c>
      <c r="U98" s="112">
        <v>72</v>
      </c>
      <c r="V98" s="112">
        <v>45</v>
      </c>
      <c r="W98" s="112">
        <v>60</v>
      </c>
      <c r="X98" s="112">
        <v>61</v>
      </c>
      <c r="Y98" s="112">
        <v>63.1</v>
      </c>
      <c r="Z98" s="112">
        <v>86</v>
      </c>
      <c r="AA98" s="112">
        <v>94</v>
      </c>
      <c r="AB98" s="112">
        <v>82</v>
      </c>
      <c r="AC98" s="112">
        <v>67.5</v>
      </c>
      <c r="AD98" s="112">
        <v>75</v>
      </c>
      <c r="AE98" s="112">
        <v>63.6</v>
      </c>
      <c r="AF98" s="112">
        <v>64.7</v>
      </c>
      <c r="AG98" s="113"/>
      <c r="AH98" s="54">
        <f t="shared" si="16"/>
        <v>97</v>
      </c>
      <c r="AI98" s="108">
        <f t="shared" si="17"/>
        <v>0.58333333333333304</v>
      </c>
    </row>
    <row r="99" spans="1:37" x14ac:dyDescent="0.25">
      <c r="A99" s="111" t="s">
        <v>104</v>
      </c>
      <c r="B99" s="112">
        <v>47</v>
      </c>
      <c r="C99" s="112">
        <v>60.2</v>
      </c>
      <c r="D99" s="112">
        <v>65</v>
      </c>
      <c r="E99" s="112">
        <v>74</v>
      </c>
      <c r="F99" s="112">
        <v>40</v>
      </c>
      <c r="G99" s="112">
        <v>81</v>
      </c>
      <c r="H99" s="112">
        <v>59.9</v>
      </c>
      <c r="I99" s="112">
        <v>66.400000000000006</v>
      </c>
      <c r="J99" s="112">
        <v>38.299999999999997</v>
      </c>
      <c r="K99" s="112">
        <v>27</v>
      </c>
      <c r="L99" s="112">
        <v>26.1</v>
      </c>
      <c r="M99" s="112">
        <v>35.700000000000003</v>
      </c>
      <c r="N99" s="112">
        <v>61.7</v>
      </c>
      <c r="O99" s="112">
        <v>61.7</v>
      </c>
      <c r="P99" s="112"/>
      <c r="Q99" s="112">
        <v>69</v>
      </c>
      <c r="R99" s="112">
        <v>62</v>
      </c>
      <c r="S99" s="112">
        <v>70</v>
      </c>
      <c r="T99" s="112">
        <v>56</v>
      </c>
      <c r="U99" s="112">
        <v>68</v>
      </c>
      <c r="V99" s="112">
        <v>33</v>
      </c>
      <c r="W99" s="112">
        <v>70</v>
      </c>
      <c r="X99" s="112">
        <v>64.3</v>
      </c>
      <c r="Y99" s="112">
        <v>61.8</v>
      </c>
      <c r="Z99" s="112">
        <v>45.5</v>
      </c>
      <c r="AA99" s="112">
        <v>56.4</v>
      </c>
      <c r="AB99" s="112">
        <v>78.599999999999994</v>
      </c>
      <c r="AC99" s="112">
        <v>65</v>
      </c>
      <c r="AD99" s="112">
        <v>63</v>
      </c>
      <c r="AE99" s="112">
        <v>69</v>
      </c>
      <c r="AF99" s="112">
        <v>89</v>
      </c>
      <c r="AG99" s="114"/>
      <c r="AH99" s="54">
        <f t="shared" si="16"/>
        <v>89</v>
      </c>
      <c r="AI99" s="108">
        <f t="shared" si="17"/>
        <v>0.95833333333333304</v>
      </c>
    </row>
    <row r="100" spans="1:37" ht="15.75" thickBot="1" x14ac:dyDescent="0.3">
      <c r="A100" s="115" t="s">
        <v>105</v>
      </c>
      <c r="B100" s="95">
        <v>63</v>
      </c>
      <c r="C100" s="95">
        <v>60.3</v>
      </c>
      <c r="D100" s="95">
        <v>60</v>
      </c>
      <c r="E100" s="95">
        <v>48.9</v>
      </c>
      <c r="F100" s="95">
        <v>47.3</v>
      </c>
      <c r="G100" s="95">
        <v>44.2</v>
      </c>
      <c r="H100" s="95">
        <v>43.9</v>
      </c>
      <c r="I100" s="95">
        <v>44.2</v>
      </c>
      <c r="J100" s="95">
        <v>52.1</v>
      </c>
      <c r="K100" s="95">
        <v>54.6</v>
      </c>
      <c r="L100" s="95">
        <v>58.2</v>
      </c>
      <c r="M100" s="95">
        <v>68</v>
      </c>
      <c r="N100" s="95">
        <v>61.2</v>
      </c>
      <c r="O100" s="95">
        <v>61.2</v>
      </c>
      <c r="P100" s="95"/>
      <c r="Q100" s="95">
        <v>74</v>
      </c>
      <c r="R100" s="95">
        <v>71</v>
      </c>
      <c r="S100" s="95">
        <v>70</v>
      </c>
      <c r="T100" s="95">
        <v>65</v>
      </c>
      <c r="U100" s="95">
        <v>70</v>
      </c>
      <c r="V100" s="95">
        <v>65</v>
      </c>
      <c r="W100" s="95">
        <v>62</v>
      </c>
      <c r="X100" s="95">
        <v>56</v>
      </c>
      <c r="Y100" s="95">
        <v>58.3</v>
      </c>
      <c r="Z100" s="95">
        <v>75</v>
      </c>
      <c r="AA100" s="95">
        <v>75</v>
      </c>
      <c r="AB100" s="95">
        <v>76</v>
      </c>
      <c r="AC100" s="95">
        <v>81.7</v>
      </c>
      <c r="AD100" s="95">
        <v>82.6</v>
      </c>
      <c r="AE100" s="95">
        <v>76.2</v>
      </c>
      <c r="AF100" s="95">
        <v>72.599999999999994</v>
      </c>
      <c r="AG100" s="114"/>
      <c r="AH100" s="54">
        <f t="shared" si="16"/>
        <v>82.6</v>
      </c>
      <c r="AI100" s="108">
        <f t="shared" si="17"/>
        <v>0.875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 t="s">
        <v>231</v>
      </c>
      <c r="G101" s="117"/>
      <c r="H101" s="117" t="s">
        <v>231</v>
      </c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1374.3400000000001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18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2079/02/18)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2079/02/18)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1322.1399999999999</v>
      </c>
      <c r="U214" s="161">
        <f t="shared" si="54"/>
        <v>1317.94</v>
      </c>
      <c r="V214" s="161">
        <f t="shared" si="54"/>
        <v>1280.44</v>
      </c>
      <c r="W214" s="161">
        <f t="shared" si="54"/>
        <v>1247.6399999999999</v>
      </c>
      <c r="X214" s="161">
        <f t="shared" si="54"/>
        <v>1210.04</v>
      </c>
      <c r="Y214" s="161">
        <f t="shared" si="54"/>
        <v>1227.24</v>
      </c>
      <c r="Z214" s="161">
        <f t="shared" si="54"/>
        <v>1208.94</v>
      </c>
      <c r="AA214" s="161">
        <f t="shared" si="54"/>
        <v>1268.3399999999999</v>
      </c>
      <c r="AB214" s="161">
        <f t="shared" si="54"/>
        <v>1310.6399999999999</v>
      </c>
      <c r="AC214" s="161">
        <f t="shared" si="54"/>
        <v>1325.34</v>
      </c>
      <c r="AD214" s="161">
        <f t="shared" si="54"/>
        <v>1359.44</v>
      </c>
      <c r="AE214" s="161">
        <f t="shared" si="54"/>
        <v>1360.44</v>
      </c>
      <c r="AF214" s="161">
        <f t="shared" si="54"/>
        <v>1374.3400000000001</v>
      </c>
      <c r="AG214" s="161">
        <f t="shared" si="54"/>
        <v>1425.94</v>
      </c>
      <c r="AH214" s="161">
        <f t="shared" si="54"/>
        <v>1433.94</v>
      </c>
      <c r="AI214" s="161">
        <f t="shared" si="54"/>
        <v>1501.94</v>
      </c>
      <c r="AJ214" s="161">
        <f t="shared" si="54"/>
        <v>1477.94</v>
      </c>
      <c r="AK214" s="161">
        <f t="shared" si="54"/>
        <v>1476.1399999999999</v>
      </c>
      <c r="AL214" s="161">
        <f t="shared" si="54"/>
        <v>1339.3400000000001</v>
      </c>
      <c r="AM214" s="161">
        <f t="shared" si="54"/>
        <v>1363.44</v>
      </c>
      <c r="AN214" s="161">
        <f t="shared" si="54"/>
        <v>1324.54</v>
      </c>
      <c r="AO214" s="161">
        <f t="shared" si="54"/>
        <v>1370.54</v>
      </c>
      <c r="AP214" s="161">
        <f t="shared" si="54"/>
        <v>1326.99</v>
      </c>
      <c r="AQ214" s="161">
        <f t="shared" si="54"/>
        <v>1334.13</v>
      </c>
      <c r="AR214" s="161">
        <f t="shared" si="54"/>
        <v>1417.24</v>
      </c>
      <c r="AS214" s="161">
        <f t="shared" si="54"/>
        <v>1512.8400000000001</v>
      </c>
      <c r="AT214" s="161">
        <f t="shared" si="54"/>
        <v>1530.44</v>
      </c>
      <c r="AU214" s="161">
        <f t="shared" si="54"/>
        <v>1504.14</v>
      </c>
      <c r="AV214" s="161">
        <f t="shared" si="54"/>
        <v>1527.04</v>
      </c>
      <c r="AW214" s="161">
        <f t="shared" si="54"/>
        <v>1425.74</v>
      </c>
      <c r="AX214" s="161">
        <f t="shared" si="54"/>
        <v>1362.04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692" priority="208">
      <formula>B$9&gt;=20/24</formula>
    </cfRule>
    <cfRule type="expression" dxfId="2691" priority="209">
      <formula>AND(B$9&gt;=14/24,B$9&lt;20/24)</formula>
    </cfRule>
    <cfRule type="expression" dxfId="2690" priority="210">
      <formula>AND(B$9&gt;=8/24,B$9&lt;14/24)</formula>
    </cfRule>
    <cfRule type="expression" dxfId="2689" priority="211">
      <formula>B$9&lt;8/24</formula>
    </cfRule>
  </conditionalFormatting>
  <conditionalFormatting sqref="AL4:AL6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688" priority="203">
      <formula>S$9&gt;=20/24</formula>
    </cfRule>
    <cfRule type="expression" dxfId="2687" priority="204">
      <formula>AND(S$9&gt;=14/24,S$9&lt;20/24)</formula>
    </cfRule>
    <cfRule type="expression" dxfId="2686" priority="205">
      <formula>AND(S$9&gt;=8/24,S$9&lt;14/24)</formula>
    </cfRule>
    <cfRule type="expression" dxfId="2685" priority="206">
      <formula>S$9&lt;8/24</formula>
    </cfRule>
  </conditionalFormatting>
  <conditionalFormatting sqref="AG51 J11:AF11 S37:AF37">
    <cfRule type="expression" dxfId="2684" priority="202">
      <formula>J11&gt;$AG11</formula>
    </cfRule>
  </conditionalFormatting>
  <conditionalFormatting sqref="A101:A157 A84:A97 A11:A14 A16:A32 A45:A72 A80:A82 A74:A78 A35:A43 A170:A200">
    <cfRule type="expression" dxfId="2683" priority="201">
      <formula>$AH11=0</formula>
    </cfRule>
  </conditionalFormatting>
  <conditionalFormatting sqref="A98">
    <cfRule type="expression" dxfId="2682" priority="200">
      <formula>$AH98=0</formula>
    </cfRule>
  </conditionalFormatting>
  <conditionalFormatting sqref="AL32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681" priority="198">
      <formula>$AH34=0</formula>
    </cfRule>
  </conditionalFormatting>
  <conditionalFormatting sqref="A83">
    <cfRule type="expression" dxfId="2680" priority="197">
      <formula>$AH83=0</formula>
    </cfRule>
  </conditionalFormatting>
  <conditionalFormatting sqref="A15">
    <cfRule type="expression" dxfId="2679" priority="196">
      <formula>$AH15=0</formula>
    </cfRule>
  </conditionalFormatting>
  <conditionalFormatting sqref="A164:A169">
    <cfRule type="expression" dxfId="2678" priority="195">
      <formula>$AH164=0</formula>
    </cfRule>
  </conditionalFormatting>
  <conditionalFormatting sqref="A158:A163">
    <cfRule type="expression" dxfId="2677" priority="194">
      <formula>$AH158=0</formula>
    </cfRule>
  </conditionalFormatting>
  <conditionalFormatting sqref="A44">
    <cfRule type="expression" dxfId="2676" priority="193">
      <formula>$AH44=0</formula>
    </cfRule>
  </conditionalFormatting>
  <conditionalFormatting sqref="A79">
    <cfRule type="expression" dxfId="2675" priority="192">
      <formula>$AH79=0</formula>
    </cfRule>
  </conditionalFormatting>
  <conditionalFormatting sqref="A73">
    <cfRule type="expression" dxfId="2674" priority="191">
      <formula>$AH73=0</formula>
    </cfRule>
  </conditionalFormatting>
  <conditionalFormatting sqref="AL34:AL35 AL7:AL31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673" priority="187">
      <formula>C$9&gt;=20/24</formula>
    </cfRule>
    <cfRule type="expression" dxfId="2672" priority="188">
      <formula>AND(C$9&gt;=14/24,C$9&lt;20/24)</formula>
    </cfRule>
    <cfRule type="expression" dxfId="2671" priority="189">
      <formula>AND(C$9&gt;=8/24,C$9&lt;14/24)</formula>
    </cfRule>
    <cfRule type="expression" dxfId="2670" priority="190">
      <formula>C$9&lt;8/24</formula>
    </cfRule>
  </conditionalFormatting>
  <conditionalFormatting sqref="AL3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669" priority="215">
      <formula>C$9&gt;=20/24</formula>
    </cfRule>
    <cfRule type="expression" dxfId="2668" priority="216">
      <formula>AND(C$9&gt;=14/24,C$9&lt;20/24)</formula>
    </cfRule>
    <cfRule type="expression" dxfId="2667" priority="217">
      <formula>AND(C$9&gt;=8/24,C$9&lt;14/24)</formula>
    </cfRule>
    <cfRule type="expression" dxfId="2666" priority="218">
      <formula>C$9&lt;8/24</formula>
    </cfRule>
  </conditionalFormatting>
  <conditionalFormatting sqref="A201">
    <cfRule type="expression" dxfId="2665" priority="219">
      <formula>$AH201=0</formula>
    </cfRule>
  </conditionalFormatting>
  <conditionalFormatting sqref="AG213">
    <cfRule type="expression" dxfId="2664" priority="220">
      <formula>B$9&gt;=20/24</formula>
    </cfRule>
    <cfRule type="expression" dxfId="2663" priority="221">
      <formula>AND(B$9&gt;=14/24,B$9&lt;20/24)</formula>
    </cfRule>
    <cfRule type="expression" dxfId="2662" priority="222">
      <formula>AND(B$9&gt;=8/24,B$9&lt;14/24)</formula>
    </cfRule>
    <cfRule type="expression" dxfId="2661" priority="223">
      <formula>B$9&lt;8/24</formula>
    </cfRule>
  </conditionalFormatting>
  <conditionalFormatting sqref="S8">
    <cfRule type="expression" dxfId="2660" priority="181">
      <formula>U$9&gt;=20/24</formula>
    </cfRule>
    <cfRule type="expression" dxfId="2659" priority="182">
      <formula>AND(U$9&gt;=14/24,U$9&lt;20/24)</formula>
    </cfRule>
    <cfRule type="expression" dxfId="2658" priority="183">
      <formula>AND(U$9&gt;=8/24,U$9&lt;14/24)</formula>
    </cfRule>
    <cfRule type="expression" dxfId="2657" priority="184">
      <formula>U$9&lt;8/24</formula>
    </cfRule>
  </conditionalFormatting>
  <conditionalFormatting sqref="AB8">
    <cfRule type="expression" dxfId="2656" priority="177">
      <formula>AD$9&gt;=20/24</formula>
    </cfRule>
    <cfRule type="expression" dxfId="2655" priority="178">
      <formula>AND(AD$9&gt;=14/24,AD$9&lt;20/24)</formula>
    </cfRule>
    <cfRule type="expression" dxfId="2654" priority="179">
      <formula>AND(AD$9&gt;=8/24,AD$9&lt;14/24)</formula>
    </cfRule>
    <cfRule type="expression" dxfId="2653" priority="180">
      <formula>AD$9&lt;8/24</formula>
    </cfRule>
  </conditionalFormatting>
  <conditionalFormatting sqref="AH213:AX213">
    <cfRule type="expression" dxfId="2652" priority="224">
      <formula>AG$9&gt;=20/24</formula>
    </cfRule>
    <cfRule type="expression" dxfId="2651" priority="225">
      <formula>AND(AG$9&gt;=14/24,AG$9&lt;20/24)</formula>
    </cfRule>
    <cfRule type="expression" dxfId="2650" priority="226">
      <formula>AND(AG$9&gt;=8/24,AG$9&lt;14/24)</formula>
    </cfRule>
    <cfRule type="expression" dxfId="2649" priority="227">
      <formula>AG$9&lt;8/24</formula>
    </cfRule>
  </conditionalFormatting>
  <conditionalFormatting sqref="T213">
    <cfRule type="expression" dxfId="2648" priority="228">
      <formula>AX$9&gt;=20/24</formula>
    </cfRule>
    <cfRule type="expression" dxfId="2647" priority="229">
      <formula>AND(AX$9&gt;=14/24,AX$9&lt;20/24)</formula>
    </cfRule>
    <cfRule type="expression" dxfId="2646" priority="230">
      <formula>AND(AX$9&gt;=8/24,AX$9&lt;14/24)</formula>
    </cfRule>
    <cfRule type="expression" dxfId="2645" priority="231">
      <formula>AX$9&lt;8/24</formula>
    </cfRule>
  </conditionalFormatting>
  <conditionalFormatting sqref="A99:A100">
    <cfRule type="expression" dxfId="2644" priority="176">
      <formula>$AH99=0</formula>
    </cfRule>
  </conditionalFormatting>
  <conditionalFormatting sqref="E40:L41 E11:I11 D57:AF57 AB36:AF36">
    <cfRule type="expression" dxfId="2643" priority="172">
      <formula>D$9&gt;=20/24</formula>
    </cfRule>
    <cfRule type="expression" dxfId="2642" priority="173">
      <formula>AND(D$9&gt;=14/24,D$9&lt;20/24)</formula>
    </cfRule>
    <cfRule type="expression" dxfId="2641" priority="174">
      <formula>AND(D$9&gt;=8/24,D$9&lt;14/24)</formula>
    </cfRule>
    <cfRule type="expression" dxfId="2640" priority="175">
      <formula>D$9&lt;8/24</formula>
    </cfRule>
  </conditionalFormatting>
  <conditionalFormatting sqref="E39:L39">
    <cfRule type="expression" dxfId="2639" priority="168">
      <formula>E$9&gt;=20/24</formula>
    </cfRule>
    <cfRule type="expression" dxfId="2638" priority="169">
      <formula>AND(E$9&gt;=14/24,E$9&lt;20/24)</formula>
    </cfRule>
    <cfRule type="expression" dxfId="2637" priority="170">
      <formula>AND(E$9&gt;=8/24,E$9&lt;14/24)</formula>
    </cfRule>
    <cfRule type="expression" dxfId="2636" priority="171">
      <formula>E$9&lt;8/24</formula>
    </cfRule>
  </conditionalFormatting>
  <conditionalFormatting sqref="E39:L41 E11:I11 AB36:AF36">
    <cfRule type="expression" dxfId="2635" priority="167">
      <formula>E11&gt;$AG11</formula>
    </cfRule>
  </conditionalFormatting>
  <conditionalFormatting sqref="C83:AF83 C75:AF81 D58:E59 C68:AF73 E60:E62 F58:F62 E12:L13 G60:L62 G58:Q59 M60:Q61 M11:R14 M36:AA36 R58:AB60 M62:AA67 R61:AA61 AB61:AB67 C53:AF56 C85:AF91 M28:AF31 M18:AF22 M24:AF26 M16:AF16 S12:AF14 AC58:AF67">
    <cfRule type="expression" dxfId="2634" priority="163">
      <formula>C$9&gt;=20/24</formula>
    </cfRule>
    <cfRule type="expression" dxfId="2633" priority="164">
      <formula>AND(C$9&gt;=14/24,C$9&lt;20/24)</formula>
    </cfRule>
    <cfRule type="expression" dxfId="2632" priority="165">
      <formula>AND(C$9&gt;=8/24,C$9&lt;14/24)</formula>
    </cfRule>
    <cfRule type="expression" dxfId="2631" priority="166">
      <formula>C$9&lt;8/24</formula>
    </cfRule>
  </conditionalFormatting>
  <conditionalFormatting sqref="M32:AF32">
    <cfRule type="expression" dxfId="2630" priority="159">
      <formula>M$9&gt;=20/24</formula>
    </cfRule>
    <cfRule type="expression" dxfId="2629" priority="160">
      <formula>AND(M$9&gt;=14/24,M$9&lt;20/24)</formula>
    </cfRule>
    <cfRule type="expression" dxfId="2628" priority="161">
      <formula>AND(M$9&gt;=8/24,M$9&lt;14/24)</formula>
    </cfRule>
    <cfRule type="expression" dxfId="2627" priority="162">
      <formula>M$9&lt;8/24</formula>
    </cfRule>
  </conditionalFormatting>
  <conditionalFormatting sqref="M35:AF35">
    <cfRule type="expression" dxfId="2626" priority="155">
      <formula>M$9&gt;=20/24</formula>
    </cfRule>
    <cfRule type="expression" dxfId="2625" priority="156">
      <formula>AND(M$9&gt;=14/24,M$9&lt;20/24)</formula>
    </cfRule>
    <cfRule type="expression" dxfId="2624" priority="157">
      <formula>AND(M$9&gt;=8/24,M$9&lt;14/24)</formula>
    </cfRule>
    <cfRule type="expression" dxfId="2623" priority="158">
      <formula>M$9&lt;8/24</formula>
    </cfRule>
  </conditionalFormatting>
  <conditionalFormatting sqref="C38:AF38 C37:R37 E12:L13 E42:L43 M11:R16 M34:AA36 C51:AF56 AB34:AF35 M18:AF22 M24:AF32 S12:AF16">
    <cfRule type="expression" dxfId="2622" priority="154">
      <formula>C11&gt;$AG11</formula>
    </cfRule>
  </conditionalFormatting>
  <conditionalFormatting sqref="M34:AF34">
    <cfRule type="expression" dxfId="2621" priority="150">
      <formula>M$9&gt;=20/24</formula>
    </cfRule>
    <cfRule type="expression" dxfId="2620" priority="151">
      <formula>AND(M$9&gt;=14/24,M$9&lt;20/24)</formula>
    </cfRule>
    <cfRule type="expression" dxfId="2619" priority="152">
      <formula>AND(M$9&gt;=8/24,M$9&lt;14/24)</formula>
    </cfRule>
    <cfRule type="expression" dxfId="2618" priority="153">
      <formula>M$9&lt;8/24</formula>
    </cfRule>
  </conditionalFormatting>
  <conditionalFormatting sqref="M15:AF15">
    <cfRule type="expression" dxfId="2617" priority="146">
      <formula>M$9&gt;=20/24</formula>
    </cfRule>
    <cfRule type="expression" dxfId="2616" priority="147">
      <formula>AND(M$9&gt;=14/24,M$9&lt;20/24)</formula>
    </cfRule>
    <cfRule type="expression" dxfId="2615" priority="148">
      <formula>AND(M$9&gt;=8/24,M$9&lt;14/24)</formula>
    </cfRule>
    <cfRule type="expression" dxfId="2614" priority="149">
      <formula>M$9&lt;8/24</formula>
    </cfRule>
  </conditionalFormatting>
  <conditionalFormatting sqref="M33:AF33">
    <cfRule type="expression" dxfId="2613" priority="142">
      <formula>M$9&gt;=20/24</formula>
    </cfRule>
    <cfRule type="expression" dxfId="2612" priority="143">
      <formula>AND(M$9&gt;=14/24,M$9&lt;20/24)</formula>
    </cfRule>
    <cfRule type="expression" dxfId="2611" priority="144">
      <formula>AND(M$9&gt;=8/24,M$9&lt;14/24)</formula>
    </cfRule>
    <cfRule type="expression" dxfId="2610" priority="145">
      <formula>M$9&lt;8/24</formula>
    </cfRule>
  </conditionalFormatting>
  <conditionalFormatting sqref="M33:AF33">
    <cfRule type="expression" dxfId="2609" priority="141">
      <formula>M33&gt;$AG33</formula>
    </cfRule>
  </conditionalFormatting>
  <conditionalFormatting sqref="S11">
    <cfRule type="expression" dxfId="2608" priority="137">
      <formula>S$9&gt;=20/24</formula>
    </cfRule>
    <cfRule type="expression" dxfId="2607" priority="138">
      <formula>AND(S$9&gt;=14/24,S$9&lt;20/24)</formula>
    </cfRule>
    <cfRule type="expression" dxfId="2606" priority="139">
      <formula>AND(S$9&gt;=8/24,S$9&lt;14/24)</formula>
    </cfRule>
    <cfRule type="expression" dxfId="2605" priority="140">
      <formula>S$9&lt;8/24</formula>
    </cfRule>
  </conditionalFormatting>
  <conditionalFormatting sqref="M39:AF50">
    <cfRule type="expression" dxfId="2604" priority="128">
      <formula>M$9&gt;=20/24</formula>
    </cfRule>
    <cfRule type="expression" dxfId="2603" priority="129">
      <formula>AND(M$9&gt;=14/24,M$9&lt;20/24)</formula>
    </cfRule>
    <cfRule type="expression" dxfId="2602" priority="130">
      <formula>AND(M$9&gt;=8/24,M$9&lt;14/24)</formula>
    </cfRule>
    <cfRule type="expression" dxfId="2601" priority="131">
      <formula>M$9&lt;8/24</formula>
    </cfRule>
  </conditionalFormatting>
  <conditionalFormatting sqref="M39:AF50">
    <cfRule type="expression" dxfId="2600" priority="127">
      <formula>M39&gt;$AG39</formula>
    </cfRule>
  </conditionalFormatting>
  <conditionalFormatting sqref="M27:AF27">
    <cfRule type="expression" dxfId="2599" priority="123">
      <formula>M$9&gt;=20/24</formula>
    </cfRule>
    <cfRule type="expression" dxfId="2598" priority="124">
      <formula>AND(M$9&gt;=14/24,M$9&lt;20/24)</formula>
    </cfRule>
    <cfRule type="expression" dxfId="2597" priority="125">
      <formula>AND(M$9&gt;=8/24,M$9&lt;14/24)</formula>
    </cfRule>
    <cfRule type="expression" dxfId="2596" priority="126">
      <formula>M$9&lt;8/24</formula>
    </cfRule>
  </conditionalFormatting>
  <conditionalFormatting sqref="C74:I74 L16 M17:AF17 M23:AF23">
    <cfRule type="expression" dxfId="2595" priority="119">
      <formula>C$9&gt;=20/24</formula>
    </cfRule>
    <cfRule type="expression" dxfId="2594" priority="120">
      <formula>AND(C$9&gt;=14/24,C$9&lt;20/24)</formula>
    </cfRule>
    <cfRule type="expression" dxfId="2593" priority="121">
      <formula>AND(C$9&gt;=8/24,C$9&lt;14/24)</formula>
    </cfRule>
    <cfRule type="expression" dxfId="2592" priority="122">
      <formula>C$9&lt;8/24</formula>
    </cfRule>
  </conditionalFormatting>
  <conditionalFormatting sqref="L16 M17:AF17 M23:AF23">
    <cfRule type="expression" dxfId="2591" priority="110">
      <formula>L16&gt;$AG16</formula>
    </cfRule>
  </conditionalFormatting>
  <conditionalFormatting sqref="E44:L45">
    <cfRule type="expression" dxfId="2590" priority="79">
      <formula>E$9&gt;=20/24</formula>
    </cfRule>
    <cfRule type="expression" dxfId="2589" priority="80">
      <formula>AND(E$9&gt;=14/24,E$9&lt;20/24)</formula>
    </cfRule>
    <cfRule type="expression" dxfId="2588" priority="81">
      <formula>AND(E$9&gt;=8/24,E$9&lt;14/24)</formula>
    </cfRule>
    <cfRule type="expression" dxfId="2587" priority="82">
      <formula>E$9&lt;8/24</formula>
    </cfRule>
  </conditionalFormatting>
  <conditionalFormatting sqref="E44:L45">
    <cfRule type="expression" dxfId="2586" priority="78">
      <formula>E44&gt;$AG44</formula>
    </cfRule>
  </conditionalFormatting>
  <conditionalFormatting sqref="B82 B74 B94:B100 B11:D11">
    <cfRule type="expression" dxfId="2585" priority="65">
      <formula>B$9&gt;=20/24</formula>
    </cfRule>
    <cfRule type="expression" dxfId="2584" priority="66">
      <formula>AND(B$9&gt;=14/24,B$9&lt;20/24)</formula>
    </cfRule>
    <cfRule type="expression" dxfId="2583" priority="67">
      <formula>AND(B$9&gt;=8/24,B$9&lt;14/24)</formula>
    </cfRule>
    <cfRule type="expression" dxfId="2582" priority="68">
      <formula>B$9&lt;8/24</formula>
    </cfRule>
  </conditionalFormatting>
  <conditionalFormatting sqref="B37">
    <cfRule type="expression" dxfId="2581" priority="61">
      <formula>B$9&gt;=20/24</formula>
    </cfRule>
    <cfRule type="expression" dxfId="2580" priority="62">
      <formula>AND(B$9&gt;=14/24,B$9&lt;20/24)</formula>
    </cfRule>
    <cfRule type="expression" dxfId="2579" priority="63">
      <formula>AND(B$9&gt;=8/24,B$9&lt;14/24)</formula>
    </cfRule>
    <cfRule type="expression" dxfId="2578" priority="64">
      <formula>B$9&lt;8/24</formula>
    </cfRule>
  </conditionalFormatting>
  <conditionalFormatting sqref="B37 B11:D11">
    <cfRule type="expression" dxfId="2577" priority="60">
      <formula>B11&gt;$AG11</formula>
    </cfRule>
  </conditionalFormatting>
  <conditionalFormatting sqref="B84">
    <cfRule type="expression" dxfId="2576" priority="56">
      <formula>B$9&gt;=20/24</formula>
    </cfRule>
    <cfRule type="expression" dxfId="2575" priority="57">
      <formula>AND(B$9&gt;=14/24,B$9&lt;20/24)</formula>
    </cfRule>
    <cfRule type="expression" dxfId="2574" priority="58">
      <formula>AND(B$9&gt;=8/24,B$9&lt;14/24)</formula>
    </cfRule>
    <cfRule type="expression" dxfId="2573" priority="59">
      <formula>B$9&lt;8/24</formula>
    </cfRule>
  </conditionalFormatting>
  <conditionalFormatting sqref="B57:C57 B40:D41 B36:L36">
    <cfRule type="expression" dxfId="2572" priority="52">
      <formula>B$9&gt;=20/24</formula>
    </cfRule>
    <cfRule type="expression" dxfId="2571" priority="53">
      <formula>AND(B$9&gt;=14/24,B$9&lt;20/24)</formula>
    </cfRule>
    <cfRule type="expression" dxfId="2570" priority="54">
      <formula>AND(B$9&gt;=8/24,B$9&lt;14/24)</formula>
    </cfRule>
    <cfRule type="expression" dxfId="2569" priority="55">
      <formula>B$9&lt;8/24</formula>
    </cfRule>
  </conditionalFormatting>
  <conditionalFormatting sqref="B39:D39">
    <cfRule type="expression" dxfId="2568" priority="48">
      <formula>B$9&gt;=20/24</formula>
    </cfRule>
    <cfRule type="expression" dxfId="2567" priority="49">
      <formula>AND(B$9&gt;=14/24,B$9&lt;20/24)</formula>
    </cfRule>
    <cfRule type="expression" dxfId="2566" priority="50">
      <formula>AND(B$9&gt;=8/24,B$9&lt;14/24)</formula>
    </cfRule>
    <cfRule type="expression" dxfId="2565" priority="51">
      <formula>B$9&lt;8/24</formula>
    </cfRule>
  </conditionalFormatting>
  <conditionalFormatting sqref="B39:D41 B36:L36">
    <cfRule type="expression" dxfId="2564" priority="47">
      <formula>B36&gt;$AG36</formula>
    </cfRule>
  </conditionalFormatting>
  <conditionalFormatting sqref="B83 B75:B81 B85:B91 B53:B56 B58:B73 C58:C67 B12:D14 D60:D67 B16:K16 E14:L14 B28:L31 B18:L22 B24:L26 E63:L67">
    <cfRule type="expression" dxfId="2563" priority="43">
      <formula>B$9&gt;=20/24</formula>
    </cfRule>
    <cfRule type="expression" dxfId="2562" priority="44">
      <formula>AND(B$9&gt;=14/24,B$9&lt;20/24)</formula>
    </cfRule>
    <cfRule type="expression" dxfId="2561" priority="45">
      <formula>AND(B$9&gt;=8/24,B$9&lt;14/24)</formula>
    </cfRule>
    <cfRule type="expression" dxfId="2560" priority="46">
      <formula>B$9&lt;8/24</formula>
    </cfRule>
  </conditionalFormatting>
  <conditionalFormatting sqref="B32:L32">
    <cfRule type="expression" dxfId="2559" priority="39">
      <formula>B$9&gt;=20/24</formula>
    </cfRule>
    <cfRule type="expression" dxfId="2558" priority="40">
      <formula>AND(B$9&gt;=14/24,B$9&lt;20/24)</formula>
    </cfRule>
    <cfRule type="expression" dxfId="2557" priority="41">
      <formula>AND(B$9&gt;=8/24,B$9&lt;14/24)</formula>
    </cfRule>
    <cfRule type="expression" dxfId="2556" priority="42">
      <formula>B$9&lt;8/24</formula>
    </cfRule>
  </conditionalFormatting>
  <conditionalFormatting sqref="B35:L35">
    <cfRule type="expression" dxfId="2555" priority="35">
      <formula>B$9&gt;=20/24</formula>
    </cfRule>
    <cfRule type="expression" dxfId="2554" priority="36">
      <formula>AND(B$9&gt;=14/24,B$9&lt;20/24)</formula>
    </cfRule>
    <cfRule type="expression" dxfId="2553" priority="37">
      <formula>AND(B$9&gt;=8/24,B$9&lt;14/24)</formula>
    </cfRule>
    <cfRule type="expression" dxfId="2552" priority="38">
      <formula>B$9&lt;8/24</formula>
    </cfRule>
  </conditionalFormatting>
  <conditionalFormatting sqref="B38 B51:B56 B12:D16 B42:D43 D16:E16 E14:K16 L14:L15 B34:L35 B18:L22 B24:L32">
    <cfRule type="expression" dxfId="2551" priority="34">
      <formula>B12&gt;$AG12</formula>
    </cfRule>
  </conditionalFormatting>
  <conditionalFormatting sqref="B34:L34">
    <cfRule type="expression" dxfId="2550" priority="30">
      <formula>B$9&gt;=20/24</formula>
    </cfRule>
    <cfRule type="expression" dxfId="2549" priority="31">
      <formula>AND(B$9&gt;=14/24,B$9&lt;20/24)</formula>
    </cfRule>
    <cfRule type="expression" dxfId="2548" priority="32">
      <formula>AND(B$9&gt;=8/24,B$9&lt;14/24)</formula>
    </cfRule>
    <cfRule type="expression" dxfId="2547" priority="33">
      <formula>B$9&lt;8/24</formula>
    </cfRule>
  </conditionalFormatting>
  <conditionalFormatting sqref="B15:L15">
    <cfRule type="expression" dxfId="2546" priority="26">
      <formula>B$9&gt;=20/24</formula>
    </cfRule>
    <cfRule type="expression" dxfId="2545" priority="27">
      <formula>AND(B$9&gt;=14/24,B$9&lt;20/24)</formula>
    </cfRule>
    <cfRule type="expression" dxfId="2544" priority="28">
      <formula>AND(B$9&gt;=8/24,B$9&lt;14/24)</formula>
    </cfRule>
    <cfRule type="expression" dxfId="2543" priority="29">
      <formula>B$9&lt;8/24</formula>
    </cfRule>
  </conditionalFormatting>
  <conditionalFormatting sqref="B33:L33">
    <cfRule type="expression" dxfId="2542" priority="22">
      <formula>B$9&gt;=20/24</formula>
    </cfRule>
    <cfRule type="expression" dxfId="2541" priority="23">
      <formula>AND(B$9&gt;=14/24,B$9&lt;20/24)</formula>
    </cfRule>
    <cfRule type="expression" dxfId="2540" priority="24">
      <formula>AND(B$9&gt;=8/24,B$9&lt;14/24)</formula>
    </cfRule>
    <cfRule type="expression" dxfId="2539" priority="25">
      <formula>B$9&lt;8/24</formula>
    </cfRule>
  </conditionalFormatting>
  <conditionalFormatting sqref="B33:L33">
    <cfRule type="expression" dxfId="2538" priority="21">
      <formula>B33&gt;$AG33</formula>
    </cfRule>
  </conditionalFormatting>
  <conditionalFormatting sqref="B44:D50 E46:L50">
    <cfRule type="expression" dxfId="2537" priority="17">
      <formula>B$9&gt;=20/24</formula>
    </cfRule>
    <cfRule type="expression" dxfId="2536" priority="18">
      <formula>AND(B$9&gt;=14/24,B$9&lt;20/24)</formula>
    </cfRule>
    <cfRule type="expression" dxfId="2535" priority="19">
      <formula>AND(B$9&gt;=8/24,B$9&lt;14/24)</formula>
    </cfRule>
    <cfRule type="expression" dxfId="2534" priority="20">
      <formula>B$9&lt;8/24</formula>
    </cfRule>
  </conditionalFormatting>
  <conditionalFormatting sqref="B44:D50 E46:L50">
    <cfRule type="expression" dxfId="2533" priority="16">
      <formula>B44&gt;$AG44</formula>
    </cfRule>
  </conditionalFormatting>
  <conditionalFormatting sqref="B27:L27">
    <cfRule type="expression" dxfId="2532" priority="12">
      <formula>B$9&gt;=20/24</formula>
    </cfRule>
    <cfRule type="expression" dxfId="2531" priority="13">
      <formula>AND(B$9&gt;=14/24,B$9&lt;20/24)</formula>
    </cfRule>
    <cfRule type="expression" dxfId="2530" priority="14">
      <formula>AND(B$9&gt;=8/24,B$9&lt;14/24)</formula>
    </cfRule>
    <cfRule type="expression" dxfId="2529" priority="15">
      <formula>B$9&lt;8/24</formula>
    </cfRule>
  </conditionalFormatting>
  <conditionalFormatting sqref="B17:L17 B23:L23">
    <cfRule type="expression" dxfId="2528" priority="8">
      <formula>B$9&gt;=20/24</formula>
    </cfRule>
    <cfRule type="expression" dxfId="2527" priority="9">
      <formula>AND(B$9&gt;=14/24,B$9&lt;20/24)</formula>
    </cfRule>
    <cfRule type="expression" dxfId="2526" priority="10">
      <formula>AND(B$9&gt;=8/24,B$9&lt;14/24)</formula>
    </cfRule>
    <cfRule type="expression" dxfId="2525" priority="11">
      <formula>B$9&lt;8/24</formula>
    </cfRule>
  </conditionalFormatting>
  <conditionalFormatting sqref="B17:L17 B23:L23">
    <cfRule type="expression" dxfId="2524" priority="7">
      <formula>B17&gt;$AG17</formula>
    </cfRule>
  </conditionalFormatting>
  <conditionalFormatting sqref="AK18">
    <cfRule type="iconSet" priority="1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6" id="{C651B4C4-3BDD-4B7D-AABB-B03305F6F09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V94" sqref="V94:V10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2079/02/19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30</v>
      </c>
      <c r="C5" s="32">
        <f t="shared" si="0"/>
        <v>26</v>
      </c>
      <c r="D5" s="32">
        <f t="shared" si="0"/>
        <v>37.339999999999996</v>
      </c>
      <c r="E5" s="32">
        <f t="shared" si="0"/>
        <v>-9.5</v>
      </c>
      <c r="F5" s="32">
        <f t="shared" si="0"/>
        <v>-26</v>
      </c>
      <c r="G5" s="32">
        <f t="shared" si="0"/>
        <v>-6.0999999999999943</v>
      </c>
      <c r="H5" s="32">
        <f t="shared" si="0"/>
        <v>16.5</v>
      </c>
      <c r="I5" s="32">
        <f t="shared" si="0"/>
        <v>16.5</v>
      </c>
      <c r="J5" s="32">
        <f t="shared" si="0"/>
        <v>20.100000000000001</v>
      </c>
      <c r="K5" s="32">
        <f t="shared" si="0"/>
        <v>-9.5</v>
      </c>
      <c r="L5" s="32">
        <f t="shared" si="0"/>
        <v>24</v>
      </c>
      <c r="M5" s="32">
        <f t="shared" si="0"/>
        <v>9</v>
      </c>
      <c r="N5" s="32">
        <f t="shared" si="0"/>
        <v>-6</v>
      </c>
      <c r="O5" s="32">
        <f t="shared" si="0"/>
        <v>21</v>
      </c>
      <c r="P5" s="32">
        <f t="shared" si="0"/>
        <v>13</v>
      </c>
      <c r="Q5" s="32">
        <f t="shared" si="0"/>
        <v>30</v>
      </c>
      <c r="R5" s="32">
        <f t="shared" si="0"/>
        <v>31.200000000000003</v>
      </c>
      <c r="S5" s="32">
        <f t="shared" si="0"/>
        <v>53.849999999999994</v>
      </c>
      <c r="T5" s="32">
        <f t="shared" si="0"/>
        <v>32</v>
      </c>
      <c r="U5" s="32">
        <f t="shared" si="0"/>
        <v>52.300000000000004</v>
      </c>
      <c r="V5" s="32">
        <f t="shared" si="0"/>
        <v>54.1</v>
      </c>
      <c r="W5" s="32">
        <f t="shared" si="0"/>
        <v>21</v>
      </c>
      <c r="X5" s="32">
        <f t="shared" si="0"/>
        <v>26.700000000000003</v>
      </c>
      <c r="Y5" s="32">
        <f t="shared" si="0"/>
        <v>33.699999999999996</v>
      </c>
      <c r="Z5" s="32">
        <f t="shared" si="0"/>
        <v>37.800000000000004</v>
      </c>
      <c r="AA5" s="32">
        <f t="shared" si="0"/>
        <v>54</v>
      </c>
      <c r="AB5" s="32">
        <f t="shared" si="0"/>
        <v>44</v>
      </c>
      <c r="AC5" s="32">
        <f t="shared" si="0"/>
        <v>48</v>
      </c>
      <c r="AD5" s="32">
        <f t="shared" si="0"/>
        <v>19</v>
      </c>
      <c r="AE5" s="32">
        <f t="shared" si="0"/>
        <v>33</v>
      </c>
      <c r="AF5" s="32">
        <f>B68</f>
        <v>94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1452MW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Load=1289</v>
      </c>
      <c r="B7" s="37">
        <f>B75</f>
        <v>1351.74</v>
      </c>
      <c r="C7" s="37">
        <f t="shared" ref="C7:AF7" si="1">C75</f>
        <v>1314.44</v>
      </c>
      <c r="D7" s="37">
        <f t="shared" si="1"/>
        <v>1309.8400000000001</v>
      </c>
      <c r="E7" s="37">
        <f t="shared" si="1"/>
        <v>1321.18</v>
      </c>
      <c r="F7" s="37">
        <f t="shared" si="1"/>
        <v>1288.94</v>
      </c>
      <c r="G7" s="37">
        <f t="shared" si="1"/>
        <v>1298.6400000000001</v>
      </c>
      <c r="H7" s="37">
        <f t="shared" si="1"/>
        <v>1295.04</v>
      </c>
      <c r="I7" s="37">
        <f t="shared" si="1"/>
        <v>1325.64</v>
      </c>
      <c r="J7" s="37">
        <f t="shared" si="1"/>
        <v>1381.14</v>
      </c>
      <c r="K7" s="37">
        <f t="shared" si="1"/>
        <v>1417.8400000000001</v>
      </c>
      <c r="L7" s="37">
        <f t="shared" si="1"/>
        <v>1436.64</v>
      </c>
      <c r="M7" s="37">
        <f t="shared" si="1"/>
        <v>1452.3400000000001</v>
      </c>
      <c r="N7" s="37">
        <f t="shared" si="1"/>
        <v>1402.3400000000001</v>
      </c>
      <c r="O7" s="37">
        <f t="shared" si="1"/>
        <v>1373.3400000000001</v>
      </c>
      <c r="P7" s="37">
        <f t="shared" si="1"/>
        <v>1414.64</v>
      </c>
      <c r="Q7" s="37">
        <f t="shared" si="1"/>
        <v>1410.6399999999999</v>
      </c>
      <c r="R7" s="37">
        <f t="shared" si="1"/>
        <v>1441.24</v>
      </c>
      <c r="S7" s="37">
        <f t="shared" si="1"/>
        <v>1447.54</v>
      </c>
      <c r="T7" s="37">
        <f t="shared" si="1"/>
        <v>1476.3899999999999</v>
      </c>
      <c r="U7" s="37">
        <f t="shared" si="1"/>
        <v>1452.6399999999999</v>
      </c>
      <c r="V7" s="37">
        <f t="shared" si="1"/>
        <v>1438.54</v>
      </c>
      <c r="W7" s="37">
        <f t="shared" si="1"/>
        <v>1417.94</v>
      </c>
      <c r="X7" s="37">
        <f t="shared" si="1"/>
        <v>1354.84</v>
      </c>
      <c r="Y7" s="37">
        <f t="shared" si="1"/>
        <v>1325.44</v>
      </c>
      <c r="Z7" s="37">
        <f t="shared" si="1"/>
        <v>1454.04</v>
      </c>
      <c r="AA7" s="37">
        <f t="shared" si="1"/>
        <v>1549.34</v>
      </c>
      <c r="AB7" s="37">
        <f t="shared" si="1"/>
        <v>1538.94</v>
      </c>
      <c r="AC7" s="37">
        <f t="shared" si="1"/>
        <v>1513.34</v>
      </c>
      <c r="AD7" s="37">
        <f t="shared" si="1"/>
        <v>1506.34</v>
      </c>
      <c r="AE7" s="37">
        <f t="shared" si="1"/>
        <v>1418.94</v>
      </c>
      <c r="AF7" s="37">
        <f t="shared" si="1"/>
        <v>1378.34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260</v>
      </c>
      <c r="C11" s="50">
        <v>285</v>
      </c>
      <c r="D11" s="50">
        <v>255</v>
      </c>
      <c r="E11" s="50">
        <v>255</v>
      </c>
      <c r="F11" s="50">
        <v>280</v>
      </c>
      <c r="G11" s="50">
        <v>306</v>
      </c>
      <c r="H11" s="50">
        <v>287</v>
      </c>
      <c r="I11" s="50">
        <v>295</v>
      </c>
      <c r="J11" s="50">
        <v>340</v>
      </c>
      <c r="K11" s="50">
        <v>375</v>
      </c>
      <c r="L11" s="50">
        <v>423</v>
      </c>
      <c r="M11" s="51">
        <v>385</v>
      </c>
      <c r="N11" s="51">
        <v>350</v>
      </c>
      <c r="O11" s="51">
        <v>335</v>
      </c>
      <c r="P11" s="51">
        <v>335</v>
      </c>
      <c r="Q11" s="51">
        <v>320</v>
      </c>
      <c r="R11" s="51">
        <v>315</v>
      </c>
      <c r="S11" s="49">
        <v>320</v>
      </c>
      <c r="T11" s="49">
        <v>300</v>
      </c>
      <c r="U11" s="49">
        <v>320</v>
      </c>
      <c r="V11" s="49">
        <v>280</v>
      </c>
      <c r="W11" s="49">
        <v>275</v>
      </c>
      <c r="X11" s="49">
        <v>250</v>
      </c>
      <c r="Y11" s="49">
        <v>230</v>
      </c>
      <c r="Z11" s="49">
        <v>300</v>
      </c>
      <c r="AA11" s="49">
        <v>380</v>
      </c>
      <c r="AB11" s="49">
        <v>360</v>
      </c>
      <c r="AC11" s="49">
        <v>360</v>
      </c>
      <c r="AD11" s="49">
        <v>360</v>
      </c>
      <c r="AE11" s="49">
        <v>310</v>
      </c>
      <c r="AF11" s="49">
        <v>285</v>
      </c>
      <c r="AG11" s="53">
        <v>456</v>
      </c>
      <c r="AH11" s="54">
        <f>MAX(B11:AF11)</f>
        <v>423</v>
      </c>
      <c r="AI11" s="55">
        <f>MIN(B11:AF11)</f>
        <v>230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50</v>
      </c>
      <c r="Z12" s="51">
        <v>50</v>
      </c>
      <c r="AA12" s="51">
        <v>50</v>
      </c>
      <c r="AB12" s="51">
        <v>50</v>
      </c>
      <c r="AC12" s="51">
        <v>50</v>
      </c>
      <c r="AD12" s="51">
        <v>50</v>
      </c>
      <c r="AE12" s="51">
        <v>50</v>
      </c>
      <c r="AF12" s="51">
        <v>50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30</v>
      </c>
      <c r="C13" s="51">
        <v>30</v>
      </c>
      <c r="D13" s="51">
        <v>29.9</v>
      </c>
      <c r="E13" s="51">
        <v>29.9</v>
      </c>
      <c r="F13" s="51">
        <v>29.9</v>
      </c>
      <c r="G13" s="51">
        <v>29.9</v>
      </c>
      <c r="H13" s="51">
        <v>29.9</v>
      </c>
      <c r="I13" s="51">
        <v>29.9</v>
      </c>
      <c r="J13" s="51">
        <v>29.9</v>
      </c>
      <c r="K13" s="51">
        <v>29.9</v>
      </c>
      <c r="L13" s="51">
        <v>29.9</v>
      </c>
      <c r="M13" s="51">
        <v>26</v>
      </c>
      <c r="N13" s="51">
        <v>26</v>
      </c>
      <c r="O13" s="51">
        <v>27</v>
      </c>
      <c r="P13" s="51">
        <v>27</v>
      </c>
      <c r="Q13" s="51">
        <v>27</v>
      </c>
      <c r="R13" s="51">
        <v>27</v>
      </c>
      <c r="S13" s="51">
        <v>27</v>
      </c>
      <c r="T13" s="51">
        <v>27</v>
      </c>
      <c r="U13" s="51">
        <v>25</v>
      </c>
      <c r="V13" s="51">
        <v>25</v>
      </c>
      <c r="W13" s="51">
        <v>25</v>
      </c>
      <c r="X13" s="51">
        <v>25</v>
      </c>
      <c r="Y13" s="51">
        <v>25</v>
      </c>
      <c r="Z13" s="51">
        <v>25</v>
      </c>
      <c r="AA13" s="51">
        <v>25.3</v>
      </c>
      <c r="AB13" s="51">
        <v>25.3</v>
      </c>
      <c r="AC13" s="51">
        <v>25.3</v>
      </c>
      <c r="AD13" s="51">
        <v>25.3</v>
      </c>
      <c r="AE13" s="51">
        <v>25.3</v>
      </c>
      <c r="AF13" s="51">
        <v>25.3</v>
      </c>
      <c r="AG13" s="58">
        <v>52.4</v>
      </c>
      <c r="AH13" s="54">
        <f t="shared" si="2"/>
        <v>30</v>
      </c>
      <c r="AI13" s="55">
        <f t="shared" si="3"/>
        <v>25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25</v>
      </c>
      <c r="C14" s="51">
        <v>50</v>
      </c>
      <c r="D14" s="51">
        <v>50.1</v>
      </c>
      <c r="E14" s="51">
        <v>50.1</v>
      </c>
      <c r="F14" s="51">
        <v>50.1</v>
      </c>
      <c r="G14" s="51">
        <v>50.1</v>
      </c>
      <c r="H14" s="51">
        <v>50.1</v>
      </c>
      <c r="I14" s="51">
        <v>50.1</v>
      </c>
      <c r="J14" s="51">
        <v>50.1</v>
      </c>
      <c r="K14" s="51">
        <v>50.1</v>
      </c>
      <c r="L14" s="51">
        <v>50.1</v>
      </c>
      <c r="M14" s="51">
        <v>50.1</v>
      </c>
      <c r="N14" s="51">
        <v>50.1</v>
      </c>
      <c r="O14" s="51">
        <v>50.1</v>
      </c>
      <c r="P14" s="51">
        <v>50.1</v>
      </c>
      <c r="Q14" s="51">
        <v>50.1</v>
      </c>
      <c r="R14" s="51">
        <v>50.1</v>
      </c>
      <c r="S14" s="51">
        <v>50.1</v>
      </c>
      <c r="T14" s="51">
        <v>50.1</v>
      </c>
      <c r="U14" s="51">
        <v>50.1</v>
      </c>
      <c r="V14" s="51">
        <v>50.1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50.4</v>
      </c>
      <c r="AG14" s="58">
        <v>50</v>
      </c>
      <c r="AH14" s="54">
        <f t="shared" si="2"/>
        <v>50.4</v>
      </c>
      <c r="AI14" s="55">
        <f t="shared" si="3"/>
        <v>25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45.7</v>
      </c>
      <c r="O15" s="51">
        <v>45.7</v>
      </c>
      <c r="P15" s="51">
        <v>45.7</v>
      </c>
      <c r="Q15" s="51">
        <v>45.7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41.1</v>
      </c>
      <c r="AB15" s="51">
        <v>41.1</v>
      </c>
      <c r="AC15" s="51">
        <v>41.1</v>
      </c>
      <c r="AD15" s="51">
        <v>41.1</v>
      </c>
      <c r="AE15" s="51">
        <v>41.1</v>
      </c>
      <c r="AF15" s="51">
        <v>41.1</v>
      </c>
      <c r="AG15" s="59">
        <v>45</v>
      </c>
      <c r="AH15" s="54">
        <f t="shared" si="2"/>
        <v>45.7</v>
      </c>
      <c r="AI15" s="55">
        <f t="shared" si="3"/>
        <v>41.1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32</v>
      </c>
      <c r="C16" s="51">
        <v>34</v>
      </c>
      <c r="D16" s="51">
        <v>34</v>
      </c>
      <c r="E16" s="51">
        <v>34</v>
      </c>
      <c r="F16" s="51">
        <v>30</v>
      </c>
      <c r="G16" s="51">
        <v>30</v>
      </c>
      <c r="H16" s="51">
        <v>30</v>
      </c>
      <c r="I16" s="51">
        <v>30</v>
      </c>
      <c r="J16" s="51">
        <v>34</v>
      </c>
      <c r="K16" s="51">
        <v>34</v>
      </c>
      <c r="L16" s="51">
        <v>34</v>
      </c>
      <c r="M16" s="51">
        <v>34</v>
      </c>
      <c r="N16" s="51">
        <v>34</v>
      </c>
      <c r="O16" s="51">
        <v>34</v>
      </c>
      <c r="P16" s="51">
        <v>34</v>
      </c>
      <c r="Q16" s="51">
        <v>34</v>
      </c>
      <c r="R16" s="51">
        <v>34</v>
      </c>
      <c r="S16" s="51">
        <v>34</v>
      </c>
      <c r="T16" s="51">
        <v>34</v>
      </c>
      <c r="U16" s="51">
        <v>34</v>
      </c>
      <c r="V16" s="51">
        <v>34</v>
      </c>
      <c r="W16" s="51">
        <v>34</v>
      </c>
      <c r="X16" s="51">
        <v>34</v>
      </c>
      <c r="Y16" s="51">
        <v>34</v>
      </c>
      <c r="Z16" s="51">
        <v>34</v>
      </c>
      <c r="AA16" s="51">
        <v>35</v>
      </c>
      <c r="AB16" s="51">
        <v>35</v>
      </c>
      <c r="AC16" s="51">
        <v>35</v>
      </c>
      <c r="AD16" s="51">
        <v>35</v>
      </c>
      <c r="AE16" s="51">
        <v>35</v>
      </c>
      <c r="AF16" s="51">
        <v>35</v>
      </c>
      <c r="AG16" s="58">
        <v>45</v>
      </c>
      <c r="AH16" s="54">
        <f t="shared" si="2"/>
        <v>35</v>
      </c>
      <c r="AI16" s="55">
        <f t="shared" si="3"/>
        <v>30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21</v>
      </c>
      <c r="C19" s="51">
        <v>21</v>
      </c>
      <c r="D19" s="51">
        <v>21</v>
      </c>
      <c r="E19" s="51">
        <v>21</v>
      </c>
      <c r="F19" s="51">
        <v>21</v>
      </c>
      <c r="G19" s="51">
        <v>21</v>
      </c>
      <c r="H19" s="51">
        <v>21</v>
      </c>
      <c r="I19" s="51">
        <v>21</v>
      </c>
      <c r="J19" s="51">
        <v>21</v>
      </c>
      <c r="K19" s="51">
        <v>21</v>
      </c>
      <c r="L19" s="51">
        <v>21</v>
      </c>
      <c r="M19" s="51">
        <v>21</v>
      </c>
      <c r="N19" s="51">
        <v>21</v>
      </c>
      <c r="O19" s="51">
        <v>21</v>
      </c>
      <c r="P19" s="51">
        <v>21</v>
      </c>
      <c r="Q19" s="51">
        <v>21</v>
      </c>
      <c r="R19" s="51">
        <v>21</v>
      </c>
      <c r="S19" s="51">
        <v>21</v>
      </c>
      <c r="T19" s="51">
        <v>21</v>
      </c>
      <c r="U19" s="51">
        <v>21</v>
      </c>
      <c r="V19" s="51">
        <v>21</v>
      </c>
      <c r="W19" s="51">
        <v>21</v>
      </c>
      <c r="X19" s="51">
        <v>21</v>
      </c>
      <c r="Y19" s="51">
        <v>21</v>
      </c>
      <c r="Z19" s="51">
        <v>21</v>
      </c>
      <c r="AA19" s="51">
        <v>23.8</v>
      </c>
      <c r="AB19" s="51">
        <v>23.8</v>
      </c>
      <c r="AC19" s="51">
        <v>23.8</v>
      </c>
      <c r="AD19" s="51">
        <v>23.8</v>
      </c>
      <c r="AE19" s="51">
        <v>23.8</v>
      </c>
      <c r="AF19" s="51">
        <v>23.8</v>
      </c>
      <c r="AG19" s="58">
        <v>30</v>
      </c>
      <c r="AH19" s="54">
        <f t="shared" si="2"/>
        <v>23.8</v>
      </c>
      <c r="AI19" s="55">
        <f t="shared" si="3"/>
        <v>21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</v>
      </c>
      <c r="R22" s="51">
        <v>22</v>
      </c>
      <c r="S22" s="51">
        <v>22</v>
      </c>
      <c r="T22" s="51">
        <v>22</v>
      </c>
      <c r="U22" s="51">
        <v>22</v>
      </c>
      <c r="V22" s="51">
        <v>22</v>
      </c>
      <c r="W22" s="51">
        <v>22</v>
      </c>
      <c r="X22" s="51">
        <v>22</v>
      </c>
      <c r="Y22" s="51">
        <v>22</v>
      </c>
      <c r="Z22" s="51">
        <v>22</v>
      </c>
      <c r="AA22" s="51">
        <v>23</v>
      </c>
      <c r="AB22" s="51">
        <v>23</v>
      </c>
      <c r="AC22" s="51">
        <v>23</v>
      </c>
      <c r="AD22" s="51">
        <v>23</v>
      </c>
      <c r="AE22" s="51">
        <v>23</v>
      </c>
      <c r="AF22" s="51">
        <v>23</v>
      </c>
      <c r="AG22" s="58">
        <v>25</v>
      </c>
      <c r="AH22" s="54">
        <f t="shared" si="2"/>
        <v>23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6.5</v>
      </c>
      <c r="C23" s="51">
        <v>6.5</v>
      </c>
      <c r="D23" s="51">
        <v>6.5</v>
      </c>
      <c r="E23" s="51">
        <v>6.5</v>
      </c>
      <c r="F23" s="51">
        <v>6.5</v>
      </c>
      <c r="G23" s="51">
        <v>6.5</v>
      </c>
      <c r="H23" s="51">
        <v>6.5</v>
      </c>
      <c r="I23" s="51">
        <v>6.5</v>
      </c>
      <c r="J23" s="51">
        <v>6.5</v>
      </c>
      <c r="K23" s="51">
        <v>6.5</v>
      </c>
      <c r="L23" s="51">
        <v>6.5</v>
      </c>
      <c r="M23" s="51">
        <v>6.5</v>
      </c>
      <c r="N23" s="51">
        <v>6.5</v>
      </c>
      <c r="O23" s="51">
        <v>6.5</v>
      </c>
      <c r="P23" s="51">
        <v>6.5</v>
      </c>
      <c r="Q23" s="51">
        <v>6.5</v>
      </c>
      <c r="R23" s="51">
        <v>6.5</v>
      </c>
      <c r="S23" s="51">
        <v>6.5</v>
      </c>
      <c r="T23" s="51">
        <v>6.5</v>
      </c>
      <c r="U23" s="51">
        <v>6.5</v>
      </c>
      <c r="V23" s="51">
        <v>6.5</v>
      </c>
      <c r="W23" s="51">
        <v>6.5</v>
      </c>
      <c r="X23" s="51">
        <v>6.5</v>
      </c>
      <c r="Y23" s="51">
        <v>6.5</v>
      </c>
      <c r="Z23" s="51">
        <v>6.5</v>
      </c>
      <c r="AA23" s="51">
        <v>6.5</v>
      </c>
      <c r="AB23" s="51">
        <v>6.5</v>
      </c>
      <c r="AC23" s="51">
        <v>6.5</v>
      </c>
      <c r="AD23" s="51">
        <v>6.5</v>
      </c>
      <c r="AE23" s="51">
        <v>6.5</v>
      </c>
      <c r="AF23" s="51">
        <v>6.5</v>
      </c>
      <c r="AG23" s="58">
        <v>25</v>
      </c>
      <c r="AH23" s="54">
        <f t="shared" si="2"/>
        <v>6.5</v>
      </c>
      <c r="AI23" s="55">
        <f t="shared" si="3"/>
        <v>6.5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17</v>
      </c>
      <c r="C24" s="51">
        <v>17</v>
      </c>
      <c r="D24" s="51">
        <v>17</v>
      </c>
      <c r="E24" s="51">
        <v>17</v>
      </c>
      <c r="F24" s="51">
        <v>17</v>
      </c>
      <c r="G24" s="51">
        <v>17</v>
      </c>
      <c r="H24" s="51">
        <v>17</v>
      </c>
      <c r="I24" s="51">
        <v>17</v>
      </c>
      <c r="J24" s="51">
        <v>17</v>
      </c>
      <c r="K24" s="51">
        <v>17</v>
      </c>
      <c r="L24" s="51">
        <v>17</v>
      </c>
      <c r="M24" s="51">
        <v>17</v>
      </c>
      <c r="N24" s="51">
        <v>17</v>
      </c>
      <c r="O24" s="51">
        <v>17</v>
      </c>
      <c r="P24" s="51">
        <v>17</v>
      </c>
      <c r="Q24" s="51">
        <v>17</v>
      </c>
      <c r="R24" s="51">
        <v>17</v>
      </c>
      <c r="S24" s="51">
        <v>17</v>
      </c>
      <c r="T24" s="51">
        <v>17</v>
      </c>
      <c r="U24" s="51">
        <v>16</v>
      </c>
      <c r="V24" s="51">
        <v>16</v>
      </c>
      <c r="W24" s="51">
        <v>17</v>
      </c>
      <c r="X24" s="51">
        <v>17</v>
      </c>
      <c r="Y24" s="51">
        <v>17</v>
      </c>
      <c r="Z24" s="51">
        <v>17</v>
      </c>
      <c r="AA24" s="51">
        <v>16.2</v>
      </c>
      <c r="AB24" s="51">
        <v>16.2</v>
      </c>
      <c r="AC24" s="51">
        <v>16.2</v>
      </c>
      <c r="AD24" s="51">
        <v>16.2</v>
      </c>
      <c r="AE24" s="51">
        <v>16.2</v>
      </c>
      <c r="AF24" s="51">
        <v>16.2</v>
      </c>
      <c r="AG24" s="58">
        <v>25</v>
      </c>
      <c r="AH24" s="54">
        <f t="shared" si="2"/>
        <v>17</v>
      </c>
      <c r="AI24" s="55">
        <f t="shared" si="3"/>
        <v>16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9.5</v>
      </c>
      <c r="C25" s="51">
        <v>9.5</v>
      </c>
      <c r="D25" s="51">
        <v>9.5</v>
      </c>
      <c r="E25" s="51">
        <v>9.5</v>
      </c>
      <c r="F25" s="51">
        <v>9.5</v>
      </c>
      <c r="G25" s="51">
        <v>9.5</v>
      </c>
      <c r="H25" s="51">
        <v>9.5</v>
      </c>
      <c r="I25" s="51">
        <v>9.5</v>
      </c>
      <c r="J25" s="51">
        <v>9.5</v>
      </c>
      <c r="K25" s="51">
        <v>9.5</v>
      </c>
      <c r="L25" s="51">
        <v>9.5</v>
      </c>
      <c r="M25" s="51">
        <v>9.5</v>
      </c>
      <c r="N25" s="51">
        <v>9.5</v>
      </c>
      <c r="O25" s="51">
        <v>9.5</v>
      </c>
      <c r="P25" s="51">
        <v>9.5</v>
      </c>
      <c r="Q25" s="51">
        <v>9.5</v>
      </c>
      <c r="R25" s="51">
        <v>9.5</v>
      </c>
      <c r="S25" s="51">
        <v>9.5</v>
      </c>
      <c r="T25" s="51">
        <v>9.5</v>
      </c>
      <c r="U25" s="51">
        <v>9.5</v>
      </c>
      <c r="V25" s="51">
        <v>9.5</v>
      </c>
      <c r="W25" s="51">
        <v>9.5</v>
      </c>
      <c r="X25" s="51">
        <v>9.5</v>
      </c>
      <c r="Y25" s="51">
        <v>9.5</v>
      </c>
      <c r="Z25" s="51">
        <v>9.5</v>
      </c>
      <c r="AA25" s="51">
        <v>9.5</v>
      </c>
      <c r="AB25" s="51">
        <v>9.5</v>
      </c>
      <c r="AC25" s="51">
        <v>9.5</v>
      </c>
      <c r="AD25" s="51">
        <v>9.5</v>
      </c>
      <c r="AE25" s="51">
        <v>9.5</v>
      </c>
      <c r="AF25" s="51">
        <v>9.5</v>
      </c>
      <c r="AG25" s="58">
        <v>24.2</v>
      </c>
      <c r="AH25" s="54">
        <f t="shared" si="2"/>
        <v>9.5</v>
      </c>
      <c r="AI25" s="55">
        <f t="shared" si="3"/>
        <v>9.5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6.5</v>
      </c>
      <c r="C26" s="51">
        <v>6.5</v>
      </c>
      <c r="D26" s="51">
        <v>6.5</v>
      </c>
      <c r="E26" s="51">
        <v>6.5</v>
      </c>
      <c r="F26" s="51">
        <v>0</v>
      </c>
      <c r="G26" s="51">
        <v>0</v>
      </c>
      <c r="H26" s="51">
        <v>0</v>
      </c>
      <c r="I26" s="51">
        <v>0</v>
      </c>
      <c r="J26" s="51">
        <v>6.5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13</v>
      </c>
      <c r="AB26" s="51">
        <v>13</v>
      </c>
      <c r="AC26" s="51">
        <v>13</v>
      </c>
      <c r="AD26" s="51">
        <v>8</v>
      </c>
      <c r="AE26" s="51">
        <v>8</v>
      </c>
      <c r="AF26" s="51">
        <v>7</v>
      </c>
      <c r="AG26" s="58">
        <v>20</v>
      </c>
      <c r="AH26" s="54">
        <f t="shared" si="2"/>
        <v>13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7</v>
      </c>
      <c r="C30" s="51">
        <v>7</v>
      </c>
      <c r="D30" s="51">
        <v>7</v>
      </c>
      <c r="E30" s="51">
        <v>7</v>
      </c>
      <c r="F30" s="51">
        <v>7</v>
      </c>
      <c r="G30" s="51">
        <v>7</v>
      </c>
      <c r="H30" s="51">
        <v>7</v>
      </c>
      <c r="I30" s="51">
        <v>7</v>
      </c>
      <c r="J30" s="51">
        <v>7</v>
      </c>
      <c r="K30" s="51">
        <v>7</v>
      </c>
      <c r="L30" s="51">
        <v>7</v>
      </c>
      <c r="M30" s="51">
        <v>7</v>
      </c>
      <c r="N30" s="51">
        <v>7</v>
      </c>
      <c r="O30" s="51">
        <v>7</v>
      </c>
      <c r="P30" s="51">
        <v>7</v>
      </c>
      <c r="Q30" s="51">
        <v>7</v>
      </c>
      <c r="R30" s="51">
        <v>7</v>
      </c>
      <c r="S30" s="51">
        <v>7</v>
      </c>
      <c r="T30" s="51">
        <v>7</v>
      </c>
      <c r="U30" s="51">
        <v>7</v>
      </c>
      <c r="V30" s="51">
        <v>7</v>
      </c>
      <c r="W30" s="51">
        <v>7</v>
      </c>
      <c r="X30" s="51">
        <v>7</v>
      </c>
      <c r="Y30" s="51">
        <v>7</v>
      </c>
      <c r="Z30" s="51">
        <v>7</v>
      </c>
      <c r="AA30" s="51">
        <v>7</v>
      </c>
      <c r="AB30" s="51">
        <v>7</v>
      </c>
      <c r="AC30" s="51">
        <v>7</v>
      </c>
      <c r="AD30" s="51">
        <v>7</v>
      </c>
      <c r="AE30" s="51">
        <v>7</v>
      </c>
      <c r="AF30" s="51">
        <v>7</v>
      </c>
      <c r="AG30" s="58">
        <v>22.1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63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7</v>
      </c>
      <c r="C34" s="51">
        <v>7</v>
      </c>
      <c r="D34" s="51">
        <v>7</v>
      </c>
      <c r="E34" s="51">
        <v>7</v>
      </c>
      <c r="F34" s="51">
        <v>7</v>
      </c>
      <c r="G34" s="51">
        <v>7</v>
      </c>
      <c r="H34" s="51">
        <v>7</v>
      </c>
      <c r="I34" s="51">
        <v>7</v>
      </c>
      <c r="J34" s="51">
        <v>7</v>
      </c>
      <c r="K34" s="51">
        <v>7</v>
      </c>
      <c r="L34" s="51">
        <v>7</v>
      </c>
      <c r="M34" s="51">
        <v>7</v>
      </c>
      <c r="N34" s="51">
        <v>7</v>
      </c>
      <c r="O34" s="51">
        <v>7</v>
      </c>
      <c r="P34" s="51">
        <v>7</v>
      </c>
      <c r="Q34" s="51">
        <v>7</v>
      </c>
      <c r="R34" s="51">
        <v>7</v>
      </c>
      <c r="S34" s="51">
        <v>7</v>
      </c>
      <c r="T34" s="51">
        <v>7</v>
      </c>
      <c r="U34" s="51">
        <v>7</v>
      </c>
      <c r="V34" s="51">
        <v>7</v>
      </c>
      <c r="W34" s="51">
        <v>7</v>
      </c>
      <c r="X34" s="51">
        <v>7</v>
      </c>
      <c r="Y34" s="51">
        <v>7</v>
      </c>
      <c r="Z34" s="51">
        <v>7</v>
      </c>
      <c r="AA34" s="51">
        <v>7</v>
      </c>
      <c r="AB34" s="51">
        <v>7</v>
      </c>
      <c r="AC34" s="51">
        <v>7</v>
      </c>
      <c r="AD34" s="51">
        <v>7</v>
      </c>
      <c r="AE34" s="51">
        <v>7</v>
      </c>
      <c r="AF34" s="51">
        <v>7</v>
      </c>
      <c r="AG34" s="63">
        <v>20</v>
      </c>
      <c r="AH34" s="54">
        <f t="shared" si="2"/>
        <v>7</v>
      </c>
      <c r="AI34" s="55">
        <f t="shared" si="3"/>
        <v>7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120</v>
      </c>
      <c r="C37" s="67">
        <v>129</v>
      </c>
      <c r="D37" s="67">
        <f>69.4+64.7</f>
        <v>134.10000000000002</v>
      </c>
      <c r="E37" s="67">
        <f>69.4+64.7</f>
        <v>134.10000000000002</v>
      </c>
      <c r="F37" s="67">
        <f>43.6+61.1</f>
        <v>104.7</v>
      </c>
      <c r="G37" s="67">
        <f>37.8+58.3</f>
        <v>96.1</v>
      </c>
      <c r="H37" s="67">
        <f>59.2+37.2</f>
        <v>96.4</v>
      </c>
      <c r="I37" s="67">
        <f>60+30</f>
        <v>90</v>
      </c>
      <c r="J37" s="67">
        <f>18.4+57.4</f>
        <v>75.8</v>
      </c>
      <c r="K37" s="67">
        <f>21.2+56.6</f>
        <v>77.8</v>
      </c>
      <c r="L37" s="67">
        <f>23.4+51.6</f>
        <v>75</v>
      </c>
      <c r="M37" s="67">
        <v>90</v>
      </c>
      <c r="N37" s="67">
        <v>90</v>
      </c>
      <c r="O37" s="67">
        <v>115</v>
      </c>
      <c r="P37" s="67">
        <v>110</v>
      </c>
      <c r="Q37" s="67">
        <v>112</v>
      </c>
      <c r="R37" s="67">
        <f>62+58</f>
        <v>120</v>
      </c>
      <c r="S37" s="67">
        <f>61.7+68.9</f>
        <v>130.60000000000002</v>
      </c>
      <c r="T37" s="67">
        <f>60.3+66</f>
        <v>126.3</v>
      </c>
      <c r="U37" s="67">
        <f>60.3+66</f>
        <v>126.3</v>
      </c>
      <c r="V37" s="67">
        <f>60.6+69.8</f>
        <v>130.4</v>
      </c>
      <c r="W37" s="67">
        <v>131</v>
      </c>
      <c r="X37" s="67">
        <v>131</v>
      </c>
      <c r="Y37" s="67">
        <f>60.1+71.9</f>
        <v>132</v>
      </c>
      <c r="Z37" s="67">
        <f>60.3+69.1</f>
        <v>129.39999999999998</v>
      </c>
      <c r="AA37" s="67">
        <f>59.6+66.6</f>
        <v>126.19999999999999</v>
      </c>
      <c r="AB37" s="67">
        <f>59.6+66.6</f>
        <v>126.19999999999999</v>
      </c>
      <c r="AC37" s="67">
        <f>60+65</f>
        <v>125</v>
      </c>
      <c r="AD37" s="67">
        <f>60+65</f>
        <v>125</v>
      </c>
      <c r="AE37" s="67">
        <f>60+65</f>
        <v>125</v>
      </c>
      <c r="AF37" s="67">
        <v>120</v>
      </c>
      <c r="AG37" s="63">
        <v>240</v>
      </c>
      <c r="AH37" s="54">
        <f t="shared" si="2"/>
        <v>134.10000000000002</v>
      </c>
      <c r="AI37" s="55">
        <f t="shared" si="3"/>
        <v>75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830.2</v>
      </c>
      <c r="C38" s="69">
        <f t="shared" si="4"/>
        <v>882.2</v>
      </c>
      <c r="D38" s="69">
        <f t="shared" si="4"/>
        <v>852.2</v>
      </c>
      <c r="E38" s="69">
        <f t="shared" si="4"/>
        <v>852.2</v>
      </c>
      <c r="F38" s="69">
        <f t="shared" si="4"/>
        <v>866.7</v>
      </c>
      <c r="G38" s="69">
        <f t="shared" si="4"/>
        <v>892.7</v>
      </c>
      <c r="H38" s="69">
        <f t="shared" si="4"/>
        <v>873.7</v>
      </c>
      <c r="I38" s="69">
        <f t="shared" si="4"/>
        <v>881.7</v>
      </c>
      <c r="J38" s="69">
        <f t="shared" si="4"/>
        <v>937.2</v>
      </c>
      <c r="K38" s="69">
        <f>SUM(K11:K36)</f>
        <v>975.7</v>
      </c>
      <c r="L38" s="69">
        <f>SUM(L11:L36)</f>
        <v>1023.7</v>
      </c>
      <c r="M38" s="69">
        <f t="shared" si="4"/>
        <v>981.80000000000007</v>
      </c>
      <c r="N38" s="69">
        <f t="shared" si="4"/>
        <v>946.80000000000007</v>
      </c>
      <c r="O38" s="69">
        <f t="shared" si="4"/>
        <v>932.80000000000007</v>
      </c>
      <c r="P38" s="69">
        <f t="shared" si="4"/>
        <v>932.80000000000007</v>
      </c>
      <c r="Q38" s="69">
        <f t="shared" si="4"/>
        <v>917.8</v>
      </c>
      <c r="R38" s="69">
        <f t="shared" si="4"/>
        <v>912.8</v>
      </c>
      <c r="S38" s="69">
        <f t="shared" si="4"/>
        <v>917.8</v>
      </c>
      <c r="T38" s="69">
        <f t="shared" si="4"/>
        <v>897.8</v>
      </c>
      <c r="U38" s="69">
        <f t="shared" si="4"/>
        <v>914.8</v>
      </c>
      <c r="V38" s="69">
        <f t="shared" si="4"/>
        <v>874.8</v>
      </c>
      <c r="W38" s="69">
        <f t="shared" si="4"/>
        <v>871.09999999999991</v>
      </c>
      <c r="X38" s="69">
        <f t="shared" si="4"/>
        <v>846.09999999999991</v>
      </c>
      <c r="Y38" s="69">
        <f t="shared" si="4"/>
        <v>816.09999999999991</v>
      </c>
      <c r="Z38" s="69">
        <f t="shared" si="4"/>
        <v>886.09999999999991</v>
      </c>
      <c r="AA38" s="69">
        <f t="shared" si="4"/>
        <v>968.8</v>
      </c>
      <c r="AB38" s="69">
        <f t="shared" si="4"/>
        <v>948.8</v>
      </c>
      <c r="AC38" s="69">
        <f t="shared" si="4"/>
        <v>948.8</v>
      </c>
      <c r="AD38" s="69">
        <f t="shared" si="4"/>
        <v>943.8</v>
      </c>
      <c r="AE38" s="69">
        <f t="shared" si="4"/>
        <v>893.8</v>
      </c>
      <c r="AF38" s="69">
        <f t="shared" si="4"/>
        <v>867.8</v>
      </c>
      <c r="AG38" s="63">
        <f>SUM(AG11:AG37)</f>
        <v>1492.8299999999997</v>
      </c>
      <c r="AH38" s="54">
        <f t="shared" si="2"/>
        <v>1023.7</v>
      </c>
      <c r="AI38" s="55">
        <f t="shared" si="3"/>
        <v>816.09999999999991</v>
      </c>
      <c r="AK38" s="56"/>
    </row>
    <row r="39" spans="1:88" x14ac:dyDescent="0.25">
      <c r="A39" s="57" t="s">
        <v>47</v>
      </c>
      <c r="B39" s="51">
        <v>145.69999999999999</v>
      </c>
      <c r="C39" s="51">
        <v>145.4</v>
      </c>
      <c r="D39" s="51">
        <v>145.30000000000001</v>
      </c>
      <c r="E39" s="51">
        <v>145.30000000000001</v>
      </c>
      <c r="F39" s="51">
        <v>145.19999999999999</v>
      </c>
      <c r="G39" s="51">
        <v>145.19999999999999</v>
      </c>
      <c r="H39" s="51">
        <v>145.30000000000001</v>
      </c>
      <c r="I39" s="51">
        <v>145.30000000000001</v>
      </c>
      <c r="J39" s="51">
        <v>145.30000000000001</v>
      </c>
      <c r="K39" s="51">
        <v>145</v>
      </c>
      <c r="L39" s="51">
        <v>145.30000000000001</v>
      </c>
      <c r="M39" s="51">
        <v>145.30000000000001</v>
      </c>
      <c r="N39" s="51">
        <v>145.30000000000001</v>
      </c>
      <c r="O39" s="51">
        <v>145.30000000000001</v>
      </c>
      <c r="P39" s="51">
        <v>145.30000000000001</v>
      </c>
      <c r="Q39" s="51">
        <v>145.30000000000001</v>
      </c>
      <c r="R39" s="51">
        <v>145.30000000000001</v>
      </c>
      <c r="S39" s="51">
        <v>143.4</v>
      </c>
      <c r="T39" s="51">
        <v>143.4</v>
      </c>
      <c r="U39" s="51">
        <v>145.69999999999999</v>
      </c>
      <c r="V39" s="51">
        <v>145.69999999999999</v>
      </c>
      <c r="W39" s="51">
        <v>145.69999999999999</v>
      </c>
      <c r="X39" s="51">
        <v>145.69999999999999</v>
      </c>
      <c r="Y39" s="51">
        <v>145.69999999999999</v>
      </c>
      <c r="Z39" s="51">
        <v>145.1</v>
      </c>
      <c r="AA39" s="51">
        <v>147.69999999999999</v>
      </c>
      <c r="AB39" s="51">
        <v>147.69999999999999</v>
      </c>
      <c r="AC39" s="51">
        <v>147.69999999999999</v>
      </c>
      <c r="AD39" s="51">
        <v>147.69999999999999</v>
      </c>
      <c r="AE39" s="51">
        <v>147.69999999999999</v>
      </c>
      <c r="AF39" s="51">
        <v>147.69999999999999</v>
      </c>
      <c r="AG39" s="59">
        <v>144</v>
      </c>
      <c r="AH39" s="54">
        <f t="shared" si="2"/>
        <v>147.69999999999999</v>
      </c>
      <c r="AI39" s="55">
        <f t="shared" si="3"/>
        <v>143.4</v>
      </c>
      <c r="AK39" s="56"/>
    </row>
    <row r="40" spans="1:88" x14ac:dyDescent="0.25">
      <c r="A40" s="62" t="s">
        <v>48</v>
      </c>
      <c r="B40" s="70">
        <v>71.7</v>
      </c>
      <c r="C40" s="70">
        <v>70.900000000000006</v>
      </c>
      <c r="D40" s="70">
        <v>70.5</v>
      </c>
      <c r="E40" s="70">
        <v>70.5</v>
      </c>
      <c r="F40" s="70">
        <v>71.099999999999994</v>
      </c>
      <c r="G40" s="70">
        <v>71.3</v>
      </c>
      <c r="H40" s="70">
        <v>71.400000000000006</v>
      </c>
      <c r="I40" s="70">
        <v>71.400000000000006</v>
      </c>
      <c r="J40" s="70">
        <v>71.400000000000006</v>
      </c>
      <c r="K40" s="70">
        <v>71.2</v>
      </c>
      <c r="L40" s="70">
        <v>72</v>
      </c>
      <c r="M40" s="70">
        <v>72</v>
      </c>
      <c r="N40" s="70">
        <v>72</v>
      </c>
      <c r="O40" s="70">
        <v>72</v>
      </c>
      <c r="P40" s="70">
        <v>72</v>
      </c>
      <c r="Q40" s="70">
        <v>72</v>
      </c>
      <c r="R40" s="70">
        <v>72</v>
      </c>
      <c r="S40" s="70">
        <v>72</v>
      </c>
      <c r="T40" s="70">
        <v>72</v>
      </c>
      <c r="U40" s="70">
        <v>70.7</v>
      </c>
      <c r="V40" s="70">
        <v>70.7</v>
      </c>
      <c r="W40" s="70">
        <v>70.7</v>
      </c>
      <c r="X40" s="70">
        <v>70.7</v>
      </c>
      <c r="Y40" s="70">
        <v>70.7</v>
      </c>
      <c r="Z40" s="70">
        <v>70.7</v>
      </c>
      <c r="AA40" s="70">
        <v>70.099999999999994</v>
      </c>
      <c r="AB40" s="70">
        <v>70.099999999999994</v>
      </c>
      <c r="AC40" s="70">
        <v>70.099999999999994</v>
      </c>
      <c r="AD40" s="70">
        <v>70.099999999999994</v>
      </c>
      <c r="AE40" s="70">
        <v>70.099999999999994</v>
      </c>
      <c r="AF40" s="70">
        <v>70.099999999999994</v>
      </c>
      <c r="AG40" s="63">
        <v>70</v>
      </c>
      <c r="AH40" s="54">
        <f t="shared" si="2"/>
        <v>72</v>
      </c>
      <c r="AI40" s="55">
        <f t="shared" si="3"/>
        <v>70.099999999999994</v>
      </c>
      <c r="AK40" s="56"/>
    </row>
    <row r="41" spans="1:88" x14ac:dyDescent="0.25">
      <c r="A41" s="62" t="s">
        <v>49</v>
      </c>
      <c r="B41" s="70">
        <v>70</v>
      </c>
      <c r="C41" s="70">
        <v>69</v>
      </c>
      <c r="D41" s="70">
        <v>69.900000000000006</v>
      </c>
      <c r="E41" s="70">
        <v>69.900000000000006</v>
      </c>
      <c r="F41" s="70">
        <v>69.3</v>
      </c>
      <c r="G41" s="70">
        <v>69.3</v>
      </c>
      <c r="H41" s="70">
        <v>69.8</v>
      </c>
      <c r="I41" s="70">
        <v>69.8</v>
      </c>
      <c r="J41" s="70">
        <v>69.8</v>
      </c>
      <c r="K41" s="70">
        <v>69.5</v>
      </c>
      <c r="L41" s="70">
        <v>68.8</v>
      </c>
      <c r="M41" s="70">
        <v>68.8</v>
      </c>
      <c r="N41" s="70">
        <v>68.8</v>
      </c>
      <c r="O41" s="70">
        <v>68.8</v>
      </c>
      <c r="P41" s="70">
        <v>68.8</v>
      </c>
      <c r="Q41" s="70">
        <v>68.8</v>
      </c>
      <c r="R41" s="70">
        <v>68.8</v>
      </c>
      <c r="S41" s="70">
        <v>68.8</v>
      </c>
      <c r="T41" s="70">
        <v>68.8</v>
      </c>
      <c r="U41" s="70">
        <v>68</v>
      </c>
      <c r="V41" s="70">
        <v>68</v>
      </c>
      <c r="W41" s="70">
        <v>68</v>
      </c>
      <c r="X41" s="70">
        <v>68</v>
      </c>
      <c r="Y41" s="70">
        <v>68</v>
      </c>
      <c r="Z41" s="70">
        <v>68</v>
      </c>
      <c r="AA41" s="70">
        <v>68.7</v>
      </c>
      <c r="AB41" s="70">
        <v>68.7</v>
      </c>
      <c r="AC41" s="70">
        <v>68.7</v>
      </c>
      <c r="AD41" s="70">
        <v>68.7</v>
      </c>
      <c r="AE41" s="70">
        <v>68.7</v>
      </c>
      <c r="AF41" s="70">
        <v>68.7</v>
      </c>
      <c r="AG41" s="63">
        <v>69</v>
      </c>
      <c r="AH41" s="54">
        <f t="shared" si="2"/>
        <v>70</v>
      </c>
      <c r="AI41" s="55">
        <f t="shared" si="3"/>
        <v>68</v>
      </c>
      <c r="AK41" s="56"/>
    </row>
    <row r="42" spans="1:88" x14ac:dyDescent="0.25">
      <c r="A42" s="62" t="s">
        <v>50</v>
      </c>
      <c r="B42" s="65">
        <v>60.4</v>
      </c>
      <c r="C42" s="65">
        <v>60.7</v>
      </c>
      <c r="D42" s="65">
        <v>60.7</v>
      </c>
      <c r="E42" s="65">
        <v>60.7</v>
      </c>
      <c r="F42" s="65">
        <v>60.9</v>
      </c>
      <c r="G42" s="65">
        <v>60.9</v>
      </c>
      <c r="H42" s="65">
        <v>60.7</v>
      </c>
      <c r="I42" s="65">
        <v>60.7</v>
      </c>
      <c r="J42" s="65">
        <v>60.7</v>
      </c>
      <c r="K42" s="65">
        <v>60.2</v>
      </c>
      <c r="L42" s="65">
        <v>60.2</v>
      </c>
      <c r="M42" s="65">
        <v>60.2</v>
      </c>
      <c r="N42" s="65">
        <v>60.2</v>
      </c>
      <c r="O42" s="65">
        <v>60.2</v>
      </c>
      <c r="P42" s="65">
        <v>60.2</v>
      </c>
      <c r="Q42" s="65">
        <v>60.2</v>
      </c>
      <c r="R42" s="65">
        <v>60.2</v>
      </c>
      <c r="S42" s="65">
        <v>60.2</v>
      </c>
      <c r="T42" s="65">
        <v>60.2</v>
      </c>
      <c r="U42" s="51">
        <v>60.4</v>
      </c>
      <c r="V42" s="51">
        <v>60.4</v>
      </c>
      <c r="W42" s="51">
        <v>60.4</v>
      </c>
      <c r="X42" s="51">
        <v>60.4</v>
      </c>
      <c r="Y42" s="51">
        <v>60.4</v>
      </c>
      <c r="Z42" s="51">
        <v>60.4</v>
      </c>
      <c r="AA42" s="51">
        <v>60.4</v>
      </c>
      <c r="AB42" s="51">
        <v>60.4</v>
      </c>
      <c r="AC42" s="51">
        <v>60.4</v>
      </c>
      <c r="AD42" s="51">
        <v>60.4</v>
      </c>
      <c r="AE42" s="51">
        <v>60.4</v>
      </c>
      <c r="AF42" s="51">
        <v>60.4</v>
      </c>
      <c r="AG42" s="63">
        <v>60</v>
      </c>
      <c r="AH42" s="54">
        <f t="shared" si="2"/>
        <v>60.9</v>
      </c>
      <c r="AI42" s="55">
        <f t="shared" si="3"/>
        <v>60.2</v>
      </c>
      <c r="AK42" s="56"/>
    </row>
    <row r="43" spans="1:88" x14ac:dyDescent="0.25">
      <c r="A43" s="62" t="s">
        <v>51</v>
      </c>
      <c r="B43" s="65">
        <v>0</v>
      </c>
      <c r="C43" s="65">
        <v>0</v>
      </c>
      <c r="D43" s="65">
        <v>29</v>
      </c>
      <c r="E43" s="65">
        <v>29</v>
      </c>
      <c r="F43" s="65">
        <v>29</v>
      </c>
      <c r="G43" s="65">
        <v>29</v>
      </c>
      <c r="H43" s="65">
        <v>24</v>
      </c>
      <c r="I43" s="65">
        <v>24</v>
      </c>
      <c r="J43" s="65">
        <v>24</v>
      </c>
      <c r="K43" s="65">
        <v>20</v>
      </c>
      <c r="L43" s="65">
        <v>20</v>
      </c>
      <c r="M43" s="65">
        <v>15</v>
      </c>
      <c r="N43" s="65">
        <v>15</v>
      </c>
      <c r="O43" s="65">
        <v>15</v>
      </c>
      <c r="P43" s="65">
        <v>15</v>
      </c>
      <c r="Q43" s="65">
        <v>15</v>
      </c>
      <c r="R43" s="65">
        <v>15</v>
      </c>
      <c r="S43" s="65">
        <v>28</v>
      </c>
      <c r="T43" s="65">
        <v>15</v>
      </c>
      <c r="U43" s="51">
        <v>15</v>
      </c>
      <c r="V43" s="51">
        <v>15</v>
      </c>
      <c r="W43" s="51">
        <v>15</v>
      </c>
      <c r="X43" s="51">
        <v>10</v>
      </c>
      <c r="Y43" s="51">
        <v>7</v>
      </c>
      <c r="Z43" s="51">
        <v>25</v>
      </c>
      <c r="AA43" s="51">
        <v>30</v>
      </c>
      <c r="AB43" s="51">
        <v>30</v>
      </c>
      <c r="AC43" s="51">
        <v>30</v>
      </c>
      <c r="AD43" s="51">
        <v>30</v>
      </c>
      <c r="AE43" s="51">
        <v>30</v>
      </c>
      <c r="AF43" s="51">
        <v>15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8</v>
      </c>
      <c r="N44" s="65">
        <v>8</v>
      </c>
      <c r="O44" s="65">
        <v>8</v>
      </c>
      <c r="P44" s="65">
        <v>8</v>
      </c>
      <c r="Q44" s="65">
        <v>8</v>
      </c>
      <c r="R44" s="65">
        <v>8</v>
      </c>
      <c r="S44" s="51">
        <v>8</v>
      </c>
      <c r="T44" s="51">
        <v>8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8</v>
      </c>
      <c r="AC44" s="51">
        <v>8</v>
      </c>
      <c r="AD44" s="51">
        <v>8</v>
      </c>
      <c r="AE44" s="51">
        <v>8</v>
      </c>
      <c r="AF44" s="51">
        <v>8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17.399999999999999</v>
      </c>
      <c r="C45" s="70">
        <v>17.399999999999999</v>
      </c>
      <c r="D45" s="70">
        <v>17.399999999999999</v>
      </c>
      <c r="E45" s="70">
        <v>17.399999999999999</v>
      </c>
      <c r="F45" s="70">
        <v>17.399999999999999</v>
      </c>
      <c r="G45" s="70">
        <v>17.399999999999999</v>
      </c>
      <c r="H45" s="70">
        <v>17.399999999999999</v>
      </c>
      <c r="I45" s="70">
        <v>17.399999999999999</v>
      </c>
      <c r="J45" s="70">
        <v>17.399999999999999</v>
      </c>
      <c r="K45" s="70">
        <v>17.399999999999999</v>
      </c>
      <c r="L45" s="70">
        <v>17.399999999999999</v>
      </c>
      <c r="M45" s="70">
        <v>17.399999999999999</v>
      </c>
      <c r="N45" s="70">
        <v>17.399999999999999</v>
      </c>
      <c r="O45" s="70">
        <v>17.399999999999999</v>
      </c>
      <c r="P45" s="70">
        <v>17.399999999999999</v>
      </c>
      <c r="Q45" s="70">
        <v>17.399999999999999</v>
      </c>
      <c r="R45" s="70">
        <v>17.399999999999999</v>
      </c>
      <c r="S45" s="70">
        <v>17.399999999999999</v>
      </c>
      <c r="T45" s="70">
        <v>17.399999999999999</v>
      </c>
      <c r="U45" s="70">
        <v>17.399999999999999</v>
      </c>
      <c r="V45" s="70">
        <v>17.399999999999999</v>
      </c>
      <c r="W45" s="70">
        <v>17.399999999999999</v>
      </c>
      <c r="X45" s="70">
        <v>17.399999999999999</v>
      </c>
      <c r="Y45" s="70">
        <v>17.399999999999999</v>
      </c>
      <c r="Z45" s="70">
        <v>17.399999999999999</v>
      </c>
      <c r="AA45" s="70">
        <v>17.399999999999999</v>
      </c>
      <c r="AB45" s="70">
        <v>17.399999999999999</v>
      </c>
      <c r="AC45" s="70">
        <v>17.399999999999999</v>
      </c>
      <c r="AD45" s="70">
        <v>17.399999999999999</v>
      </c>
      <c r="AE45" s="70">
        <v>17.399999999999999</v>
      </c>
      <c r="AF45" s="70">
        <v>17.399999999999999</v>
      </c>
      <c r="AG45" s="63">
        <v>24</v>
      </c>
      <c r="AH45" s="54">
        <f t="shared" si="2"/>
        <v>17.399999999999999</v>
      </c>
      <c r="AI45" s="55">
        <f t="shared" si="3"/>
        <v>17.399999999999999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  <c r="Z46" s="70">
        <v>0</v>
      </c>
      <c r="AA46" s="70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13.1</v>
      </c>
      <c r="C47" s="70">
        <v>13.1</v>
      </c>
      <c r="D47" s="70">
        <v>13.1</v>
      </c>
      <c r="E47" s="70">
        <v>13.1</v>
      </c>
      <c r="F47" s="70">
        <v>13.1</v>
      </c>
      <c r="G47" s="70">
        <v>13.1</v>
      </c>
      <c r="H47" s="70">
        <v>13.1</v>
      </c>
      <c r="I47" s="70">
        <v>13.1</v>
      </c>
      <c r="J47" s="70">
        <v>13.1</v>
      </c>
      <c r="K47" s="70">
        <v>13.1</v>
      </c>
      <c r="L47" s="70">
        <v>13.1</v>
      </c>
      <c r="M47" s="70">
        <v>13.1</v>
      </c>
      <c r="N47" s="70">
        <v>13.1</v>
      </c>
      <c r="O47" s="70">
        <v>13.1</v>
      </c>
      <c r="P47" s="70">
        <v>13.1</v>
      </c>
      <c r="Q47" s="70">
        <v>13.1</v>
      </c>
      <c r="R47" s="70">
        <v>13.1</v>
      </c>
      <c r="S47" s="70">
        <v>13.6</v>
      </c>
      <c r="T47" s="70">
        <v>13.6</v>
      </c>
      <c r="U47" s="70">
        <v>13.6</v>
      </c>
      <c r="V47" s="70">
        <v>13.6</v>
      </c>
      <c r="W47" s="70">
        <v>13.6</v>
      </c>
      <c r="X47" s="70">
        <v>13.6</v>
      </c>
      <c r="Y47" s="70">
        <v>13.6</v>
      </c>
      <c r="Z47" s="70">
        <v>13.6</v>
      </c>
      <c r="AA47" s="70">
        <v>13.6</v>
      </c>
      <c r="AB47" s="70">
        <v>13.6</v>
      </c>
      <c r="AC47" s="70">
        <v>13.6</v>
      </c>
      <c r="AD47" s="70">
        <v>13.6</v>
      </c>
      <c r="AE47" s="70">
        <v>13.6</v>
      </c>
      <c r="AF47" s="70">
        <v>13.6</v>
      </c>
      <c r="AG47" s="63">
        <v>14.1</v>
      </c>
      <c r="AH47" s="54">
        <f t="shared" si="2"/>
        <v>13.6</v>
      </c>
      <c r="AI47" s="55">
        <f t="shared" si="3"/>
        <v>13.1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11.3</v>
      </c>
      <c r="C48" s="70">
        <v>11.3</v>
      </c>
      <c r="D48" s="70">
        <v>11.3</v>
      </c>
      <c r="E48" s="70">
        <v>11.3</v>
      </c>
      <c r="F48" s="70">
        <v>11.3</v>
      </c>
      <c r="G48" s="70">
        <v>11.3</v>
      </c>
      <c r="H48" s="70">
        <v>11.3</v>
      </c>
      <c r="I48" s="70">
        <v>11.3</v>
      </c>
      <c r="J48" s="70">
        <v>11.3</v>
      </c>
      <c r="K48" s="70">
        <v>11.3</v>
      </c>
      <c r="L48" s="70">
        <v>11.3</v>
      </c>
      <c r="M48" s="70">
        <v>11.3</v>
      </c>
      <c r="N48" s="70">
        <v>11.3</v>
      </c>
      <c r="O48" s="70">
        <v>11.3</v>
      </c>
      <c r="P48" s="70">
        <v>11.3</v>
      </c>
      <c r="Q48" s="70">
        <v>11.3</v>
      </c>
      <c r="R48" s="70">
        <v>11.3</v>
      </c>
      <c r="S48" s="70">
        <v>11.3</v>
      </c>
      <c r="T48" s="70">
        <v>11.3</v>
      </c>
      <c r="U48" s="70">
        <v>11.3</v>
      </c>
      <c r="V48" s="70">
        <v>11.3</v>
      </c>
      <c r="W48" s="70">
        <v>11.3</v>
      </c>
      <c r="X48" s="70">
        <v>11.3</v>
      </c>
      <c r="Y48" s="70">
        <v>11.3</v>
      </c>
      <c r="Z48" s="70">
        <v>11.3</v>
      </c>
      <c r="AA48" s="70">
        <v>11.3</v>
      </c>
      <c r="AB48" s="70">
        <v>11.3</v>
      </c>
      <c r="AC48" s="70">
        <v>11.3</v>
      </c>
      <c r="AD48" s="70">
        <v>11.3</v>
      </c>
      <c r="AE48" s="70">
        <v>11.3</v>
      </c>
      <c r="AF48" s="70">
        <v>11.3</v>
      </c>
      <c r="AG48" s="63">
        <v>14</v>
      </c>
      <c r="AH48" s="54">
        <f t="shared" si="2"/>
        <v>11.3</v>
      </c>
      <c r="AI48" s="55">
        <f t="shared" si="3"/>
        <v>11.3</v>
      </c>
      <c r="AK48" s="56"/>
    </row>
    <row r="49" spans="1:37" x14ac:dyDescent="0.25">
      <c r="A49" s="62" t="s">
        <v>57</v>
      </c>
      <c r="B49" s="70">
        <v>7.8</v>
      </c>
      <c r="C49" s="70">
        <v>7.8</v>
      </c>
      <c r="D49" s="70">
        <v>7.8</v>
      </c>
      <c r="E49" s="70">
        <v>7.8</v>
      </c>
      <c r="F49" s="70">
        <v>7.8</v>
      </c>
      <c r="G49" s="70">
        <v>7.8</v>
      </c>
      <c r="H49" s="70">
        <v>7.8</v>
      </c>
      <c r="I49" s="70">
        <v>7.8</v>
      </c>
      <c r="J49" s="70">
        <v>7.8</v>
      </c>
      <c r="K49" s="70">
        <v>7.8</v>
      </c>
      <c r="L49" s="70">
        <v>7.8</v>
      </c>
      <c r="M49" s="70">
        <v>7.8</v>
      </c>
      <c r="N49" s="70">
        <v>7.8</v>
      </c>
      <c r="O49" s="70">
        <v>7.8</v>
      </c>
      <c r="P49" s="70">
        <v>7.8</v>
      </c>
      <c r="Q49" s="70">
        <v>7.8</v>
      </c>
      <c r="R49" s="70">
        <v>7.8</v>
      </c>
      <c r="S49" s="70">
        <v>7.8</v>
      </c>
      <c r="T49" s="70">
        <v>7.8</v>
      </c>
      <c r="U49" s="70">
        <v>7.8</v>
      </c>
      <c r="V49" s="70">
        <v>7.8</v>
      </c>
      <c r="W49" s="70">
        <v>7.8</v>
      </c>
      <c r="X49" s="70">
        <v>7.8</v>
      </c>
      <c r="Y49" s="70">
        <v>7.8</v>
      </c>
      <c r="Z49" s="70">
        <v>7.8</v>
      </c>
      <c r="AA49" s="70">
        <v>7.8</v>
      </c>
      <c r="AB49" s="70">
        <v>7.8</v>
      </c>
      <c r="AC49" s="70">
        <v>7.8</v>
      </c>
      <c r="AD49" s="70">
        <v>7.8</v>
      </c>
      <c r="AE49" s="70">
        <v>7.8</v>
      </c>
      <c r="AF49" s="70">
        <v>7.8</v>
      </c>
      <c r="AG49" s="63">
        <v>10.050000000000001</v>
      </c>
      <c r="AH49" s="54">
        <f t="shared" si="2"/>
        <v>7.8</v>
      </c>
      <c r="AI49" s="55">
        <f t="shared" si="3"/>
        <v>7.8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</v>
      </c>
      <c r="L50" s="70">
        <v>3</v>
      </c>
      <c r="M50" s="70">
        <v>3</v>
      </c>
      <c r="N50" s="70">
        <v>3</v>
      </c>
      <c r="O50" s="70">
        <v>3</v>
      </c>
      <c r="P50" s="70">
        <v>3</v>
      </c>
      <c r="Q50" s="70">
        <v>3</v>
      </c>
      <c r="R50" s="70">
        <v>3</v>
      </c>
      <c r="S50" s="70">
        <v>3</v>
      </c>
      <c r="T50" s="70">
        <v>3</v>
      </c>
      <c r="U50" s="70">
        <v>3</v>
      </c>
      <c r="V50" s="70">
        <v>3</v>
      </c>
      <c r="W50" s="70">
        <v>3</v>
      </c>
      <c r="X50" s="70">
        <v>3</v>
      </c>
      <c r="Y50" s="70">
        <v>3</v>
      </c>
      <c r="Z50" s="70">
        <v>3</v>
      </c>
      <c r="AA50" s="70">
        <v>3</v>
      </c>
      <c r="AB50" s="70">
        <v>3</v>
      </c>
      <c r="AC50" s="70">
        <v>3</v>
      </c>
      <c r="AD50" s="70">
        <v>3</v>
      </c>
      <c r="AE50" s="70">
        <v>3</v>
      </c>
      <c r="AF50" s="70">
        <v>3</v>
      </c>
      <c r="AG50" s="63">
        <v>6.2</v>
      </c>
      <c r="AH50" s="54">
        <f t="shared" si="2"/>
        <v>3.1</v>
      </c>
      <c r="AI50" s="55">
        <f t="shared" si="3"/>
        <v>3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404.04</v>
      </c>
      <c r="C52" s="69">
        <f t="shared" si="6"/>
        <v>402.24000000000007</v>
      </c>
      <c r="D52" s="69">
        <f t="shared" si="6"/>
        <v>431.6400000000001</v>
      </c>
      <c r="E52" s="69">
        <f t="shared" si="6"/>
        <v>431.6400000000001</v>
      </c>
      <c r="F52" s="69">
        <f t="shared" si="6"/>
        <v>431.74</v>
      </c>
      <c r="G52" s="69">
        <f t="shared" si="6"/>
        <v>431.94000000000005</v>
      </c>
      <c r="H52" s="69">
        <f t="shared" si="6"/>
        <v>427.44000000000005</v>
      </c>
      <c r="I52" s="69">
        <f t="shared" si="6"/>
        <v>427.44000000000005</v>
      </c>
      <c r="J52" s="69">
        <f t="shared" si="6"/>
        <v>427.44000000000005</v>
      </c>
      <c r="K52" s="69">
        <f t="shared" si="6"/>
        <v>422.04</v>
      </c>
      <c r="L52" s="69">
        <f t="shared" si="6"/>
        <v>422.44000000000005</v>
      </c>
      <c r="M52" s="69">
        <f t="shared" si="6"/>
        <v>425.44000000000005</v>
      </c>
      <c r="N52" s="69">
        <f t="shared" si="6"/>
        <v>425.44000000000005</v>
      </c>
      <c r="O52" s="69">
        <f t="shared" si="6"/>
        <v>425.44000000000005</v>
      </c>
      <c r="P52" s="69">
        <f t="shared" si="6"/>
        <v>425.44000000000005</v>
      </c>
      <c r="Q52" s="69">
        <f t="shared" si="6"/>
        <v>425.44000000000005</v>
      </c>
      <c r="R52" s="69">
        <f t="shared" si="6"/>
        <v>425.44000000000005</v>
      </c>
      <c r="S52" s="69">
        <f t="shared" si="6"/>
        <v>437.04</v>
      </c>
      <c r="T52" s="69">
        <f t="shared" si="6"/>
        <v>424.04</v>
      </c>
      <c r="U52" s="69">
        <f t="shared" si="6"/>
        <v>424.44</v>
      </c>
      <c r="V52" s="69">
        <f t="shared" si="6"/>
        <v>424.44</v>
      </c>
      <c r="W52" s="69">
        <f t="shared" si="6"/>
        <v>424.44</v>
      </c>
      <c r="X52" s="69">
        <f>SUM(X39:X51)</f>
        <v>419.44</v>
      </c>
      <c r="Y52" s="69">
        <f t="shared" si="6"/>
        <v>416.44</v>
      </c>
      <c r="Z52" s="69">
        <f t="shared" si="6"/>
        <v>433.84000000000003</v>
      </c>
      <c r="AA52" s="69">
        <f t="shared" si="6"/>
        <v>441.54</v>
      </c>
      <c r="AB52" s="69">
        <f t="shared" si="6"/>
        <v>441.54</v>
      </c>
      <c r="AC52" s="69">
        <f t="shared" si="6"/>
        <v>441.54</v>
      </c>
      <c r="AD52" s="69">
        <f t="shared" si="6"/>
        <v>441.54</v>
      </c>
      <c r="AE52" s="69">
        <f t="shared" si="6"/>
        <v>441.54</v>
      </c>
      <c r="AF52" s="69">
        <f t="shared" si="6"/>
        <v>426.54</v>
      </c>
      <c r="AG52" s="74">
        <f>SUM(AG39:AG51)</f>
        <v>489.91</v>
      </c>
      <c r="AH52" s="54">
        <f t="shared" si="2"/>
        <v>441.54</v>
      </c>
      <c r="AI52" s="55">
        <f t="shared" si="3"/>
        <v>402.24000000000007</v>
      </c>
      <c r="AK52" s="56"/>
    </row>
    <row r="53" spans="1:37" x14ac:dyDescent="0.25">
      <c r="A53" s="57" t="s">
        <v>61</v>
      </c>
      <c r="B53" s="51">
        <v>14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13</v>
      </c>
      <c r="N53" s="51">
        <v>13</v>
      </c>
      <c r="O53" s="51">
        <v>13</v>
      </c>
      <c r="P53" s="51">
        <v>20</v>
      </c>
      <c r="Q53" s="51">
        <v>33</v>
      </c>
      <c r="R53" s="51">
        <v>40</v>
      </c>
      <c r="S53" s="51">
        <v>37.700000000000003</v>
      </c>
      <c r="T53" s="51">
        <v>60.4</v>
      </c>
      <c r="U53" s="51">
        <v>50</v>
      </c>
      <c r="V53" s="51">
        <v>50</v>
      </c>
      <c r="W53" s="51">
        <v>42</v>
      </c>
      <c r="X53" s="51">
        <v>42</v>
      </c>
      <c r="Y53" s="51">
        <v>40</v>
      </c>
      <c r="Z53" s="51">
        <v>60</v>
      </c>
      <c r="AA53" s="51">
        <v>60</v>
      </c>
      <c r="AB53" s="51">
        <v>54</v>
      </c>
      <c r="AC53" s="51">
        <v>44</v>
      </c>
      <c r="AD53" s="51">
        <v>44</v>
      </c>
      <c r="AE53" s="51">
        <v>40</v>
      </c>
      <c r="AF53" s="51">
        <v>29</v>
      </c>
      <c r="AG53" s="59">
        <v>60</v>
      </c>
      <c r="AH53" s="54">
        <f t="shared" si="2"/>
        <v>60.4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7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5.9</v>
      </c>
      <c r="N54" s="70">
        <v>5.9</v>
      </c>
      <c r="O54" s="70">
        <v>5.9</v>
      </c>
      <c r="P54" s="70">
        <v>11.6</v>
      </c>
      <c r="Q54" s="70">
        <v>15.4</v>
      </c>
      <c r="R54" s="70">
        <v>24</v>
      </c>
      <c r="S54" s="70">
        <v>17.399999999999999</v>
      </c>
      <c r="T54" s="70">
        <v>29.5</v>
      </c>
      <c r="U54" s="70">
        <v>23</v>
      </c>
      <c r="V54" s="70">
        <v>27.1</v>
      </c>
      <c r="W54" s="70">
        <v>19.3</v>
      </c>
      <c r="X54" s="70">
        <v>19.3</v>
      </c>
      <c r="Y54" s="70">
        <v>19.2</v>
      </c>
      <c r="Z54" s="70">
        <v>29.6</v>
      </c>
      <c r="AA54" s="70">
        <v>30.2</v>
      </c>
      <c r="AB54" s="70">
        <v>29.7</v>
      </c>
      <c r="AC54" s="70">
        <v>25</v>
      </c>
      <c r="AD54" s="70">
        <v>21</v>
      </c>
      <c r="AE54" s="70">
        <v>18</v>
      </c>
      <c r="AF54" s="70">
        <v>16</v>
      </c>
      <c r="AG54" s="63">
        <v>32</v>
      </c>
      <c r="AH54" s="54">
        <f t="shared" si="2"/>
        <v>30.2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2.5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2.2000000000000002</v>
      </c>
      <c r="N55" s="75">
        <v>2.2000000000000002</v>
      </c>
      <c r="O55" s="75">
        <v>2.2000000000000002</v>
      </c>
      <c r="P55" s="75">
        <v>3.8</v>
      </c>
      <c r="Q55" s="75">
        <v>6</v>
      </c>
      <c r="R55" s="75">
        <v>9</v>
      </c>
      <c r="S55" s="75">
        <v>6.4</v>
      </c>
      <c r="T55" s="75">
        <v>10.8</v>
      </c>
      <c r="U55" s="75">
        <v>8.4</v>
      </c>
      <c r="V55" s="75">
        <v>9.9</v>
      </c>
      <c r="W55" s="75">
        <v>7</v>
      </c>
      <c r="X55" s="75">
        <v>7</v>
      </c>
      <c r="Y55" s="75">
        <v>7</v>
      </c>
      <c r="Z55" s="75">
        <v>10.8</v>
      </c>
      <c r="AA55" s="75">
        <v>11</v>
      </c>
      <c r="AB55" s="75">
        <v>10.9</v>
      </c>
      <c r="AC55" s="75">
        <v>10</v>
      </c>
      <c r="AD55" s="75">
        <v>8</v>
      </c>
      <c r="AE55" s="75">
        <v>6.6</v>
      </c>
      <c r="AF55" s="75">
        <v>6</v>
      </c>
      <c r="AG55" s="76">
        <v>14</v>
      </c>
      <c r="AH55" s="54">
        <f t="shared" si="2"/>
        <v>11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23.5</v>
      </c>
      <c r="C56" s="69">
        <f t="shared" si="7"/>
        <v>0</v>
      </c>
      <c r="D56" s="69">
        <f t="shared" si="7"/>
        <v>0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21.099999999999998</v>
      </c>
      <c r="N56" s="69">
        <f t="shared" si="7"/>
        <v>21.099999999999998</v>
      </c>
      <c r="O56" s="69">
        <f t="shared" si="7"/>
        <v>21.099999999999998</v>
      </c>
      <c r="P56" s="69">
        <f t="shared" si="7"/>
        <v>35.4</v>
      </c>
      <c r="Q56" s="69">
        <f t="shared" si="7"/>
        <v>54.4</v>
      </c>
      <c r="R56" s="69">
        <f t="shared" si="7"/>
        <v>73</v>
      </c>
      <c r="S56" s="69">
        <f t="shared" si="7"/>
        <v>61.5</v>
      </c>
      <c r="T56" s="69">
        <f t="shared" si="7"/>
        <v>100.7</v>
      </c>
      <c r="U56" s="69">
        <f t="shared" si="7"/>
        <v>81.400000000000006</v>
      </c>
      <c r="V56" s="69">
        <f t="shared" si="7"/>
        <v>87</v>
      </c>
      <c r="W56" s="69">
        <f t="shared" si="7"/>
        <v>68.3</v>
      </c>
      <c r="X56" s="69">
        <f t="shared" si="7"/>
        <v>68.3</v>
      </c>
      <c r="Y56" s="69">
        <f t="shared" si="7"/>
        <v>66.2</v>
      </c>
      <c r="Z56" s="69">
        <f t="shared" si="7"/>
        <v>100.39999999999999</v>
      </c>
      <c r="AA56" s="69">
        <f t="shared" si="7"/>
        <v>101.2</v>
      </c>
      <c r="AB56" s="69">
        <f t="shared" si="7"/>
        <v>94.600000000000009</v>
      </c>
      <c r="AC56" s="69">
        <f t="shared" si="7"/>
        <v>79</v>
      </c>
      <c r="AD56" s="69">
        <f t="shared" si="7"/>
        <v>73</v>
      </c>
      <c r="AE56" s="69">
        <f t="shared" si="7"/>
        <v>64.599999999999994</v>
      </c>
      <c r="AF56" s="69">
        <f t="shared" si="7"/>
        <v>51</v>
      </c>
      <c r="AG56" s="74">
        <f>SUM(AG53:AG55)</f>
        <v>106</v>
      </c>
      <c r="AH56" s="54">
        <f t="shared" si="2"/>
        <v>101.2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72</v>
      </c>
      <c r="C57" s="51">
        <v>68</v>
      </c>
      <c r="D57" s="51">
        <v>67</v>
      </c>
      <c r="E57" s="51">
        <v>71.739999999999995</v>
      </c>
      <c r="F57" s="51">
        <v>66.5</v>
      </c>
      <c r="G57" s="51">
        <v>65</v>
      </c>
      <c r="H57" s="51">
        <v>66.5</v>
      </c>
      <c r="I57" s="51">
        <v>66.5</v>
      </c>
      <c r="J57" s="51">
        <v>66.5</v>
      </c>
      <c r="K57" s="51">
        <v>62</v>
      </c>
      <c r="L57" s="51">
        <v>66.5</v>
      </c>
      <c r="M57" s="51">
        <v>69</v>
      </c>
      <c r="N57" s="51">
        <v>54</v>
      </c>
      <c r="O57" s="51">
        <v>63</v>
      </c>
      <c r="P57" s="51">
        <v>55</v>
      </c>
      <c r="Q57" s="51">
        <v>62</v>
      </c>
      <c r="R57" s="51">
        <v>66</v>
      </c>
      <c r="S57" s="51">
        <v>66.5</v>
      </c>
      <c r="T57" s="51">
        <v>76.55</v>
      </c>
      <c r="U57" s="51">
        <v>76</v>
      </c>
      <c r="V57" s="51">
        <v>77.400000000000006</v>
      </c>
      <c r="W57" s="51">
        <v>80</v>
      </c>
      <c r="X57" s="51">
        <v>61</v>
      </c>
      <c r="Y57" s="51">
        <v>51.6</v>
      </c>
      <c r="Z57" s="51">
        <v>69.599999999999994</v>
      </c>
      <c r="AA57" s="51">
        <v>68.900000000000006</v>
      </c>
      <c r="AB57" s="51">
        <v>76</v>
      </c>
      <c r="AC57" s="51">
        <v>76</v>
      </c>
      <c r="AD57" s="51">
        <v>75</v>
      </c>
      <c r="AE57" s="51">
        <v>52</v>
      </c>
      <c r="AF57" s="51">
        <v>49</v>
      </c>
      <c r="AG57" s="59"/>
      <c r="AH57" s="54">
        <f t="shared" si="2"/>
        <v>80</v>
      </c>
      <c r="AI57" s="55">
        <f t="shared" si="3"/>
        <v>49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2</v>
      </c>
      <c r="C59" s="70">
        <v>-58</v>
      </c>
      <c r="D59" s="70">
        <v>-45</v>
      </c>
      <c r="E59" s="70">
        <v>-38.4</v>
      </c>
      <c r="F59" s="70">
        <v>-80</v>
      </c>
      <c r="G59" s="70">
        <v>-95</v>
      </c>
      <c r="H59" s="70">
        <v>-76.599999999999994</v>
      </c>
      <c r="I59" s="70">
        <v>-54</v>
      </c>
      <c r="J59" s="70">
        <v>-54</v>
      </c>
      <c r="K59" s="70">
        <v>-45.9</v>
      </c>
      <c r="L59" s="70">
        <v>-80</v>
      </c>
      <c r="M59" s="70">
        <v>-49</v>
      </c>
      <c r="N59" s="70">
        <v>-53</v>
      </c>
      <c r="O59" s="70">
        <v>-77</v>
      </c>
      <c r="P59" s="70">
        <v>-54</v>
      </c>
      <c r="Q59" s="70">
        <v>-69</v>
      </c>
      <c r="R59" s="70">
        <v>-56</v>
      </c>
      <c r="S59" s="70">
        <v>-55.3</v>
      </c>
      <c r="T59" s="70">
        <v>-42.7</v>
      </c>
      <c r="U59" s="70">
        <v>-64</v>
      </c>
      <c r="V59" s="70">
        <v>-45.1</v>
      </c>
      <c r="W59" s="70">
        <v>-45.9</v>
      </c>
      <c r="X59" s="70">
        <v>-60</v>
      </c>
      <c r="Y59" s="70">
        <v>-44.9</v>
      </c>
      <c r="Z59" s="70">
        <v>-55.9</v>
      </c>
      <c r="AA59" s="70">
        <v>-51.1</v>
      </c>
      <c r="AB59" s="70">
        <v>-42</v>
      </c>
      <c r="AC59" s="70">
        <v>-52</v>
      </c>
      <c r="AD59" s="70">
        <v>-47</v>
      </c>
      <c r="AE59" s="70">
        <v>-60</v>
      </c>
      <c r="AF59" s="70">
        <v>-48</v>
      </c>
      <c r="AG59" s="77"/>
      <c r="AH59" s="54">
        <f t="shared" si="2"/>
        <v>2</v>
      </c>
      <c r="AI59" s="55">
        <f t="shared" si="3"/>
        <v>-95</v>
      </c>
      <c r="AK59" s="56"/>
    </row>
    <row r="60" spans="1:37" x14ac:dyDescent="0.25">
      <c r="A60" s="62" t="s">
        <v>68</v>
      </c>
      <c r="B60" s="78">
        <v>12</v>
      </c>
      <c r="C60" s="78">
        <v>12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12</v>
      </c>
      <c r="Q60" s="78">
        <v>12</v>
      </c>
      <c r="R60" s="78">
        <v>12</v>
      </c>
      <c r="S60" s="78">
        <v>12</v>
      </c>
      <c r="T60" s="78">
        <v>12</v>
      </c>
      <c r="U60" s="78">
        <v>12</v>
      </c>
      <c r="V60" s="78">
        <v>12</v>
      </c>
      <c r="W60" s="78">
        <v>12</v>
      </c>
      <c r="X60" s="78">
        <v>12</v>
      </c>
      <c r="Y60" s="78">
        <v>12</v>
      </c>
      <c r="Z60" s="78">
        <v>12</v>
      </c>
      <c r="AA60" s="78">
        <v>12</v>
      </c>
      <c r="AB60" s="78">
        <v>12</v>
      </c>
      <c r="AC60" s="78">
        <v>12</v>
      </c>
      <c r="AD60" s="78">
        <v>12</v>
      </c>
      <c r="AE60" s="78">
        <v>19</v>
      </c>
      <c r="AF60" s="78">
        <v>24</v>
      </c>
      <c r="AG60" s="77"/>
      <c r="AH60" s="54">
        <f t="shared" si="2"/>
        <v>24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4</v>
      </c>
      <c r="E62" s="79">
        <v>4</v>
      </c>
      <c r="F62" s="79">
        <v>4</v>
      </c>
      <c r="G62" s="79">
        <v>4</v>
      </c>
      <c r="H62" s="79">
        <v>4</v>
      </c>
      <c r="I62" s="79">
        <v>4</v>
      </c>
      <c r="J62" s="79">
        <v>4</v>
      </c>
      <c r="K62" s="79">
        <v>4</v>
      </c>
      <c r="L62" s="79">
        <v>4</v>
      </c>
      <c r="M62" s="79">
        <v>4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4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94</v>
      </c>
      <c r="C68" s="69">
        <f t="shared" si="8"/>
        <v>30</v>
      </c>
      <c r="D68" s="69">
        <f t="shared" si="8"/>
        <v>26</v>
      </c>
      <c r="E68" s="69">
        <f t="shared" si="8"/>
        <v>37.339999999999996</v>
      </c>
      <c r="F68" s="69">
        <f t="shared" si="8"/>
        <v>-9.5</v>
      </c>
      <c r="G68" s="69">
        <f t="shared" si="8"/>
        <v>-26</v>
      </c>
      <c r="H68" s="69">
        <f t="shared" si="8"/>
        <v>-6.0999999999999943</v>
      </c>
      <c r="I68" s="69">
        <f t="shared" si="8"/>
        <v>16.5</v>
      </c>
      <c r="J68" s="69">
        <f t="shared" si="8"/>
        <v>16.5</v>
      </c>
      <c r="K68" s="69">
        <f t="shared" si="8"/>
        <v>20.100000000000001</v>
      </c>
      <c r="L68" s="69">
        <f t="shared" si="8"/>
        <v>-9.5</v>
      </c>
      <c r="M68" s="69">
        <f t="shared" si="8"/>
        <v>24</v>
      </c>
      <c r="N68" s="69">
        <f t="shared" si="8"/>
        <v>9</v>
      </c>
      <c r="O68" s="69">
        <f t="shared" si="8"/>
        <v>-6</v>
      </c>
      <c r="P68" s="69">
        <f t="shared" si="8"/>
        <v>21</v>
      </c>
      <c r="Q68" s="69">
        <f t="shared" si="8"/>
        <v>13</v>
      </c>
      <c r="R68" s="69">
        <f t="shared" si="8"/>
        <v>30</v>
      </c>
      <c r="S68" s="69">
        <f t="shared" si="8"/>
        <v>31.200000000000003</v>
      </c>
      <c r="T68" s="69">
        <f t="shared" si="8"/>
        <v>53.849999999999994</v>
      </c>
      <c r="U68" s="69">
        <f t="shared" si="8"/>
        <v>32</v>
      </c>
      <c r="V68" s="69">
        <f>SUM(V57:V67)</f>
        <v>52.300000000000004</v>
      </c>
      <c r="W68" s="69">
        <f t="shared" si="8"/>
        <v>54.1</v>
      </c>
      <c r="X68" s="69">
        <f t="shared" si="8"/>
        <v>21</v>
      </c>
      <c r="Y68" s="69">
        <f t="shared" si="8"/>
        <v>26.700000000000003</v>
      </c>
      <c r="Z68" s="69">
        <f t="shared" si="8"/>
        <v>33.699999999999996</v>
      </c>
      <c r="AA68" s="69">
        <f t="shared" si="8"/>
        <v>37.800000000000004</v>
      </c>
      <c r="AB68" s="69">
        <f t="shared" si="8"/>
        <v>54</v>
      </c>
      <c r="AC68" s="69">
        <f t="shared" si="8"/>
        <v>44</v>
      </c>
      <c r="AD68" s="69">
        <f t="shared" si="8"/>
        <v>48</v>
      </c>
      <c r="AE68" s="69">
        <f t="shared" si="8"/>
        <v>19</v>
      </c>
      <c r="AF68" s="69">
        <f t="shared" si="8"/>
        <v>33</v>
      </c>
      <c r="AG68" s="74">
        <f>SUM(AG57:AG67)</f>
        <v>0</v>
      </c>
      <c r="AH68" s="54">
        <f t="shared" si="2"/>
        <v>94</v>
      </c>
      <c r="AI68" s="55">
        <f t="shared" si="3"/>
        <v>-26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1351.74</v>
      </c>
      <c r="C75" s="84">
        <f t="shared" si="10"/>
        <v>1314.44</v>
      </c>
      <c r="D75" s="84">
        <f t="shared" si="10"/>
        <v>1309.8400000000001</v>
      </c>
      <c r="E75" s="84">
        <f t="shared" si="10"/>
        <v>1321.18</v>
      </c>
      <c r="F75" s="84">
        <f t="shared" si="10"/>
        <v>1288.94</v>
      </c>
      <c r="G75" s="84">
        <f t="shared" si="10"/>
        <v>1298.6400000000001</v>
      </c>
      <c r="H75" s="84">
        <f t="shared" si="10"/>
        <v>1295.04</v>
      </c>
      <c r="I75" s="84">
        <f t="shared" si="10"/>
        <v>1325.64</v>
      </c>
      <c r="J75" s="84">
        <f t="shared" si="10"/>
        <v>1381.14</v>
      </c>
      <c r="K75" s="84">
        <f t="shared" si="10"/>
        <v>1417.8400000000001</v>
      </c>
      <c r="L75" s="84">
        <f t="shared" si="10"/>
        <v>1436.64</v>
      </c>
      <c r="M75" s="84">
        <f t="shared" si="10"/>
        <v>1452.3400000000001</v>
      </c>
      <c r="N75" s="84">
        <f t="shared" si="10"/>
        <v>1402.3400000000001</v>
      </c>
      <c r="O75" s="84">
        <f t="shared" si="10"/>
        <v>1373.3400000000001</v>
      </c>
      <c r="P75" s="84">
        <f t="shared" si="10"/>
        <v>1414.64</v>
      </c>
      <c r="Q75" s="84">
        <f t="shared" si="10"/>
        <v>1410.6399999999999</v>
      </c>
      <c r="R75" s="84">
        <f t="shared" si="10"/>
        <v>1441.24</v>
      </c>
      <c r="S75" s="84">
        <f t="shared" si="10"/>
        <v>1447.54</v>
      </c>
      <c r="T75" s="84">
        <f t="shared" si="10"/>
        <v>1476.3899999999999</v>
      </c>
      <c r="U75" s="84">
        <f t="shared" si="10"/>
        <v>1452.6399999999999</v>
      </c>
      <c r="V75" s="84">
        <f t="shared" si="10"/>
        <v>1438.54</v>
      </c>
      <c r="W75" s="84">
        <f t="shared" si="10"/>
        <v>1417.94</v>
      </c>
      <c r="X75" s="84">
        <f t="shared" si="10"/>
        <v>1354.84</v>
      </c>
      <c r="Y75" s="84">
        <f t="shared" si="10"/>
        <v>1325.44</v>
      </c>
      <c r="Z75" s="84">
        <f t="shared" si="10"/>
        <v>1454.04</v>
      </c>
      <c r="AA75" s="84">
        <f t="shared" si="10"/>
        <v>1549.34</v>
      </c>
      <c r="AB75" s="84">
        <f t="shared" si="10"/>
        <v>1538.94</v>
      </c>
      <c r="AC75" s="84">
        <f t="shared" si="10"/>
        <v>1513.34</v>
      </c>
      <c r="AD75" s="84">
        <f t="shared" si="10"/>
        <v>1506.34</v>
      </c>
      <c r="AE75" s="84">
        <f t="shared" si="10"/>
        <v>1418.94</v>
      </c>
      <c r="AF75" s="84">
        <f t="shared" si="10"/>
        <v>1378.34</v>
      </c>
      <c r="AG75" s="74">
        <f>AG72+AG68+AG56+AG52+AG38+AG74</f>
        <v>2144.14</v>
      </c>
      <c r="AH75" s="54">
        <f t="shared" si="2"/>
        <v>1549.34</v>
      </c>
      <c r="AI75" s="55">
        <f t="shared" si="3"/>
        <v>1288.94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2553.63</v>
      </c>
      <c r="C83" s="69">
        <f t="shared" si="14"/>
        <v>2516.33</v>
      </c>
      <c r="D83" s="69">
        <f t="shared" si="14"/>
        <v>2511.73</v>
      </c>
      <c r="E83" s="69">
        <f t="shared" si="14"/>
        <v>2523.0699999999997</v>
      </c>
      <c r="F83" s="69">
        <f t="shared" si="14"/>
        <v>2490.83</v>
      </c>
      <c r="G83" s="69">
        <f t="shared" si="14"/>
        <v>2500.5299999999997</v>
      </c>
      <c r="H83" s="69">
        <f t="shared" si="14"/>
        <v>2496.9299999999998</v>
      </c>
      <c r="I83" s="69">
        <f t="shared" si="14"/>
        <v>2527.5299999999997</v>
      </c>
      <c r="J83" s="69">
        <f t="shared" si="14"/>
        <v>2583.0299999999997</v>
      </c>
      <c r="K83" s="69">
        <f t="shared" si="14"/>
        <v>2619.73</v>
      </c>
      <c r="L83" s="69">
        <f t="shared" si="14"/>
        <v>2638.5299999999997</v>
      </c>
      <c r="M83" s="69">
        <f t="shared" si="14"/>
        <v>2654.23</v>
      </c>
      <c r="N83" s="69">
        <f t="shared" si="14"/>
        <v>2604.23</v>
      </c>
      <c r="O83" s="69">
        <f t="shared" si="14"/>
        <v>2575.23</v>
      </c>
      <c r="P83" s="69">
        <f t="shared" si="14"/>
        <v>2616.5299999999997</v>
      </c>
      <c r="Q83" s="69">
        <f t="shared" si="14"/>
        <v>2612.5299999999997</v>
      </c>
      <c r="R83" s="69">
        <f t="shared" si="14"/>
        <v>2643.13</v>
      </c>
      <c r="S83" s="69">
        <f t="shared" si="14"/>
        <v>2649.43</v>
      </c>
      <c r="T83" s="69">
        <f t="shared" si="14"/>
        <v>2678.2799999999997</v>
      </c>
      <c r="U83" s="69">
        <f t="shared" si="14"/>
        <v>2654.5299999999997</v>
      </c>
      <c r="V83" s="69">
        <f t="shared" si="14"/>
        <v>2640.43</v>
      </c>
      <c r="W83" s="69">
        <f t="shared" si="14"/>
        <v>2619.83</v>
      </c>
      <c r="X83" s="69">
        <f t="shared" si="14"/>
        <v>2556.7299999999996</v>
      </c>
      <c r="Y83" s="69">
        <f t="shared" si="14"/>
        <v>2527.33</v>
      </c>
      <c r="Z83" s="69">
        <f t="shared" si="14"/>
        <v>2655.93</v>
      </c>
      <c r="AA83" s="69">
        <f t="shared" si="14"/>
        <v>2751.2299999999996</v>
      </c>
      <c r="AB83" s="69">
        <f t="shared" si="14"/>
        <v>2740.83</v>
      </c>
      <c r="AC83" s="69">
        <f t="shared" si="14"/>
        <v>2715.2299999999996</v>
      </c>
      <c r="AD83" s="69">
        <f t="shared" si="14"/>
        <v>2708.2299999999996</v>
      </c>
      <c r="AE83" s="69">
        <f t="shared" si="14"/>
        <v>2620.83</v>
      </c>
      <c r="AF83" s="69">
        <f t="shared" si="14"/>
        <v>2580.2299999999996</v>
      </c>
      <c r="AG83" s="74">
        <f t="shared" si="14"/>
        <v>4360.08</v>
      </c>
      <c r="AH83" s="54">
        <f t="shared" si="11"/>
        <v>2751.2299999999996</v>
      </c>
      <c r="AI83" s="55">
        <f t="shared" si="12"/>
        <v>2490.83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49.978999999999999</v>
      </c>
      <c r="C84" s="90">
        <v>49.973999999999997</v>
      </c>
      <c r="D84" s="90">
        <v>50.06</v>
      </c>
      <c r="E84" s="90">
        <v>50.01</v>
      </c>
      <c r="F84" s="90">
        <v>50.02</v>
      </c>
      <c r="G84" s="90">
        <v>50.01</v>
      </c>
      <c r="H84" s="90">
        <v>49.98</v>
      </c>
      <c r="I84" s="90">
        <v>50.01</v>
      </c>
      <c r="J84" s="90">
        <v>50.01</v>
      </c>
      <c r="K84" s="90">
        <v>49.98</v>
      </c>
      <c r="L84" s="90">
        <v>50.03</v>
      </c>
      <c r="M84" s="90">
        <v>50.070999999999998</v>
      </c>
      <c r="N84" s="90">
        <v>50.070999999999998</v>
      </c>
      <c r="O84" s="90">
        <v>49.822000000000003</v>
      </c>
      <c r="P84" s="90">
        <v>49.984000000000002</v>
      </c>
      <c r="Q84" s="90">
        <v>50.012</v>
      </c>
      <c r="R84" s="90">
        <v>50.051000000000002</v>
      </c>
      <c r="S84" s="90">
        <v>49.970999999999997</v>
      </c>
      <c r="T84" s="90">
        <v>49.904000000000003</v>
      </c>
      <c r="U84" s="90">
        <v>49.863999999999997</v>
      </c>
      <c r="V84" s="90">
        <v>49.929000000000002</v>
      </c>
      <c r="W84" s="90">
        <v>49.908000000000001</v>
      </c>
      <c r="X84" s="90">
        <v>49.908000000000001</v>
      </c>
      <c r="Y84" s="90">
        <v>49.994999999999997</v>
      </c>
      <c r="Z84" s="90">
        <v>50.003999999999998</v>
      </c>
      <c r="AA84" s="90">
        <v>49.988999999999997</v>
      </c>
      <c r="AB84" s="90">
        <v>50.015000000000001</v>
      </c>
      <c r="AC84" s="90">
        <v>49.924999999999997</v>
      </c>
      <c r="AD84" s="90">
        <v>49.997</v>
      </c>
      <c r="AE84" s="90">
        <v>50.005000000000003</v>
      </c>
      <c r="AF84" s="90">
        <v>49.945</v>
      </c>
      <c r="AG84" s="91"/>
      <c r="AH84" s="54">
        <f t="shared" si="11"/>
        <v>50.070999999999998</v>
      </c>
      <c r="AI84" s="55">
        <f t="shared" si="12"/>
        <v>49.822000000000003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123</v>
      </c>
      <c r="C85" s="70">
        <v>122</v>
      </c>
      <c r="D85" s="70">
        <v>122.9</v>
      </c>
      <c r="E85" s="70">
        <v>121.8</v>
      </c>
      <c r="F85" s="70">
        <v>122.9</v>
      </c>
      <c r="G85" s="70">
        <v>124</v>
      </c>
      <c r="H85" s="70">
        <v>123</v>
      </c>
      <c r="I85" s="70">
        <v>122.9</v>
      </c>
      <c r="J85" s="70">
        <v>122.9</v>
      </c>
      <c r="K85" s="70">
        <v>120.4</v>
      </c>
      <c r="L85" s="70">
        <v>121.3</v>
      </c>
      <c r="M85" s="70">
        <v>121.4</v>
      </c>
      <c r="N85" s="70">
        <v>121.4</v>
      </c>
      <c r="O85" s="70">
        <v>121.4</v>
      </c>
      <c r="P85" s="70">
        <v>120</v>
      </c>
      <c r="Q85" s="70">
        <v>121</v>
      </c>
      <c r="R85" s="70">
        <v>121</v>
      </c>
      <c r="S85" s="70">
        <v>120</v>
      </c>
      <c r="T85" s="70">
        <v>121.2</v>
      </c>
      <c r="U85" s="70">
        <v>122.5</v>
      </c>
      <c r="V85" s="70">
        <v>122.9</v>
      </c>
      <c r="W85" s="70">
        <v>123.9</v>
      </c>
      <c r="X85" s="70">
        <v>123.9</v>
      </c>
      <c r="Y85" s="70">
        <v>124.7</v>
      </c>
      <c r="Z85" s="70">
        <v>124.5</v>
      </c>
      <c r="AA85" s="70">
        <v>124.1</v>
      </c>
      <c r="AB85" s="70">
        <v>125</v>
      </c>
      <c r="AC85" s="70">
        <v>125</v>
      </c>
      <c r="AD85" s="70">
        <v>124</v>
      </c>
      <c r="AE85" s="70">
        <v>125</v>
      </c>
      <c r="AF85" s="70">
        <v>125</v>
      </c>
      <c r="AG85" s="93"/>
      <c r="AH85" s="54">
        <f t="shared" si="11"/>
        <v>125</v>
      </c>
      <c r="AI85" s="55">
        <f t="shared" si="12"/>
        <v>120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</v>
      </c>
      <c r="C86" s="70">
        <v>128</v>
      </c>
      <c r="D86" s="70">
        <v>128.30000000000001</v>
      </c>
      <c r="E86" s="70">
        <v>127.5</v>
      </c>
      <c r="F86" s="70">
        <v>128.30000000000001</v>
      </c>
      <c r="G86" s="70">
        <v>128.80000000000001</v>
      </c>
      <c r="H86" s="70">
        <v>128</v>
      </c>
      <c r="I86" s="70">
        <v>127.6</v>
      </c>
      <c r="J86" s="70">
        <v>127.6</v>
      </c>
      <c r="K86" s="70">
        <v>125.5</v>
      </c>
      <c r="L86" s="70">
        <v>125.8</v>
      </c>
      <c r="M86" s="70">
        <v>126</v>
      </c>
      <c r="N86" s="70">
        <v>126</v>
      </c>
      <c r="O86" s="70">
        <v>126</v>
      </c>
      <c r="P86" s="70">
        <v>125</v>
      </c>
      <c r="Q86" s="70">
        <v>125</v>
      </c>
      <c r="R86" s="70">
        <v>125</v>
      </c>
      <c r="S86" s="70">
        <v>125.4</v>
      </c>
      <c r="T86" s="70">
        <v>126.3</v>
      </c>
      <c r="U86" s="70">
        <v>126.8</v>
      </c>
      <c r="V86" s="70">
        <v>127.2</v>
      </c>
      <c r="W86" s="70">
        <v>128</v>
      </c>
      <c r="X86" s="70">
        <v>128</v>
      </c>
      <c r="Y86" s="70">
        <v>128.69999999999999</v>
      </c>
      <c r="Z86" s="70">
        <v>128</v>
      </c>
      <c r="AA86" s="70">
        <v>127.7</v>
      </c>
      <c r="AB86" s="70">
        <v>129</v>
      </c>
      <c r="AC86" s="70">
        <v>129</v>
      </c>
      <c r="AD86" s="70">
        <v>129</v>
      </c>
      <c r="AE86" s="70">
        <v>129</v>
      </c>
      <c r="AF86" s="70">
        <v>129</v>
      </c>
      <c r="AG86" s="93"/>
      <c r="AH86" s="54">
        <f t="shared" si="11"/>
        <v>129</v>
      </c>
      <c r="AI86" s="55">
        <f t="shared" si="12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>
        <v>125</v>
      </c>
      <c r="Q87" s="70">
        <v>130</v>
      </c>
      <c r="R87" s="70">
        <v>128</v>
      </c>
      <c r="S87" s="70">
        <v>123.3</v>
      </c>
      <c r="T87" s="70">
        <v>126.3</v>
      </c>
      <c r="U87" s="70">
        <v>127</v>
      </c>
      <c r="V87" s="70">
        <v>128.1</v>
      </c>
      <c r="W87" s="70">
        <v>129</v>
      </c>
      <c r="X87" s="70">
        <v>129</v>
      </c>
      <c r="Y87" s="70">
        <v>127.5</v>
      </c>
      <c r="Z87" s="70">
        <v>127.1</v>
      </c>
      <c r="AA87" s="70">
        <v>124.7</v>
      </c>
      <c r="AB87" s="70">
        <v>126.4</v>
      </c>
      <c r="AC87" s="70">
        <v>126</v>
      </c>
      <c r="AD87" s="70">
        <v>128</v>
      </c>
      <c r="AE87" s="70">
        <v>128</v>
      </c>
      <c r="AF87" s="70">
        <v>126</v>
      </c>
      <c r="AG87" s="93"/>
      <c r="AH87" s="54">
        <f t="shared" si="11"/>
        <v>130</v>
      </c>
      <c r="AI87" s="55">
        <f t="shared" si="12"/>
        <v>123.3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>
        <v>127</v>
      </c>
      <c r="Q88" s="70">
        <v>133</v>
      </c>
      <c r="R88" s="70">
        <v>129</v>
      </c>
      <c r="S88" s="70">
        <v>124.6</v>
      </c>
      <c r="T88" s="70">
        <v>127.7</v>
      </c>
      <c r="U88" s="70">
        <v>129</v>
      </c>
      <c r="V88" s="70">
        <v>129.69999999999999</v>
      </c>
      <c r="W88" s="70">
        <v>131</v>
      </c>
      <c r="X88" s="70">
        <v>131</v>
      </c>
      <c r="Y88" s="70">
        <v>130.19999999999999</v>
      </c>
      <c r="Z88" s="70">
        <v>129.1</v>
      </c>
      <c r="AA88" s="70">
        <v>126.9</v>
      </c>
      <c r="AB88" s="70">
        <v>128.6</v>
      </c>
      <c r="AC88" s="70">
        <v>129</v>
      </c>
      <c r="AD88" s="70">
        <v>130</v>
      </c>
      <c r="AE88" s="70">
        <v>130</v>
      </c>
      <c r="AF88" s="70">
        <v>130</v>
      </c>
      <c r="AG88" s="93"/>
      <c r="AH88" s="54">
        <f t="shared" si="11"/>
        <v>133</v>
      </c>
      <c r="AI88" s="55">
        <f t="shared" si="12"/>
        <v>124.6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133</v>
      </c>
      <c r="C89" s="95">
        <v>131</v>
      </c>
      <c r="D89" s="95">
        <v>145.6</v>
      </c>
      <c r="E89" s="95">
        <v>145.4</v>
      </c>
      <c r="F89" s="95">
        <v>135.30000000000001</v>
      </c>
      <c r="G89" s="95">
        <v>132.4</v>
      </c>
      <c r="H89" s="95">
        <v>127.5</v>
      </c>
      <c r="I89" s="95">
        <v>132.80000000000001</v>
      </c>
      <c r="J89" s="95">
        <v>132.80000000000001</v>
      </c>
      <c r="K89" s="95">
        <v>131.6</v>
      </c>
      <c r="L89" s="95">
        <v>132.9</v>
      </c>
      <c r="M89" s="95">
        <v>135</v>
      </c>
      <c r="N89" s="95">
        <v>135</v>
      </c>
      <c r="O89" s="95">
        <v>135</v>
      </c>
      <c r="P89" s="95">
        <v>133</v>
      </c>
      <c r="Q89" s="95">
        <v>129</v>
      </c>
      <c r="R89" s="95">
        <v>130</v>
      </c>
      <c r="S89" s="95">
        <v>130.80000000000001</v>
      </c>
      <c r="T89" s="95">
        <v>132.6</v>
      </c>
      <c r="U89" s="95">
        <v>133</v>
      </c>
      <c r="V89" s="95">
        <v>129.69999999999999</v>
      </c>
      <c r="W89" s="95">
        <v>135</v>
      </c>
      <c r="X89" s="95">
        <v>135</v>
      </c>
      <c r="Y89" s="95">
        <v>129.30000000000001</v>
      </c>
      <c r="Z89" s="95">
        <v>132</v>
      </c>
      <c r="AA89" s="95">
        <v>130.6</v>
      </c>
      <c r="AB89" s="95">
        <v>133</v>
      </c>
      <c r="AC89" s="95">
        <v>131</v>
      </c>
      <c r="AD89" s="95">
        <v>130</v>
      </c>
      <c r="AE89" s="95">
        <v>130</v>
      </c>
      <c r="AF89" s="95">
        <v>130</v>
      </c>
      <c r="AG89" s="96"/>
      <c r="AH89" s="54">
        <f t="shared" si="11"/>
        <v>145.6</v>
      </c>
      <c r="AI89" s="55">
        <f t="shared" si="12"/>
        <v>127.5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129</v>
      </c>
      <c r="C90" s="70">
        <v>127</v>
      </c>
      <c r="D90" s="70">
        <v>125.7</v>
      </c>
      <c r="E90" s="70">
        <v>130.1</v>
      </c>
      <c r="F90" s="70">
        <v>132.4</v>
      </c>
      <c r="G90" s="70">
        <v>130</v>
      </c>
      <c r="H90" s="70">
        <v>130.19999999999999</v>
      </c>
      <c r="I90" s="70">
        <v>131.9</v>
      </c>
      <c r="J90" s="70">
        <v>131.9</v>
      </c>
      <c r="K90" s="70">
        <v>127.8</v>
      </c>
      <c r="L90" s="70">
        <v>126.6</v>
      </c>
      <c r="M90" s="70">
        <v>126</v>
      </c>
      <c r="N90" s="70">
        <v>126</v>
      </c>
      <c r="O90" s="70">
        <v>126</v>
      </c>
      <c r="P90" s="70">
        <v>131</v>
      </c>
      <c r="Q90" s="70">
        <v>124</v>
      </c>
      <c r="R90" s="70">
        <v>126</v>
      </c>
      <c r="S90" s="70">
        <v>126.2</v>
      </c>
      <c r="T90" s="70">
        <v>126.6</v>
      </c>
      <c r="U90" s="70">
        <v>132</v>
      </c>
      <c r="V90" s="70">
        <v>126</v>
      </c>
      <c r="W90" s="70">
        <v>130</v>
      </c>
      <c r="X90" s="70">
        <v>130</v>
      </c>
      <c r="Y90" s="70">
        <v>129.6</v>
      </c>
      <c r="Z90" s="70">
        <v>129.30000000000001</v>
      </c>
      <c r="AA90" s="70">
        <v>128.30000000000001</v>
      </c>
      <c r="AB90" s="70">
        <v>129</v>
      </c>
      <c r="AC90" s="70">
        <v>128</v>
      </c>
      <c r="AD90" s="70">
        <v>128</v>
      </c>
      <c r="AE90" s="70">
        <v>128</v>
      </c>
      <c r="AF90" s="70">
        <v>127</v>
      </c>
      <c r="AG90" s="93"/>
      <c r="AH90" s="54">
        <f t="shared" si="11"/>
        <v>132.4</v>
      </c>
      <c r="AI90" s="55">
        <f t="shared" si="12"/>
        <v>124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</v>
      </c>
      <c r="C91" s="97">
        <v>64.599999999999994</v>
      </c>
      <c r="D91" s="97">
        <v>65</v>
      </c>
      <c r="E91" s="97">
        <v>64.7</v>
      </c>
      <c r="F91" s="97">
        <v>65</v>
      </c>
      <c r="G91" s="97">
        <v>65</v>
      </c>
      <c r="H91" s="97">
        <v>64.5</v>
      </c>
      <c r="I91" s="97">
        <v>127.6</v>
      </c>
      <c r="J91" s="97">
        <v>127.6</v>
      </c>
      <c r="K91" s="97">
        <v>125.5</v>
      </c>
      <c r="L91" s="97">
        <v>63.3</v>
      </c>
      <c r="M91" s="97">
        <v>63.5</v>
      </c>
      <c r="N91" s="97">
        <v>63.5</v>
      </c>
      <c r="O91" s="97">
        <v>63.5</v>
      </c>
      <c r="P91" s="97">
        <v>62.7</v>
      </c>
      <c r="Q91" s="97">
        <v>63</v>
      </c>
      <c r="R91" s="97">
        <v>62.7</v>
      </c>
      <c r="S91" s="97">
        <v>63.1</v>
      </c>
      <c r="T91" s="97">
        <v>63.6</v>
      </c>
      <c r="U91" s="97">
        <v>63.7</v>
      </c>
      <c r="V91" s="97">
        <v>64</v>
      </c>
      <c r="W91" s="97">
        <v>64.400000000000006</v>
      </c>
      <c r="X91" s="97">
        <v>64.400000000000006</v>
      </c>
      <c r="Y91" s="97">
        <v>64.900000000000006</v>
      </c>
      <c r="Z91" s="97">
        <v>64.599999999999994</v>
      </c>
      <c r="AA91" s="97">
        <v>64.400000000000006</v>
      </c>
      <c r="AB91" s="97">
        <v>65</v>
      </c>
      <c r="AC91" s="97">
        <v>65</v>
      </c>
      <c r="AD91" s="97">
        <v>65</v>
      </c>
      <c r="AE91" s="97">
        <v>65</v>
      </c>
      <c r="AF91" s="97">
        <v>65.400000000000006</v>
      </c>
      <c r="AG91" s="98"/>
      <c r="AH91" s="54">
        <f t="shared" si="11"/>
        <v>127.6</v>
      </c>
      <c r="AI91" s="55">
        <f t="shared" si="12"/>
        <v>62.7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152.83999999999997</v>
      </c>
      <c r="C93" s="103">
        <f t="shared" si="15"/>
        <v>140.44</v>
      </c>
      <c r="D93" s="103">
        <f t="shared" si="15"/>
        <v>138.54</v>
      </c>
      <c r="E93" s="103">
        <f t="shared" si="15"/>
        <v>137.63999999999999</v>
      </c>
      <c r="F93" s="103">
        <f t="shared" si="15"/>
        <v>136.04</v>
      </c>
      <c r="G93" s="103">
        <f t="shared" si="15"/>
        <v>176.73999999999998</v>
      </c>
      <c r="H93" s="103">
        <f t="shared" si="15"/>
        <v>224.73999999999998</v>
      </c>
      <c r="I93" s="103">
        <f t="shared" si="15"/>
        <v>220.04</v>
      </c>
      <c r="J93" s="103">
        <f t="shared" si="15"/>
        <v>221.04</v>
      </c>
      <c r="K93" s="103">
        <f>SUM(K15,K18,K21:K22,K42,K44:K45,K47,K49,K94:K97,K103,K109,K115,K124,K126,K138,K145,K148:K149,K156,K158,K160,K164:K166,K168:K170,K175,K181:K182,K184:K186,K194,K199)</f>
        <v>259.1400000000001</v>
      </c>
      <c r="L93" s="103">
        <f>SUM(L15,L18,L21:L22,L42,L44:L45,L47,L49,L94:L97,L103,L109,L115,L124,L126,L138,L145,L148:L149,L156,L158,L160,L164:L166,L168:L170,L175,L181:L182,L184:L186,L194,L199)</f>
        <v>295.84000000000003</v>
      </c>
      <c r="M93" s="103">
        <f t="shared" si="15"/>
        <v>299.04000000000008</v>
      </c>
      <c r="N93" s="103">
        <f t="shared" si="15"/>
        <v>308.04000000000008</v>
      </c>
      <c r="O93" s="103">
        <f t="shared" si="15"/>
        <v>304.04000000000008</v>
      </c>
      <c r="P93" s="103">
        <f t="shared" si="15"/>
        <v>304.04000000000008</v>
      </c>
      <c r="Q93" s="103">
        <f t="shared" si="15"/>
        <v>302.04000000000008</v>
      </c>
      <c r="R93" s="103">
        <f t="shared" si="15"/>
        <v>298.04000000000008</v>
      </c>
      <c r="S93" s="103">
        <f t="shared" si="15"/>
        <v>292.94000000000005</v>
      </c>
      <c r="T93" s="103">
        <f t="shared" si="15"/>
        <v>309.44000000000005</v>
      </c>
      <c r="U93" s="103">
        <f t="shared" si="15"/>
        <v>314.14000000000004</v>
      </c>
      <c r="V93" s="103">
        <f t="shared" si="15"/>
        <v>304.64000000000004</v>
      </c>
      <c r="W93" s="103">
        <f>SUM(W15,W18,W21:W22,W42,W44:W45,W47,W49,W94:W97,W103,W109,W115,W124,W126,W138,W145,W148:W149,W156,W158,W160,W164:W166,W168:W170,W175,W181:W182,W184:W186,W194,W199)</f>
        <v>309.34000000000003</v>
      </c>
      <c r="X93" s="103">
        <f>SUM(X15,X18,X21:X22,X42,X44:X45,X47,X49,X94:X97,X103,X109,X115,X124,X126,X138,X145,X148:X149,X156,X158,X160,X164:X166,X168:X170,X175,X181:X182,X184:X186,X194,X199)</f>
        <v>307.54000000000002</v>
      </c>
      <c r="Y93" s="103">
        <f t="shared" si="15"/>
        <v>320.34000000000003</v>
      </c>
      <c r="Z93" s="103">
        <f t="shared" si="15"/>
        <v>340.54000000000008</v>
      </c>
      <c r="AA93" s="103">
        <f t="shared" si="15"/>
        <v>366.84000000000003</v>
      </c>
      <c r="AB93" s="103">
        <f t="shared" si="15"/>
        <v>333.14000000000004</v>
      </c>
      <c r="AC93" s="103">
        <f t="shared" si="15"/>
        <v>308.14000000000004</v>
      </c>
      <c r="AD93" s="103">
        <f t="shared" si="15"/>
        <v>284.14000000000004</v>
      </c>
      <c r="AE93" s="103">
        <f t="shared" si="15"/>
        <v>220.14</v>
      </c>
      <c r="AF93" s="103">
        <f t="shared" si="15"/>
        <v>176.04</v>
      </c>
      <c r="AG93" s="104"/>
      <c r="AH93" s="54">
        <f>MAX(C93:AF93)</f>
        <v>366.84000000000003</v>
      </c>
      <c r="AI93" s="55">
        <f>MIN(C93:AF93)</f>
        <v>136.04</v>
      </c>
    </row>
    <row r="94" spans="1:88" x14ac:dyDescent="0.25">
      <c r="A94" s="105" t="s">
        <v>99</v>
      </c>
      <c r="B94" s="106">
        <v>15</v>
      </c>
      <c r="C94" s="106">
        <v>29.5</v>
      </c>
      <c r="D94" s="106">
        <v>38.799999999999997</v>
      </c>
      <c r="E94" s="106">
        <v>34.5</v>
      </c>
      <c r="F94" s="106">
        <v>30.1</v>
      </c>
      <c r="G94" s="106">
        <v>34.9</v>
      </c>
      <c r="H94" s="106">
        <v>38.799999999999997</v>
      </c>
      <c r="I94" s="106">
        <v>31.5</v>
      </c>
      <c r="J94" s="106">
        <v>32.5</v>
      </c>
      <c r="K94" s="106">
        <v>38</v>
      </c>
      <c r="L94" s="106">
        <v>41.6</v>
      </c>
      <c r="M94" s="106">
        <v>43</v>
      </c>
      <c r="N94" s="106">
        <v>52</v>
      </c>
      <c r="O94" s="106">
        <v>50</v>
      </c>
      <c r="P94" s="106">
        <v>49</v>
      </c>
      <c r="Q94" s="106">
        <v>40</v>
      </c>
      <c r="R94" s="106">
        <v>44</v>
      </c>
      <c r="S94" s="106">
        <v>48.1</v>
      </c>
      <c r="T94" s="106">
        <v>51.7</v>
      </c>
      <c r="U94" s="106">
        <v>54</v>
      </c>
      <c r="V94" s="106">
        <v>47.5</v>
      </c>
      <c r="W94" s="106">
        <v>46</v>
      </c>
      <c r="X94" s="106">
        <v>43</v>
      </c>
      <c r="Y94" s="106">
        <v>40.700000000000003</v>
      </c>
      <c r="Z94" s="106">
        <v>39.9</v>
      </c>
      <c r="AA94" s="106">
        <v>49.2</v>
      </c>
      <c r="AB94" s="106">
        <v>42</v>
      </c>
      <c r="AC94" s="106">
        <v>48</v>
      </c>
      <c r="AD94" s="106">
        <v>45</v>
      </c>
      <c r="AE94" s="106">
        <v>40</v>
      </c>
      <c r="AF94" s="106">
        <v>33</v>
      </c>
      <c r="AG94" s="107">
        <v>75</v>
      </c>
      <c r="AH94" s="54">
        <f t="shared" ref="AH94:AH100" si="16">IF(ABS(MAX(C94:AF94))&gt;ABS(MIN(C94:AF94)),MAX(C94:AF94),MIN(C94:AF94))</f>
        <v>54</v>
      </c>
      <c r="AI94" s="108">
        <f t="shared" ref="AI94:AI100" si="17">INDEX($C$9:$AF$9,1,MATCH(AH94,C94:AF94,0))</f>
        <v>0.66666666666666696</v>
      </c>
    </row>
    <row r="95" spans="1:88" x14ac:dyDescent="0.25">
      <c r="A95" s="109" t="s">
        <v>100</v>
      </c>
      <c r="B95" s="110">
        <v>-119</v>
      </c>
      <c r="C95" s="110">
        <v>-106</v>
      </c>
      <c r="D95" s="110">
        <f>-56.7-61.3</f>
        <v>-118</v>
      </c>
      <c r="E95" s="110">
        <f>-55.2-59.7</f>
        <v>-114.9</v>
      </c>
      <c r="F95" s="110">
        <f>-51.7-56.3</f>
        <v>-108</v>
      </c>
      <c r="G95" s="110">
        <f>-38.8-42.7</f>
        <v>-81.5</v>
      </c>
      <c r="H95" s="110">
        <f>-45-49.2</f>
        <v>-94.2</v>
      </c>
      <c r="I95" s="110">
        <f>-43.6-46.8</f>
        <v>-90.4</v>
      </c>
      <c r="J95" s="110">
        <f t="shared" ref="J95" si="18">-43.6-46.8</f>
        <v>-90.4</v>
      </c>
      <c r="K95" s="110">
        <f>-36.7-40.1</f>
        <v>-76.800000000000011</v>
      </c>
      <c r="L95" s="110">
        <f>-27.9-32.5</f>
        <v>-60.4</v>
      </c>
      <c r="M95" s="110">
        <v>-63</v>
      </c>
      <c r="N95" s="110">
        <v>-60</v>
      </c>
      <c r="O95" s="110">
        <v>-55</v>
      </c>
      <c r="P95" s="110">
        <v>-59</v>
      </c>
      <c r="Q95" s="110">
        <v>-57</v>
      </c>
      <c r="R95" s="110">
        <v>-62</v>
      </c>
      <c r="S95" s="110">
        <v>-70.2</v>
      </c>
      <c r="T95" s="110">
        <v>-64</v>
      </c>
      <c r="U95" s="110">
        <v>-57</v>
      </c>
      <c r="V95" s="110">
        <v>-53</v>
      </c>
      <c r="W95" s="110">
        <v>-51.8</v>
      </c>
      <c r="X95" s="110">
        <v>-53</v>
      </c>
      <c r="Y95" s="110">
        <v>-45</v>
      </c>
      <c r="Z95" s="110">
        <v>-40</v>
      </c>
      <c r="AA95" s="110">
        <v>-29</v>
      </c>
      <c r="AB95" s="110">
        <v>-42</v>
      </c>
      <c r="AC95" s="110">
        <v>-52</v>
      </c>
      <c r="AD95" s="110">
        <v>-69</v>
      </c>
      <c r="AE95" s="110">
        <v>-93</v>
      </c>
      <c r="AF95" s="110">
        <v>-87</v>
      </c>
      <c r="AG95" s="107">
        <v>240</v>
      </c>
      <c r="AH95" s="54">
        <f t="shared" si="16"/>
        <v>-118</v>
      </c>
      <c r="AI95" s="108">
        <f t="shared" si="17"/>
        <v>8.3333333333333301E-2</v>
      </c>
    </row>
    <row r="96" spans="1:88" x14ac:dyDescent="0.25">
      <c r="A96" s="109" t="s">
        <v>101</v>
      </c>
      <c r="B96" s="110">
        <v>4</v>
      </c>
      <c r="C96" s="110">
        <v>-4.5999999999999996</v>
      </c>
      <c r="D96" s="110">
        <v>-3.8</v>
      </c>
      <c r="E96" s="110">
        <v>-3.5</v>
      </c>
      <c r="F96" s="110">
        <v>-7.8</v>
      </c>
      <c r="G96" s="110">
        <v>1.6</v>
      </c>
      <c r="H96" s="110">
        <v>1.1000000000000001</v>
      </c>
      <c r="I96" s="110">
        <v>1.5</v>
      </c>
      <c r="J96" s="110">
        <v>1.5</v>
      </c>
      <c r="K96" s="110">
        <v>2.2999999999999998</v>
      </c>
      <c r="L96" s="110">
        <v>13.5</v>
      </c>
      <c r="M96" s="110">
        <v>12</v>
      </c>
      <c r="N96" s="110">
        <v>12</v>
      </c>
      <c r="O96" s="110">
        <v>15</v>
      </c>
      <c r="P96" s="110">
        <v>18</v>
      </c>
      <c r="Q96" s="110">
        <v>28</v>
      </c>
      <c r="R96" s="110">
        <v>31</v>
      </c>
      <c r="S96" s="110">
        <v>26.3</v>
      </c>
      <c r="T96" s="110">
        <v>42.7</v>
      </c>
      <c r="U96" s="110">
        <v>40.4</v>
      </c>
      <c r="V96" s="110">
        <v>40.700000000000003</v>
      </c>
      <c r="W96" s="110">
        <v>35</v>
      </c>
      <c r="X96" s="110">
        <v>36</v>
      </c>
      <c r="Y96" s="110">
        <v>36.1</v>
      </c>
      <c r="Z96" s="110">
        <v>48.4</v>
      </c>
      <c r="AA96" s="110">
        <v>51.9</v>
      </c>
      <c r="AB96" s="110">
        <v>44</v>
      </c>
      <c r="AC96" s="110">
        <v>35</v>
      </c>
      <c r="AD96" s="110">
        <v>32</v>
      </c>
      <c r="AE96" s="110">
        <v>20</v>
      </c>
      <c r="AF96" s="110">
        <v>3.9</v>
      </c>
      <c r="AG96" s="107">
        <v>60</v>
      </c>
      <c r="AH96" s="54">
        <f t="shared" si="16"/>
        <v>51.9</v>
      </c>
      <c r="AI96" s="108">
        <f t="shared" si="17"/>
        <v>0.8125</v>
      </c>
    </row>
    <row r="97" spans="1:37" x14ac:dyDescent="0.25">
      <c r="A97" s="111" t="s">
        <v>102</v>
      </c>
      <c r="B97" s="112">
        <v>31.6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57.5</v>
      </c>
      <c r="I97" s="112">
        <v>55.9</v>
      </c>
      <c r="J97" s="112">
        <v>55.9</v>
      </c>
      <c r="K97" s="112">
        <v>74.599999999999994</v>
      </c>
      <c r="L97" s="112">
        <v>80.099999999999994</v>
      </c>
      <c r="M97" s="112">
        <v>78</v>
      </c>
      <c r="N97" s="112">
        <v>75</v>
      </c>
      <c r="O97" s="112">
        <v>65</v>
      </c>
      <c r="P97" s="112">
        <v>67</v>
      </c>
      <c r="Q97" s="112">
        <v>62</v>
      </c>
      <c r="R97" s="112">
        <v>56</v>
      </c>
      <c r="S97" s="112">
        <v>59.2</v>
      </c>
      <c r="T97" s="112">
        <v>49.5</v>
      </c>
      <c r="U97" s="112">
        <v>47</v>
      </c>
      <c r="V97" s="112">
        <v>39.700000000000003</v>
      </c>
      <c r="W97" s="112">
        <v>50.4</v>
      </c>
      <c r="X97" s="112">
        <v>51.8</v>
      </c>
      <c r="Y97" s="112">
        <v>58.8</v>
      </c>
      <c r="Z97" s="112">
        <v>62.5</v>
      </c>
      <c r="AA97" s="112">
        <v>68.599999999999994</v>
      </c>
      <c r="AB97" s="112">
        <v>63</v>
      </c>
      <c r="AC97" s="112">
        <v>51</v>
      </c>
      <c r="AD97" s="112">
        <v>50</v>
      </c>
      <c r="AE97" s="112">
        <v>27</v>
      </c>
      <c r="AF97" s="112">
        <v>0</v>
      </c>
      <c r="AG97" s="113">
        <v>120</v>
      </c>
      <c r="AH97" s="54">
        <f t="shared" si="16"/>
        <v>80.099999999999994</v>
      </c>
      <c r="AI97" s="108">
        <f t="shared" si="17"/>
        <v>0.3125</v>
      </c>
    </row>
    <row r="98" spans="1:37" x14ac:dyDescent="0.25">
      <c r="A98" s="111" t="s">
        <v>103</v>
      </c>
      <c r="B98" s="112">
        <v>57.8</v>
      </c>
      <c r="C98" s="112">
        <v>63.7</v>
      </c>
      <c r="D98" s="112">
        <v>54</v>
      </c>
      <c r="E98" s="112">
        <v>62.6</v>
      </c>
      <c r="F98" s="112">
        <v>65.400000000000006</v>
      </c>
      <c r="G98" s="112">
        <v>71.7</v>
      </c>
      <c r="H98" s="112">
        <v>57.5</v>
      </c>
      <c r="I98" s="112">
        <v>69.3</v>
      </c>
      <c r="J98" s="112">
        <v>69.3</v>
      </c>
      <c r="K98" s="112">
        <v>79.400000000000006</v>
      </c>
      <c r="L98" s="112">
        <v>79.599999999999994</v>
      </c>
      <c r="M98" s="112">
        <v>73</v>
      </c>
      <c r="N98" s="112">
        <v>78</v>
      </c>
      <c r="O98" s="112">
        <v>65</v>
      </c>
      <c r="P98" s="112">
        <v>72</v>
      </c>
      <c r="Q98" s="112">
        <v>62</v>
      </c>
      <c r="R98" s="112">
        <v>65</v>
      </c>
      <c r="S98" s="112">
        <v>69.599999999999994</v>
      </c>
      <c r="T98" s="112">
        <v>62.8</v>
      </c>
      <c r="U98" s="112">
        <v>53.8</v>
      </c>
      <c r="V98" s="112">
        <v>44</v>
      </c>
      <c r="W98" s="112">
        <v>59.9</v>
      </c>
      <c r="X98" s="112">
        <v>61.7</v>
      </c>
      <c r="Y98" s="112">
        <v>65.5</v>
      </c>
      <c r="Z98" s="112">
        <v>60.3</v>
      </c>
      <c r="AA98" s="112">
        <v>58.6</v>
      </c>
      <c r="AB98" s="112">
        <v>59</v>
      </c>
      <c r="AC98" s="112">
        <v>50</v>
      </c>
      <c r="AD98" s="112">
        <v>54</v>
      </c>
      <c r="AE98" s="112">
        <v>44</v>
      </c>
      <c r="AF98" s="112">
        <v>47</v>
      </c>
      <c r="AG98" s="113"/>
      <c r="AH98" s="54">
        <f t="shared" si="16"/>
        <v>79.599999999999994</v>
      </c>
      <c r="AI98" s="108">
        <f t="shared" si="17"/>
        <v>0.3125</v>
      </c>
    </row>
    <row r="99" spans="1:37" x14ac:dyDescent="0.25">
      <c r="A99" s="111" t="s">
        <v>104</v>
      </c>
      <c r="B99" s="112">
        <v>90.3</v>
      </c>
      <c r="C99" s="112">
        <v>72</v>
      </c>
      <c r="D99" s="112">
        <v>53.5</v>
      </c>
      <c r="E99" s="112">
        <v>59.3</v>
      </c>
      <c r="F99" s="112">
        <v>76</v>
      </c>
      <c r="G99" s="112">
        <v>72.7</v>
      </c>
      <c r="H99" s="112">
        <v>58.5</v>
      </c>
      <c r="I99" s="112">
        <v>73.8</v>
      </c>
      <c r="J99" s="112">
        <v>73.8</v>
      </c>
      <c r="K99" s="112">
        <v>66.8</v>
      </c>
      <c r="L99" s="112">
        <v>71.400000000000006</v>
      </c>
      <c r="M99" s="112">
        <v>64</v>
      </c>
      <c r="N99" s="112">
        <v>62</v>
      </c>
      <c r="O99" s="112">
        <v>66</v>
      </c>
      <c r="P99" s="112">
        <v>61</v>
      </c>
      <c r="Q99" s="112">
        <v>80</v>
      </c>
      <c r="R99" s="112">
        <v>63</v>
      </c>
      <c r="S99" s="112">
        <v>48</v>
      </c>
      <c r="T99" s="112">
        <v>65.2</v>
      </c>
      <c r="U99" s="112">
        <v>48.4</v>
      </c>
      <c r="V99" s="112">
        <v>59.6</v>
      </c>
      <c r="W99" s="112">
        <v>63.7</v>
      </c>
      <c r="X99" s="112">
        <v>71</v>
      </c>
      <c r="Y99" s="112">
        <v>72.400000000000006</v>
      </c>
      <c r="Z99" s="112">
        <v>68</v>
      </c>
      <c r="AA99" s="112">
        <v>52.5</v>
      </c>
      <c r="AB99" s="112">
        <v>65</v>
      </c>
      <c r="AC99" s="112">
        <v>47</v>
      </c>
      <c r="AD99" s="112">
        <v>56</v>
      </c>
      <c r="AE99" s="112">
        <v>70</v>
      </c>
      <c r="AF99" s="112">
        <v>70</v>
      </c>
      <c r="AG99" s="114"/>
      <c r="AH99" s="54">
        <f t="shared" si="16"/>
        <v>80</v>
      </c>
      <c r="AI99" s="108">
        <f t="shared" si="17"/>
        <v>0.5</v>
      </c>
    </row>
    <row r="100" spans="1:37" ht="15.75" thickBot="1" x14ac:dyDescent="0.3">
      <c r="A100" s="115" t="s">
        <v>105</v>
      </c>
      <c r="B100" s="95">
        <v>70.5</v>
      </c>
      <c r="C100" s="95">
        <v>62.9</v>
      </c>
      <c r="D100" s="95">
        <v>53</v>
      </c>
      <c r="E100" s="95">
        <v>60.6</v>
      </c>
      <c r="F100" s="95">
        <v>58.2</v>
      </c>
      <c r="G100" s="95">
        <v>48.2</v>
      </c>
      <c r="H100" s="95">
        <v>49</v>
      </c>
      <c r="I100" s="95">
        <v>48.3</v>
      </c>
      <c r="J100" s="95">
        <v>48.3</v>
      </c>
      <c r="K100" s="95">
        <v>69</v>
      </c>
      <c r="L100" s="95">
        <v>82.1</v>
      </c>
      <c r="M100" s="95">
        <v>80</v>
      </c>
      <c r="N100" s="95">
        <v>53</v>
      </c>
      <c r="O100" s="95">
        <v>50</v>
      </c>
      <c r="P100" s="95">
        <v>57</v>
      </c>
      <c r="Q100" s="95">
        <v>50</v>
      </c>
      <c r="R100" s="95">
        <v>57</v>
      </c>
      <c r="S100" s="95">
        <v>52.4</v>
      </c>
      <c r="T100" s="95">
        <v>58.8</v>
      </c>
      <c r="U100" s="95">
        <v>54.4</v>
      </c>
      <c r="V100" s="95">
        <v>45.9</v>
      </c>
      <c r="W100" s="95">
        <v>43.6</v>
      </c>
      <c r="X100" s="95">
        <v>23</v>
      </c>
      <c r="Y100" s="95">
        <v>30.8</v>
      </c>
      <c r="Z100" s="95">
        <v>60.2</v>
      </c>
      <c r="AA100" s="95">
        <v>74.5</v>
      </c>
      <c r="AB100" s="95">
        <v>72</v>
      </c>
      <c r="AC100" s="95">
        <v>73</v>
      </c>
      <c r="AD100" s="95">
        <v>75</v>
      </c>
      <c r="AE100" s="95">
        <v>76</v>
      </c>
      <c r="AF100" s="95">
        <v>76</v>
      </c>
      <c r="AG100" s="114"/>
      <c r="AH100" s="54">
        <f t="shared" si="16"/>
        <v>82.1</v>
      </c>
      <c r="AI100" s="108">
        <f t="shared" si="17"/>
        <v>0.3125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9">AF102</f>
        <v>9.9</v>
      </c>
      <c r="C102" s="53">
        <v>9.9</v>
      </c>
      <c r="D102" s="121">
        <f t="shared" ref="D102:S107" si="20">C102</f>
        <v>9.9</v>
      </c>
      <c r="E102" s="121">
        <f t="shared" si="20"/>
        <v>9.9</v>
      </c>
      <c r="F102" s="121">
        <f t="shared" si="20"/>
        <v>9.9</v>
      </c>
      <c r="G102" s="121">
        <f t="shared" si="20"/>
        <v>9.9</v>
      </c>
      <c r="H102" s="121">
        <f t="shared" si="20"/>
        <v>9.9</v>
      </c>
      <c r="I102" s="121">
        <f t="shared" si="20"/>
        <v>9.9</v>
      </c>
      <c r="J102" s="121">
        <f t="shared" si="20"/>
        <v>9.9</v>
      </c>
      <c r="K102" s="121">
        <f t="shared" si="20"/>
        <v>9.9</v>
      </c>
      <c r="L102" s="121">
        <f t="shared" si="20"/>
        <v>9.9</v>
      </c>
      <c r="M102" s="121">
        <f t="shared" si="20"/>
        <v>9.9</v>
      </c>
      <c r="N102" s="121">
        <f t="shared" si="20"/>
        <v>9.9</v>
      </c>
      <c r="O102" s="121">
        <f t="shared" si="20"/>
        <v>9.9</v>
      </c>
      <c r="P102" s="121">
        <f t="shared" si="20"/>
        <v>9.9</v>
      </c>
      <c r="Q102" s="121">
        <f t="shared" si="20"/>
        <v>9.9</v>
      </c>
      <c r="R102" s="121">
        <f t="shared" si="20"/>
        <v>9.9</v>
      </c>
      <c r="S102" s="121">
        <f t="shared" si="20"/>
        <v>9.9</v>
      </c>
      <c r="T102" s="121">
        <f t="shared" ref="T102:AF107" si="21">S102</f>
        <v>9.9</v>
      </c>
      <c r="U102" s="121">
        <f t="shared" si="21"/>
        <v>9.9</v>
      </c>
      <c r="V102" s="121">
        <f t="shared" si="21"/>
        <v>9.9</v>
      </c>
      <c r="W102" s="121">
        <f t="shared" si="21"/>
        <v>9.9</v>
      </c>
      <c r="X102" s="121">
        <f t="shared" si="21"/>
        <v>9.9</v>
      </c>
      <c r="Y102" s="121">
        <f t="shared" si="21"/>
        <v>9.9</v>
      </c>
      <c r="Z102" s="121">
        <f t="shared" si="21"/>
        <v>9.9</v>
      </c>
      <c r="AA102" s="121">
        <f t="shared" si="21"/>
        <v>9.9</v>
      </c>
      <c r="AB102" s="121">
        <f t="shared" si="21"/>
        <v>9.9</v>
      </c>
      <c r="AC102" s="121">
        <f t="shared" si="21"/>
        <v>9.9</v>
      </c>
      <c r="AD102" s="121">
        <f t="shared" si="21"/>
        <v>9.9</v>
      </c>
      <c r="AE102" s="121">
        <f t="shared" si="21"/>
        <v>9.9</v>
      </c>
      <c r="AF102" s="121">
        <f t="shared" si="21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9"/>
        <v>9.6</v>
      </c>
      <c r="C103" s="124">
        <v>9.6</v>
      </c>
      <c r="D103" s="123">
        <f t="shared" si="20"/>
        <v>9.6</v>
      </c>
      <c r="E103" s="123">
        <f t="shared" si="20"/>
        <v>9.6</v>
      </c>
      <c r="F103" s="123">
        <f t="shared" si="20"/>
        <v>9.6</v>
      </c>
      <c r="G103" s="123">
        <f t="shared" si="20"/>
        <v>9.6</v>
      </c>
      <c r="H103" s="123">
        <f t="shared" si="20"/>
        <v>9.6</v>
      </c>
      <c r="I103" s="123">
        <f t="shared" si="20"/>
        <v>9.6</v>
      </c>
      <c r="J103" s="123">
        <f t="shared" si="20"/>
        <v>9.6</v>
      </c>
      <c r="K103" s="123">
        <f t="shared" si="20"/>
        <v>9.6</v>
      </c>
      <c r="L103" s="123">
        <f t="shared" si="20"/>
        <v>9.6</v>
      </c>
      <c r="M103" s="123">
        <f t="shared" si="20"/>
        <v>9.6</v>
      </c>
      <c r="N103" s="123">
        <f t="shared" si="20"/>
        <v>9.6</v>
      </c>
      <c r="O103" s="123">
        <f t="shared" si="20"/>
        <v>9.6</v>
      </c>
      <c r="P103" s="123">
        <f t="shared" si="20"/>
        <v>9.6</v>
      </c>
      <c r="Q103" s="123">
        <f t="shared" si="20"/>
        <v>9.6</v>
      </c>
      <c r="R103" s="123">
        <f t="shared" si="20"/>
        <v>9.6</v>
      </c>
      <c r="S103" s="123">
        <f t="shared" si="20"/>
        <v>9.6</v>
      </c>
      <c r="T103" s="123">
        <f t="shared" si="21"/>
        <v>9.6</v>
      </c>
      <c r="U103" s="123">
        <f t="shared" si="21"/>
        <v>9.6</v>
      </c>
      <c r="V103" s="123">
        <f t="shared" si="21"/>
        <v>9.6</v>
      </c>
      <c r="W103" s="123">
        <f t="shared" si="21"/>
        <v>9.6</v>
      </c>
      <c r="X103" s="123">
        <f t="shared" si="21"/>
        <v>9.6</v>
      </c>
      <c r="Y103" s="123">
        <f t="shared" si="21"/>
        <v>9.6</v>
      </c>
      <c r="Z103" s="123">
        <f t="shared" si="21"/>
        <v>9.6</v>
      </c>
      <c r="AA103" s="123">
        <f t="shared" si="21"/>
        <v>9.6</v>
      </c>
      <c r="AB103" s="123">
        <f t="shared" si="21"/>
        <v>9.6</v>
      </c>
      <c r="AC103" s="123">
        <f t="shared" si="21"/>
        <v>9.6</v>
      </c>
      <c r="AD103" s="123">
        <f t="shared" si="21"/>
        <v>9.6</v>
      </c>
      <c r="AE103" s="123">
        <f t="shared" si="21"/>
        <v>9.6</v>
      </c>
      <c r="AF103" s="123">
        <f t="shared" si="21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9"/>
        <v>9.98</v>
      </c>
      <c r="C104" s="124">
        <v>9.98</v>
      </c>
      <c r="D104" s="123">
        <f t="shared" si="20"/>
        <v>9.98</v>
      </c>
      <c r="E104" s="123">
        <f t="shared" si="20"/>
        <v>9.98</v>
      </c>
      <c r="F104" s="123">
        <f t="shared" si="20"/>
        <v>9.98</v>
      </c>
      <c r="G104" s="123">
        <f t="shared" si="20"/>
        <v>9.98</v>
      </c>
      <c r="H104" s="123">
        <f t="shared" si="20"/>
        <v>9.98</v>
      </c>
      <c r="I104" s="123">
        <f t="shared" si="20"/>
        <v>9.98</v>
      </c>
      <c r="J104" s="123">
        <f t="shared" si="20"/>
        <v>9.98</v>
      </c>
      <c r="K104" s="123">
        <f t="shared" si="20"/>
        <v>9.98</v>
      </c>
      <c r="L104" s="123">
        <f t="shared" si="20"/>
        <v>9.98</v>
      </c>
      <c r="M104" s="123">
        <f t="shared" si="20"/>
        <v>9.98</v>
      </c>
      <c r="N104" s="123">
        <f t="shared" si="20"/>
        <v>9.98</v>
      </c>
      <c r="O104" s="123">
        <f t="shared" si="20"/>
        <v>9.98</v>
      </c>
      <c r="P104" s="123">
        <f t="shared" si="20"/>
        <v>9.98</v>
      </c>
      <c r="Q104" s="123">
        <f t="shared" si="20"/>
        <v>9.98</v>
      </c>
      <c r="R104" s="123">
        <f t="shared" si="20"/>
        <v>9.98</v>
      </c>
      <c r="S104" s="123">
        <f t="shared" si="20"/>
        <v>9.98</v>
      </c>
      <c r="T104" s="123">
        <f t="shared" si="21"/>
        <v>9.98</v>
      </c>
      <c r="U104" s="123">
        <f t="shared" si="21"/>
        <v>9.98</v>
      </c>
      <c r="V104" s="123">
        <f t="shared" si="21"/>
        <v>9.98</v>
      </c>
      <c r="W104" s="123">
        <f t="shared" si="21"/>
        <v>9.98</v>
      </c>
      <c r="X104" s="123">
        <f t="shared" si="21"/>
        <v>9.98</v>
      </c>
      <c r="Y104" s="123">
        <f t="shared" si="21"/>
        <v>9.98</v>
      </c>
      <c r="Z104" s="123">
        <f t="shared" si="21"/>
        <v>9.98</v>
      </c>
      <c r="AA104" s="123">
        <f t="shared" si="21"/>
        <v>9.98</v>
      </c>
      <c r="AB104" s="123">
        <f t="shared" si="21"/>
        <v>9.98</v>
      </c>
      <c r="AC104" s="123">
        <f t="shared" si="21"/>
        <v>9.98</v>
      </c>
      <c r="AD104" s="123">
        <f t="shared" si="21"/>
        <v>9.98</v>
      </c>
      <c r="AE104" s="123">
        <f t="shared" si="21"/>
        <v>9.98</v>
      </c>
      <c r="AF104" s="123">
        <f t="shared" si="21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9"/>
        <v>9.1</v>
      </c>
      <c r="C105" s="124">
        <v>9.1</v>
      </c>
      <c r="D105" s="123">
        <f t="shared" si="20"/>
        <v>9.1</v>
      </c>
      <c r="E105" s="123">
        <f t="shared" si="20"/>
        <v>9.1</v>
      </c>
      <c r="F105" s="123">
        <f t="shared" si="20"/>
        <v>9.1</v>
      </c>
      <c r="G105" s="123">
        <f t="shared" si="20"/>
        <v>9.1</v>
      </c>
      <c r="H105" s="123">
        <f t="shared" si="20"/>
        <v>9.1</v>
      </c>
      <c r="I105" s="123">
        <f t="shared" si="20"/>
        <v>9.1</v>
      </c>
      <c r="J105" s="123">
        <f t="shared" si="20"/>
        <v>9.1</v>
      </c>
      <c r="K105" s="123">
        <f t="shared" si="20"/>
        <v>9.1</v>
      </c>
      <c r="L105" s="123">
        <f t="shared" si="20"/>
        <v>9.1</v>
      </c>
      <c r="M105" s="123">
        <f t="shared" si="20"/>
        <v>9.1</v>
      </c>
      <c r="N105" s="123">
        <f t="shared" si="20"/>
        <v>9.1</v>
      </c>
      <c r="O105" s="123">
        <f t="shared" si="20"/>
        <v>9.1</v>
      </c>
      <c r="P105" s="123">
        <f t="shared" si="20"/>
        <v>9.1</v>
      </c>
      <c r="Q105" s="123">
        <f t="shared" si="20"/>
        <v>9.1</v>
      </c>
      <c r="R105" s="123">
        <f t="shared" si="20"/>
        <v>9.1</v>
      </c>
      <c r="S105" s="123">
        <f t="shared" si="20"/>
        <v>9.1</v>
      </c>
      <c r="T105" s="123">
        <f t="shared" si="21"/>
        <v>9.1</v>
      </c>
      <c r="U105" s="123">
        <f t="shared" si="21"/>
        <v>9.1</v>
      </c>
      <c r="V105" s="123">
        <f t="shared" si="21"/>
        <v>9.1</v>
      </c>
      <c r="W105" s="123">
        <f t="shared" si="21"/>
        <v>9.1</v>
      </c>
      <c r="X105" s="123">
        <f t="shared" si="21"/>
        <v>9.1</v>
      </c>
      <c r="Y105" s="123">
        <f t="shared" si="21"/>
        <v>9.1</v>
      </c>
      <c r="Z105" s="123">
        <f t="shared" si="21"/>
        <v>9.1</v>
      </c>
      <c r="AA105" s="123">
        <f t="shared" si="21"/>
        <v>9.1</v>
      </c>
      <c r="AB105" s="123">
        <f t="shared" si="21"/>
        <v>9.1</v>
      </c>
      <c r="AC105" s="123">
        <f t="shared" si="21"/>
        <v>9.1</v>
      </c>
      <c r="AD105" s="123">
        <f t="shared" si="21"/>
        <v>9.1</v>
      </c>
      <c r="AE105" s="123">
        <f t="shared" si="21"/>
        <v>9.1</v>
      </c>
      <c r="AF105" s="123">
        <f t="shared" si="21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9"/>
        <v>9.18</v>
      </c>
      <c r="C106" s="124">
        <v>9.18</v>
      </c>
      <c r="D106" s="123">
        <f t="shared" si="20"/>
        <v>9.18</v>
      </c>
      <c r="E106" s="123">
        <f t="shared" si="20"/>
        <v>9.18</v>
      </c>
      <c r="F106" s="123">
        <f t="shared" si="20"/>
        <v>9.18</v>
      </c>
      <c r="G106" s="123">
        <f t="shared" si="20"/>
        <v>9.18</v>
      </c>
      <c r="H106" s="123">
        <f t="shared" si="20"/>
        <v>9.18</v>
      </c>
      <c r="I106" s="123">
        <f t="shared" si="20"/>
        <v>9.18</v>
      </c>
      <c r="J106" s="123">
        <f t="shared" si="20"/>
        <v>9.18</v>
      </c>
      <c r="K106" s="123">
        <f t="shared" si="20"/>
        <v>9.18</v>
      </c>
      <c r="L106" s="123">
        <f t="shared" si="20"/>
        <v>9.18</v>
      </c>
      <c r="M106" s="123">
        <f t="shared" si="20"/>
        <v>9.18</v>
      </c>
      <c r="N106" s="123">
        <f t="shared" si="20"/>
        <v>9.18</v>
      </c>
      <c r="O106" s="123">
        <f t="shared" si="20"/>
        <v>9.18</v>
      </c>
      <c r="P106" s="123">
        <f t="shared" si="20"/>
        <v>9.18</v>
      </c>
      <c r="Q106" s="123">
        <f t="shared" si="20"/>
        <v>9.18</v>
      </c>
      <c r="R106" s="123">
        <f t="shared" si="20"/>
        <v>9.18</v>
      </c>
      <c r="S106" s="123">
        <f t="shared" si="20"/>
        <v>9.18</v>
      </c>
      <c r="T106" s="123">
        <f t="shared" si="21"/>
        <v>9.18</v>
      </c>
      <c r="U106" s="123">
        <f t="shared" si="21"/>
        <v>9.18</v>
      </c>
      <c r="V106" s="123">
        <f t="shared" si="21"/>
        <v>9.18</v>
      </c>
      <c r="W106" s="123">
        <f t="shared" si="21"/>
        <v>9.18</v>
      </c>
      <c r="X106" s="123">
        <f t="shared" si="21"/>
        <v>9.18</v>
      </c>
      <c r="Y106" s="123">
        <f t="shared" si="21"/>
        <v>9.18</v>
      </c>
      <c r="Z106" s="123">
        <f t="shared" si="21"/>
        <v>9.18</v>
      </c>
      <c r="AA106" s="123">
        <f t="shared" si="21"/>
        <v>9.18</v>
      </c>
      <c r="AB106" s="123">
        <f t="shared" si="21"/>
        <v>9.18</v>
      </c>
      <c r="AC106" s="123">
        <f t="shared" si="21"/>
        <v>9.18</v>
      </c>
      <c r="AD106" s="123">
        <f t="shared" si="21"/>
        <v>9.18</v>
      </c>
      <c r="AE106" s="123">
        <f t="shared" si="21"/>
        <v>9.18</v>
      </c>
      <c r="AF106" s="123">
        <f t="shared" si="21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9"/>
        <v>7</v>
      </c>
      <c r="C107" s="124">
        <v>7</v>
      </c>
      <c r="D107" s="123">
        <f t="shared" si="20"/>
        <v>7</v>
      </c>
      <c r="E107" s="123">
        <f t="shared" si="20"/>
        <v>7</v>
      </c>
      <c r="F107" s="123">
        <f t="shared" si="20"/>
        <v>7</v>
      </c>
      <c r="G107" s="123">
        <f t="shared" si="20"/>
        <v>7</v>
      </c>
      <c r="H107" s="123">
        <f t="shared" si="20"/>
        <v>7</v>
      </c>
      <c r="I107" s="123">
        <f t="shared" si="20"/>
        <v>7</v>
      </c>
      <c r="J107" s="123">
        <f t="shared" si="20"/>
        <v>7</v>
      </c>
      <c r="K107" s="123">
        <f t="shared" si="20"/>
        <v>7</v>
      </c>
      <c r="L107" s="123">
        <f t="shared" si="20"/>
        <v>7</v>
      </c>
      <c r="M107" s="123">
        <f t="shared" si="20"/>
        <v>7</v>
      </c>
      <c r="N107" s="123">
        <f t="shared" si="20"/>
        <v>7</v>
      </c>
      <c r="O107" s="123">
        <f t="shared" si="20"/>
        <v>7</v>
      </c>
      <c r="P107" s="123">
        <f t="shared" si="20"/>
        <v>7</v>
      </c>
      <c r="Q107" s="123">
        <f t="shared" si="20"/>
        <v>7</v>
      </c>
      <c r="R107" s="123">
        <f t="shared" si="20"/>
        <v>7</v>
      </c>
      <c r="S107" s="123">
        <f t="shared" si="20"/>
        <v>7</v>
      </c>
      <c r="T107" s="123">
        <f t="shared" si="21"/>
        <v>7</v>
      </c>
      <c r="U107" s="123">
        <f t="shared" si="21"/>
        <v>7</v>
      </c>
      <c r="V107" s="123">
        <f t="shared" si="21"/>
        <v>7</v>
      </c>
      <c r="W107" s="123">
        <f t="shared" si="21"/>
        <v>7</v>
      </c>
      <c r="X107" s="123">
        <f t="shared" si="21"/>
        <v>7</v>
      </c>
      <c r="Y107" s="123">
        <f t="shared" si="21"/>
        <v>7</v>
      </c>
      <c r="Z107" s="123">
        <f t="shared" si="21"/>
        <v>7</v>
      </c>
      <c r="AA107" s="123">
        <f t="shared" si="21"/>
        <v>7</v>
      </c>
      <c r="AB107" s="123">
        <f t="shared" si="21"/>
        <v>7</v>
      </c>
      <c r="AC107" s="123">
        <f t="shared" si="21"/>
        <v>7</v>
      </c>
      <c r="AD107" s="123">
        <f t="shared" si="21"/>
        <v>7</v>
      </c>
      <c r="AE107" s="123">
        <f t="shared" si="21"/>
        <v>7</v>
      </c>
      <c r="AF107" s="123">
        <f t="shared" si="21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2">C109</f>
        <v>2.25</v>
      </c>
      <c r="E109" s="123">
        <f t="shared" si="22"/>
        <v>2.25</v>
      </c>
      <c r="F109" s="123">
        <f t="shared" si="22"/>
        <v>2.25</v>
      </c>
      <c r="G109" s="123">
        <f t="shared" si="22"/>
        <v>2.25</v>
      </c>
      <c r="H109" s="123">
        <f t="shared" si="22"/>
        <v>2.25</v>
      </c>
      <c r="I109" s="123">
        <f t="shared" si="22"/>
        <v>2.25</v>
      </c>
      <c r="J109" s="123">
        <f t="shared" si="22"/>
        <v>2.25</v>
      </c>
      <c r="K109" s="123">
        <f t="shared" si="22"/>
        <v>2.25</v>
      </c>
      <c r="L109" s="123">
        <f t="shared" si="22"/>
        <v>2.25</v>
      </c>
      <c r="M109" s="123">
        <f t="shared" si="22"/>
        <v>2.25</v>
      </c>
      <c r="N109" s="123">
        <f t="shared" si="22"/>
        <v>2.25</v>
      </c>
      <c r="O109" s="123">
        <f t="shared" si="22"/>
        <v>2.25</v>
      </c>
      <c r="P109" s="123">
        <f t="shared" si="22"/>
        <v>2.25</v>
      </c>
      <c r="Q109" s="123">
        <f t="shared" si="22"/>
        <v>2.25</v>
      </c>
      <c r="R109" s="123">
        <f t="shared" si="22"/>
        <v>2.25</v>
      </c>
      <c r="S109" s="123">
        <f t="shared" si="22"/>
        <v>2.25</v>
      </c>
      <c r="T109" s="123">
        <f t="shared" ref="T109:AF110" si="23">S109</f>
        <v>2.25</v>
      </c>
      <c r="U109" s="123">
        <f t="shared" si="23"/>
        <v>2.25</v>
      </c>
      <c r="V109" s="123">
        <f t="shared" si="23"/>
        <v>2.25</v>
      </c>
      <c r="W109" s="123">
        <f t="shared" si="23"/>
        <v>2.25</v>
      </c>
      <c r="X109" s="123">
        <f t="shared" si="23"/>
        <v>2.25</v>
      </c>
      <c r="Y109" s="123">
        <f t="shared" si="23"/>
        <v>2.25</v>
      </c>
      <c r="Z109" s="123">
        <f t="shared" si="23"/>
        <v>2.25</v>
      </c>
      <c r="AA109" s="123">
        <f t="shared" si="23"/>
        <v>2.25</v>
      </c>
      <c r="AB109" s="123">
        <f t="shared" si="23"/>
        <v>2.25</v>
      </c>
      <c r="AC109" s="123">
        <f t="shared" si="23"/>
        <v>2.25</v>
      </c>
      <c r="AD109" s="123">
        <f t="shared" si="23"/>
        <v>2.25</v>
      </c>
      <c r="AE109" s="123">
        <f t="shared" si="23"/>
        <v>2.25</v>
      </c>
      <c r="AF109" s="123">
        <f t="shared" si="23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2"/>
        <v>1.64</v>
      </c>
      <c r="E110" s="123">
        <f t="shared" si="22"/>
        <v>1.64</v>
      </c>
      <c r="F110" s="123">
        <f t="shared" si="22"/>
        <v>1.64</v>
      </c>
      <c r="G110" s="123">
        <f t="shared" si="22"/>
        <v>1.64</v>
      </c>
      <c r="H110" s="123">
        <f t="shared" si="22"/>
        <v>1.64</v>
      </c>
      <c r="I110" s="123">
        <f t="shared" si="22"/>
        <v>1.64</v>
      </c>
      <c r="J110" s="123">
        <f t="shared" si="22"/>
        <v>1.64</v>
      </c>
      <c r="K110" s="123">
        <f t="shared" si="22"/>
        <v>1.64</v>
      </c>
      <c r="L110" s="123">
        <f t="shared" si="22"/>
        <v>1.64</v>
      </c>
      <c r="M110" s="123">
        <f t="shared" si="22"/>
        <v>1.64</v>
      </c>
      <c r="N110" s="123">
        <f t="shared" si="22"/>
        <v>1.64</v>
      </c>
      <c r="O110" s="123">
        <f t="shared" si="22"/>
        <v>1.64</v>
      </c>
      <c r="P110" s="123">
        <f t="shared" si="22"/>
        <v>1.64</v>
      </c>
      <c r="Q110" s="123">
        <f t="shared" si="22"/>
        <v>1.64</v>
      </c>
      <c r="R110" s="123">
        <f t="shared" si="22"/>
        <v>1.64</v>
      </c>
      <c r="S110" s="123">
        <f t="shared" si="22"/>
        <v>1.64</v>
      </c>
      <c r="T110" s="123">
        <f t="shared" si="23"/>
        <v>1.64</v>
      </c>
      <c r="U110" s="123">
        <f t="shared" si="23"/>
        <v>1.64</v>
      </c>
      <c r="V110" s="123">
        <f t="shared" si="23"/>
        <v>1.64</v>
      </c>
      <c r="W110" s="123">
        <f t="shared" si="23"/>
        <v>1.64</v>
      </c>
      <c r="X110" s="123">
        <f t="shared" si="23"/>
        <v>1.64</v>
      </c>
      <c r="Y110" s="123">
        <f t="shared" si="23"/>
        <v>1.64</v>
      </c>
      <c r="Z110" s="123">
        <f t="shared" si="23"/>
        <v>1.64</v>
      </c>
      <c r="AA110" s="123">
        <f t="shared" si="23"/>
        <v>1.64</v>
      </c>
      <c r="AB110" s="123">
        <f t="shared" si="23"/>
        <v>1.64</v>
      </c>
      <c r="AC110" s="123">
        <f t="shared" si="23"/>
        <v>1.64</v>
      </c>
      <c r="AD110" s="123">
        <f t="shared" si="23"/>
        <v>1.64</v>
      </c>
      <c r="AE110" s="123">
        <f t="shared" si="23"/>
        <v>1.64</v>
      </c>
      <c r="AF110" s="123">
        <f t="shared" si="23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4">AF112</f>
        <v>1.62</v>
      </c>
      <c r="C112" s="124">
        <v>1.62</v>
      </c>
      <c r="D112" s="123">
        <f t="shared" ref="D112:S119" si="25">C112</f>
        <v>1.62</v>
      </c>
      <c r="E112" s="123">
        <f t="shared" si="25"/>
        <v>1.62</v>
      </c>
      <c r="F112" s="123">
        <f t="shared" si="25"/>
        <v>1.62</v>
      </c>
      <c r="G112" s="123">
        <f t="shared" si="25"/>
        <v>1.62</v>
      </c>
      <c r="H112" s="123">
        <f t="shared" si="25"/>
        <v>1.62</v>
      </c>
      <c r="I112" s="123">
        <f t="shared" si="25"/>
        <v>1.62</v>
      </c>
      <c r="J112" s="123">
        <f t="shared" si="25"/>
        <v>1.62</v>
      </c>
      <c r="K112" s="123">
        <f t="shared" si="25"/>
        <v>1.62</v>
      </c>
      <c r="L112" s="123">
        <f t="shared" si="25"/>
        <v>1.62</v>
      </c>
      <c r="M112" s="123">
        <f t="shared" si="25"/>
        <v>1.62</v>
      </c>
      <c r="N112" s="123">
        <f t="shared" si="25"/>
        <v>1.62</v>
      </c>
      <c r="O112" s="123">
        <f t="shared" si="25"/>
        <v>1.62</v>
      </c>
      <c r="P112" s="123">
        <f t="shared" si="25"/>
        <v>1.62</v>
      </c>
      <c r="Q112" s="123">
        <f t="shared" si="25"/>
        <v>1.62</v>
      </c>
      <c r="R112" s="123">
        <f t="shared" si="25"/>
        <v>1.62</v>
      </c>
      <c r="S112" s="123">
        <f t="shared" si="25"/>
        <v>1.62</v>
      </c>
      <c r="T112" s="123">
        <f t="shared" ref="T112:AF127" si="26">S112</f>
        <v>1.62</v>
      </c>
      <c r="U112" s="123">
        <f t="shared" si="26"/>
        <v>1.62</v>
      </c>
      <c r="V112" s="123">
        <f t="shared" si="26"/>
        <v>1.62</v>
      </c>
      <c r="W112" s="123">
        <f t="shared" si="26"/>
        <v>1.62</v>
      </c>
      <c r="X112" s="123">
        <f t="shared" si="26"/>
        <v>1.62</v>
      </c>
      <c r="Y112" s="123">
        <f t="shared" si="26"/>
        <v>1.62</v>
      </c>
      <c r="Z112" s="123">
        <f t="shared" si="26"/>
        <v>1.62</v>
      </c>
      <c r="AA112" s="123">
        <f t="shared" si="26"/>
        <v>1.62</v>
      </c>
      <c r="AB112" s="123">
        <f t="shared" si="26"/>
        <v>1.62</v>
      </c>
      <c r="AC112" s="123">
        <f t="shared" si="26"/>
        <v>1.62</v>
      </c>
      <c r="AD112" s="123">
        <f t="shared" si="26"/>
        <v>1.62</v>
      </c>
      <c r="AE112" s="123">
        <f t="shared" si="26"/>
        <v>1.62</v>
      </c>
      <c r="AF112" s="123">
        <f t="shared" si="26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4"/>
        <v>8.36</v>
      </c>
      <c r="C113" s="124">
        <v>8.36</v>
      </c>
      <c r="D113" s="123">
        <f t="shared" si="25"/>
        <v>8.36</v>
      </c>
      <c r="E113" s="123">
        <f t="shared" si="25"/>
        <v>8.36</v>
      </c>
      <c r="F113" s="123">
        <f t="shared" si="25"/>
        <v>8.36</v>
      </c>
      <c r="G113" s="123">
        <f t="shared" si="25"/>
        <v>8.36</v>
      </c>
      <c r="H113" s="123">
        <f t="shared" si="25"/>
        <v>8.36</v>
      </c>
      <c r="I113" s="123">
        <f t="shared" si="25"/>
        <v>8.36</v>
      </c>
      <c r="J113" s="123">
        <f t="shared" si="25"/>
        <v>8.36</v>
      </c>
      <c r="K113" s="123">
        <f t="shared" si="25"/>
        <v>8.36</v>
      </c>
      <c r="L113" s="123">
        <f t="shared" si="25"/>
        <v>8.36</v>
      </c>
      <c r="M113" s="123">
        <f t="shared" si="25"/>
        <v>8.36</v>
      </c>
      <c r="N113" s="123">
        <f t="shared" si="25"/>
        <v>8.36</v>
      </c>
      <c r="O113" s="123">
        <f t="shared" si="25"/>
        <v>8.36</v>
      </c>
      <c r="P113" s="123">
        <f t="shared" si="25"/>
        <v>8.36</v>
      </c>
      <c r="Q113" s="123">
        <f t="shared" si="25"/>
        <v>8.36</v>
      </c>
      <c r="R113" s="123">
        <f t="shared" si="25"/>
        <v>8.36</v>
      </c>
      <c r="S113" s="123">
        <f t="shared" si="25"/>
        <v>8.36</v>
      </c>
      <c r="T113" s="123">
        <f t="shared" si="26"/>
        <v>8.36</v>
      </c>
      <c r="U113" s="123">
        <f t="shared" si="26"/>
        <v>8.36</v>
      </c>
      <c r="V113" s="123">
        <f t="shared" si="26"/>
        <v>8.36</v>
      </c>
      <c r="W113" s="123">
        <f t="shared" si="26"/>
        <v>8.36</v>
      </c>
      <c r="X113" s="123">
        <f t="shared" si="26"/>
        <v>8.36</v>
      </c>
      <c r="Y113" s="123">
        <f t="shared" si="26"/>
        <v>8.36</v>
      </c>
      <c r="Z113" s="123">
        <f t="shared" si="26"/>
        <v>8.36</v>
      </c>
      <c r="AA113" s="123">
        <f t="shared" si="26"/>
        <v>8.36</v>
      </c>
      <c r="AB113" s="123">
        <f t="shared" si="26"/>
        <v>8.36</v>
      </c>
      <c r="AC113" s="123">
        <f t="shared" si="26"/>
        <v>8.36</v>
      </c>
      <c r="AD113" s="123">
        <f t="shared" si="26"/>
        <v>8.36</v>
      </c>
      <c r="AE113" s="123">
        <f t="shared" si="26"/>
        <v>8.36</v>
      </c>
      <c r="AF113" s="123">
        <f t="shared" si="26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4"/>
        <v>5.4</v>
      </c>
      <c r="C114" s="124">
        <v>8</v>
      </c>
      <c r="D114" s="123">
        <f t="shared" si="25"/>
        <v>8</v>
      </c>
      <c r="E114" s="123">
        <f t="shared" si="25"/>
        <v>8</v>
      </c>
      <c r="F114" s="123">
        <f t="shared" si="25"/>
        <v>8</v>
      </c>
      <c r="G114" s="123">
        <f t="shared" si="25"/>
        <v>8</v>
      </c>
      <c r="H114" s="123">
        <f t="shared" si="25"/>
        <v>8</v>
      </c>
      <c r="I114" s="123">
        <f t="shared" si="25"/>
        <v>8</v>
      </c>
      <c r="J114" s="123">
        <v>5.4</v>
      </c>
      <c r="K114" s="123">
        <f t="shared" si="25"/>
        <v>5.4</v>
      </c>
      <c r="L114" s="123">
        <f t="shared" si="25"/>
        <v>5.4</v>
      </c>
      <c r="M114" s="123">
        <f t="shared" si="25"/>
        <v>5.4</v>
      </c>
      <c r="N114" s="123">
        <f t="shared" si="25"/>
        <v>5.4</v>
      </c>
      <c r="O114" s="123">
        <f t="shared" si="25"/>
        <v>5.4</v>
      </c>
      <c r="P114" s="123">
        <f t="shared" si="25"/>
        <v>5.4</v>
      </c>
      <c r="Q114" s="123">
        <f t="shared" si="25"/>
        <v>5.4</v>
      </c>
      <c r="R114" s="123">
        <f t="shared" si="25"/>
        <v>5.4</v>
      </c>
      <c r="S114" s="123">
        <f t="shared" si="25"/>
        <v>5.4</v>
      </c>
      <c r="T114" s="123">
        <f t="shared" si="26"/>
        <v>5.4</v>
      </c>
      <c r="U114" s="123">
        <f t="shared" si="26"/>
        <v>5.4</v>
      </c>
      <c r="V114" s="123">
        <f t="shared" si="26"/>
        <v>5.4</v>
      </c>
      <c r="W114" s="123">
        <f t="shared" si="26"/>
        <v>5.4</v>
      </c>
      <c r="X114" s="123">
        <f t="shared" si="26"/>
        <v>5.4</v>
      </c>
      <c r="Y114" s="123">
        <f t="shared" si="26"/>
        <v>5.4</v>
      </c>
      <c r="Z114" s="123">
        <f t="shared" si="26"/>
        <v>5.4</v>
      </c>
      <c r="AA114" s="123">
        <f t="shared" si="26"/>
        <v>5.4</v>
      </c>
      <c r="AB114" s="123">
        <f t="shared" si="26"/>
        <v>5.4</v>
      </c>
      <c r="AC114" s="123">
        <f t="shared" si="26"/>
        <v>5.4</v>
      </c>
      <c r="AD114" s="123">
        <f t="shared" si="26"/>
        <v>5.4</v>
      </c>
      <c r="AE114" s="123">
        <f t="shared" si="26"/>
        <v>5.4</v>
      </c>
      <c r="AF114" s="123">
        <f t="shared" si="26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4"/>
        <v>6.57</v>
      </c>
      <c r="C115" s="124">
        <v>6.57</v>
      </c>
      <c r="D115" s="123">
        <f t="shared" si="25"/>
        <v>6.57</v>
      </c>
      <c r="E115" s="123">
        <f t="shared" si="25"/>
        <v>6.57</v>
      </c>
      <c r="F115" s="123">
        <f t="shared" si="25"/>
        <v>6.57</v>
      </c>
      <c r="G115" s="123">
        <f t="shared" si="25"/>
        <v>6.57</v>
      </c>
      <c r="H115" s="123">
        <f t="shared" si="25"/>
        <v>6.57</v>
      </c>
      <c r="I115" s="123">
        <f t="shared" si="25"/>
        <v>6.57</v>
      </c>
      <c r="J115" s="123">
        <f t="shared" si="25"/>
        <v>6.57</v>
      </c>
      <c r="K115" s="123">
        <f t="shared" si="25"/>
        <v>6.57</v>
      </c>
      <c r="L115" s="123">
        <f t="shared" si="25"/>
        <v>6.57</v>
      </c>
      <c r="M115" s="123">
        <f t="shared" si="25"/>
        <v>6.57</v>
      </c>
      <c r="N115" s="123">
        <f t="shared" si="25"/>
        <v>6.57</v>
      </c>
      <c r="O115" s="123">
        <f t="shared" si="25"/>
        <v>6.57</v>
      </c>
      <c r="P115" s="123">
        <f t="shared" si="25"/>
        <v>6.57</v>
      </c>
      <c r="Q115" s="123">
        <f t="shared" si="25"/>
        <v>6.57</v>
      </c>
      <c r="R115" s="123">
        <f t="shared" si="25"/>
        <v>6.57</v>
      </c>
      <c r="S115" s="123">
        <f t="shared" si="25"/>
        <v>6.57</v>
      </c>
      <c r="T115" s="123">
        <f t="shared" si="26"/>
        <v>6.57</v>
      </c>
      <c r="U115" s="123">
        <f t="shared" si="26"/>
        <v>6.57</v>
      </c>
      <c r="V115" s="123">
        <f t="shared" si="26"/>
        <v>6.57</v>
      </c>
      <c r="W115" s="123">
        <f t="shared" si="26"/>
        <v>6.57</v>
      </c>
      <c r="X115" s="123">
        <f t="shared" si="26"/>
        <v>6.57</v>
      </c>
      <c r="Y115" s="123">
        <f t="shared" si="26"/>
        <v>6.57</v>
      </c>
      <c r="Z115" s="123">
        <f t="shared" si="26"/>
        <v>6.57</v>
      </c>
      <c r="AA115" s="123">
        <f t="shared" si="26"/>
        <v>6.57</v>
      </c>
      <c r="AB115" s="123">
        <f t="shared" si="26"/>
        <v>6.57</v>
      </c>
      <c r="AC115" s="123">
        <f t="shared" si="26"/>
        <v>6.57</v>
      </c>
      <c r="AD115" s="123">
        <f t="shared" si="26"/>
        <v>6.57</v>
      </c>
      <c r="AE115" s="123">
        <f t="shared" si="26"/>
        <v>6.57</v>
      </c>
      <c r="AF115" s="123">
        <f t="shared" si="26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4"/>
        <v>3.43</v>
      </c>
      <c r="C116" s="124">
        <v>3.43</v>
      </c>
      <c r="D116" s="123">
        <f t="shared" si="25"/>
        <v>3.43</v>
      </c>
      <c r="E116" s="123">
        <f t="shared" si="25"/>
        <v>3.43</v>
      </c>
      <c r="F116" s="123">
        <f t="shared" si="25"/>
        <v>3.43</v>
      </c>
      <c r="G116" s="123">
        <f t="shared" si="25"/>
        <v>3.43</v>
      </c>
      <c r="H116" s="123">
        <f t="shared" si="25"/>
        <v>3.43</v>
      </c>
      <c r="I116" s="123">
        <f t="shared" si="25"/>
        <v>3.43</v>
      </c>
      <c r="J116" s="123">
        <f t="shared" si="25"/>
        <v>3.43</v>
      </c>
      <c r="K116" s="123">
        <f t="shared" si="25"/>
        <v>3.43</v>
      </c>
      <c r="L116" s="123">
        <f t="shared" si="25"/>
        <v>3.43</v>
      </c>
      <c r="M116" s="123">
        <f t="shared" si="25"/>
        <v>3.43</v>
      </c>
      <c r="N116" s="123">
        <f t="shared" si="25"/>
        <v>3.43</v>
      </c>
      <c r="O116" s="123">
        <f t="shared" si="25"/>
        <v>3.43</v>
      </c>
      <c r="P116" s="123">
        <f t="shared" si="25"/>
        <v>3.43</v>
      </c>
      <c r="Q116" s="123">
        <f t="shared" si="25"/>
        <v>3.43</v>
      </c>
      <c r="R116" s="123">
        <f t="shared" si="25"/>
        <v>3.43</v>
      </c>
      <c r="S116" s="123">
        <f t="shared" si="25"/>
        <v>3.43</v>
      </c>
      <c r="T116" s="123">
        <f t="shared" si="26"/>
        <v>3.43</v>
      </c>
      <c r="U116" s="123">
        <f t="shared" si="26"/>
        <v>3.43</v>
      </c>
      <c r="V116" s="123">
        <f t="shared" si="26"/>
        <v>3.43</v>
      </c>
      <c r="W116" s="123">
        <f t="shared" si="26"/>
        <v>3.43</v>
      </c>
      <c r="X116" s="123">
        <f t="shared" si="26"/>
        <v>3.43</v>
      </c>
      <c r="Y116" s="123">
        <f t="shared" si="26"/>
        <v>3.43</v>
      </c>
      <c r="Z116" s="123">
        <f t="shared" si="26"/>
        <v>3.43</v>
      </c>
      <c r="AA116" s="123">
        <f t="shared" si="26"/>
        <v>3.43</v>
      </c>
      <c r="AB116" s="123">
        <f t="shared" si="26"/>
        <v>3.43</v>
      </c>
      <c r="AC116" s="123">
        <f t="shared" si="26"/>
        <v>3.43</v>
      </c>
      <c r="AD116" s="123">
        <f t="shared" si="26"/>
        <v>3.43</v>
      </c>
      <c r="AE116" s="123">
        <f t="shared" si="26"/>
        <v>3.43</v>
      </c>
      <c r="AF116" s="123">
        <f t="shared" si="26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4"/>
        <v>2.96</v>
      </c>
      <c r="C117" s="124">
        <v>2.96</v>
      </c>
      <c r="D117" s="123">
        <f t="shared" si="25"/>
        <v>2.96</v>
      </c>
      <c r="E117" s="123">
        <f t="shared" si="25"/>
        <v>2.96</v>
      </c>
      <c r="F117" s="123">
        <f t="shared" si="25"/>
        <v>2.96</v>
      </c>
      <c r="G117" s="123">
        <f t="shared" si="25"/>
        <v>2.96</v>
      </c>
      <c r="H117" s="123">
        <f t="shared" si="25"/>
        <v>2.96</v>
      </c>
      <c r="I117" s="123">
        <f t="shared" si="25"/>
        <v>2.96</v>
      </c>
      <c r="J117" s="123">
        <f t="shared" si="25"/>
        <v>2.96</v>
      </c>
      <c r="K117" s="123">
        <f t="shared" si="25"/>
        <v>2.96</v>
      </c>
      <c r="L117" s="123">
        <f t="shared" si="25"/>
        <v>2.96</v>
      </c>
      <c r="M117" s="123">
        <f t="shared" si="25"/>
        <v>2.96</v>
      </c>
      <c r="N117" s="123">
        <f t="shared" si="25"/>
        <v>2.96</v>
      </c>
      <c r="O117" s="123">
        <f t="shared" si="25"/>
        <v>2.96</v>
      </c>
      <c r="P117" s="123">
        <f t="shared" si="25"/>
        <v>2.96</v>
      </c>
      <c r="Q117" s="123">
        <f t="shared" si="25"/>
        <v>2.96</v>
      </c>
      <c r="R117" s="123">
        <f t="shared" si="25"/>
        <v>2.96</v>
      </c>
      <c r="S117" s="123">
        <f t="shared" si="25"/>
        <v>2.96</v>
      </c>
      <c r="T117" s="123">
        <f t="shared" si="26"/>
        <v>2.96</v>
      </c>
      <c r="U117" s="123">
        <f t="shared" si="26"/>
        <v>2.96</v>
      </c>
      <c r="V117" s="123">
        <f t="shared" si="26"/>
        <v>2.96</v>
      </c>
      <c r="W117" s="123">
        <f t="shared" si="26"/>
        <v>2.96</v>
      </c>
      <c r="X117" s="123">
        <f t="shared" si="26"/>
        <v>2.96</v>
      </c>
      <c r="Y117" s="123">
        <f t="shared" si="26"/>
        <v>2.96</v>
      </c>
      <c r="Z117" s="123">
        <f t="shared" si="26"/>
        <v>2.96</v>
      </c>
      <c r="AA117" s="123">
        <f t="shared" si="26"/>
        <v>2.96</v>
      </c>
      <c r="AB117" s="123">
        <f t="shared" si="26"/>
        <v>2.96</v>
      </c>
      <c r="AC117" s="123">
        <f t="shared" si="26"/>
        <v>2.96</v>
      </c>
      <c r="AD117" s="123">
        <f t="shared" si="26"/>
        <v>2.96</v>
      </c>
      <c r="AE117" s="123">
        <f t="shared" si="26"/>
        <v>2.96</v>
      </c>
      <c r="AF117" s="123">
        <f t="shared" si="26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4"/>
        <v>8</v>
      </c>
      <c r="C118" s="124">
        <v>8</v>
      </c>
      <c r="D118" s="123">
        <f t="shared" si="25"/>
        <v>8</v>
      </c>
      <c r="E118" s="123">
        <f t="shared" si="25"/>
        <v>8</v>
      </c>
      <c r="F118" s="123">
        <f t="shared" si="25"/>
        <v>8</v>
      </c>
      <c r="G118" s="123">
        <f t="shared" si="25"/>
        <v>8</v>
      </c>
      <c r="H118" s="123">
        <f t="shared" si="25"/>
        <v>8</v>
      </c>
      <c r="I118" s="123">
        <f t="shared" si="25"/>
        <v>8</v>
      </c>
      <c r="J118" s="123">
        <f t="shared" si="25"/>
        <v>8</v>
      </c>
      <c r="K118" s="123">
        <f t="shared" si="25"/>
        <v>8</v>
      </c>
      <c r="L118" s="123">
        <f t="shared" si="25"/>
        <v>8</v>
      </c>
      <c r="M118" s="123">
        <f t="shared" si="25"/>
        <v>8</v>
      </c>
      <c r="N118" s="123">
        <f t="shared" si="25"/>
        <v>8</v>
      </c>
      <c r="O118" s="123">
        <f t="shared" si="25"/>
        <v>8</v>
      </c>
      <c r="P118" s="123">
        <f t="shared" si="25"/>
        <v>8</v>
      </c>
      <c r="Q118" s="123">
        <f t="shared" si="25"/>
        <v>8</v>
      </c>
      <c r="R118" s="123">
        <f t="shared" si="25"/>
        <v>8</v>
      </c>
      <c r="S118" s="123">
        <f t="shared" si="25"/>
        <v>8</v>
      </c>
      <c r="T118" s="123">
        <f t="shared" si="26"/>
        <v>8</v>
      </c>
      <c r="U118" s="123">
        <f t="shared" si="26"/>
        <v>8</v>
      </c>
      <c r="V118" s="123">
        <f t="shared" si="26"/>
        <v>8</v>
      </c>
      <c r="W118" s="123">
        <f t="shared" si="26"/>
        <v>8</v>
      </c>
      <c r="X118" s="123">
        <f t="shared" si="26"/>
        <v>8</v>
      </c>
      <c r="Y118" s="123">
        <f t="shared" si="26"/>
        <v>8</v>
      </c>
      <c r="Z118" s="123">
        <f t="shared" si="26"/>
        <v>8</v>
      </c>
      <c r="AA118" s="123">
        <f t="shared" si="26"/>
        <v>8</v>
      </c>
      <c r="AB118" s="123">
        <f t="shared" si="26"/>
        <v>8</v>
      </c>
      <c r="AC118" s="123">
        <f t="shared" si="26"/>
        <v>8</v>
      </c>
      <c r="AD118" s="123">
        <f t="shared" si="26"/>
        <v>8</v>
      </c>
      <c r="AE118" s="123">
        <f t="shared" si="26"/>
        <v>8</v>
      </c>
      <c r="AF118" s="123">
        <f t="shared" si="26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4"/>
        <v>7</v>
      </c>
      <c r="C119" s="124">
        <v>7</v>
      </c>
      <c r="D119" s="123">
        <f>C119</f>
        <v>7</v>
      </c>
      <c r="E119" s="123">
        <f t="shared" si="25"/>
        <v>7</v>
      </c>
      <c r="F119" s="123">
        <f t="shared" si="25"/>
        <v>7</v>
      </c>
      <c r="G119" s="123">
        <f t="shared" si="25"/>
        <v>7</v>
      </c>
      <c r="H119" s="123">
        <f t="shared" si="25"/>
        <v>7</v>
      </c>
      <c r="I119" s="123">
        <f t="shared" si="25"/>
        <v>7</v>
      </c>
      <c r="J119" s="123">
        <f t="shared" si="25"/>
        <v>7</v>
      </c>
      <c r="K119" s="123">
        <f t="shared" si="25"/>
        <v>7</v>
      </c>
      <c r="L119" s="123">
        <f t="shared" si="25"/>
        <v>7</v>
      </c>
      <c r="M119" s="123">
        <f t="shared" si="25"/>
        <v>7</v>
      </c>
      <c r="N119" s="123">
        <f t="shared" si="25"/>
        <v>7</v>
      </c>
      <c r="O119" s="123">
        <f t="shared" si="25"/>
        <v>7</v>
      </c>
      <c r="P119" s="123">
        <f t="shared" si="25"/>
        <v>7</v>
      </c>
      <c r="Q119" s="123">
        <f t="shared" si="25"/>
        <v>7</v>
      </c>
      <c r="R119" s="123">
        <f t="shared" si="25"/>
        <v>7</v>
      </c>
      <c r="S119" s="123">
        <f t="shared" si="25"/>
        <v>7</v>
      </c>
      <c r="T119" s="123">
        <f t="shared" si="26"/>
        <v>7</v>
      </c>
      <c r="U119" s="123">
        <f t="shared" si="26"/>
        <v>7</v>
      </c>
      <c r="V119" s="123">
        <f t="shared" si="26"/>
        <v>7</v>
      </c>
      <c r="W119" s="123">
        <f t="shared" si="26"/>
        <v>7</v>
      </c>
      <c r="X119" s="123">
        <f t="shared" si="26"/>
        <v>7</v>
      </c>
      <c r="Y119" s="123">
        <f t="shared" si="26"/>
        <v>7</v>
      </c>
      <c r="Z119" s="123">
        <f t="shared" si="26"/>
        <v>7</v>
      </c>
      <c r="AA119" s="123">
        <f t="shared" si="26"/>
        <v>7</v>
      </c>
      <c r="AB119" s="123">
        <f t="shared" si="26"/>
        <v>7</v>
      </c>
      <c r="AC119" s="123">
        <f t="shared" si="26"/>
        <v>7</v>
      </c>
      <c r="AD119" s="123">
        <f t="shared" si="26"/>
        <v>7</v>
      </c>
      <c r="AE119" s="123">
        <f t="shared" si="26"/>
        <v>7</v>
      </c>
      <c r="AF119" s="123">
        <f t="shared" si="26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4"/>
        <v>3.47</v>
      </c>
      <c r="C120" s="124">
        <v>3.47</v>
      </c>
      <c r="D120" s="123">
        <f t="shared" ref="D120:S129" si="27">C120</f>
        <v>3.47</v>
      </c>
      <c r="E120" s="123">
        <f t="shared" si="27"/>
        <v>3.47</v>
      </c>
      <c r="F120" s="123">
        <f t="shared" si="27"/>
        <v>3.47</v>
      </c>
      <c r="G120" s="123">
        <f t="shared" si="27"/>
        <v>3.47</v>
      </c>
      <c r="H120" s="123">
        <f t="shared" si="27"/>
        <v>3.47</v>
      </c>
      <c r="I120" s="123">
        <f t="shared" si="27"/>
        <v>3.47</v>
      </c>
      <c r="J120" s="123">
        <f t="shared" si="27"/>
        <v>3.47</v>
      </c>
      <c r="K120" s="123">
        <f t="shared" si="27"/>
        <v>3.47</v>
      </c>
      <c r="L120" s="123">
        <f t="shared" si="27"/>
        <v>3.47</v>
      </c>
      <c r="M120" s="123">
        <f t="shared" si="27"/>
        <v>3.47</v>
      </c>
      <c r="N120" s="123">
        <f t="shared" si="27"/>
        <v>3.47</v>
      </c>
      <c r="O120" s="123">
        <f t="shared" si="27"/>
        <v>3.47</v>
      </c>
      <c r="P120" s="123">
        <f t="shared" si="27"/>
        <v>3.47</v>
      </c>
      <c r="Q120" s="123">
        <f t="shared" si="27"/>
        <v>3.47</v>
      </c>
      <c r="R120" s="123">
        <f t="shared" si="27"/>
        <v>3.47</v>
      </c>
      <c r="S120" s="123">
        <f t="shared" si="27"/>
        <v>3.47</v>
      </c>
      <c r="T120" s="123">
        <f t="shared" si="26"/>
        <v>3.47</v>
      </c>
      <c r="U120" s="123">
        <f t="shared" si="26"/>
        <v>3.47</v>
      </c>
      <c r="V120" s="123">
        <f t="shared" si="26"/>
        <v>3.47</v>
      </c>
      <c r="W120" s="123">
        <f t="shared" si="26"/>
        <v>3.47</v>
      </c>
      <c r="X120" s="123">
        <f t="shared" si="26"/>
        <v>3.47</v>
      </c>
      <c r="Y120" s="123">
        <f t="shared" si="26"/>
        <v>3.47</v>
      </c>
      <c r="Z120" s="123">
        <f t="shared" si="26"/>
        <v>3.47</v>
      </c>
      <c r="AA120" s="123">
        <f t="shared" si="26"/>
        <v>3.47</v>
      </c>
      <c r="AB120" s="123">
        <f t="shared" si="26"/>
        <v>3.47</v>
      </c>
      <c r="AC120" s="123">
        <f t="shared" si="26"/>
        <v>3.47</v>
      </c>
      <c r="AD120" s="123">
        <f t="shared" si="26"/>
        <v>3.47</v>
      </c>
      <c r="AE120" s="123">
        <f t="shared" si="26"/>
        <v>3.47</v>
      </c>
      <c r="AF120" s="123">
        <f t="shared" si="26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4"/>
        <v>2.1</v>
      </c>
      <c r="C121" s="124">
        <v>2.1</v>
      </c>
      <c r="D121" s="123">
        <f t="shared" si="27"/>
        <v>2.1</v>
      </c>
      <c r="E121" s="123">
        <f t="shared" si="27"/>
        <v>2.1</v>
      </c>
      <c r="F121" s="123">
        <f t="shared" si="27"/>
        <v>2.1</v>
      </c>
      <c r="G121" s="123">
        <f t="shared" si="27"/>
        <v>2.1</v>
      </c>
      <c r="H121" s="123">
        <f t="shared" si="27"/>
        <v>2.1</v>
      </c>
      <c r="I121" s="123">
        <f t="shared" si="27"/>
        <v>2.1</v>
      </c>
      <c r="J121" s="123">
        <f t="shared" si="27"/>
        <v>2.1</v>
      </c>
      <c r="K121" s="123">
        <f t="shared" si="27"/>
        <v>2.1</v>
      </c>
      <c r="L121" s="123">
        <f t="shared" si="27"/>
        <v>2.1</v>
      </c>
      <c r="M121" s="123">
        <f t="shared" si="27"/>
        <v>2.1</v>
      </c>
      <c r="N121" s="123">
        <f t="shared" si="27"/>
        <v>2.1</v>
      </c>
      <c r="O121" s="123">
        <f t="shared" si="27"/>
        <v>2.1</v>
      </c>
      <c r="P121" s="123">
        <f t="shared" si="27"/>
        <v>2.1</v>
      </c>
      <c r="Q121" s="123">
        <f t="shared" si="27"/>
        <v>2.1</v>
      </c>
      <c r="R121" s="123">
        <f t="shared" si="27"/>
        <v>2.1</v>
      </c>
      <c r="S121" s="123">
        <f t="shared" si="27"/>
        <v>2.1</v>
      </c>
      <c r="T121" s="123">
        <f t="shared" si="26"/>
        <v>2.1</v>
      </c>
      <c r="U121" s="123">
        <f t="shared" si="26"/>
        <v>2.1</v>
      </c>
      <c r="V121" s="123">
        <f t="shared" si="26"/>
        <v>2.1</v>
      </c>
      <c r="W121" s="123">
        <f t="shared" si="26"/>
        <v>2.1</v>
      </c>
      <c r="X121" s="123">
        <f t="shared" si="26"/>
        <v>2.1</v>
      </c>
      <c r="Y121" s="123">
        <f t="shared" si="26"/>
        <v>2.1</v>
      </c>
      <c r="Z121" s="123">
        <f t="shared" si="26"/>
        <v>2.1</v>
      </c>
      <c r="AA121" s="123">
        <f t="shared" si="26"/>
        <v>2.1</v>
      </c>
      <c r="AB121" s="123">
        <f t="shared" si="26"/>
        <v>2.1</v>
      </c>
      <c r="AC121" s="123">
        <f t="shared" si="26"/>
        <v>2.1</v>
      </c>
      <c r="AD121" s="123">
        <f t="shared" si="26"/>
        <v>2.1</v>
      </c>
      <c r="AE121" s="123">
        <f t="shared" si="26"/>
        <v>2.1</v>
      </c>
      <c r="AF121" s="123">
        <f t="shared" si="26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4"/>
        <v>9.3000000000000007</v>
      </c>
      <c r="C122" s="124">
        <v>9.3000000000000007</v>
      </c>
      <c r="D122" s="123">
        <f t="shared" si="27"/>
        <v>9.3000000000000007</v>
      </c>
      <c r="E122" s="123">
        <f t="shared" si="27"/>
        <v>9.3000000000000007</v>
      </c>
      <c r="F122" s="123">
        <f t="shared" si="27"/>
        <v>9.3000000000000007</v>
      </c>
      <c r="G122" s="123">
        <f t="shared" si="27"/>
        <v>9.3000000000000007</v>
      </c>
      <c r="H122" s="123">
        <f t="shared" si="27"/>
        <v>9.3000000000000007</v>
      </c>
      <c r="I122" s="123">
        <f t="shared" si="27"/>
        <v>9.3000000000000007</v>
      </c>
      <c r="J122" s="123">
        <f t="shared" si="27"/>
        <v>9.3000000000000007</v>
      </c>
      <c r="K122" s="123">
        <f t="shared" si="27"/>
        <v>9.3000000000000007</v>
      </c>
      <c r="L122" s="123">
        <f t="shared" si="27"/>
        <v>9.3000000000000007</v>
      </c>
      <c r="M122" s="123">
        <f t="shared" si="27"/>
        <v>9.3000000000000007</v>
      </c>
      <c r="N122" s="123">
        <f t="shared" si="27"/>
        <v>9.3000000000000007</v>
      </c>
      <c r="O122" s="123">
        <f t="shared" si="27"/>
        <v>9.3000000000000007</v>
      </c>
      <c r="P122" s="123">
        <f t="shared" si="27"/>
        <v>9.3000000000000007</v>
      </c>
      <c r="Q122" s="123">
        <f t="shared" si="27"/>
        <v>9.3000000000000007</v>
      </c>
      <c r="R122" s="123">
        <f t="shared" si="27"/>
        <v>9.3000000000000007</v>
      </c>
      <c r="S122" s="123">
        <f t="shared" si="27"/>
        <v>9.3000000000000007</v>
      </c>
      <c r="T122" s="123">
        <f t="shared" si="26"/>
        <v>9.3000000000000007</v>
      </c>
      <c r="U122" s="123">
        <f t="shared" si="26"/>
        <v>9.3000000000000007</v>
      </c>
      <c r="V122" s="123">
        <f t="shared" si="26"/>
        <v>9.3000000000000007</v>
      </c>
      <c r="W122" s="123">
        <f t="shared" si="26"/>
        <v>9.3000000000000007</v>
      </c>
      <c r="X122" s="123">
        <f t="shared" si="26"/>
        <v>9.3000000000000007</v>
      </c>
      <c r="Y122" s="123">
        <f t="shared" si="26"/>
        <v>9.3000000000000007</v>
      </c>
      <c r="Z122" s="123">
        <f t="shared" si="26"/>
        <v>9.3000000000000007</v>
      </c>
      <c r="AA122" s="123">
        <f t="shared" si="26"/>
        <v>9.3000000000000007</v>
      </c>
      <c r="AB122" s="123">
        <f t="shared" si="26"/>
        <v>9.3000000000000007</v>
      </c>
      <c r="AC122" s="123">
        <f t="shared" si="26"/>
        <v>9.3000000000000007</v>
      </c>
      <c r="AD122" s="123">
        <f t="shared" si="26"/>
        <v>9.3000000000000007</v>
      </c>
      <c r="AE122" s="123">
        <f t="shared" si="26"/>
        <v>9.3000000000000007</v>
      </c>
      <c r="AF122" s="123">
        <f t="shared" si="26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4"/>
        <v>0</v>
      </c>
      <c r="C123" s="124">
        <v>0</v>
      </c>
      <c r="D123" s="123">
        <f t="shared" si="27"/>
        <v>0</v>
      </c>
      <c r="E123" s="123">
        <f t="shared" si="27"/>
        <v>0</v>
      </c>
      <c r="F123" s="123">
        <f t="shared" si="27"/>
        <v>0</v>
      </c>
      <c r="G123" s="123">
        <f t="shared" si="27"/>
        <v>0</v>
      </c>
      <c r="H123" s="123">
        <f t="shared" si="27"/>
        <v>0</v>
      </c>
      <c r="I123" s="123">
        <f t="shared" si="27"/>
        <v>0</v>
      </c>
      <c r="J123" s="123">
        <f t="shared" si="27"/>
        <v>0</v>
      </c>
      <c r="K123" s="123">
        <f t="shared" si="27"/>
        <v>0</v>
      </c>
      <c r="L123" s="123">
        <f t="shared" si="27"/>
        <v>0</v>
      </c>
      <c r="M123" s="123">
        <f t="shared" si="27"/>
        <v>0</v>
      </c>
      <c r="N123" s="123">
        <f t="shared" si="27"/>
        <v>0</v>
      </c>
      <c r="O123" s="123">
        <f t="shared" si="27"/>
        <v>0</v>
      </c>
      <c r="P123" s="123">
        <f t="shared" si="27"/>
        <v>0</v>
      </c>
      <c r="Q123" s="123">
        <f t="shared" si="27"/>
        <v>0</v>
      </c>
      <c r="R123" s="123">
        <f t="shared" si="27"/>
        <v>0</v>
      </c>
      <c r="S123" s="123">
        <f t="shared" si="27"/>
        <v>0</v>
      </c>
      <c r="T123" s="123">
        <f t="shared" si="26"/>
        <v>0</v>
      </c>
      <c r="U123" s="123">
        <f t="shared" si="26"/>
        <v>0</v>
      </c>
      <c r="V123" s="123">
        <f t="shared" si="26"/>
        <v>0</v>
      </c>
      <c r="W123" s="123">
        <f t="shared" si="26"/>
        <v>0</v>
      </c>
      <c r="X123" s="123">
        <f t="shared" si="26"/>
        <v>0</v>
      </c>
      <c r="Y123" s="123">
        <f t="shared" si="26"/>
        <v>0</v>
      </c>
      <c r="Z123" s="123">
        <f t="shared" si="26"/>
        <v>0</v>
      </c>
      <c r="AA123" s="123">
        <f t="shared" si="26"/>
        <v>0</v>
      </c>
      <c r="AB123" s="123">
        <f t="shared" si="26"/>
        <v>0</v>
      </c>
      <c r="AC123" s="123">
        <f t="shared" si="26"/>
        <v>0</v>
      </c>
      <c r="AD123" s="123">
        <f t="shared" si="26"/>
        <v>0</v>
      </c>
      <c r="AE123" s="123">
        <f t="shared" si="26"/>
        <v>0</v>
      </c>
      <c r="AF123" s="123">
        <f t="shared" si="26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4"/>
        <v>0</v>
      </c>
      <c r="C124" s="124">
        <v>0</v>
      </c>
      <c r="D124" s="123">
        <f t="shared" si="27"/>
        <v>0</v>
      </c>
      <c r="E124" s="123">
        <f t="shared" si="27"/>
        <v>0</v>
      </c>
      <c r="F124" s="123">
        <f t="shared" si="27"/>
        <v>0</v>
      </c>
      <c r="G124" s="123">
        <f t="shared" si="27"/>
        <v>0</v>
      </c>
      <c r="H124" s="123">
        <f t="shared" si="27"/>
        <v>0</v>
      </c>
      <c r="I124" s="123">
        <f t="shared" si="27"/>
        <v>0</v>
      </c>
      <c r="J124" s="123">
        <f t="shared" si="27"/>
        <v>0</v>
      </c>
      <c r="K124" s="123">
        <f t="shared" si="27"/>
        <v>0</v>
      </c>
      <c r="L124" s="123">
        <f t="shared" si="27"/>
        <v>0</v>
      </c>
      <c r="M124" s="123">
        <f t="shared" si="27"/>
        <v>0</v>
      </c>
      <c r="N124" s="123">
        <f t="shared" si="27"/>
        <v>0</v>
      </c>
      <c r="O124" s="123">
        <f t="shared" si="27"/>
        <v>0</v>
      </c>
      <c r="P124" s="123">
        <f t="shared" si="27"/>
        <v>0</v>
      </c>
      <c r="Q124" s="123">
        <f t="shared" si="27"/>
        <v>0</v>
      </c>
      <c r="R124" s="123">
        <f t="shared" si="27"/>
        <v>0</v>
      </c>
      <c r="S124" s="123">
        <f t="shared" si="27"/>
        <v>0</v>
      </c>
      <c r="T124" s="123">
        <f t="shared" si="26"/>
        <v>0</v>
      </c>
      <c r="U124" s="123">
        <f t="shared" si="26"/>
        <v>0</v>
      </c>
      <c r="V124" s="123">
        <f t="shared" si="26"/>
        <v>0</v>
      </c>
      <c r="W124" s="123">
        <f t="shared" si="26"/>
        <v>0</v>
      </c>
      <c r="X124" s="123">
        <f t="shared" si="26"/>
        <v>0</v>
      </c>
      <c r="Y124" s="123">
        <f t="shared" si="26"/>
        <v>0</v>
      </c>
      <c r="Z124" s="123">
        <f t="shared" si="26"/>
        <v>0</v>
      </c>
      <c r="AA124" s="123">
        <f t="shared" si="26"/>
        <v>0</v>
      </c>
      <c r="AB124" s="123">
        <f t="shared" si="26"/>
        <v>0</v>
      </c>
      <c r="AC124" s="123">
        <f t="shared" si="26"/>
        <v>0</v>
      </c>
      <c r="AD124" s="123">
        <f t="shared" si="26"/>
        <v>0</v>
      </c>
      <c r="AE124" s="123">
        <f t="shared" si="26"/>
        <v>0</v>
      </c>
      <c r="AF124" s="123">
        <f t="shared" si="26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4"/>
        <v>;/</v>
      </c>
      <c r="C125" s="124">
        <v>5</v>
      </c>
      <c r="D125" s="123">
        <f t="shared" si="27"/>
        <v>5</v>
      </c>
      <c r="E125" s="123">
        <f t="shared" si="27"/>
        <v>5</v>
      </c>
      <c r="F125" s="123">
        <f t="shared" si="27"/>
        <v>5</v>
      </c>
      <c r="G125" s="123">
        <f t="shared" si="27"/>
        <v>5</v>
      </c>
      <c r="H125" s="123">
        <f t="shared" si="27"/>
        <v>5</v>
      </c>
      <c r="I125" s="123" t="s">
        <v>131</v>
      </c>
      <c r="J125" s="123" t="str">
        <f t="shared" si="27"/>
        <v>;/</v>
      </c>
      <c r="K125" s="123" t="str">
        <f t="shared" si="27"/>
        <v>;/</v>
      </c>
      <c r="L125" s="123" t="str">
        <f t="shared" si="27"/>
        <v>;/</v>
      </c>
      <c r="M125" s="123" t="str">
        <f t="shared" si="27"/>
        <v>;/</v>
      </c>
      <c r="N125" s="123" t="str">
        <f t="shared" si="27"/>
        <v>;/</v>
      </c>
      <c r="O125" s="123" t="str">
        <f t="shared" si="27"/>
        <v>;/</v>
      </c>
      <c r="P125" s="123" t="str">
        <f t="shared" si="27"/>
        <v>;/</v>
      </c>
      <c r="Q125" s="123" t="str">
        <f t="shared" si="27"/>
        <v>;/</v>
      </c>
      <c r="R125" s="123" t="str">
        <f t="shared" si="27"/>
        <v>;/</v>
      </c>
      <c r="S125" s="123" t="str">
        <f t="shared" si="27"/>
        <v>;/</v>
      </c>
      <c r="T125" s="123" t="str">
        <f t="shared" si="26"/>
        <v>;/</v>
      </c>
      <c r="U125" s="123" t="str">
        <f t="shared" si="26"/>
        <v>;/</v>
      </c>
      <c r="V125" s="123" t="str">
        <f t="shared" si="26"/>
        <v>;/</v>
      </c>
      <c r="W125" s="123" t="str">
        <f t="shared" si="26"/>
        <v>;/</v>
      </c>
      <c r="X125" s="123" t="str">
        <f t="shared" si="26"/>
        <v>;/</v>
      </c>
      <c r="Y125" s="123" t="str">
        <f t="shared" si="26"/>
        <v>;/</v>
      </c>
      <c r="Z125" s="123" t="str">
        <f t="shared" si="26"/>
        <v>;/</v>
      </c>
      <c r="AA125" s="123" t="str">
        <f t="shared" si="26"/>
        <v>;/</v>
      </c>
      <c r="AB125" s="123" t="str">
        <f t="shared" si="26"/>
        <v>;/</v>
      </c>
      <c r="AC125" s="123" t="str">
        <f t="shared" si="26"/>
        <v>;/</v>
      </c>
      <c r="AD125" s="123" t="str">
        <f t="shared" si="26"/>
        <v>;/</v>
      </c>
      <c r="AE125" s="123" t="str">
        <f t="shared" si="26"/>
        <v>;/</v>
      </c>
      <c r="AF125" s="123" t="str">
        <f t="shared" si="26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4"/>
        <v>1</v>
      </c>
      <c r="C126" s="124">
        <v>1</v>
      </c>
      <c r="D126" s="123">
        <f t="shared" si="27"/>
        <v>1</v>
      </c>
      <c r="E126" s="123">
        <f t="shared" si="27"/>
        <v>1</v>
      </c>
      <c r="F126" s="123">
        <f t="shared" si="27"/>
        <v>1</v>
      </c>
      <c r="G126" s="123">
        <f t="shared" si="27"/>
        <v>1</v>
      </c>
      <c r="H126" s="123">
        <f t="shared" si="27"/>
        <v>1</v>
      </c>
      <c r="I126" s="123">
        <f t="shared" si="27"/>
        <v>1</v>
      </c>
      <c r="J126" s="123">
        <f t="shared" si="27"/>
        <v>1</v>
      </c>
      <c r="K126" s="123">
        <f t="shared" si="27"/>
        <v>1</v>
      </c>
      <c r="L126" s="123">
        <f t="shared" si="27"/>
        <v>1</v>
      </c>
      <c r="M126" s="123">
        <f t="shared" si="27"/>
        <v>1</v>
      </c>
      <c r="N126" s="123">
        <f t="shared" si="27"/>
        <v>1</v>
      </c>
      <c r="O126" s="123">
        <f t="shared" si="27"/>
        <v>1</v>
      </c>
      <c r="P126" s="123">
        <f t="shared" si="27"/>
        <v>1</v>
      </c>
      <c r="Q126" s="123">
        <f t="shared" si="27"/>
        <v>1</v>
      </c>
      <c r="R126" s="123">
        <f t="shared" si="27"/>
        <v>1</v>
      </c>
      <c r="S126" s="123">
        <f t="shared" si="27"/>
        <v>1</v>
      </c>
      <c r="T126" s="123">
        <f t="shared" si="26"/>
        <v>1</v>
      </c>
      <c r="U126" s="123">
        <f t="shared" si="26"/>
        <v>1</v>
      </c>
      <c r="V126" s="123">
        <f t="shared" si="26"/>
        <v>1</v>
      </c>
      <c r="W126" s="123">
        <f t="shared" si="26"/>
        <v>1</v>
      </c>
      <c r="X126" s="123">
        <f t="shared" si="26"/>
        <v>1</v>
      </c>
      <c r="Y126" s="123">
        <f t="shared" si="26"/>
        <v>1</v>
      </c>
      <c r="Z126" s="123">
        <f t="shared" si="26"/>
        <v>1</v>
      </c>
      <c r="AA126" s="123">
        <f t="shared" si="26"/>
        <v>1</v>
      </c>
      <c r="AB126" s="123">
        <f t="shared" si="26"/>
        <v>1</v>
      </c>
      <c r="AC126" s="123">
        <f t="shared" si="26"/>
        <v>1</v>
      </c>
      <c r="AD126" s="123">
        <f t="shared" si="26"/>
        <v>1</v>
      </c>
      <c r="AE126" s="123">
        <f t="shared" si="26"/>
        <v>1</v>
      </c>
      <c r="AF126" s="123">
        <f t="shared" si="26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4"/>
        <v>1.58</v>
      </c>
      <c r="C127" s="124">
        <v>1.58</v>
      </c>
      <c r="D127" s="123">
        <f t="shared" si="27"/>
        <v>1.58</v>
      </c>
      <c r="E127" s="123">
        <f t="shared" si="27"/>
        <v>1.58</v>
      </c>
      <c r="F127" s="123">
        <f t="shared" si="27"/>
        <v>1.58</v>
      </c>
      <c r="G127" s="123">
        <f t="shared" si="27"/>
        <v>1.58</v>
      </c>
      <c r="H127" s="123">
        <f t="shared" si="27"/>
        <v>1.58</v>
      </c>
      <c r="I127" s="123">
        <f t="shared" si="27"/>
        <v>1.58</v>
      </c>
      <c r="J127" s="123">
        <f t="shared" si="27"/>
        <v>1.58</v>
      </c>
      <c r="K127" s="123">
        <f t="shared" si="27"/>
        <v>1.58</v>
      </c>
      <c r="L127" s="123">
        <f t="shared" si="27"/>
        <v>1.58</v>
      </c>
      <c r="M127" s="123">
        <f t="shared" si="27"/>
        <v>1.58</v>
      </c>
      <c r="N127" s="123">
        <f t="shared" si="27"/>
        <v>1.58</v>
      </c>
      <c r="O127" s="123">
        <f t="shared" si="27"/>
        <v>1.58</v>
      </c>
      <c r="P127" s="123">
        <f t="shared" si="27"/>
        <v>1.58</v>
      </c>
      <c r="Q127" s="123">
        <f t="shared" si="27"/>
        <v>1.58</v>
      </c>
      <c r="R127" s="123">
        <f t="shared" si="27"/>
        <v>1.58</v>
      </c>
      <c r="S127" s="123">
        <f t="shared" si="27"/>
        <v>1.58</v>
      </c>
      <c r="T127" s="123">
        <f t="shared" si="26"/>
        <v>1.58</v>
      </c>
      <c r="U127" s="123">
        <f t="shared" si="26"/>
        <v>1.58</v>
      </c>
      <c r="V127" s="123">
        <f t="shared" si="26"/>
        <v>1.58</v>
      </c>
      <c r="W127" s="123">
        <f t="shared" si="26"/>
        <v>1.58</v>
      </c>
      <c r="X127" s="123">
        <f t="shared" si="26"/>
        <v>1.58</v>
      </c>
      <c r="Y127" s="123">
        <f t="shared" si="26"/>
        <v>1.58</v>
      </c>
      <c r="Z127" s="123">
        <f t="shared" si="26"/>
        <v>1.58</v>
      </c>
      <c r="AA127" s="123">
        <f t="shared" si="26"/>
        <v>1.58</v>
      </c>
      <c r="AB127" s="123">
        <f t="shared" si="26"/>
        <v>1.58</v>
      </c>
      <c r="AC127" s="123">
        <f t="shared" si="26"/>
        <v>1.58</v>
      </c>
      <c r="AD127" s="123">
        <f t="shared" si="26"/>
        <v>1.58</v>
      </c>
      <c r="AE127" s="123">
        <f t="shared" si="26"/>
        <v>1.58</v>
      </c>
      <c r="AF127" s="123">
        <f t="shared" si="26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4"/>
        <v>1.46</v>
      </c>
      <c r="C128" s="124">
        <v>1.46</v>
      </c>
      <c r="D128" s="123">
        <f t="shared" si="27"/>
        <v>1.46</v>
      </c>
      <c r="E128" s="123">
        <f t="shared" si="27"/>
        <v>1.46</v>
      </c>
      <c r="F128" s="123">
        <f t="shared" si="27"/>
        <v>1.46</v>
      </c>
      <c r="G128" s="123">
        <f t="shared" si="27"/>
        <v>1.46</v>
      </c>
      <c r="H128" s="123">
        <f t="shared" si="27"/>
        <v>1.46</v>
      </c>
      <c r="I128" s="123">
        <f t="shared" si="27"/>
        <v>1.46</v>
      </c>
      <c r="J128" s="123">
        <f t="shared" si="27"/>
        <v>1.46</v>
      </c>
      <c r="K128" s="123">
        <f t="shared" si="27"/>
        <v>1.46</v>
      </c>
      <c r="L128" s="123">
        <f t="shared" si="27"/>
        <v>1.46</v>
      </c>
      <c r="M128" s="123">
        <f t="shared" si="27"/>
        <v>1.46</v>
      </c>
      <c r="N128" s="123">
        <f t="shared" si="27"/>
        <v>1.46</v>
      </c>
      <c r="O128" s="123">
        <f t="shared" si="27"/>
        <v>1.46</v>
      </c>
      <c r="P128" s="123">
        <f t="shared" si="27"/>
        <v>1.46</v>
      </c>
      <c r="Q128" s="123">
        <f t="shared" si="27"/>
        <v>1.46</v>
      </c>
      <c r="R128" s="123">
        <f t="shared" si="27"/>
        <v>1.46</v>
      </c>
      <c r="S128" s="123">
        <f t="shared" si="27"/>
        <v>1.46</v>
      </c>
      <c r="T128" s="123">
        <f t="shared" ref="T128:AF129" si="28">S128</f>
        <v>1.46</v>
      </c>
      <c r="U128" s="123">
        <f t="shared" si="28"/>
        <v>1.46</v>
      </c>
      <c r="V128" s="123">
        <f t="shared" si="28"/>
        <v>1.46</v>
      </c>
      <c r="W128" s="123">
        <f t="shared" si="28"/>
        <v>1.46</v>
      </c>
      <c r="X128" s="123">
        <f t="shared" si="28"/>
        <v>1.46</v>
      </c>
      <c r="Y128" s="123">
        <f t="shared" si="28"/>
        <v>1.46</v>
      </c>
      <c r="Z128" s="123">
        <f t="shared" si="28"/>
        <v>1.46</v>
      </c>
      <c r="AA128" s="123">
        <f t="shared" si="28"/>
        <v>1.46</v>
      </c>
      <c r="AB128" s="123">
        <f t="shared" si="28"/>
        <v>1.46</v>
      </c>
      <c r="AC128" s="123">
        <f t="shared" si="28"/>
        <v>1.46</v>
      </c>
      <c r="AD128" s="123">
        <f t="shared" si="28"/>
        <v>1.46</v>
      </c>
      <c r="AE128" s="123">
        <f t="shared" si="28"/>
        <v>1.46</v>
      </c>
      <c r="AF128" s="123">
        <f t="shared" si="28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4"/>
        <v>1.48</v>
      </c>
      <c r="C129" s="124">
        <v>1.48</v>
      </c>
      <c r="D129" s="123">
        <f t="shared" si="27"/>
        <v>1.48</v>
      </c>
      <c r="E129" s="123">
        <f t="shared" si="27"/>
        <v>1.48</v>
      </c>
      <c r="F129" s="123">
        <f t="shared" si="27"/>
        <v>1.48</v>
      </c>
      <c r="G129" s="123">
        <f t="shared" si="27"/>
        <v>1.48</v>
      </c>
      <c r="H129" s="123">
        <f t="shared" si="27"/>
        <v>1.48</v>
      </c>
      <c r="I129" s="123">
        <f t="shared" si="27"/>
        <v>1.48</v>
      </c>
      <c r="J129" s="123">
        <f t="shared" si="27"/>
        <v>1.48</v>
      </c>
      <c r="K129" s="123">
        <f t="shared" si="27"/>
        <v>1.48</v>
      </c>
      <c r="L129" s="123">
        <f t="shared" si="27"/>
        <v>1.48</v>
      </c>
      <c r="M129" s="123">
        <f t="shared" si="27"/>
        <v>1.48</v>
      </c>
      <c r="N129" s="123">
        <f t="shared" si="27"/>
        <v>1.48</v>
      </c>
      <c r="O129" s="123">
        <f t="shared" si="27"/>
        <v>1.48</v>
      </c>
      <c r="P129" s="123">
        <f t="shared" si="27"/>
        <v>1.48</v>
      </c>
      <c r="Q129" s="123">
        <f t="shared" si="27"/>
        <v>1.48</v>
      </c>
      <c r="R129" s="123">
        <f t="shared" si="27"/>
        <v>1.48</v>
      </c>
      <c r="S129" s="123">
        <f t="shared" si="27"/>
        <v>1.48</v>
      </c>
      <c r="T129" s="123">
        <f t="shared" si="28"/>
        <v>1.48</v>
      </c>
      <c r="U129" s="123">
        <f t="shared" si="28"/>
        <v>1.48</v>
      </c>
      <c r="V129" s="123">
        <f t="shared" si="28"/>
        <v>1.48</v>
      </c>
      <c r="W129" s="123">
        <f t="shared" si="28"/>
        <v>1.48</v>
      </c>
      <c r="X129" s="123">
        <f t="shared" si="28"/>
        <v>1.48</v>
      </c>
      <c r="Y129" s="123">
        <f t="shared" si="28"/>
        <v>1.48</v>
      </c>
      <c r="Z129" s="123">
        <f t="shared" si="28"/>
        <v>1.48</v>
      </c>
      <c r="AA129" s="123">
        <f t="shared" si="28"/>
        <v>1.48</v>
      </c>
      <c r="AB129" s="123">
        <f t="shared" si="28"/>
        <v>1.48</v>
      </c>
      <c r="AC129" s="123">
        <f t="shared" si="28"/>
        <v>1.48</v>
      </c>
      <c r="AD129" s="123">
        <f t="shared" si="28"/>
        <v>1.48</v>
      </c>
      <c r="AE129" s="123">
        <f t="shared" si="28"/>
        <v>1.48</v>
      </c>
      <c r="AF129" s="123">
        <f t="shared" si="28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9">AF131</f>
        <v>2.2000000000000002</v>
      </c>
      <c r="C131" s="124">
        <v>2.2000000000000002</v>
      </c>
      <c r="D131" s="123">
        <f t="shared" ref="D131:S138" si="30">C131</f>
        <v>2.2000000000000002</v>
      </c>
      <c r="E131" s="123">
        <f t="shared" si="30"/>
        <v>2.2000000000000002</v>
      </c>
      <c r="F131" s="123">
        <f t="shared" si="30"/>
        <v>2.2000000000000002</v>
      </c>
      <c r="G131" s="123">
        <f t="shared" si="30"/>
        <v>2.2000000000000002</v>
      </c>
      <c r="H131" s="123">
        <f t="shared" si="30"/>
        <v>2.2000000000000002</v>
      </c>
      <c r="I131" s="123">
        <f t="shared" si="30"/>
        <v>2.2000000000000002</v>
      </c>
      <c r="J131" s="123">
        <f t="shared" si="30"/>
        <v>2.2000000000000002</v>
      </c>
      <c r="K131" s="123">
        <f t="shared" si="30"/>
        <v>2.2000000000000002</v>
      </c>
      <c r="L131" s="123">
        <f t="shared" si="30"/>
        <v>2.2000000000000002</v>
      </c>
      <c r="M131" s="123">
        <f t="shared" si="30"/>
        <v>2.2000000000000002</v>
      </c>
      <c r="N131" s="123">
        <f t="shared" si="30"/>
        <v>2.2000000000000002</v>
      </c>
      <c r="O131" s="123">
        <f t="shared" si="30"/>
        <v>2.2000000000000002</v>
      </c>
      <c r="P131" s="123">
        <f t="shared" si="30"/>
        <v>2.2000000000000002</v>
      </c>
      <c r="Q131" s="123">
        <f t="shared" si="30"/>
        <v>2.2000000000000002</v>
      </c>
      <c r="R131" s="123">
        <f t="shared" si="30"/>
        <v>2.2000000000000002</v>
      </c>
      <c r="S131" s="123">
        <f t="shared" si="30"/>
        <v>2.2000000000000002</v>
      </c>
      <c r="T131" s="123">
        <f t="shared" ref="T131:AF138" si="31">S131</f>
        <v>2.2000000000000002</v>
      </c>
      <c r="U131" s="123">
        <f t="shared" si="31"/>
        <v>2.2000000000000002</v>
      </c>
      <c r="V131" s="123">
        <f t="shared" si="31"/>
        <v>2.2000000000000002</v>
      </c>
      <c r="W131" s="123">
        <f t="shared" si="31"/>
        <v>2.2000000000000002</v>
      </c>
      <c r="X131" s="123">
        <f t="shared" si="31"/>
        <v>2.2000000000000002</v>
      </c>
      <c r="Y131" s="123">
        <f t="shared" si="31"/>
        <v>2.2000000000000002</v>
      </c>
      <c r="Z131" s="123">
        <f t="shared" si="31"/>
        <v>2.2000000000000002</v>
      </c>
      <c r="AA131" s="123">
        <f t="shared" si="31"/>
        <v>2.2000000000000002</v>
      </c>
      <c r="AB131" s="123">
        <f t="shared" si="31"/>
        <v>2.2000000000000002</v>
      </c>
      <c r="AC131" s="123">
        <f t="shared" si="31"/>
        <v>2.2000000000000002</v>
      </c>
      <c r="AD131" s="123">
        <f t="shared" si="31"/>
        <v>2.2000000000000002</v>
      </c>
      <c r="AE131" s="123">
        <f t="shared" si="31"/>
        <v>2.2000000000000002</v>
      </c>
      <c r="AF131" s="123">
        <f t="shared" si="31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9"/>
        <v>2</v>
      </c>
      <c r="C132" s="124">
        <v>2</v>
      </c>
      <c r="D132" s="123">
        <f t="shared" si="30"/>
        <v>2</v>
      </c>
      <c r="E132" s="123">
        <f t="shared" si="30"/>
        <v>2</v>
      </c>
      <c r="F132" s="123">
        <f t="shared" si="30"/>
        <v>2</v>
      </c>
      <c r="G132" s="123">
        <f t="shared" si="30"/>
        <v>2</v>
      </c>
      <c r="H132" s="123">
        <f t="shared" si="30"/>
        <v>2</v>
      </c>
      <c r="I132" s="123">
        <f t="shared" si="30"/>
        <v>2</v>
      </c>
      <c r="J132" s="123">
        <f t="shared" si="30"/>
        <v>2</v>
      </c>
      <c r="K132" s="123">
        <f t="shared" si="30"/>
        <v>2</v>
      </c>
      <c r="L132" s="123">
        <f t="shared" si="30"/>
        <v>2</v>
      </c>
      <c r="M132" s="123">
        <f t="shared" si="30"/>
        <v>2</v>
      </c>
      <c r="N132" s="123">
        <f t="shared" si="30"/>
        <v>2</v>
      </c>
      <c r="O132" s="123">
        <f t="shared" si="30"/>
        <v>2</v>
      </c>
      <c r="P132" s="123">
        <f t="shared" si="30"/>
        <v>2</v>
      </c>
      <c r="Q132" s="123">
        <f t="shared" si="30"/>
        <v>2</v>
      </c>
      <c r="R132" s="123">
        <f t="shared" si="30"/>
        <v>2</v>
      </c>
      <c r="S132" s="123">
        <f t="shared" si="30"/>
        <v>2</v>
      </c>
      <c r="T132" s="123">
        <f t="shared" si="31"/>
        <v>2</v>
      </c>
      <c r="U132" s="123">
        <f t="shared" si="31"/>
        <v>2</v>
      </c>
      <c r="V132" s="123">
        <f t="shared" si="31"/>
        <v>2</v>
      </c>
      <c r="W132" s="123">
        <f t="shared" si="31"/>
        <v>2</v>
      </c>
      <c r="X132" s="123">
        <f t="shared" si="31"/>
        <v>2</v>
      </c>
      <c r="Y132" s="123">
        <f t="shared" si="31"/>
        <v>2</v>
      </c>
      <c r="Z132" s="123">
        <f t="shared" si="31"/>
        <v>2</v>
      </c>
      <c r="AA132" s="123">
        <f t="shared" si="31"/>
        <v>2</v>
      </c>
      <c r="AB132" s="123">
        <f t="shared" si="31"/>
        <v>2</v>
      </c>
      <c r="AC132" s="123">
        <f t="shared" si="31"/>
        <v>2</v>
      </c>
      <c r="AD132" s="123">
        <f t="shared" si="31"/>
        <v>2</v>
      </c>
      <c r="AE132" s="123">
        <f t="shared" si="31"/>
        <v>2</v>
      </c>
      <c r="AF132" s="123">
        <f t="shared" si="31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9"/>
        <v>1.25</v>
      </c>
      <c r="C133" s="124">
        <v>1.25</v>
      </c>
      <c r="D133" s="123">
        <f t="shared" si="30"/>
        <v>1.25</v>
      </c>
      <c r="E133" s="123">
        <f t="shared" si="30"/>
        <v>1.25</v>
      </c>
      <c r="F133" s="123">
        <f t="shared" si="30"/>
        <v>1.25</v>
      </c>
      <c r="G133" s="123">
        <f t="shared" si="30"/>
        <v>1.25</v>
      </c>
      <c r="H133" s="123">
        <f t="shared" si="30"/>
        <v>1.25</v>
      </c>
      <c r="I133" s="123">
        <f t="shared" si="30"/>
        <v>1.25</v>
      </c>
      <c r="J133" s="123">
        <f t="shared" si="30"/>
        <v>1.25</v>
      </c>
      <c r="K133" s="123">
        <f t="shared" si="30"/>
        <v>1.25</v>
      </c>
      <c r="L133" s="123">
        <f t="shared" si="30"/>
        <v>1.25</v>
      </c>
      <c r="M133" s="123">
        <f t="shared" si="30"/>
        <v>1.25</v>
      </c>
      <c r="N133" s="123">
        <f t="shared" si="30"/>
        <v>1.25</v>
      </c>
      <c r="O133" s="123">
        <f t="shared" si="30"/>
        <v>1.25</v>
      </c>
      <c r="P133" s="123">
        <f t="shared" si="30"/>
        <v>1.25</v>
      </c>
      <c r="Q133" s="123">
        <f t="shared" si="30"/>
        <v>1.25</v>
      </c>
      <c r="R133" s="123">
        <f t="shared" si="30"/>
        <v>1.25</v>
      </c>
      <c r="S133" s="123">
        <f t="shared" si="30"/>
        <v>1.25</v>
      </c>
      <c r="T133" s="123">
        <f t="shared" si="31"/>
        <v>1.25</v>
      </c>
      <c r="U133" s="123">
        <f t="shared" si="31"/>
        <v>1.25</v>
      </c>
      <c r="V133" s="123">
        <f t="shared" si="31"/>
        <v>1.25</v>
      </c>
      <c r="W133" s="123">
        <f t="shared" si="31"/>
        <v>1.25</v>
      </c>
      <c r="X133" s="123">
        <f t="shared" si="31"/>
        <v>1.25</v>
      </c>
      <c r="Y133" s="123">
        <f t="shared" si="31"/>
        <v>1.25</v>
      </c>
      <c r="Z133" s="123">
        <f t="shared" si="31"/>
        <v>1.25</v>
      </c>
      <c r="AA133" s="123">
        <f t="shared" si="31"/>
        <v>1.25</v>
      </c>
      <c r="AB133" s="123">
        <f t="shared" si="31"/>
        <v>1.25</v>
      </c>
      <c r="AC133" s="123">
        <f t="shared" si="31"/>
        <v>1.25</v>
      </c>
      <c r="AD133" s="123">
        <f t="shared" si="31"/>
        <v>1.25</v>
      </c>
      <c r="AE133" s="123">
        <f t="shared" si="31"/>
        <v>1.25</v>
      </c>
      <c r="AF133" s="123">
        <f t="shared" si="31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9"/>
        <v>1.1499999999999999</v>
      </c>
      <c r="C134" s="124">
        <v>1.1499999999999999</v>
      </c>
      <c r="D134" s="123">
        <f t="shared" si="30"/>
        <v>1.1499999999999999</v>
      </c>
      <c r="E134" s="123">
        <f t="shared" si="30"/>
        <v>1.1499999999999999</v>
      </c>
      <c r="F134" s="123">
        <f t="shared" si="30"/>
        <v>1.1499999999999999</v>
      </c>
      <c r="G134" s="123">
        <f t="shared" si="30"/>
        <v>1.1499999999999999</v>
      </c>
      <c r="H134" s="123">
        <f t="shared" si="30"/>
        <v>1.1499999999999999</v>
      </c>
      <c r="I134" s="123">
        <f t="shared" si="30"/>
        <v>1.1499999999999999</v>
      </c>
      <c r="J134" s="123">
        <f t="shared" si="30"/>
        <v>1.1499999999999999</v>
      </c>
      <c r="K134" s="123">
        <f t="shared" si="30"/>
        <v>1.1499999999999999</v>
      </c>
      <c r="L134" s="123">
        <f t="shared" si="30"/>
        <v>1.1499999999999999</v>
      </c>
      <c r="M134" s="123">
        <f t="shared" si="30"/>
        <v>1.1499999999999999</v>
      </c>
      <c r="N134" s="123">
        <f t="shared" si="30"/>
        <v>1.1499999999999999</v>
      </c>
      <c r="O134" s="123">
        <f t="shared" si="30"/>
        <v>1.1499999999999999</v>
      </c>
      <c r="P134" s="123">
        <f t="shared" si="30"/>
        <v>1.1499999999999999</v>
      </c>
      <c r="Q134" s="123">
        <f t="shared" si="30"/>
        <v>1.1499999999999999</v>
      </c>
      <c r="R134" s="123">
        <f t="shared" si="30"/>
        <v>1.1499999999999999</v>
      </c>
      <c r="S134" s="123">
        <f t="shared" si="30"/>
        <v>1.1499999999999999</v>
      </c>
      <c r="T134" s="123">
        <f t="shared" si="31"/>
        <v>1.1499999999999999</v>
      </c>
      <c r="U134" s="123">
        <f t="shared" si="31"/>
        <v>1.1499999999999999</v>
      </c>
      <c r="V134" s="123">
        <f t="shared" si="31"/>
        <v>1.1499999999999999</v>
      </c>
      <c r="W134" s="123">
        <f t="shared" si="31"/>
        <v>1.1499999999999999</v>
      </c>
      <c r="X134" s="123">
        <f t="shared" si="31"/>
        <v>1.1499999999999999</v>
      </c>
      <c r="Y134" s="123">
        <f t="shared" si="31"/>
        <v>1.1499999999999999</v>
      </c>
      <c r="Z134" s="123">
        <f t="shared" si="31"/>
        <v>1.1499999999999999</v>
      </c>
      <c r="AA134" s="123">
        <f t="shared" si="31"/>
        <v>1.1499999999999999</v>
      </c>
      <c r="AB134" s="123">
        <f t="shared" si="31"/>
        <v>1.1499999999999999</v>
      </c>
      <c r="AC134" s="123">
        <f t="shared" si="31"/>
        <v>1.1499999999999999</v>
      </c>
      <c r="AD134" s="123">
        <f t="shared" si="31"/>
        <v>1.1499999999999999</v>
      </c>
      <c r="AE134" s="123">
        <f t="shared" si="31"/>
        <v>1.1499999999999999</v>
      </c>
      <c r="AF134" s="123">
        <f t="shared" si="31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9"/>
        <v>2.133</v>
      </c>
      <c r="C135" s="124">
        <v>2.133</v>
      </c>
      <c r="D135" s="123">
        <f t="shared" si="30"/>
        <v>2.133</v>
      </c>
      <c r="E135" s="123">
        <f t="shared" si="30"/>
        <v>2.133</v>
      </c>
      <c r="F135" s="123">
        <f t="shared" si="30"/>
        <v>2.133</v>
      </c>
      <c r="G135" s="123">
        <f t="shared" si="30"/>
        <v>2.133</v>
      </c>
      <c r="H135" s="123">
        <f t="shared" si="30"/>
        <v>2.133</v>
      </c>
      <c r="I135" s="123">
        <f t="shared" si="30"/>
        <v>2.133</v>
      </c>
      <c r="J135" s="123">
        <f t="shared" si="30"/>
        <v>2.133</v>
      </c>
      <c r="K135" s="123">
        <f t="shared" si="30"/>
        <v>2.133</v>
      </c>
      <c r="L135" s="123">
        <f t="shared" si="30"/>
        <v>2.133</v>
      </c>
      <c r="M135" s="123">
        <f t="shared" si="30"/>
        <v>2.133</v>
      </c>
      <c r="N135" s="123">
        <f t="shared" si="30"/>
        <v>2.133</v>
      </c>
      <c r="O135" s="123">
        <f t="shared" si="30"/>
        <v>2.133</v>
      </c>
      <c r="P135" s="123">
        <f t="shared" si="30"/>
        <v>2.133</v>
      </c>
      <c r="Q135" s="123">
        <f t="shared" si="30"/>
        <v>2.133</v>
      </c>
      <c r="R135" s="123">
        <f t="shared" si="30"/>
        <v>2.133</v>
      </c>
      <c r="S135" s="123">
        <f t="shared" si="30"/>
        <v>2.133</v>
      </c>
      <c r="T135" s="123">
        <f t="shared" si="31"/>
        <v>2.133</v>
      </c>
      <c r="U135" s="123">
        <f t="shared" si="31"/>
        <v>2.133</v>
      </c>
      <c r="V135" s="123">
        <f t="shared" si="31"/>
        <v>2.133</v>
      </c>
      <c r="W135" s="123">
        <f t="shared" si="31"/>
        <v>2.133</v>
      </c>
      <c r="X135" s="123">
        <f t="shared" si="31"/>
        <v>2.133</v>
      </c>
      <c r="Y135" s="123">
        <f t="shared" si="31"/>
        <v>2.133</v>
      </c>
      <c r="Z135" s="123">
        <f t="shared" si="31"/>
        <v>2.133</v>
      </c>
      <c r="AA135" s="123">
        <f t="shared" si="31"/>
        <v>2.133</v>
      </c>
      <c r="AB135" s="123">
        <f t="shared" si="31"/>
        <v>2.133</v>
      </c>
      <c r="AC135" s="123">
        <f t="shared" si="31"/>
        <v>2.133</v>
      </c>
      <c r="AD135" s="123">
        <f t="shared" si="31"/>
        <v>2.133</v>
      </c>
      <c r="AE135" s="123">
        <f t="shared" si="31"/>
        <v>2.133</v>
      </c>
      <c r="AF135" s="123">
        <f t="shared" si="31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9"/>
        <v>2.09</v>
      </c>
      <c r="C136" s="124">
        <v>2.09</v>
      </c>
      <c r="D136" s="123">
        <f t="shared" si="30"/>
        <v>2.09</v>
      </c>
      <c r="E136" s="123">
        <f t="shared" si="30"/>
        <v>2.09</v>
      </c>
      <c r="F136" s="123">
        <f t="shared" si="30"/>
        <v>2.09</v>
      </c>
      <c r="G136" s="123">
        <f t="shared" si="30"/>
        <v>2.09</v>
      </c>
      <c r="H136" s="123">
        <f t="shared" si="30"/>
        <v>2.09</v>
      </c>
      <c r="I136" s="123">
        <f t="shared" si="30"/>
        <v>2.09</v>
      </c>
      <c r="J136" s="123">
        <f t="shared" si="30"/>
        <v>2.09</v>
      </c>
      <c r="K136" s="123">
        <f t="shared" si="30"/>
        <v>2.09</v>
      </c>
      <c r="L136" s="123">
        <f t="shared" si="30"/>
        <v>2.09</v>
      </c>
      <c r="M136" s="123">
        <f t="shared" si="30"/>
        <v>2.09</v>
      </c>
      <c r="N136" s="123">
        <f t="shared" si="30"/>
        <v>2.09</v>
      </c>
      <c r="O136" s="123">
        <f t="shared" si="30"/>
        <v>2.09</v>
      </c>
      <c r="P136" s="123">
        <f t="shared" si="30"/>
        <v>2.09</v>
      </c>
      <c r="Q136" s="123">
        <f t="shared" si="30"/>
        <v>2.09</v>
      </c>
      <c r="R136" s="123">
        <f t="shared" si="30"/>
        <v>2.09</v>
      </c>
      <c r="S136" s="123">
        <f t="shared" si="30"/>
        <v>2.09</v>
      </c>
      <c r="T136" s="123">
        <f t="shared" si="31"/>
        <v>2.09</v>
      </c>
      <c r="U136" s="123">
        <f t="shared" si="31"/>
        <v>2.09</v>
      </c>
      <c r="V136" s="123">
        <f t="shared" si="31"/>
        <v>2.09</v>
      </c>
      <c r="W136" s="123">
        <f t="shared" si="31"/>
        <v>2.09</v>
      </c>
      <c r="X136" s="123">
        <f t="shared" si="31"/>
        <v>2.09</v>
      </c>
      <c r="Y136" s="123">
        <f t="shared" si="31"/>
        <v>2.09</v>
      </c>
      <c r="Z136" s="123">
        <f t="shared" si="31"/>
        <v>2.09</v>
      </c>
      <c r="AA136" s="123">
        <f t="shared" si="31"/>
        <v>2.09</v>
      </c>
      <c r="AB136" s="123">
        <f t="shared" si="31"/>
        <v>2.09</v>
      </c>
      <c r="AC136" s="123">
        <f t="shared" si="31"/>
        <v>2.09</v>
      </c>
      <c r="AD136" s="123">
        <f t="shared" si="31"/>
        <v>2.09</v>
      </c>
      <c r="AE136" s="123">
        <f t="shared" si="31"/>
        <v>2.09</v>
      </c>
      <c r="AF136" s="123">
        <f t="shared" si="31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9"/>
        <v>1.1399999999999999</v>
      </c>
      <c r="C137" s="124">
        <v>1.1399999999999999</v>
      </c>
      <c r="D137" s="123">
        <f t="shared" si="30"/>
        <v>1.1399999999999999</v>
      </c>
      <c r="E137" s="123">
        <f t="shared" si="30"/>
        <v>1.1399999999999999</v>
      </c>
      <c r="F137" s="123">
        <f t="shared" si="30"/>
        <v>1.1399999999999999</v>
      </c>
      <c r="G137" s="123">
        <f t="shared" si="30"/>
        <v>1.1399999999999999</v>
      </c>
      <c r="H137" s="123">
        <f t="shared" si="30"/>
        <v>1.1399999999999999</v>
      </c>
      <c r="I137" s="123">
        <f t="shared" si="30"/>
        <v>1.1399999999999999</v>
      </c>
      <c r="J137" s="123">
        <f t="shared" si="30"/>
        <v>1.1399999999999999</v>
      </c>
      <c r="K137" s="123">
        <f t="shared" si="30"/>
        <v>1.1399999999999999</v>
      </c>
      <c r="L137" s="123">
        <f t="shared" si="30"/>
        <v>1.1399999999999999</v>
      </c>
      <c r="M137" s="123">
        <f t="shared" si="30"/>
        <v>1.1399999999999999</v>
      </c>
      <c r="N137" s="123">
        <f t="shared" si="30"/>
        <v>1.1399999999999999</v>
      </c>
      <c r="O137" s="123">
        <f t="shared" si="30"/>
        <v>1.1399999999999999</v>
      </c>
      <c r="P137" s="123">
        <f t="shared" si="30"/>
        <v>1.1399999999999999</v>
      </c>
      <c r="Q137" s="123">
        <f t="shared" si="30"/>
        <v>1.1399999999999999</v>
      </c>
      <c r="R137" s="123">
        <f t="shared" si="30"/>
        <v>1.1399999999999999</v>
      </c>
      <c r="S137" s="123">
        <f t="shared" si="30"/>
        <v>1.1399999999999999</v>
      </c>
      <c r="T137" s="123">
        <f t="shared" si="31"/>
        <v>1.1399999999999999</v>
      </c>
      <c r="U137" s="123">
        <f t="shared" si="31"/>
        <v>1.1399999999999999</v>
      </c>
      <c r="V137" s="123">
        <f t="shared" si="31"/>
        <v>1.1399999999999999</v>
      </c>
      <c r="W137" s="123">
        <f t="shared" si="31"/>
        <v>1.1399999999999999</v>
      </c>
      <c r="X137" s="123">
        <f t="shared" si="31"/>
        <v>1.1399999999999999</v>
      </c>
      <c r="Y137" s="123">
        <f t="shared" si="31"/>
        <v>1.1399999999999999</v>
      </c>
      <c r="Z137" s="123">
        <f t="shared" si="31"/>
        <v>1.1399999999999999</v>
      </c>
      <c r="AA137" s="123">
        <f t="shared" si="31"/>
        <v>1.1399999999999999</v>
      </c>
      <c r="AB137" s="123">
        <f t="shared" si="31"/>
        <v>1.1399999999999999</v>
      </c>
      <c r="AC137" s="123">
        <f t="shared" si="31"/>
        <v>1.1399999999999999</v>
      </c>
      <c r="AD137" s="123">
        <f t="shared" si="31"/>
        <v>1.1399999999999999</v>
      </c>
      <c r="AE137" s="123">
        <f t="shared" si="31"/>
        <v>1.1399999999999999</v>
      </c>
      <c r="AF137" s="123">
        <f t="shared" si="31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9"/>
        <v>0.82</v>
      </c>
      <c r="C138" s="124">
        <v>0.82</v>
      </c>
      <c r="D138" s="123">
        <f t="shared" si="30"/>
        <v>0.82</v>
      </c>
      <c r="E138" s="123">
        <f t="shared" si="30"/>
        <v>0.82</v>
      </c>
      <c r="F138" s="123">
        <f t="shared" si="30"/>
        <v>0.82</v>
      </c>
      <c r="G138" s="123">
        <f t="shared" si="30"/>
        <v>0.82</v>
      </c>
      <c r="H138" s="123">
        <f t="shared" si="30"/>
        <v>0.82</v>
      </c>
      <c r="I138" s="123">
        <f t="shared" si="30"/>
        <v>0.82</v>
      </c>
      <c r="J138" s="123">
        <f t="shared" si="30"/>
        <v>0.82</v>
      </c>
      <c r="K138" s="123">
        <f t="shared" si="30"/>
        <v>0.82</v>
      </c>
      <c r="L138" s="123">
        <f t="shared" si="30"/>
        <v>0.82</v>
      </c>
      <c r="M138" s="123">
        <f t="shared" si="30"/>
        <v>0.82</v>
      </c>
      <c r="N138" s="123">
        <f t="shared" si="30"/>
        <v>0.82</v>
      </c>
      <c r="O138" s="123">
        <f t="shared" si="30"/>
        <v>0.82</v>
      </c>
      <c r="P138" s="123">
        <f t="shared" si="30"/>
        <v>0.82</v>
      </c>
      <c r="Q138" s="123">
        <f t="shared" si="30"/>
        <v>0.82</v>
      </c>
      <c r="R138" s="123">
        <f t="shared" si="30"/>
        <v>0.82</v>
      </c>
      <c r="S138" s="123">
        <f t="shared" si="30"/>
        <v>0.82</v>
      </c>
      <c r="T138" s="123">
        <f t="shared" si="31"/>
        <v>0.82</v>
      </c>
      <c r="U138" s="123">
        <f t="shared" si="31"/>
        <v>0.82</v>
      </c>
      <c r="V138" s="123">
        <f t="shared" si="31"/>
        <v>0.82</v>
      </c>
      <c r="W138" s="123">
        <f t="shared" si="31"/>
        <v>0.82</v>
      </c>
      <c r="X138" s="123">
        <f t="shared" si="31"/>
        <v>0.82</v>
      </c>
      <c r="Y138" s="123">
        <f t="shared" si="31"/>
        <v>0.82</v>
      </c>
      <c r="Z138" s="123">
        <f t="shared" si="31"/>
        <v>0.82</v>
      </c>
      <c r="AA138" s="123">
        <f t="shared" si="31"/>
        <v>0.82</v>
      </c>
      <c r="AB138" s="123">
        <f t="shared" si="31"/>
        <v>0.82</v>
      </c>
      <c r="AC138" s="123">
        <f t="shared" si="31"/>
        <v>0.82</v>
      </c>
      <c r="AD138" s="123">
        <f t="shared" si="31"/>
        <v>0.82</v>
      </c>
      <c r="AE138" s="123">
        <f t="shared" si="31"/>
        <v>0.82</v>
      </c>
      <c r="AF138" s="123">
        <f t="shared" si="31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2">AF140</f>
        <v>2</v>
      </c>
      <c r="C140" s="124">
        <v>2</v>
      </c>
      <c r="D140" s="123">
        <f t="shared" ref="D140:S146" si="33">C140</f>
        <v>2</v>
      </c>
      <c r="E140" s="123">
        <f t="shared" si="33"/>
        <v>2</v>
      </c>
      <c r="F140" s="123">
        <f t="shared" si="33"/>
        <v>2</v>
      </c>
      <c r="G140" s="123">
        <f t="shared" si="33"/>
        <v>2</v>
      </c>
      <c r="H140" s="123">
        <f t="shared" si="33"/>
        <v>2</v>
      </c>
      <c r="I140" s="123">
        <f t="shared" si="33"/>
        <v>2</v>
      </c>
      <c r="J140" s="123">
        <f t="shared" si="33"/>
        <v>2</v>
      </c>
      <c r="K140" s="123">
        <f t="shared" si="33"/>
        <v>2</v>
      </c>
      <c r="L140" s="123">
        <f t="shared" si="33"/>
        <v>2</v>
      </c>
      <c r="M140" s="123">
        <f t="shared" si="33"/>
        <v>2</v>
      </c>
      <c r="N140" s="123">
        <f t="shared" si="33"/>
        <v>2</v>
      </c>
      <c r="O140" s="123">
        <f t="shared" si="33"/>
        <v>2</v>
      </c>
      <c r="P140" s="123">
        <f t="shared" si="33"/>
        <v>2</v>
      </c>
      <c r="Q140" s="123">
        <f t="shared" si="33"/>
        <v>2</v>
      </c>
      <c r="R140" s="123">
        <f t="shared" si="33"/>
        <v>2</v>
      </c>
      <c r="S140" s="123">
        <f t="shared" si="33"/>
        <v>2</v>
      </c>
      <c r="T140" s="123">
        <f t="shared" ref="T140:AF146" si="34">S140</f>
        <v>2</v>
      </c>
      <c r="U140" s="123">
        <f t="shared" si="34"/>
        <v>2</v>
      </c>
      <c r="V140" s="123">
        <f t="shared" si="34"/>
        <v>2</v>
      </c>
      <c r="W140" s="123">
        <f t="shared" si="34"/>
        <v>2</v>
      </c>
      <c r="X140" s="123">
        <f t="shared" si="34"/>
        <v>2</v>
      </c>
      <c r="Y140" s="123">
        <f t="shared" si="34"/>
        <v>2</v>
      </c>
      <c r="Z140" s="123">
        <f t="shared" si="34"/>
        <v>2</v>
      </c>
      <c r="AA140" s="123">
        <f t="shared" si="34"/>
        <v>2</v>
      </c>
      <c r="AB140" s="123">
        <f t="shared" si="34"/>
        <v>2</v>
      </c>
      <c r="AC140" s="123">
        <f t="shared" si="34"/>
        <v>2</v>
      </c>
      <c r="AD140" s="123">
        <f t="shared" si="34"/>
        <v>2</v>
      </c>
      <c r="AE140" s="123">
        <f t="shared" si="34"/>
        <v>2</v>
      </c>
      <c r="AF140" s="123">
        <f t="shared" si="34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2"/>
        <v>5.61</v>
      </c>
      <c r="C141" s="124">
        <v>5.61</v>
      </c>
      <c r="D141" s="123">
        <f t="shared" si="33"/>
        <v>5.61</v>
      </c>
      <c r="E141" s="123">
        <f t="shared" si="33"/>
        <v>5.61</v>
      </c>
      <c r="F141" s="123">
        <f t="shared" si="33"/>
        <v>5.61</v>
      </c>
      <c r="G141" s="123">
        <f t="shared" si="33"/>
        <v>5.61</v>
      </c>
      <c r="H141" s="123">
        <f t="shared" si="33"/>
        <v>5.61</v>
      </c>
      <c r="I141" s="123">
        <f t="shared" si="33"/>
        <v>5.61</v>
      </c>
      <c r="J141" s="123">
        <f t="shared" si="33"/>
        <v>5.61</v>
      </c>
      <c r="K141" s="123">
        <f t="shared" si="33"/>
        <v>5.61</v>
      </c>
      <c r="L141" s="123">
        <f t="shared" si="33"/>
        <v>5.61</v>
      </c>
      <c r="M141" s="123">
        <f t="shared" si="33"/>
        <v>5.61</v>
      </c>
      <c r="N141" s="123">
        <f t="shared" si="33"/>
        <v>5.61</v>
      </c>
      <c r="O141" s="123">
        <f t="shared" si="33"/>
        <v>5.61</v>
      </c>
      <c r="P141" s="123">
        <f t="shared" si="33"/>
        <v>5.61</v>
      </c>
      <c r="Q141" s="123">
        <f t="shared" si="33"/>
        <v>5.61</v>
      </c>
      <c r="R141" s="123">
        <f t="shared" si="33"/>
        <v>5.61</v>
      </c>
      <c r="S141" s="123">
        <f t="shared" si="33"/>
        <v>5.61</v>
      </c>
      <c r="T141" s="123">
        <f t="shared" si="34"/>
        <v>5.61</v>
      </c>
      <c r="U141" s="123">
        <f t="shared" si="34"/>
        <v>5.61</v>
      </c>
      <c r="V141" s="123">
        <f t="shared" si="34"/>
        <v>5.61</v>
      </c>
      <c r="W141" s="123">
        <f t="shared" si="34"/>
        <v>5.61</v>
      </c>
      <c r="X141" s="123">
        <f t="shared" si="34"/>
        <v>5.61</v>
      </c>
      <c r="Y141" s="123">
        <f t="shared" si="34"/>
        <v>5.61</v>
      </c>
      <c r="Z141" s="123">
        <f t="shared" si="34"/>
        <v>5.61</v>
      </c>
      <c r="AA141" s="123">
        <f t="shared" si="34"/>
        <v>5.61</v>
      </c>
      <c r="AB141" s="123">
        <f t="shared" si="34"/>
        <v>5.61</v>
      </c>
      <c r="AC141" s="123">
        <f t="shared" si="34"/>
        <v>5.61</v>
      </c>
      <c r="AD141" s="123">
        <f t="shared" si="34"/>
        <v>5.61</v>
      </c>
      <c r="AE141" s="123">
        <f t="shared" si="34"/>
        <v>5.61</v>
      </c>
      <c r="AF141" s="123">
        <f t="shared" si="34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2"/>
        <v>1.25</v>
      </c>
      <c r="C142" s="124">
        <v>1.25</v>
      </c>
      <c r="D142" s="123">
        <f t="shared" si="33"/>
        <v>1.25</v>
      </c>
      <c r="E142" s="123">
        <f t="shared" si="33"/>
        <v>1.25</v>
      </c>
      <c r="F142" s="123">
        <f t="shared" si="33"/>
        <v>1.25</v>
      </c>
      <c r="G142" s="123">
        <f t="shared" si="33"/>
        <v>1.25</v>
      </c>
      <c r="H142" s="123">
        <f t="shared" si="33"/>
        <v>1.25</v>
      </c>
      <c r="I142" s="123">
        <f t="shared" si="33"/>
        <v>1.25</v>
      </c>
      <c r="J142" s="123">
        <f t="shared" si="33"/>
        <v>1.25</v>
      </c>
      <c r="K142" s="123">
        <f t="shared" si="33"/>
        <v>1.25</v>
      </c>
      <c r="L142" s="123">
        <f t="shared" si="33"/>
        <v>1.25</v>
      </c>
      <c r="M142" s="123">
        <f t="shared" si="33"/>
        <v>1.25</v>
      </c>
      <c r="N142" s="123">
        <f t="shared" si="33"/>
        <v>1.25</v>
      </c>
      <c r="O142" s="123">
        <f t="shared" si="33"/>
        <v>1.25</v>
      </c>
      <c r="P142" s="123">
        <f t="shared" si="33"/>
        <v>1.25</v>
      </c>
      <c r="Q142" s="123">
        <f t="shared" si="33"/>
        <v>1.25</v>
      </c>
      <c r="R142" s="123">
        <f t="shared" si="33"/>
        <v>1.25</v>
      </c>
      <c r="S142" s="123">
        <f t="shared" si="33"/>
        <v>1.25</v>
      </c>
      <c r="T142" s="123">
        <f t="shared" si="34"/>
        <v>1.25</v>
      </c>
      <c r="U142" s="123">
        <f t="shared" si="34"/>
        <v>1.25</v>
      </c>
      <c r="V142" s="123">
        <f t="shared" si="34"/>
        <v>1.25</v>
      </c>
      <c r="W142" s="123">
        <f t="shared" si="34"/>
        <v>1.25</v>
      </c>
      <c r="X142" s="123">
        <f t="shared" si="34"/>
        <v>1.25</v>
      </c>
      <c r="Y142" s="123">
        <f t="shared" si="34"/>
        <v>1.25</v>
      </c>
      <c r="Z142" s="123">
        <f t="shared" si="34"/>
        <v>1.25</v>
      </c>
      <c r="AA142" s="123">
        <f t="shared" si="34"/>
        <v>1.25</v>
      </c>
      <c r="AB142" s="123">
        <f t="shared" si="34"/>
        <v>1.25</v>
      </c>
      <c r="AC142" s="123">
        <f t="shared" si="34"/>
        <v>1.25</v>
      </c>
      <c r="AD142" s="123">
        <f t="shared" si="34"/>
        <v>1.25</v>
      </c>
      <c r="AE142" s="123">
        <f t="shared" si="34"/>
        <v>1.25</v>
      </c>
      <c r="AF142" s="123">
        <f t="shared" si="34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2"/>
        <v>1.25</v>
      </c>
      <c r="C143" s="124">
        <v>1.25</v>
      </c>
      <c r="D143" s="123">
        <f t="shared" si="33"/>
        <v>1.25</v>
      </c>
      <c r="E143" s="123">
        <f t="shared" si="33"/>
        <v>1.25</v>
      </c>
      <c r="F143" s="123">
        <f t="shared" si="33"/>
        <v>1.25</v>
      </c>
      <c r="G143" s="123">
        <f t="shared" si="33"/>
        <v>1.25</v>
      </c>
      <c r="H143" s="123">
        <f t="shared" si="33"/>
        <v>1.25</v>
      </c>
      <c r="I143" s="123">
        <f t="shared" si="33"/>
        <v>1.25</v>
      </c>
      <c r="J143" s="123">
        <f t="shared" si="33"/>
        <v>1.25</v>
      </c>
      <c r="K143" s="123">
        <f t="shared" si="33"/>
        <v>1.25</v>
      </c>
      <c r="L143" s="123">
        <f t="shared" si="33"/>
        <v>1.25</v>
      </c>
      <c r="M143" s="123">
        <f t="shared" si="33"/>
        <v>1.25</v>
      </c>
      <c r="N143" s="123">
        <f t="shared" si="33"/>
        <v>1.25</v>
      </c>
      <c r="O143" s="123">
        <f t="shared" si="33"/>
        <v>1.25</v>
      </c>
      <c r="P143" s="123">
        <f t="shared" si="33"/>
        <v>1.25</v>
      </c>
      <c r="Q143" s="123">
        <f t="shared" si="33"/>
        <v>1.25</v>
      </c>
      <c r="R143" s="123">
        <f t="shared" si="33"/>
        <v>1.25</v>
      </c>
      <c r="S143" s="123">
        <f t="shared" si="33"/>
        <v>1.25</v>
      </c>
      <c r="T143" s="123">
        <f t="shared" si="34"/>
        <v>1.25</v>
      </c>
      <c r="U143" s="123">
        <f t="shared" si="34"/>
        <v>1.25</v>
      </c>
      <c r="V143" s="123">
        <f t="shared" si="34"/>
        <v>1.25</v>
      </c>
      <c r="W143" s="123">
        <f t="shared" si="34"/>
        <v>1.25</v>
      </c>
      <c r="X143" s="123">
        <f t="shared" si="34"/>
        <v>1.25</v>
      </c>
      <c r="Y143" s="123">
        <f t="shared" si="34"/>
        <v>1.25</v>
      </c>
      <c r="Z143" s="123">
        <f t="shared" si="34"/>
        <v>1.25</v>
      </c>
      <c r="AA143" s="123">
        <f t="shared" si="34"/>
        <v>1.25</v>
      </c>
      <c r="AB143" s="123">
        <f t="shared" si="34"/>
        <v>1.25</v>
      </c>
      <c r="AC143" s="123">
        <f t="shared" si="34"/>
        <v>1.25</v>
      </c>
      <c r="AD143" s="123">
        <f t="shared" si="34"/>
        <v>1.25</v>
      </c>
      <c r="AE143" s="123">
        <f t="shared" si="34"/>
        <v>1.25</v>
      </c>
      <c r="AF143" s="123">
        <f t="shared" si="34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2"/>
        <v>1.46</v>
      </c>
      <c r="C144" s="124">
        <v>1.46</v>
      </c>
      <c r="D144" s="123">
        <f t="shared" si="33"/>
        <v>1.46</v>
      </c>
      <c r="E144" s="123">
        <f t="shared" si="33"/>
        <v>1.46</v>
      </c>
      <c r="F144" s="123">
        <f t="shared" si="33"/>
        <v>1.46</v>
      </c>
      <c r="G144" s="123">
        <f t="shared" si="33"/>
        <v>1.46</v>
      </c>
      <c r="H144" s="123">
        <f t="shared" si="33"/>
        <v>1.46</v>
      </c>
      <c r="I144" s="123">
        <f t="shared" si="33"/>
        <v>1.46</v>
      </c>
      <c r="J144" s="123">
        <f t="shared" si="33"/>
        <v>1.46</v>
      </c>
      <c r="K144" s="123">
        <f t="shared" si="33"/>
        <v>1.46</v>
      </c>
      <c r="L144" s="123">
        <f t="shared" si="33"/>
        <v>1.46</v>
      </c>
      <c r="M144" s="123">
        <f t="shared" si="33"/>
        <v>1.46</v>
      </c>
      <c r="N144" s="123">
        <f t="shared" si="33"/>
        <v>1.46</v>
      </c>
      <c r="O144" s="123">
        <f t="shared" si="33"/>
        <v>1.46</v>
      </c>
      <c r="P144" s="123">
        <f t="shared" si="33"/>
        <v>1.46</v>
      </c>
      <c r="Q144" s="123">
        <f t="shared" si="33"/>
        <v>1.46</v>
      </c>
      <c r="R144" s="123">
        <f t="shared" si="33"/>
        <v>1.46</v>
      </c>
      <c r="S144" s="123">
        <f t="shared" si="33"/>
        <v>1.46</v>
      </c>
      <c r="T144" s="123">
        <f t="shared" si="34"/>
        <v>1.46</v>
      </c>
      <c r="U144" s="123">
        <f t="shared" si="34"/>
        <v>1.46</v>
      </c>
      <c r="V144" s="123">
        <f t="shared" si="34"/>
        <v>1.46</v>
      </c>
      <c r="W144" s="123">
        <f t="shared" si="34"/>
        <v>1.46</v>
      </c>
      <c r="X144" s="123">
        <f t="shared" si="34"/>
        <v>1.46</v>
      </c>
      <c r="Y144" s="123">
        <f t="shared" si="34"/>
        <v>1.46</v>
      </c>
      <c r="Z144" s="123">
        <f t="shared" si="34"/>
        <v>1.46</v>
      </c>
      <c r="AA144" s="123">
        <f t="shared" si="34"/>
        <v>1.46</v>
      </c>
      <c r="AB144" s="123">
        <f t="shared" si="34"/>
        <v>1.46</v>
      </c>
      <c r="AC144" s="123">
        <f t="shared" si="34"/>
        <v>1.46</v>
      </c>
      <c r="AD144" s="123">
        <f t="shared" si="34"/>
        <v>1.46</v>
      </c>
      <c r="AE144" s="123">
        <f t="shared" si="34"/>
        <v>1.46</v>
      </c>
      <c r="AF144" s="123">
        <f t="shared" si="34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2"/>
        <v>3</v>
      </c>
      <c r="C145" s="124">
        <v>3</v>
      </c>
      <c r="D145" s="123">
        <f t="shared" si="33"/>
        <v>3</v>
      </c>
      <c r="E145" s="123">
        <f t="shared" si="33"/>
        <v>3</v>
      </c>
      <c r="F145" s="123">
        <f t="shared" si="33"/>
        <v>3</v>
      </c>
      <c r="G145" s="123">
        <f t="shared" si="33"/>
        <v>3</v>
      </c>
      <c r="H145" s="123">
        <f t="shared" si="33"/>
        <v>3</v>
      </c>
      <c r="I145" s="123">
        <f t="shared" si="33"/>
        <v>3</v>
      </c>
      <c r="J145" s="123">
        <f t="shared" si="33"/>
        <v>3</v>
      </c>
      <c r="K145" s="123">
        <f t="shared" si="33"/>
        <v>3</v>
      </c>
      <c r="L145" s="123">
        <f t="shared" si="33"/>
        <v>3</v>
      </c>
      <c r="M145" s="123">
        <f t="shared" si="33"/>
        <v>3</v>
      </c>
      <c r="N145" s="123">
        <f t="shared" si="33"/>
        <v>3</v>
      </c>
      <c r="O145" s="123">
        <f t="shared" si="33"/>
        <v>3</v>
      </c>
      <c r="P145" s="123">
        <f t="shared" si="33"/>
        <v>3</v>
      </c>
      <c r="Q145" s="123">
        <f t="shared" si="33"/>
        <v>3</v>
      </c>
      <c r="R145" s="123">
        <f t="shared" si="33"/>
        <v>3</v>
      </c>
      <c r="S145" s="123">
        <f t="shared" si="33"/>
        <v>3</v>
      </c>
      <c r="T145" s="123">
        <f t="shared" si="34"/>
        <v>3</v>
      </c>
      <c r="U145" s="123">
        <f t="shared" si="34"/>
        <v>3</v>
      </c>
      <c r="V145" s="123">
        <f t="shared" si="34"/>
        <v>3</v>
      </c>
      <c r="W145" s="123">
        <f t="shared" si="34"/>
        <v>3</v>
      </c>
      <c r="X145" s="123">
        <f t="shared" si="34"/>
        <v>3</v>
      </c>
      <c r="Y145" s="123">
        <f t="shared" si="34"/>
        <v>3</v>
      </c>
      <c r="Z145" s="123">
        <f t="shared" si="34"/>
        <v>3</v>
      </c>
      <c r="AA145" s="123">
        <f t="shared" si="34"/>
        <v>3</v>
      </c>
      <c r="AB145" s="123">
        <f t="shared" si="34"/>
        <v>3</v>
      </c>
      <c r="AC145" s="123">
        <f t="shared" si="34"/>
        <v>3</v>
      </c>
      <c r="AD145" s="123">
        <f t="shared" si="34"/>
        <v>3</v>
      </c>
      <c r="AE145" s="123">
        <f t="shared" si="34"/>
        <v>3</v>
      </c>
      <c r="AF145" s="123">
        <f t="shared" si="34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2"/>
        <v>3.3</v>
      </c>
      <c r="C146" s="124">
        <v>3.3</v>
      </c>
      <c r="D146" s="123">
        <f t="shared" si="33"/>
        <v>3.3</v>
      </c>
      <c r="E146" s="123">
        <f t="shared" si="33"/>
        <v>3.3</v>
      </c>
      <c r="F146" s="123">
        <f t="shared" si="33"/>
        <v>3.3</v>
      </c>
      <c r="G146" s="123">
        <f t="shared" si="33"/>
        <v>3.3</v>
      </c>
      <c r="H146" s="123">
        <f t="shared" si="33"/>
        <v>3.3</v>
      </c>
      <c r="I146" s="123">
        <f t="shared" si="33"/>
        <v>3.3</v>
      </c>
      <c r="J146" s="123">
        <f t="shared" si="33"/>
        <v>3.3</v>
      </c>
      <c r="K146" s="123">
        <f t="shared" si="33"/>
        <v>3.3</v>
      </c>
      <c r="L146" s="123">
        <f t="shared" si="33"/>
        <v>3.3</v>
      </c>
      <c r="M146" s="123">
        <f t="shared" si="33"/>
        <v>3.3</v>
      </c>
      <c r="N146" s="123">
        <f t="shared" si="33"/>
        <v>3.3</v>
      </c>
      <c r="O146" s="123">
        <f t="shared" si="33"/>
        <v>3.3</v>
      </c>
      <c r="P146" s="123">
        <f t="shared" si="33"/>
        <v>3.3</v>
      </c>
      <c r="Q146" s="123">
        <f t="shared" si="33"/>
        <v>3.3</v>
      </c>
      <c r="R146" s="123">
        <f t="shared" si="33"/>
        <v>3.3</v>
      </c>
      <c r="S146" s="123">
        <f t="shared" si="33"/>
        <v>3.3</v>
      </c>
      <c r="T146" s="123">
        <f t="shared" si="34"/>
        <v>3.3</v>
      </c>
      <c r="U146" s="123">
        <f t="shared" si="34"/>
        <v>3.3</v>
      </c>
      <c r="V146" s="123">
        <f t="shared" si="34"/>
        <v>3.3</v>
      </c>
      <c r="W146" s="123">
        <f t="shared" si="34"/>
        <v>3.3</v>
      </c>
      <c r="X146" s="123">
        <f t="shared" si="34"/>
        <v>3.3</v>
      </c>
      <c r="Y146" s="123">
        <f t="shared" si="34"/>
        <v>3.3</v>
      </c>
      <c r="Z146" s="123">
        <f t="shared" si="34"/>
        <v>3.3</v>
      </c>
      <c r="AA146" s="123">
        <f t="shared" si="34"/>
        <v>3.3</v>
      </c>
      <c r="AB146" s="123">
        <f t="shared" si="34"/>
        <v>3.3</v>
      </c>
      <c r="AC146" s="123">
        <f t="shared" si="34"/>
        <v>3.3</v>
      </c>
      <c r="AD146" s="123">
        <f t="shared" si="34"/>
        <v>3.3</v>
      </c>
      <c r="AE146" s="123">
        <f t="shared" si="34"/>
        <v>3.3</v>
      </c>
      <c r="AF146" s="123">
        <f t="shared" si="34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5">C148</f>
        <v>1.76</v>
      </c>
      <c r="E148" s="123">
        <f t="shared" si="35"/>
        <v>1.76</v>
      </c>
      <c r="F148" s="123">
        <f t="shared" si="35"/>
        <v>1.76</v>
      </c>
      <c r="G148" s="123">
        <f t="shared" si="35"/>
        <v>1.76</v>
      </c>
      <c r="H148" s="123">
        <f t="shared" si="35"/>
        <v>1.76</v>
      </c>
      <c r="I148" s="123">
        <f t="shared" si="35"/>
        <v>1.76</v>
      </c>
      <c r="J148" s="123">
        <f t="shared" si="35"/>
        <v>1.76</v>
      </c>
      <c r="K148" s="123">
        <f t="shared" si="35"/>
        <v>1.76</v>
      </c>
      <c r="L148" s="123">
        <f t="shared" si="35"/>
        <v>1.76</v>
      </c>
      <c r="M148" s="123">
        <f t="shared" si="35"/>
        <v>1.76</v>
      </c>
      <c r="N148" s="123">
        <f t="shared" si="35"/>
        <v>1.76</v>
      </c>
      <c r="O148" s="123">
        <f t="shared" si="35"/>
        <v>1.76</v>
      </c>
      <c r="P148" s="123">
        <f t="shared" si="35"/>
        <v>1.76</v>
      </c>
      <c r="Q148" s="123">
        <f t="shared" si="35"/>
        <v>1.76</v>
      </c>
      <c r="R148" s="123">
        <f t="shared" si="35"/>
        <v>1.76</v>
      </c>
      <c r="S148" s="123">
        <f t="shared" si="35"/>
        <v>1.76</v>
      </c>
      <c r="T148" s="123">
        <f t="shared" ref="T148:AF149" si="36">S148</f>
        <v>1.76</v>
      </c>
      <c r="U148" s="123">
        <f t="shared" si="36"/>
        <v>1.76</v>
      </c>
      <c r="V148" s="123">
        <f t="shared" si="36"/>
        <v>1.76</v>
      </c>
      <c r="W148" s="123">
        <f t="shared" si="36"/>
        <v>1.76</v>
      </c>
      <c r="X148" s="123">
        <f t="shared" si="36"/>
        <v>1.76</v>
      </c>
      <c r="Y148" s="123">
        <f t="shared" si="36"/>
        <v>1.76</v>
      </c>
      <c r="Z148" s="123">
        <f t="shared" si="36"/>
        <v>1.76</v>
      </c>
      <c r="AA148" s="123">
        <f t="shared" si="36"/>
        <v>1.76</v>
      </c>
      <c r="AB148" s="123">
        <f t="shared" si="36"/>
        <v>1.76</v>
      </c>
      <c r="AC148" s="123">
        <f t="shared" si="36"/>
        <v>1.76</v>
      </c>
      <c r="AD148" s="123">
        <f t="shared" si="36"/>
        <v>1.76</v>
      </c>
      <c r="AE148" s="123">
        <f t="shared" si="36"/>
        <v>1.76</v>
      </c>
      <c r="AF148" s="123">
        <f t="shared" si="36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5"/>
        <v>0</v>
      </c>
      <c r="E149" s="123">
        <f t="shared" si="35"/>
        <v>0</v>
      </c>
      <c r="F149" s="123">
        <f t="shared" si="35"/>
        <v>0</v>
      </c>
      <c r="G149" s="123">
        <f t="shared" si="35"/>
        <v>0</v>
      </c>
      <c r="H149" s="123">
        <f t="shared" si="35"/>
        <v>0</v>
      </c>
      <c r="I149" s="123">
        <f t="shared" si="35"/>
        <v>0</v>
      </c>
      <c r="J149" s="123">
        <f t="shared" si="35"/>
        <v>0</v>
      </c>
      <c r="K149" s="123">
        <f t="shared" si="35"/>
        <v>0</v>
      </c>
      <c r="L149" s="123">
        <f t="shared" si="35"/>
        <v>0</v>
      </c>
      <c r="M149" s="123">
        <f t="shared" si="35"/>
        <v>0</v>
      </c>
      <c r="N149" s="123">
        <f t="shared" si="35"/>
        <v>0</v>
      </c>
      <c r="O149" s="123">
        <f t="shared" si="35"/>
        <v>0</v>
      </c>
      <c r="P149" s="123">
        <f t="shared" si="35"/>
        <v>0</v>
      </c>
      <c r="Q149" s="123">
        <f t="shared" si="35"/>
        <v>0</v>
      </c>
      <c r="R149" s="123">
        <f t="shared" si="35"/>
        <v>0</v>
      </c>
      <c r="S149" s="123">
        <f t="shared" si="35"/>
        <v>0</v>
      </c>
      <c r="T149" s="123">
        <f t="shared" si="36"/>
        <v>0</v>
      </c>
      <c r="U149" s="123">
        <f t="shared" si="36"/>
        <v>0</v>
      </c>
      <c r="V149" s="123">
        <f t="shared" si="36"/>
        <v>0</v>
      </c>
      <c r="W149" s="123">
        <f t="shared" si="36"/>
        <v>0</v>
      </c>
      <c r="X149" s="123">
        <f t="shared" si="36"/>
        <v>0</v>
      </c>
      <c r="Y149" s="123">
        <f t="shared" si="36"/>
        <v>0</v>
      </c>
      <c r="Z149" s="123">
        <f t="shared" si="36"/>
        <v>0</v>
      </c>
      <c r="AA149" s="123">
        <f t="shared" si="36"/>
        <v>0</v>
      </c>
      <c r="AB149" s="123">
        <f t="shared" si="36"/>
        <v>0</v>
      </c>
      <c r="AC149" s="123">
        <f t="shared" si="36"/>
        <v>0</v>
      </c>
      <c r="AD149" s="123">
        <f t="shared" si="36"/>
        <v>0</v>
      </c>
      <c r="AE149" s="123">
        <f t="shared" si="36"/>
        <v>0</v>
      </c>
      <c r="AF149" s="123">
        <f t="shared" si="36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7">C151</f>
        <v>0.1</v>
      </c>
      <c r="E151" s="123">
        <f t="shared" si="37"/>
        <v>0.1</v>
      </c>
      <c r="F151" s="123">
        <f t="shared" si="37"/>
        <v>0.1</v>
      </c>
      <c r="G151" s="123">
        <f t="shared" si="37"/>
        <v>0.1</v>
      </c>
      <c r="H151" s="123">
        <f t="shared" si="37"/>
        <v>0.1</v>
      </c>
      <c r="I151" s="123">
        <f t="shared" si="37"/>
        <v>0.1</v>
      </c>
      <c r="J151" s="123">
        <f t="shared" si="37"/>
        <v>0.1</v>
      </c>
      <c r="K151" s="123">
        <f t="shared" si="37"/>
        <v>0.1</v>
      </c>
      <c r="L151" s="123">
        <f t="shared" si="37"/>
        <v>0.1</v>
      </c>
      <c r="M151" s="123">
        <f t="shared" si="37"/>
        <v>0.1</v>
      </c>
      <c r="N151" s="123">
        <f t="shared" si="37"/>
        <v>0.1</v>
      </c>
      <c r="O151" s="123">
        <f t="shared" si="37"/>
        <v>0.1</v>
      </c>
      <c r="P151" s="123">
        <f t="shared" si="37"/>
        <v>0.1</v>
      </c>
      <c r="Q151" s="123">
        <f t="shared" si="37"/>
        <v>0.1</v>
      </c>
      <c r="R151" s="123">
        <f t="shared" si="37"/>
        <v>0.1</v>
      </c>
      <c r="S151" s="123">
        <f t="shared" si="37"/>
        <v>0.1</v>
      </c>
      <c r="T151" s="123">
        <f t="shared" ref="T151:AF154" si="38">S151</f>
        <v>0.1</v>
      </c>
      <c r="U151" s="123">
        <f t="shared" si="38"/>
        <v>0.1</v>
      </c>
      <c r="V151" s="123">
        <f t="shared" si="38"/>
        <v>0.1</v>
      </c>
      <c r="W151" s="123">
        <f t="shared" si="38"/>
        <v>0.1</v>
      </c>
      <c r="X151" s="123">
        <f t="shared" si="38"/>
        <v>0.1</v>
      </c>
      <c r="Y151" s="123">
        <f t="shared" si="38"/>
        <v>0.1</v>
      </c>
      <c r="Z151" s="123">
        <f t="shared" si="38"/>
        <v>0.1</v>
      </c>
      <c r="AA151" s="123">
        <f t="shared" si="38"/>
        <v>0.1</v>
      </c>
      <c r="AB151" s="123">
        <f t="shared" si="38"/>
        <v>0.1</v>
      </c>
      <c r="AC151" s="123">
        <f t="shared" si="38"/>
        <v>0.1</v>
      </c>
      <c r="AD151" s="123">
        <f t="shared" si="38"/>
        <v>0.1</v>
      </c>
      <c r="AE151" s="123">
        <f t="shared" si="38"/>
        <v>0.1</v>
      </c>
      <c r="AF151" s="123">
        <f t="shared" si="38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7"/>
        <v>2.0499999999999998</v>
      </c>
      <c r="E152" s="123">
        <f t="shared" si="37"/>
        <v>2.0499999999999998</v>
      </c>
      <c r="F152" s="123">
        <f t="shared" si="37"/>
        <v>2.0499999999999998</v>
      </c>
      <c r="G152" s="123">
        <f t="shared" si="37"/>
        <v>2.0499999999999998</v>
      </c>
      <c r="H152" s="123">
        <f t="shared" si="37"/>
        <v>2.0499999999999998</v>
      </c>
      <c r="I152" s="123">
        <f t="shared" si="37"/>
        <v>2.0499999999999998</v>
      </c>
      <c r="J152" s="123">
        <f t="shared" si="37"/>
        <v>2.0499999999999998</v>
      </c>
      <c r="K152" s="123">
        <f t="shared" si="37"/>
        <v>2.0499999999999998</v>
      </c>
      <c r="L152" s="123">
        <f t="shared" si="37"/>
        <v>2.0499999999999998</v>
      </c>
      <c r="M152" s="123">
        <f t="shared" si="37"/>
        <v>2.0499999999999998</v>
      </c>
      <c r="N152" s="123">
        <f t="shared" si="37"/>
        <v>2.0499999999999998</v>
      </c>
      <c r="O152" s="123">
        <f t="shared" si="37"/>
        <v>2.0499999999999998</v>
      </c>
      <c r="P152" s="123">
        <f t="shared" si="37"/>
        <v>2.0499999999999998</v>
      </c>
      <c r="Q152" s="123">
        <f t="shared" si="37"/>
        <v>2.0499999999999998</v>
      </c>
      <c r="R152" s="123">
        <f t="shared" si="37"/>
        <v>2.0499999999999998</v>
      </c>
      <c r="S152" s="123">
        <f t="shared" si="37"/>
        <v>2.0499999999999998</v>
      </c>
      <c r="T152" s="123">
        <f t="shared" si="38"/>
        <v>2.0499999999999998</v>
      </c>
      <c r="U152" s="123">
        <f t="shared" si="38"/>
        <v>2.0499999999999998</v>
      </c>
      <c r="V152" s="123">
        <f t="shared" si="38"/>
        <v>2.0499999999999998</v>
      </c>
      <c r="W152" s="123">
        <f t="shared" si="38"/>
        <v>2.0499999999999998</v>
      </c>
      <c r="X152" s="123">
        <f t="shared" si="38"/>
        <v>2.0499999999999998</v>
      </c>
      <c r="Y152" s="123">
        <f t="shared" si="38"/>
        <v>2.0499999999999998</v>
      </c>
      <c r="Z152" s="123">
        <f t="shared" si="38"/>
        <v>2.0499999999999998</v>
      </c>
      <c r="AA152" s="123">
        <f t="shared" si="38"/>
        <v>2.0499999999999998</v>
      </c>
      <c r="AB152" s="123">
        <f t="shared" si="38"/>
        <v>2.0499999999999998</v>
      </c>
      <c r="AC152" s="123">
        <f t="shared" si="38"/>
        <v>2.0499999999999998</v>
      </c>
      <c r="AD152" s="123">
        <f t="shared" si="38"/>
        <v>2.0499999999999998</v>
      </c>
      <c r="AE152" s="123">
        <f t="shared" si="38"/>
        <v>2.0499999999999998</v>
      </c>
      <c r="AF152" s="123">
        <f t="shared" si="38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7"/>
        <v>2.7</v>
      </c>
      <c r="E153" s="123">
        <f t="shared" si="37"/>
        <v>2.7</v>
      </c>
      <c r="F153" s="123">
        <f t="shared" si="37"/>
        <v>2.7</v>
      </c>
      <c r="G153" s="123">
        <f t="shared" si="37"/>
        <v>2.7</v>
      </c>
      <c r="H153" s="123">
        <f t="shared" si="37"/>
        <v>2.7</v>
      </c>
      <c r="I153" s="123">
        <f t="shared" si="37"/>
        <v>2.7</v>
      </c>
      <c r="J153" s="123">
        <f t="shared" si="37"/>
        <v>2.7</v>
      </c>
      <c r="K153" s="123">
        <f t="shared" si="37"/>
        <v>2.7</v>
      </c>
      <c r="L153" s="123">
        <f t="shared" si="37"/>
        <v>2.7</v>
      </c>
      <c r="M153" s="123">
        <f t="shared" si="37"/>
        <v>2.7</v>
      </c>
      <c r="N153" s="123">
        <f t="shared" si="37"/>
        <v>2.7</v>
      </c>
      <c r="O153" s="123">
        <f t="shared" si="37"/>
        <v>2.7</v>
      </c>
      <c r="P153" s="123">
        <f t="shared" si="37"/>
        <v>2.7</v>
      </c>
      <c r="Q153" s="123">
        <f t="shared" si="37"/>
        <v>2.7</v>
      </c>
      <c r="R153" s="123">
        <f t="shared" si="37"/>
        <v>2.7</v>
      </c>
      <c r="S153" s="123">
        <f t="shared" si="37"/>
        <v>2.7</v>
      </c>
      <c r="T153" s="123">
        <f t="shared" si="38"/>
        <v>2.7</v>
      </c>
      <c r="U153" s="123">
        <f t="shared" si="38"/>
        <v>2.7</v>
      </c>
      <c r="V153" s="123">
        <f t="shared" si="38"/>
        <v>2.7</v>
      </c>
      <c r="W153" s="123">
        <f t="shared" si="38"/>
        <v>2.7</v>
      </c>
      <c r="X153" s="123">
        <f t="shared" si="38"/>
        <v>2.7</v>
      </c>
      <c r="Y153" s="123">
        <f t="shared" si="38"/>
        <v>2.7</v>
      </c>
      <c r="Z153" s="123">
        <f t="shared" si="38"/>
        <v>2.7</v>
      </c>
      <c r="AA153" s="123">
        <f t="shared" si="38"/>
        <v>2.7</v>
      </c>
      <c r="AB153" s="123">
        <f t="shared" si="38"/>
        <v>2.7</v>
      </c>
      <c r="AC153" s="123">
        <f t="shared" si="38"/>
        <v>2.7</v>
      </c>
      <c r="AD153" s="123">
        <f t="shared" si="38"/>
        <v>2.7</v>
      </c>
      <c r="AE153" s="123">
        <f t="shared" si="38"/>
        <v>2.7</v>
      </c>
      <c r="AF153" s="123">
        <f t="shared" si="38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7"/>
        <v>2.15</v>
      </c>
      <c r="E154" s="123">
        <f t="shared" si="37"/>
        <v>2.15</v>
      </c>
      <c r="F154" s="123">
        <f t="shared" si="37"/>
        <v>2.15</v>
      </c>
      <c r="G154" s="123">
        <f t="shared" si="37"/>
        <v>2.15</v>
      </c>
      <c r="H154" s="123">
        <f t="shared" si="37"/>
        <v>2.15</v>
      </c>
      <c r="I154" s="123">
        <f t="shared" si="37"/>
        <v>2.15</v>
      </c>
      <c r="J154" s="123">
        <f t="shared" si="37"/>
        <v>2.15</v>
      </c>
      <c r="K154" s="123">
        <f t="shared" si="37"/>
        <v>2.15</v>
      </c>
      <c r="L154" s="123">
        <f t="shared" si="37"/>
        <v>2.15</v>
      </c>
      <c r="M154" s="123">
        <f t="shared" si="37"/>
        <v>2.15</v>
      </c>
      <c r="N154" s="123">
        <f t="shared" si="37"/>
        <v>2.15</v>
      </c>
      <c r="O154" s="123">
        <f t="shared" si="37"/>
        <v>2.15</v>
      </c>
      <c r="P154" s="123">
        <f t="shared" si="37"/>
        <v>2.15</v>
      </c>
      <c r="Q154" s="123">
        <f t="shared" si="37"/>
        <v>2.15</v>
      </c>
      <c r="R154" s="123">
        <f t="shared" si="37"/>
        <v>2.15</v>
      </c>
      <c r="S154" s="123">
        <f t="shared" si="37"/>
        <v>2.15</v>
      </c>
      <c r="T154" s="123">
        <f t="shared" si="38"/>
        <v>2.15</v>
      </c>
      <c r="U154" s="123">
        <f t="shared" si="38"/>
        <v>2.15</v>
      </c>
      <c r="V154" s="123">
        <f t="shared" si="38"/>
        <v>2.15</v>
      </c>
      <c r="W154" s="123">
        <f t="shared" si="38"/>
        <v>2.15</v>
      </c>
      <c r="X154" s="123">
        <f t="shared" si="38"/>
        <v>2.15</v>
      </c>
      <c r="Y154" s="123">
        <f t="shared" si="38"/>
        <v>2.15</v>
      </c>
      <c r="Z154" s="123">
        <f t="shared" si="38"/>
        <v>2.15</v>
      </c>
      <c r="AA154" s="123">
        <f t="shared" si="38"/>
        <v>2.15</v>
      </c>
      <c r="AB154" s="123">
        <f t="shared" si="38"/>
        <v>2.15</v>
      </c>
      <c r="AC154" s="123">
        <f t="shared" si="38"/>
        <v>2.15</v>
      </c>
      <c r="AD154" s="123">
        <f t="shared" si="38"/>
        <v>2.15</v>
      </c>
      <c r="AE154" s="123">
        <f t="shared" si="38"/>
        <v>2.15</v>
      </c>
      <c r="AF154" s="123">
        <f t="shared" si="38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9">AF156</f>
        <v>0.9</v>
      </c>
      <c r="C156" s="124">
        <v>0.9</v>
      </c>
      <c r="D156" s="123">
        <f t="shared" ref="D156:S168" si="40">C156</f>
        <v>0.9</v>
      </c>
      <c r="E156" s="123">
        <f t="shared" si="40"/>
        <v>0.9</v>
      </c>
      <c r="F156" s="123">
        <f t="shared" si="40"/>
        <v>0.9</v>
      </c>
      <c r="G156" s="123">
        <f t="shared" si="40"/>
        <v>0.9</v>
      </c>
      <c r="H156" s="123">
        <f t="shared" si="40"/>
        <v>0.9</v>
      </c>
      <c r="I156" s="123">
        <f t="shared" si="40"/>
        <v>0.9</v>
      </c>
      <c r="J156" s="123">
        <f t="shared" si="40"/>
        <v>0.9</v>
      </c>
      <c r="K156" s="123">
        <f t="shared" si="40"/>
        <v>0.9</v>
      </c>
      <c r="L156" s="123">
        <f t="shared" si="40"/>
        <v>0.9</v>
      </c>
      <c r="M156" s="123">
        <f t="shared" si="40"/>
        <v>0.9</v>
      </c>
      <c r="N156" s="123">
        <f t="shared" si="40"/>
        <v>0.9</v>
      </c>
      <c r="O156" s="123">
        <f t="shared" si="40"/>
        <v>0.9</v>
      </c>
      <c r="P156" s="123">
        <f t="shared" si="40"/>
        <v>0.9</v>
      </c>
      <c r="Q156" s="123">
        <f t="shared" si="40"/>
        <v>0.9</v>
      </c>
      <c r="R156" s="123">
        <f t="shared" si="40"/>
        <v>0.9</v>
      </c>
      <c r="S156" s="123">
        <f t="shared" si="40"/>
        <v>0.9</v>
      </c>
      <c r="T156" s="123">
        <f t="shared" ref="S156:AF168" si="41">S156</f>
        <v>0.9</v>
      </c>
      <c r="U156" s="123">
        <f t="shared" si="41"/>
        <v>0.9</v>
      </c>
      <c r="V156" s="123">
        <f t="shared" si="41"/>
        <v>0.9</v>
      </c>
      <c r="W156" s="123">
        <f t="shared" si="41"/>
        <v>0.9</v>
      </c>
      <c r="X156" s="123">
        <f t="shared" si="41"/>
        <v>0.9</v>
      </c>
      <c r="Y156" s="123">
        <f t="shared" si="41"/>
        <v>0.9</v>
      </c>
      <c r="Z156" s="123">
        <f t="shared" si="41"/>
        <v>0.9</v>
      </c>
      <c r="AA156" s="123">
        <f t="shared" si="41"/>
        <v>0.9</v>
      </c>
      <c r="AB156" s="123">
        <f t="shared" si="41"/>
        <v>0.9</v>
      </c>
      <c r="AC156" s="123">
        <f t="shared" si="41"/>
        <v>0.9</v>
      </c>
      <c r="AD156" s="123">
        <f t="shared" si="41"/>
        <v>0.9</v>
      </c>
      <c r="AE156" s="123">
        <f t="shared" si="41"/>
        <v>0.9</v>
      </c>
      <c r="AF156" s="123">
        <f t="shared" si="41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9"/>
        <v>1.08</v>
      </c>
      <c r="C157" s="124">
        <v>1.08</v>
      </c>
      <c r="D157" s="123">
        <f t="shared" si="40"/>
        <v>1.08</v>
      </c>
      <c r="E157" s="123">
        <f t="shared" si="40"/>
        <v>1.08</v>
      </c>
      <c r="F157" s="123">
        <f t="shared" si="40"/>
        <v>1.08</v>
      </c>
      <c r="G157" s="123">
        <f t="shared" si="40"/>
        <v>1.08</v>
      </c>
      <c r="H157" s="123">
        <f t="shared" si="40"/>
        <v>1.08</v>
      </c>
      <c r="I157" s="123">
        <f t="shared" si="40"/>
        <v>1.08</v>
      </c>
      <c r="J157" s="123">
        <f t="shared" si="40"/>
        <v>1.08</v>
      </c>
      <c r="K157" s="123">
        <f t="shared" si="40"/>
        <v>1.08</v>
      </c>
      <c r="L157" s="123">
        <f t="shared" si="40"/>
        <v>1.08</v>
      </c>
      <c r="M157" s="123">
        <f t="shared" si="40"/>
        <v>1.08</v>
      </c>
      <c r="N157" s="123">
        <f t="shared" si="40"/>
        <v>1.08</v>
      </c>
      <c r="O157" s="123">
        <f t="shared" si="40"/>
        <v>1.08</v>
      </c>
      <c r="P157" s="123">
        <f t="shared" si="40"/>
        <v>1.08</v>
      </c>
      <c r="Q157" s="123">
        <f t="shared" si="40"/>
        <v>1.08</v>
      </c>
      <c r="R157" s="123">
        <f t="shared" si="40"/>
        <v>1.08</v>
      </c>
      <c r="S157" s="123">
        <f t="shared" si="40"/>
        <v>1.08</v>
      </c>
      <c r="T157" s="123">
        <f t="shared" si="41"/>
        <v>1.08</v>
      </c>
      <c r="U157" s="123">
        <f t="shared" si="41"/>
        <v>1.08</v>
      </c>
      <c r="V157" s="123">
        <f t="shared" si="41"/>
        <v>1.08</v>
      </c>
      <c r="W157" s="123">
        <f t="shared" si="41"/>
        <v>1.08</v>
      </c>
      <c r="X157" s="123">
        <f t="shared" si="41"/>
        <v>1.08</v>
      </c>
      <c r="Y157" s="123">
        <f t="shared" si="41"/>
        <v>1.08</v>
      </c>
      <c r="Z157" s="123">
        <f t="shared" si="41"/>
        <v>1.08</v>
      </c>
      <c r="AA157" s="123">
        <f t="shared" si="41"/>
        <v>1.08</v>
      </c>
      <c r="AB157" s="123">
        <f t="shared" si="41"/>
        <v>1.08</v>
      </c>
      <c r="AC157" s="123">
        <f t="shared" si="41"/>
        <v>1.08</v>
      </c>
      <c r="AD157" s="123">
        <f t="shared" si="41"/>
        <v>1.08</v>
      </c>
      <c r="AE157" s="123">
        <f t="shared" si="41"/>
        <v>1.08</v>
      </c>
      <c r="AF157" s="123">
        <f t="shared" si="41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9"/>
        <v>2.37</v>
      </c>
      <c r="C158" s="124">
        <v>2.37</v>
      </c>
      <c r="D158" s="123">
        <f t="shared" si="40"/>
        <v>2.37</v>
      </c>
      <c r="E158" s="123">
        <f t="shared" si="40"/>
        <v>2.37</v>
      </c>
      <c r="F158" s="123">
        <f t="shared" si="40"/>
        <v>2.37</v>
      </c>
      <c r="G158" s="123">
        <f t="shared" si="40"/>
        <v>2.37</v>
      </c>
      <c r="H158" s="123">
        <f t="shared" si="40"/>
        <v>2.37</v>
      </c>
      <c r="I158" s="123">
        <f t="shared" si="40"/>
        <v>2.37</v>
      </c>
      <c r="J158" s="123">
        <f t="shared" si="40"/>
        <v>2.37</v>
      </c>
      <c r="K158" s="123">
        <f t="shared" si="40"/>
        <v>2.37</v>
      </c>
      <c r="L158" s="123">
        <f t="shared" si="40"/>
        <v>2.37</v>
      </c>
      <c r="M158" s="123">
        <f t="shared" si="40"/>
        <v>2.37</v>
      </c>
      <c r="N158" s="123">
        <f t="shared" si="40"/>
        <v>2.37</v>
      </c>
      <c r="O158" s="123">
        <f t="shared" si="40"/>
        <v>2.37</v>
      </c>
      <c r="P158" s="123">
        <f t="shared" si="40"/>
        <v>2.37</v>
      </c>
      <c r="Q158" s="123">
        <f t="shared" si="40"/>
        <v>2.37</v>
      </c>
      <c r="R158" s="123">
        <f t="shared" si="40"/>
        <v>2.37</v>
      </c>
      <c r="S158" s="123">
        <f t="shared" si="40"/>
        <v>2.37</v>
      </c>
      <c r="T158" s="123">
        <f t="shared" si="41"/>
        <v>2.37</v>
      </c>
      <c r="U158" s="123">
        <f t="shared" si="41"/>
        <v>2.37</v>
      </c>
      <c r="V158" s="123">
        <f t="shared" si="41"/>
        <v>2.37</v>
      </c>
      <c r="W158" s="123">
        <f t="shared" si="41"/>
        <v>2.37</v>
      </c>
      <c r="X158" s="123">
        <f t="shared" si="41"/>
        <v>2.37</v>
      </c>
      <c r="Y158" s="123">
        <f t="shared" si="41"/>
        <v>2.37</v>
      </c>
      <c r="Z158" s="123">
        <f t="shared" si="41"/>
        <v>2.37</v>
      </c>
      <c r="AA158" s="123">
        <f t="shared" si="41"/>
        <v>2.37</v>
      </c>
      <c r="AB158" s="123">
        <f t="shared" si="41"/>
        <v>2.37</v>
      </c>
      <c r="AC158" s="123">
        <f t="shared" si="41"/>
        <v>2.37</v>
      </c>
      <c r="AD158" s="123">
        <f t="shared" si="41"/>
        <v>2.37</v>
      </c>
      <c r="AE158" s="123">
        <f t="shared" si="41"/>
        <v>2.37</v>
      </c>
      <c r="AF158" s="123">
        <f t="shared" si="41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9"/>
        <v>1.81</v>
      </c>
      <c r="C159" s="124">
        <v>1.81</v>
      </c>
      <c r="D159" s="123">
        <f t="shared" si="40"/>
        <v>1.81</v>
      </c>
      <c r="E159" s="123">
        <f t="shared" si="40"/>
        <v>1.81</v>
      </c>
      <c r="F159" s="123">
        <f t="shared" si="40"/>
        <v>1.81</v>
      </c>
      <c r="G159" s="123">
        <f t="shared" si="40"/>
        <v>1.81</v>
      </c>
      <c r="H159" s="123">
        <f t="shared" si="40"/>
        <v>1.81</v>
      </c>
      <c r="I159" s="123">
        <f t="shared" si="40"/>
        <v>1.81</v>
      </c>
      <c r="J159" s="123">
        <f t="shared" si="40"/>
        <v>1.81</v>
      </c>
      <c r="K159" s="123">
        <f t="shared" si="40"/>
        <v>1.81</v>
      </c>
      <c r="L159" s="123">
        <f t="shared" si="40"/>
        <v>1.81</v>
      </c>
      <c r="M159" s="123">
        <f t="shared" si="40"/>
        <v>1.81</v>
      </c>
      <c r="N159" s="123">
        <f t="shared" si="40"/>
        <v>1.81</v>
      </c>
      <c r="O159" s="123">
        <f t="shared" si="40"/>
        <v>1.81</v>
      </c>
      <c r="P159" s="123">
        <f t="shared" si="40"/>
        <v>1.81</v>
      </c>
      <c r="Q159" s="123">
        <f t="shared" si="40"/>
        <v>1.81</v>
      </c>
      <c r="R159" s="123">
        <f t="shared" si="40"/>
        <v>1.81</v>
      </c>
      <c r="S159" s="123">
        <f t="shared" si="40"/>
        <v>1.81</v>
      </c>
      <c r="T159" s="123">
        <f t="shared" si="41"/>
        <v>1.81</v>
      </c>
      <c r="U159" s="123">
        <f t="shared" si="41"/>
        <v>1.81</v>
      </c>
      <c r="V159" s="123">
        <f t="shared" si="41"/>
        <v>1.81</v>
      </c>
      <c r="W159" s="123">
        <f t="shared" si="41"/>
        <v>1.81</v>
      </c>
      <c r="X159" s="123">
        <f t="shared" si="41"/>
        <v>1.81</v>
      </c>
      <c r="Y159" s="123">
        <f t="shared" si="41"/>
        <v>1.81</v>
      </c>
      <c r="Z159" s="123">
        <f t="shared" si="41"/>
        <v>1.81</v>
      </c>
      <c r="AA159" s="123">
        <f t="shared" si="41"/>
        <v>1.81</v>
      </c>
      <c r="AB159" s="123">
        <f t="shared" si="41"/>
        <v>1.81</v>
      </c>
      <c r="AC159" s="123">
        <f t="shared" si="41"/>
        <v>1.81</v>
      </c>
      <c r="AD159" s="123">
        <f t="shared" si="41"/>
        <v>1.81</v>
      </c>
      <c r="AE159" s="123">
        <f t="shared" si="41"/>
        <v>1.81</v>
      </c>
      <c r="AF159" s="123">
        <f t="shared" si="41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9"/>
        <v>1.0900000000000001</v>
      </c>
      <c r="C160" s="124">
        <v>1.0900000000000001</v>
      </c>
      <c r="D160" s="123">
        <f t="shared" si="40"/>
        <v>1.0900000000000001</v>
      </c>
      <c r="E160" s="123">
        <f t="shared" si="40"/>
        <v>1.0900000000000001</v>
      </c>
      <c r="F160" s="123">
        <f t="shared" si="40"/>
        <v>1.0900000000000001</v>
      </c>
      <c r="G160" s="123">
        <f t="shared" si="40"/>
        <v>1.0900000000000001</v>
      </c>
      <c r="H160" s="123">
        <f t="shared" si="40"/>
        <v>1.0900000000000001</v>
      </c>
      <c r="I160" s="123">
        <f t="shared" si="40"/>
        <v>1.0900000000000001</v>
      </c>
      <c r="J160" s="123">
        <f t="shared" si="40"/>
        <v>1.0900000000000001</v>
      </c>
      <c r="K160" s="123">
        <f t="shared" si="40"/>
        <v>1.0900000000000001</v>
      </c>
      <c r="L160" s="123">
        <f t="shared" si="40"/>
        <v>1.0900000000000001</v>
      </c>
      <c r="M160" s="123">
        <f t="shared" si="40"/>
        <v>1.0900000000000001</v>
      </c>
      <c r="N160" s="123">
        <f t="shared" si="40"/>
        <v>1.0900000000000001</v>
      </c>
      <c r="O160" s="123">
        <f t="shared" si="40"/>
        <v>1.0900000000000001</v>
      </c>
      <c r="P160" s="123">
        <f t="shared" si="40"/>
        <v>1.0900000000000001</v>
      </c>
      <c r="Q160" s="123">
        <f t="shared" si="40"/>
        <v>1.0900000000000001</v>
      </c>
      <c r="R160" s="123">
        <f t="shared" si="40"/>
        <v>1.0900000000000001</v>
      </c>
      <c r="S160" s="123">
        <f t="shared" si="40"/>
        <v>1.0900000000000001</v>
      </c>
      <c r="T160" s="123">
        <f t="shared" si="41"/>
        <v>1.0900000000000001</v>
      </c>
      <c r="U160" s="123">
        <f t="shared" si="41"/>
        <v>1.0900000000000001</v>
      </c>
      <c r="V160" s="123">
        <f t="shared" si="41"/>
        <v>1.0900000000000001</v>
      </c>
      <c r="W160" s="123">
        <f t="shared" si="41"/>
        <v>1.0900000000000001</v>
      </c>
      <c r="X160" s="123">
        <f t="shared" si="41"/>
        <v>1.0900000000000001</v>
      </c>
      <c r="Y160" s="123">
        <f t="shared" si="41"/>
        <v>1.0900000000000001</v>
      </c>
      <c r="Z160" s="123">
        <f t="shared" si="41"/>
        <v>1.0900000000000001</v>
      </c>
      <c r="AA160" s="123">
        <f t="shared" si="41"/>
        <v>1.0900000000000001</v>
      </c>
      <c r="AB160" s="123">
        <f t="shared" si="41"/>
        <v>1.0900000000000001</v>
      </c>
      <c r="AC160" s="123">
        <f t="shared" si="41"/>
        <v>1.0900000000000001</v>
      </c>
      <c r="AD160" s="123">
        <f t="shared" si="41"/>
        <v>1.0900000000000001</v>
      </c>
      <c r="AE160" s="123">
        <f t="shared" si="41"/>
        <v>1.0900000000000001</v>
      </c>
      <c r="AF160" s="123">
        <f t="shared" si="41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9"/>
        <v>1.58</v>
      </c>
      <c r="C161" s="124">
        <v>1.58</v>
      </c>
      <c r="D161" s="123">
        <f t="shared" si="40"/>
        <v>1.58</v>
      </c>
      <c r="E161" s="123">
        <f t="shared" si="40"/>
        <v>1.58</v>
      </c>
      <c r="F161" s="123">
        <f t="shared" si="40"/>
        <v>1.58</v>
      </c>
      <c r="G161" s="123">
        <f t="shared" si="40"/>
        <v>1.58</v>
      </c>
      <c r="H161" s="123">
        <f t="shared" si="40"/>
        <v>1.58</v>
      </c>
      <c r="I161" s="123">
        <f t="shared" si="40"/>
        <v>1.58</v>
      </c>
      <c r="J161" s="123">
        <f t="shared" si="40"/>
        <v>1.58</v>
      </c>
      <c r="K161" s="123">
        <f t="shared" si="40"/>
        <v>1.58</v>
      </c>
      <c r="L161" s="123">
        <f t="shared" si="40"/>
        <v>1.58</v>
      </c>
      <c r="M161" s="123">
        <f t="shared" si="40"/>
        <v>1.58</v>
      </c>
      <c r="N161" s="123">
        <f t="shared" si="40"/>
        <v>1.58</v>
      </c>
      <c r="O161" s="123">
        <f t="shared" si="40"/>
        <v>1.58</v>
      </c>
      <c r="P161" s="123">
        <f t="shared" si="40"/>
        <v>1.58</v>
      </c>
      <c r="Q161" s="123">
        <f t="shared" si="40"/>
        <v>1.58</v>
      </c>
      <c r="R161" s="123">
        <f t="shared" si="40"/>
        <v>1.58</v>
      </c>
      <c r="S161" s="123">
        <f t="shared" si="40"/>
        <v>1.58</v>
      </c>
      <c r="T161" s="123">
        <f t="shared" si="41"/>
        <v>1.58</v>
      </c>
      <c r="U161" s="123">
        <f t="shared" si="41"/>
        <v>1.58</v>
      </c>
      <c r="V161" s="123">
        <f t="shared" si="41"/>
        <v>1.58</v>
      </c>
      <c r="W161" s="123">
        <f t="shared" si="41"/>
        <v>1.58</v>
      </c>
      <c r="X161" s="123">
        <f t="shared" si="41"/>
        <v>1.58</v>
      </c>
      <c r="Y161" s="123">
        <f t="shared" si="41"/>
        <v>1.58</v>
      </c>
      <c r="Z161" s="123">
        <f t="shared" si="41"/>
        <v>1.58</v>
      </c>
      <c r="AA161" s="123">
        <f t="shared" si="41"/>
        <v>1.58</v>
      </c>
      <c r="AB161" s="123">
        <f t="shared" si="41"/>
        <v>1.58</v>
      </c>
      <c r="AC161" s="123">
        <f t="shared" si="41"/>
        <v>1.58</v>
      </c>
      <c r="AD161" s="123">
        <f t="shared" si="41"/>
        <v>1.58</v>
      </c>
      <c r="AE161" s="123">
        <f t="shared" si="41"/>
        <v>1.58</v>
      </c>
      <c r="AF161" s="123">
        <f t="shared" si="41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9"/>
        <v>2</v>
      </c>
      <c r="C162" s="124">
        <v>2</v>
      </c>
      <c r="D162" s="123">
        <f t="shared" si="40"/>
        <v>2</v>
      </c>
      <c r="E162" s="123">
        <f t="shared" si="40"/>
        <v>2</v>
      </c>
      <c r="F162" s="123">
        <f t="shared" si="40"/>
        <v>2</v>
      </c>
      <c r="G162" s="123">
        <f t="shared" si="40"/>
        <v>2</v>
      </c>
      <c r="H162" s="123">
        <f t="shared" si="40"/>
        <v>2</v>
      </c>
      <c r="I162" s="123">
        <f t="shared" si="40"/>
        <v>2</v>
      </c>
      <c r="J162" s="123">
        <f t="shared" si="40"/>
        <v>2</v>
      </c>
      <c r="K162" s="123">
        <f t="shared" si="40"/>
        <v>2</v>
      </c>
      <c r="L162" s="123">
        <f t="shared" si="40"/>
        <v>2</v>
      </c>
      <c r="M162" s="123">
        <f t="shared" si="40"/>
        <v>2</v>
      </c>
      <c r="N162" s="123">
        <f t="shared" si="40"/>
        <v>2</v>
      </c>
      <c r="O162" s="123">
        <f t="shared" si="40"/>
        <v>2</v>
      </c>
      <c r="P162" s="123">
        <f t="shared" si="40"/>
        <v>2</v>
      </c>
      <c r="Q162" s="123">
        <f t="shared" si="40"/>
        <v>2</v>
      </c>
      <c r="R162" s="123">
        <f t="shared" si="40"/>
        <v>2</v>
      </c>
      <c r="S162" s="123">
        <f t="shared" si="40"/>
        <v>2</v>
      </c>
      <c r="T162" s="123">
        <f t="shared" si="41"/>
        <v>2</v>
      </c>
      <c r="U162" s="123">
        <f t="shared" si="41"/>
        <v>2</v>
      </c>
      <c r="V162" s="123">
        <f t="shared" si="41"/>
        <v>2</v>
      </c>
      <c r="W162" s="123">
        <f t="shared" si="41"/>
        <v>2</v>
      </c>
      <c r="X162" s="123">
        <f t="shared" si="41"/>
        <v>2</v>
      </c>
      <c r="Y162" s="123">
        <f t="shared" si="41"/>
        <v>2</v>
      </c>
      <c r="Z162" s="123">
        <f t="shared" si="41"/>
        <v>2</v>
      </c>
      <c r="AA162" s="123">
        <f t="shared" si="41"/>
        <v>2</v>
      </c>
      <c r="AB162" s="123">
        <f t="shared" si="41"/>
        <v>2</v>
      </c>
      <c r="AC162" s="123">
        <f t="shared" si="41"/>
        <v>2</v>
      </c>
      <c r="AD162" s="123">
        <f t="shared" si="41"/>
        <v>2</v>
      </c>
      <c r="AE162" s="123">
        <f t="shared" si="41"/>
        <v>2</v>
      </c>
      <c r="AF162" s="123">
        <f t="shared" si="41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9"/>
        <v>0.47</v>
      </c>
      <c r="C163" s="124">
        <v>0.47</v>
      </c>
      <c r="D163" s="123">
        <f t="shared" si="40"/>
        <v>0.47</v>
      </c>
      <c r="E163" s="123">
        <f t="shared" si="40"/>
        <v>0.47</v>
      </c>
      <c r="F163" s="123">
        <f t="shared" si="40"/>
        <v>0.47</v>
      </c>
      <c r="G163" s="123">
        <f t="shared" si="40"/>
        <v>0.47</v>
      </c>
      <c r="H163" s="123">
        <f t="shared" si="40"/>
        <v>0.47</v>
      </c>
      <c r="I163" s="123">
        <f t="shared" si="40"/>
        <v>0.47</v>
      </c>
      <c r="J163" s="123">
        <f t="shared" si="40"/>
        <v>0.47</v>
      </c>
      <c r="K163" s="123">
        <f t="shared" si="40"/>
        <v>0.47</v>
      </c>
      <c r="L163" s="123">
        <f t="shared" si="40"/>
        <v>0.47</v>
      </c>
      <c r="M163" s="123">
        <f t="shared" si="40"/>
        <v>0.47</v>
      </c>
      <c r="N163" s="123">
        <f t="shared" si="40"/>
        <v>0.47</v>
      </c>
      <c r="O163" s="123">
        <f t="shared" si="40"/>
        <v>0.47</v>
      </c>
      <c r="P163" s="123">
        <f t="shared" si="40"/>
        <v>0.47</v>
      </c>
      <c r="Q163" s="123">
        <f t="shared" si="40"/>
        <v>0.47</v>
      </c>
      <c r="R163" s="123">
        <f t="shared" si="40"/>
        <v>0.47</v>
      </c>
      <c r="S163" s="123">
        <f t="shared" si="40"/>
        <v>0.47</v>
      </c>
      <c r="T163" s="123">
        <f t="shared" si="41"/>
        <v>0.47</v>
      </c>
      <c r="U163" s="123">
        <f t="shared" si="41"/>
        <v>0.47</v>
      </c>
      <c r="V163" s="123">
        <f t="shared" si="41"/>
        <v>0.47</v>
      </c>
      <c r="W163" s="123">
        <f t="shared" si="41"/>
        <v>0.47</v>
      </c>
      <c r="X163" s="123">
        <f t="shared" si="41"/>
        <v>0.47</v>
      </c>
      <c r="Y163" s="123">
        <f t="shared" si="41"/>
        <v>0.47</v>
      </c>
      <c r="Z163" s="123">
        <f t="shared" si="41"/>
        <v>0.47</v>
      </c>
      <c r="AA163" s="123">
        <f t="shared" si="41"/>
        <v>0.47</v>
      </c>
      <c r="AB163" s="123">
        <f t="shared" si="41"/>
        <v>0.47</v>
      </c>
      <c r="AC163" s="123">
        <f t="shared" si="41"/>
        <v>0.47</v>
      </c>
      <c r="AD163" s="123">
        <f t="shared" si="41"/>
        <v>0.47</v>
      </c>
      <c r="AE163" s="123">
        <f t="shared" si="41"/>
        <v>0.47</v>
      </c>
      <c r="AF163" s="123">
        <f t="shared" si="41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9"/>
        <v>0</v>
      </c>
      <c r="C164" s="124">
        <v>0</v>
      </c>
      <c r="D164" s="123">
        <f t="shared" si="40"/>
        <v>0</v>
      </c>
      <c r="E164" s="123">
        <f t="shared" si="40"/>
        <v>0</v>
      </c>
      <c r="F164" s="123">
        <f t="shared" si="40"/>
        <v>0</v>
      </c>
      <c r="G164" s="123">
        <f t="shared" si="40"/>
        <v>0</v>
      </c>
      <c r="H164" s="123">
        <f t="shared" si="40"/>
        <v>0</v>
      </c>
      <c r="I164" s="123">
        <f t="shared" si="40"/>
        <v>0</v>
      </c>
      <c r="J164" s="123">
        <f t="shared" si="40"/>
        <v>0</v>
      </c>
      <c r="K164" s="123">
        <f t="shared" si="40"/>
        <v>0</v>
      </c>
      <c r="L164" s="123">
        <f t="shared" si="40"/>
        <v>0</v>
      </c>
      <c r="M164" s="123">
        <f t="shared" si="40"/>
        <v>0</v>
      </c>
      <c r="N164" s="123">
        <f t="shared" si="40"/>
        <v>0</v>
      </c>
      <c r="O164" s="123">
        <f t="shared" si="40"/>
        <v>0</v>
      </c>
      <c r="P164" s="123">
        <f t="shared" si="40"/>
        <v>0</v>
      </c>
      <c r="Q164" s="123">
        <f t="shared" si="40"/>
        <v>0</v>
      </c>
      <c r="R164" s="123">
        <f t="shared" si="40"/>
        <v>0</v>
      </c>
      <c r="S164" s="123">
        <f t="shared" si="40"/>
        <v>0</v>
      </c>
      <c r="T164" s="123">
        <f t="shared" si="41"/>
        <v>0</v>
      </c>
      <c r="U164" s="123">
        <f t="shared" si="41"/>
        <v>0</v>
      </c>
      <c r="V164" s="123">
        <f t="shared" si="41"/>
        <v>0</v>
      </c>
      <c r="W164" s="123">
        <f t="shared" si="41"/>
        <v>0</v>
      </c>
      <c r="X164" s="123">
        <f t="shared" si="41"/>
        <v>0</v>
      </c>
      <c r="Y164" s="123">
        <f t="shared" si="41"/>
        <v>0</v>
      </c>
      <c r="Z164" s="123">
        <f t="shared" si="41"/>
        <v>0</v>
      </c>
      <c r="AA164" s="123">
        <f t="shared" si="41"/>
        <v>0</v>
      </c>
      <c r="AB164" s="123">
        <f t="shared" si="41"/>
        <v>0</v>
      </c>
      <c r="AC164" s="123">
        <f t="shared" si="41"/>
        <v>0</v>
      </c>
      <c r="AD164" s="123">
        <f t="shared" si="41"/>
        <v>0</v>
      </c>
      <c r="AE164" s="123">
        <f t="shared" si="41"/>
        <v>0</v>
      </c>
      <c r="AF164" s="123">
        <f t="shared" si="41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9"/>
        <v>0</v>
      </c>
      <c r="C165" s="124">
        <v>0</v>
      </c>
      <c r="D165" s="123">
        <f t="shared" si="40"/>
        <v>0</v>
      </c>
      <c r="E165" s="123">
        <f t="shared" si="40"/>
        <v>0</v>
      </c>
      <c r="F165" s="123">
        <f t="shared" si="40"/>
        <v>0</v>
      </c>
      <c r="G165" s="123">
        <f t="shared" si="40"/>
        <v>0</v>
      </c>
      <c r="H165" s="123">
        <f t="shared" si="40"/>
        <v>0</v>
      </c>
      <c r="I165" s="123">
        <f t="shared" si="40"/>
        <v>0</v>
      </c>
      <c r="J165" s="123">
        <f t="shared" si="40"/>
        <v>0</v>
      </c>
      <c r="K165" s="123">
        <f t="shared" si="40"/>
        <v>0</v>
      </c>
      <c r="L165" s="123">
        <f t="shared" si="40"/>
        <v>0</v>
      </c>
      <c r="M165" s="123">
        <f t="shared" si="40"/>
        <v>0</v>
      </c>
      <c r="N165" s="123">
        <f t="shared" si="40"/>
        <v>0</v>
      </c>
      <c r="O165" s="123">
        <f t="shared" si="40"/>
        <v>0</v>
      </c>
      <c r="P165" s="123">
        <f t="shared" si="40"/>
        <v>0</v>
      </c>
      <c r="Q165" s="123">
        <f t="shared" si="40"/>
        <v>0</v>
      </c>
      <c r="R165" s="123">
        <f t="shared" si="40"/>
        <v>0</v>
      </c>
      <c r="S165" s="123">
        <f t="shared" si="41"/>
        <v>0</v>
      </c>
      <c r="T165" s="123">
        <f t="shared" si="41"/>
        <v>0</v>
      </c>
      <c r="U165" s="123">
        <f t="shared" si="41"/>
        <v>0</v>
      </c>
      <c r="V165" s="123">
        <f t="shared" si="41"/>
        <v>0</v>
      </c>
      <c r="W165" s="123">
        <f t="shared" si="41"/>
        <v>0</v>
      </c>
      <c r="X165" s="123">
        <f t="shared" si="41"/>
        <v>0</v>
      </c>
      <c r="Y165" s="123">
        <f t="shared" si="41"/>
        <v>0</v>
      </c>
      <c r="Z165" s="123">
        <f t="shared" si="41"/>
        <v>0</v>
      </c>
      <c r="AA165" s="123">
        <f t="shared" si="41"/>
        <v>0</v>
      </c>
      <c r="AB165" s="123">
        <f t="shared" si="41"/>
        <v>0</v>
      </c>
      <c r="AC165" s="123">
        <f t="shared" si="41"/>
        <v>0</v>
      </c>
      <c r="AD165" s="123">
        <f t="shared" si="41"/>
        <v>0</v>
      </c>
      <c r="AE165" s="123">
        <f t="shared" si="41"/>
        <v>0</v>
      </c>
      <c r="AF165" s="123">
        <f t="shared" si="41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9"/>
        <v>0.8</v>
      </c>
      <c r="C166" s="124">
        <v>0.8</v>
      </c>
      <c r="D166" s="123">
        <f t="shared" si="40"/>
        <v>0.8</v>
      </c>
      <c r="E166" s="123">
        <f t="shared" si="40"/>
        <v>0.8</v>
      </c>
      <c r="F166" s="123">
        <f t="shared" si="40"/>
        <v>0.8</v>
      </c>
      <c r="G166" s="123">
        <f t="shared" si="40"/>
        <v>0.8</v>
      </c>
      <c r="H166" s="123">
        <f t="shared" si="40"/>
        <v>0.8</v>
      </c>
      <c r="I166" s="123">
        <f t="shared" si="40"/>
        <v>0.8</v>
      </c>
      <c r="J166" s="123">
        <f t="shared" si="40"/>
        <v>0.8</v>
      </c>
      <c r="K166" s="123">
        <f t="shared" si="40"/>
        <v>0.8</v>
      </c>
      <c r="L166" s="123">
        <f t="shared" si="40"/>
        <v>0.8</v>
      </c>
      <c r="M166" s="123">
        <f t="shared" si="40"/>
        <v>0.8</v>
      </c>
      <c r="N166" s="123">
        <f t="shared" si="40"/>
        <v>0.8</v>
      </c>
      <c r="O166" s="123">
        <f t="shared" si="40"/>
        <v>0.8</v>
      </c>
      <c r="P166" s="123">
        <f t="shared" si="40"/>
        <v>0.8</v>
      </c>
      <c r="Q166" s="123">
        <f t="shared" si="40"/>
        <v>0.8</v>
      </c>
      <c r="R166" s="123">
        <f t="shared" si="40"/>
        <v>0.8</v>
      </c>
      <c r="S166" s="123">
        <f t="shared" si="41"/>
        <v>0.8</v>
      </c>
      <c r="T166" s="123">
        <f t="shared" si="41"/>
        <v>0.8</v>
      </c>
      <c r="U166" s="123">
        <f t="shared" si="41"/>
        <v>0.8</v>
      </c>
      <c r="V166" s="123">
        <f t="shared" si="41"/>
        <v>0.8</v>
      </c>
      <c r="W166" s="123">
        <f t="shared" si="41"/>
        <v>0.8</v>
      </c>
      <c r="X166" s="123">
        <f t="shared" si="41"/>
        <v>0.8</v>
      </c>
      <c r="Y166" s="123">
        <f t="shared" si="41"/>
        <v>0.8</v>
      </c>
      <c r="Z166" s="123">
        <f t="shared" si="41"/>
        <v>0.8</v>
      </c>
      <c r="AA166" s="123">
        <f t="shared" si="41"/>
        <v>0.8</v>
      </c>
      <c r="AB166" s="123">
        <f t="shared" si="41"/>
        <v>0.8</v>
      </c>
      <c r="AC166" s="123">
        <f t="shared" si="41"/>
        <v>0.8</v>
      </c>
      <c r="AD166" s="123">
        <f t="shared" si="41"/>
        <v>0.8</v>
      </c>
      <c r="AE166" s="123">
        <f t="shared" si="41"/>
        <v>0.8</v>
      </c>
      <c r="AF166" s="123">
        <f t="shared" si="41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9"/>
        <v>1.5</v>
      </c>
      <c r="C167" s="124">
        <v>1.5</v>
      </c>
      <c r="D167" s="123">
        <f t="shared" si="40"/>
        <v>1.5</v>
      </c>
      <c r="E167" s="123">
        <f t="shared" si="40"/>
        <v>1.5</v>
      </c>
      <c r="F167" s="123">
        <f t="shared" si="40"/>
        <v>1.5</v>
      </c>
      <c r="G167" s="123">
        <f t="shared" si="40"/>
        <v>1.5</v>
      </c>
      <c r="H167" s="123">
        <f t="shared" si="40"/>
        <v>1.5</v>
      </c>
      <c r="I167" s="123">
        <f t="shared" si="40"/>
        <v>1.5</v>
      </c>
      <c r="J167" s="123">
        <f t="shared" si="40"/>
        <v>1.5</v>
      </c>
      <c r="K167" s="123">
        <f t="shared" si="40"/>
        <v>1.5</v>
      </c>
      <c r="L167" s="123">
        <f t="shared" si="40"/>
        <v>1.5</v>
      </c>
      <c r="M167" s="123">
        <f t="shared" si="40"/>
        <v>1.5</v>
      </c>
      <c r="N167" s="123">
        <f t="shared" si="40"/>
        <v>1.5</v>
      </c>
      <c r="O167" s="123">
        <f t="shared" si="40"/>
        <v>1.5</v>
      </c>
      <c r="P167" s="123">
        <f t="shared" si="40"/>
        <v>1.5</v>
      </c>
      <c r="Q167" s="123">
        <f t="shared" si="40"/>
        <v>1.5</v>
      </c>
      <c r="R167" s="123">
        <f t="shared" si="40"/>
        <v>1.5</v>
      </c>
      <c r="S167" s="123">
        <f t="shared" si="41"/>
        <v>1.5</v>
      </c>
      <c r="T167" s="123">
        <f t="shared" si="41"/>
        <v>1.5</v>
      </c>
      <c r="U167" s="123">
        <f t="shared" si="41"/>
        <v>1.5</v>
      </c>
      <c r="V167" s="123">
        <f t="shared" si="41"/>
        <v>1.5</v>
      </c>
      <c r="W167" s="123">
        <f t="shared" si="41"/>
        <v>1.5</v>
      </c>
      <c r="X167" s="123">
        <f t="shared" si="41"/>
        <v>1.5</v>
      </c>
      <c r="Y167" s="123">
        <f t="shared" si="41"/>
        <v>1.5</v>
      </c>
      <c r="Z167" s="123">
        <f t="shared" si="41"/>
        <v>1.5</v>
      </c>
      <c r="AA167" s="123">
        <f t="shared" si="41"/>
        <v>1.5</v>
      </c>
      <c r="AB167" s="123">
        <f t="shared" si="41"/>
        <v>1.5</v>
      </c>
      <c r="AC167" s="123">
        <f t="shared" si="41"/>
        <v>1.5</v>
      </c>
      <c r="AD167" s="123">
        <f t="shared" si="41"/>
        <v>1.5</v>
      </c>
      <c r="AE167" s="123">
        <f t="shared" si="41"/>
        <v>1.5</v>
      </c>
      <c r="AF167" s="123">
        <f t="shared" si="41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9"/>
        <v>1</v>
      </c>
      <c r="C168" s="124">
        <v>1</v>
      </c>
      <c r="D168" s="123">
        <f t="shared" si="40"/>
        <v>1</v>
      </c>
      <c r="E168" s="123">
        <f t="shared" si="40"/>
        <v>1</v>
      </c>
      <c r="F168" s="123">
        <f t="shared" si="40"/>
        <v>1</v>
      </c>
      <c r="G168" s="123">
        <f t="shared" si="40"/>
        <v>1</v>
      </c>
      <c r="H168" s="123">
        <f t="shared" si="40"/>
        <v>1</v>
      </c>
      <c r="I168" s="123">
        <f t="shared" si="40"/>
        <v>1</v>
      </c>
      <c r="J168" s="123">
        <f t="shared" si="40"/>
        <v>1</v>
      </c>
      <c r="K168" s="123">
        <f t="shared" si="40"/>
        <v>1</v>
      </c>
      <c r="L168" s="123">
        <f t="shared" si="40"/>
        <v>1</v>
      </c>
      <c r="M168" s="123">
        <f t="shared" si="40"/>
        <v>1</v>
      </c>
      <c r="N168" s="123">
        <f t="shared" si="40"/>
        <v>1</v>
      </c>
      <c r="O168" s="123">
        <f t="shared" si="40"/>
        <v>1</v>
      </c>
      <c r="P168" s="123">
        <f t="shared" si="40"/>
        <v>1</v>
      </c>
      <c r="Q168" s="123">
        <f t="shared" si="40"/>
        <v>1</v>
      </c>
      <c r="R168" s="123">
        <f t="shared" si="40"/>
        <v>1</v>
      </c>
      <c r="S168" s="123">
        <f t="shared" si="41"/>
        <v>1</v>
      </c>
      <c r="T168" s="123">
        <f t="shared" si="41"/>
        <v>1</v>
      </c>
      <c r="U168" s="123">
        <f t="shared" si="41"/>
        <v>1</v>
      </c>
      <c r="V168" s="123">
        <f t="shared" si="41"/>
        <v>1</v>
      </c>
      <c r="W168" s="123">
        <f t="shared" si="41"/>
        <v>1</v>
      </c>
      <c r="X168" s="123">
        <f t="shared" si="41"/>
        <v>1</v>
      </c>
      <c r="Y168" s="123">
        <f t="shared" si="41"/>
        <v>1</v>
      </c>
      <c r="Z168" s="123">
        <f t="shared" si="41"/>
        <v>1</v>
      </c>
      <c r="AA168" s="123">
        <f t="shared" si="41"/>
        <v>1</v>
      </c>
      <c r="AB168" s="123">
        <f t="shared" si="41"/>
        <v>1</v>
      </c>
      <c r="AC168" s="123">
        <f t="shared" si="41"/>
        <v>1</v>
      </c>
      <c r="AD168" s="123">
        <f t="shared" si="41"/>
        <v>1</v>
      </c>
      <c r="AE168" s="123">
        <f t="shared" si="41"/>
        <v>1</v>
      </c>
      <c r="AF168" s="123">
        <f t="shared" si="41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2">AF170</f>
        <v>1</v>
      </c>
      <c r="C170" s="124">
        <v>1</v>
      </c>
      <c r="D170" s="123">
        <f t="shared" ref="D170:S177" si="43">C170</f>
        <v>1</v>
      </c>
      <c r="E170" s="123">
        <f t="shared" si="43"/>
        <v>1</v>
      </c>
      <c r="F170" s="123">
        <f t="shared" si="43"/>
        <v>1</v>
      </c>
      <c r="G170" s="123">
        <f t="shared" si="43"/>
        <v>1</v>
      </c>
      <c r="H170" s="123">
        <f t="shared" si="43"/>
        <v>1</v>
      </c>
      <c r="I170" s="123">
        <f t="shared" si="43"/>
        <v>1</v>
      </c>
      <c r="J170" s="123">
        <f t="shared" si="43"/>
        <v>1</v>
      </c>
      <c r="K170" s="123">
        <f t="shared" si="43"/>
        <v>1</v>
      </c>
      <c r="L170" s="123">
        <f t="shared" si="43"/>
        <v>1</v>
      </c>
      <c r="M170" s="123">
        <f t="shared" si="43"/>
        <v>1</v>
      </c>
      <c r="N170" s="123">
        <f t="shared" si="43"/>
        <v>1</v>
      </c>
      <c r="O170" s="123">
        <f t="shared" si="43"/>
        <v>1</v>
      </c>
      <c r="P170" s="123">
        <f t="shared" si="43"/>
        <v>1</v>
      </c>
      <c r="Q170" s="123">
        <f t="shared" si="43"/>
        <v>1</v>
      </c>
      <c r="R170" s="123">
        <f t="shared" si="43"/>
        <v>1</v>
      </c>
      <c r="S170" s="123">
        <f t="shared" si="43"/>
        <v>1</v>
      </c>
      <c r="T170" s="123">
        <f t="shared" ref="S170:AF177" si="44">S170</f>
        <v>1</v>
      </c>
      <c r="U170" s="123">
        <f t="shared" si="44"/>
        <v>1</v>
      </c>
      <c r="V170" s="123">
        <f t="shared" si="44"/>
        <v>1</v>
      </c>
      <c r="W170" s="123">
        <f t="shared" si="44"/>
        <v>1</v>
      </c>
      <c r="X170" s="123">
        <f t="shared" si="44"/>
        <v>1</v>
      </c>
      <c r="Y170" s="123">
        <f t="shared" si="44"/>
        <v>1</v>
      </c>
      <c r="Z170" s="123">
        <f t="shared" si="44"/>
        <v>1</v>
      </c>
      <c r="AA170" s="123">
        <f t="shared" si="44"/>
        <v>1</v>
      </c>
      <c r="AB170" s="123">
        <f t="shared" si="44"/>
        <v>1</v>
      </c>
      <c r="AC170" s="123">
        <f t="shared" si="44"/>
        <v>1</v>
      </c>
      <c r="AD170" s="123">
        <f t="shared" si="44"/>
        <v>1</v>
      </c>
      <c r="AE170" s="123">
        <f t="shared" si="44"/>
        <v>1</v>
      </c>
      <c r="AF170" s="123">
        <f t="shared" si="44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2"/>
        <v>0.42</v>
      </c>
      <c r="C171" s="124">
        <v>0.42</v>
      </c>
      <c r="D171" s="123">
        <f t="shared" si="43"/>
        <v>0.42</v>
      </c>
      <c r="E171" s="123">
        <f t="shared" si="43"/>
        <v>0.42</v>
      </c>
      <c r="F171" s="123">
        <f t="shared" si="43"/>
        <v>0.42</v>
      </c>
      <c r="G171" s="123">
        <f t="shared" si="43"/>
        <v>0.42</v>
      </c>
      <c r="H171" s="123">
        <f t="shared" si="43"/>
        <v>0.42</v>
      </c>
      <c r="I171" s="123">
        <f t="shared" si="43"/>
        <v>0.42</v>
      </c>
      <c r="J171" s="123">
        <f t="shared" si="43"/>
        <v>0.42</v>
      </c>
      <c r="K171" s="123">
        <f t="shared" si="43"/>
        <v>0.42</v>
      </c>
      <c r="L171" s="123">
        <f t="shared" si="43"/>
        <v>0.42</v>
      </c>
      <c r="M171" s="123">
        <f t="shared" si="43"/>
        <v>0.42</v>
      </c>
      <c r="N171" s="123">
        <f t="shared" si="43"/>
        <v>0.42</v>
      </c>
      <c r="O171" s="123">
        <f t="shared" si="43"/>
        <v>0.42</v>
      </c>
      <c r="P171" s="123">
        <f t="shared" si="43"/>
        <v>0.42</v>
      </c>
      <c r="Q171" s="123">
        <f t="shared" si="43"/>
        <v>0.42</v>
      </c>
      <c r="R171" s="123">
        <f t="shared" si="43"/>
        <v>0.42</v>
      </c>
      <c r="S171" s="123">
        <f t="shared" si="44"/>
        <v>0.42</v>
      </c>
      <c r="T171" s="123">
        <f t="shared" si="44"/>
        <v>0.42</v>
      </c>
      <c r="U171" s="123">
        <f t="shared" si="44"/>
        <v>0.42</v>
      </c>
      <c r="V171" s="123">
        <f t="shared" si="44"/>
        <v>0.42</v>
      </c>
      <c r="W171" s="123">
        <f t="shared" si="44"/>
        <v>0.42</v>
      </c>
      <c r="X171" s="123">
        <f t="shared" si="44"/>
        <v>0.42</v>
      </c>
      <c r="Y171" s="123">
        <f t="shared" si="44"/>
        <v>0.42</v>
      </c>
      <c r="Z171" s="123">
        <f t="shared" si="44"/>
        <v>0.42</v>
      </c>
      <c r="AA171" s="123">
        <f t="shared" si="44"/>
        <v>0.42</v>
      </c>
      <c r="AB171" s="123">
        <f t="shared" si="44"/>
        <v>0.42</v>
      </c>
      <c r="AC171" s="123">
        <f t="shared" si="44"/>
        <v>0.42</v>
      </c>
      <c r="AD171" s="123">
        <f t="shared" si="44"/>
        <v>0.42</v>
      </c>
      <c r="AE171" s="123">
        <f t="shared" si="44"/>
        <v>0.42</v>
      </c>
      <c r="AF171" s="123">
        <f t="shared" si="44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2"/>
        <v>0.46</v>
      </c>
      <c r="C172" s="124">
        <v>0.46</v>
      </c>
      <c r="D172" s="123">
        <f t="shared" si="43"/>
        <v>0.46</v>
      </c>
      <c r="E172" s="123">
        <f t="shared" si="43"/>
        <v>0.46</v>
      </c>
      <c r="F172" s="123">
        <f t="shared" si="43"/>
        <v>0.46</v>
      </c>
      <c r="G172" s="123">
        <f t="shared" si="43"/>
        <v>0.46</v>
      </c>
      <c r="H172" s="123">
        <f t="shared" si="43"/>
        <v>0.46</v>
      </c>
      <c r="I172" s="123">
        <f t="shared" si="43"/>
        <v>0.46</v>
      </c>
      <c r="J172" s="123">
        <f t="shared" si="43"/>
        <v>0.46</v>
      </c>
      <c r="K172" s="123">
        <f t="shared" si="43"/>
        <v>0.46</v>
      </c>
      <c r="L172" s="123">
        <f t="shared" si="43"/>
        <v>0.46</v>
      </c>
      <c r="M172" s="123">
        <f t="shared" si="43"/>
        <v>0.46</v>
      </c>
      <c r="N172" s="123">
        <f t="shared" si="43"/>
        <v>0.46</v>
      </c>
      <c r="O172" s="123">
        <f t="shared" si="43"/>
        <v>0.46</v>
      </c>
      <c r="P172" s="123">
        <f t="shared" si="43"/>
        <v>0.46</v>
      </c>
      <c r="Q172" s="123">
        <f t="shared" si="43"/>
        <v>0.46</v>
      </c>
      <c r="R172" s="123">
        <f t="shared" si="43"/>
        <v>0.46</v>
      </c>
      <c r="S172" s="123">
        <f t="shared" si="44"/>
        <v>0.46</v>
      </c>
      <c r="T172" s="123">
        <f t="shared" si="44"/>
        <v>0.46</v>
      </c>
      <c r="U172" s="123">
        <f t="shared" si="44"/>
        <v>0.46</v>
      </c>
      <c r="V172" s="123">
        <f t="shared" si="44"/>
        <v>0.46</v>
      </c>
      <c r="W172" s="123">
        <f t="shared" si="44"/>
        <v>0.46</v>
      </c>
      <c r="X172" s="123">
        <f t="shared" si="44"/>
        <v>0.46</v>
      </c>
      <c r="Y172" s="123">
        <f t="shared" si="44"/>
        <v>0.46</v>
      </c>
      <c r="Z172" s="123">
        <f t="shared" si="44"/>
        <v>0.46</v>
      </c>
      <c r="AA172" s="123">
        <f t="shared" si="44"/>
        <v>0.46</v>
      </c>
      <c r="AB172" s="123">
        <f t="shared" si="44"/>
        <v>0.46</v>
      </c>
      <c r="AC172" s="123">
        <f t="shared" si="44"/>
        <v>0.46</v>
      </c>
      <c r="AD172" s="123">
        <f t="shared" si="44"/>
        <v>0.46</v>
      </c>
      <c r="AE172" s="123">
        <f t="shared" si="44"/>
        <v>0.46</v>
      </c>
      <c r="AF172" s="123">
        <f t="shared" si="44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2"/>
        <v>0.85</v>
      </c>
      <c r="C173" s="124">
        <v>0.85</v>
      </c>
      <c r="D173" s="123">
        <f t="shared" si="43"/>
        <v>0.85</v>
      </c>
      <c r="E173" s="123">
        <f t="shared" si="43"/>
        <v>0.85</v>
      </c>
      <c r="F173" s="123">
        <f t="shared" si="43"/>
        <v>0.85</v>
      </c>
      <c r="G173" s="123">
        <f t="shared" si="43"/>
        <v>0.85</v>
      </c>
      <c r="H173" s="123">
        <f t="shared" si="43"/>
        <v>0.85</v>
      </c>
      <c r="I173" s="123">
        <f t="shared" si="43"/>
        <v>0.85</v>
      </c>
      <c r="J173" s="123">
        <f t="shared" si="43"/>
        <v>0.85</v>
      </c>
      <c r="K173" s="123">
        <f t="shared" si="43"/>
        <v>0.85</v>
      </c>
      <c r="L173" s="123">
        <f t="shared" si="43"/>
        <v>0.85</v>
      </c>
      <c r="M173" s="123">
        <f t="shared" si="43"/>
        <v>0.85</v>
      </c>
      <c r="N173" s="123">
        <f t="shared" si="43"/>
        <v>0.85</v>
      </c>
      <c r="O173" s="123">
        <f t="shared" si="43"/>
        <v>0.85</v>
      </c>
      <c r="P173" s="123">
        <f t="shared" si="43"/>
        <v>0.85</v>
      </c>
      <c r="Q173" s="123">
        <f t="shared" si="43"/>
        <v>0.85</v>
      </c>
      <c r="R173" s="123">
        <f t="shared" si="43"/>
        <v>0.85</v>
      </c>
      <c r="S173" s="123">
        <f t="shared" si="44"/>
        <v>0.85</v>
      </c>
      <c r="T173" s="123">
        <f t="shared" si="44"/>
        <v>0.85</v>
      </c>
      <c r="U173" s="123">
        <f t="shared" si="44"/>
        <v>0.85</v>
      </c>
      <c r="V173" s="123">
        <f t="shared" si="44"/>
        <v>0.85</v>
      </c>
      <c r="W173" s="123">
        <f t="shared" si="44"/>
        <v>0.85</v>
      </c>
      <c r="X173" s="123">
        <f t="shared" si="44"/>
        <v>0.85</v>
      </c>
      <c r="Y173" s="123">
        <f t="shared" si="44"/>
        <v>0.85</v>
      </c>
      <c r="Z173" s="123">
        <f t="shared" si="44"/>
        <v>0.85</v>
      </c>
      <c r="AA173" s="123">
        <f t="shared" si="44"/>
        <v>0.85</v>
      </c>
      <c r="AB173" s="123">
        <f t="shared" si="44"/>
        <v>0.85</v>
      </c>
      <c r="AC173" s="123">
        <f t="shared" si="44"/>
        <v>0.85</v>
      </c>
      <c r="AD173" s="123">
        <f t="shared" si="44"/>
        <v>0.85</v>
      </c>
      <c r="AE173" s="123">
        <f t="shared" si="44"/>
        <v>0.85</v>
      </c>
      <c r="AF173" s="123">
        <f t="shared" si="44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2"/>
        <v>0.9</v>
      </c>
      <c r="C174" s="124">
        <v>0.9</v>
      </c>
      <c r="D174" s="123">
        <f t="shared" si="43"/>
        <v>0.9</v>
      </c>
      <c r="E174" s="123">
        <f t="shared" si="43"/>
        <v>0.9</v>
      </c>
      <c r="F174" s="123">
        <f t="shared" si="43"/>
        <v>0.9</v>
      </c>
      <c r="G174" s="123">
        <f t="shared" si="43"/>
        <v>0.9</v>
      </c>
      <c r="H174" s="123">
        <f t="shared" si="43"/>
        <v>0.9</v>
      </c>
      <c r="I174" s="123">
        <f t="shared" si="43"/>
        <v>0.9</v>
      </c>
      <c r="J174" s="123">
        <f t="shared" si="43"/>
        <v>0.9</v>
      </c>
      <c r="K174" s="123">
        <f t="shared" si="43"/>
        <v>0.9</v>
      </c>
      <c r="L174" s="123">
        <f t="shared" si="43"/>
        <v>0.9</v>
      </c>
      <c r="M174" s="123">
        <f t="shared" si="43"/>
        <v>0.9</v>
      </c>
      <c r="N174" s="123">
        <f t="shared" si="43"/>
        <v>0.9</v>
      </c>
      <c r="O174" s="123">
        <f t="shared" si="43"/>
        <v>0.9</v>
      </c>
      <c r="P174" s="123">
        <f t="shared" si="43"/>
        <v>0.9</v>
      </c>
      <c r="Q174" s="123">
        <f t="shared" si="43"/>
        <v>0.9</v>
      </c>
      <c r="R174" s="123">
        <f t="shared" si="43"/>
        <v>0.9</v>
      </c>
      <c r="S174" s="123">
        <f t="shared" si="44"/>
        <v>0.9</v>
      </c>
      <c r="T174" s="123">
        <f t="shared" si="44"/>
        <v>0.9</v>
      </c>
      <c r="U174" s="123">
        <f t="shared" si="44"/>
        <v>0.9</v>
      </c>
      <c r="V174" s="123">
        <f t="shared" si="44"/>
        <v>0.9</v>
      </c>
      <c r="W174" s="123">
        <f t="shared" si="44"/>
        <v>0.9</v>
      </c>
      <c r="X174" s="123">
        <f t="shared" si="44"/>
        <v>0.9</v>
      </c>
      <c r="Y174" s="123">
        <f t="shared" si="44"/>
        <v>0.9</v>
      </c>
      <c r="Z174" s="123">
        <f t="shared" si="44"/>
        <v>0.9</v>
      </c>
      <c r="AA174" s="123">
        <f t="shared" si="44"/>
        <v>0.9</v>
      </c>
      <c r="AB174" s="123">
        <f t="shared" si="44"/>
        <v>0.9</v>
      </c>
      <c r="AC174" s="123">
        <f t="shared" si="44"/>
        <v>0.9</v>
      </c>
      <c r="AD174" s="123">
        <f t="shared" si="44"/>
        <v>0.9</v>
      </c>
      <c r="AE174" s="123">
        <f t="shared" si="44"/>
        <v>0.9</v>
      </c>
      <c r="AF174" s="123">
        <f t="shared" si="44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2"/>
        <v>0.44</v>
      </c>
      <c r="C175" s="124">
        <v>0.44</v>
      </c>
      <c r="D175" s="123">
        <f t="shared" si="43"/>
        <v>0.44</v>
      </c>
      <c r="E175" s="123">
        <f t="shared" si="43"/>
        <v>0.44</v>
      </c>
      <c r="F175" s="123">
        <f t="shared" si="43"/>
        <v>0.44</v>
      </c>
      <c r="G175" s="123">
        <f t="shared" si="43"/>
        <v>0.44</v>
      </c>
      <c r="H175" s="123">
        <f t="shared" si="43"/>
        <v>0.44</v>
      </c>
      <c r="I175" s="123">
        <f t="shared" si="43"/>
        <v>0.44</v>
      </c>
      <c r="J175" s="123">
        <f t="shared" si="43"/>
        <v>0.44</v>
      </c>
      <c r="K175" s="123">
        <f t="shared" si="43"/>
        <v>0.44</v>
      </c>
      <c r="L175" s="123">
        <f t="shared" si="43"/>
        <v>0.44</v>
      </c>
      <c r="M175" s="123">
        <f t="shared" si="43"/>
        <v>0.44</v>
      </c>
      <c r="N175" s="123">
        <f t="shared" si="43"/>
        <v>0.44</v>
      </c>
      <c r="O175" s="123">
        <f t="shared" si="43"/>
        <v>0.44</v>
      </c>
      <c r="P175" s="123">
        <f t="shared" si="43"/>
        <v>0.44</v>
      </c>
      <c r="Q175" s="123">
        <f t="shared" si="43"/>
        <v>0.44</v>
      </c>
      <c r="R175" s="123">
        <f t="shared" si="43"/>
        <v>0.44</v>
      </c>
      <c r="S175" s="123">
        <f t="shared" si="44"/>
        <v>0.44</v>
      </c>
      <c r="T175" s="123">
        <f t="shared" si="44"/>
        <v>0.44</v>
      </c>
      <c r="U175" s="123">
        <f t="shared" si="44"/>
        <v>0.44</v>
      </c>
      <c r="V175" s="123">
        <f t="shared" si="44"/>
        <v>0.44</v>
      </c>
      <c r="W175" s="123">
        <f t="shared" si="44"/>
        <v>0.44</v>
      </c>
      <c r="X175" s="123">
        <f t="shared" si="44"/>
        <v>0.44</v>
      </c>
      <c r="Y175" s="123">
        <f t="shared" si="44"/>
        <v>0.44</v>
      </c>
      <c r="Z175" s="123">
        <f t="shared" si="44"/>
        <v>0.44</v>
      </c>
      <c r="AA175" s="123">
        <f t="shared" si="44"/>
        <v>0.44</v>
      </c>
      <c r="AB175" s="123">
        <f t="shared" si="44"/>
        <v>0.44</v>
      </c>
      <c r="AC175" s="123">
        <f t="shared" si="44"/>
        <v>0.44</v>
      </c>
      <c r="AD175" s="123">
        <f t="shared" si="44"/>
        <v>0.44</v>
      </c>
      <c r="AE175" s="123">
        <f t="shared" si="44"/>
        <v>0.44</v>
      </c>
      <c r="AF175" s="123">
        <f t="shared" si="44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2"/>
        <v>2.1</v>
      </c>
      <c r="C176" s="124">
        <v>2.1</v>
      </c>
      <c r="D176" s="123">
        <f t="shared" si="43"/>
        <v>2.1</v>
      </c>
      <c r="E176" s="123">
        <f t="shared" si="43"/>
        <v>2.1</v>
      </c>
      <c r="F176" s="123">
        <f t="shared" si="43"/>
        <v>2.1</v>
      </c>
      <c r="G176" s="123">
        <f t="shared" si="43"/>
        <v>2.1</v>
      </c>
      <c r="H176" s="123">
        <f t="shared" si="43"/>
        <v>2.1</v>
      </c>
      <c r="I176" s="123">
        <f t="shared" si="43"/>
        <v>2.1</v>
      </c>
      <c r="J176" s="123">
        <f t="shared" si="43"/>
        <v>2.1</v>
      </c>
      <c r="K176" s="123">
        <f t="shared" si="43"/>
        <v>2.1</v>
      </c>
      <c r="L176" s="123">
        <f t="shared" si="43"/>
        <v>2.1</v>
      </c>
      <c r="M176" s="123">
        <f t="shared" si="43"/>
        <v>2.1</v>
      </c>
      <c r="N176" s="123">
        <f t="shared" si="43"/>
        <v>2.1</v>
      </c>
      <c r="O176" s="123">
        <f t="shared" si="43"/>
        <v>2.1</v>
      </c>
      <c r="P176" s="123">
        <f t="shared" si="43"/>
        <v>2.1</v>
      </c>
      <c r="Q176" s="123">
        <f t="shared" si="43"/>
        <v>2.1</v>
      </c>
      <c r="R176" s="123">
        <f t="shared" si="43"/>
        <v>2.1</v>
      </c>
      <c r="S176" s="123">
        <f t="shared" si="44"/>
        <v>2.1</v>
      </c>
      <c r="T176" s="123">
        <f t="shared" si="44"/>
        <v>2.1</v>
      </c>
      <c r="U176" s="123">
        <f t="shared" si="44"/>
        <v>2.1</v>
      </c>
      <c r="V176" s="123">
        <f t="shared" si="44"/>
        <v>2.1</v>
      </c>
      <c r="W176" s="123">
        <f t="shared" si="44"/>
        <v>2.1</v>
      </c>
      <c r="X176" s="123">
        <f t="shared" si="44"/>
        <v>2.1</v>
      </c>
      <c r="Y176" s="123">
        <f t="shared" si="44"/>
        <v>2.1</v>
      </c>
      <c r="Z176" s="123">
        <f t="shared" si="44"/>
        <v>2.1</v>
      </c>
      <c r="AA176" s="123">
        <f t="shared" si="44"/>
        <v>2.1</v>
      </c>
      <c r="AB176" s="123">
        <f t="shared" si="44"/>
        <v>2.1</v>
      </c>
      <c r="AC176" s="123">
        <f t="shared" si="44"/>
        <v>2.1</v>
      </c>
      <c r="AD176" s="123">
        <f t="shared" si="44"/>
        <v>2.1</v>
      </c>
      <c r="AE176" s="123">
        <f t="shared" si="44"/>
        <v>2.1</v>
      </c>
      <c r="AF176" s="123">
        <f t="shared" si="44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2"/>
        <v>0.9</v>
      </c>
      <c r="C177" s="124">
        <v>0.9</v>
      </c>
      <c r="D177" s="123">
        <f t="shared" si="43"/>
        <v>0.9</v>
      </c>
      <c r="E177" s="123">
        <f t="shared" si="43"/>
        <v>0.9</v>
      </c>
      <c r="F177" s="123">
        <f t="shared" si="43"/>
        <v>0.9</v>
      </c>
      <c r="G177" s="123">
        <f t="shared" si="43"/>
        <v>0.9</v>
      </c>
      <c r="H177" s="123">
        <f t="shared" si="43"/>
        <v>0.9</v>
      </c>
      <c r="I177" s="123">
        <f t="shared" si="43"/>
        <v>0.9</v>
      </c>
      <c r="J177" s="123">
        <f t="shared" si="43"/>
        <v>0.9</v>
      </c>
      <c r="K177" s="123">
        <f t="shared" si="43"/>
        <v>0.9</v>
      </c>
      <c r="L177" s="123">
        <f t="shared" si="43"/>
        <v>0.9</v>
      </c>
      <c r="M177" s="123">
        <f t="shared" si="43"/>
        <v>0.9</v>
      </c>
      <c r="N177" s="123">
        <f t="shared" si="43"/>
        <v>0.9</v>
      </c>
      <c r="O177" s="123">
        <f t="shared" si="43"/>
        <v>0.9</v>
      </c>
      <c r="P177" s="123">
        <f t="shared" si="43"/>
        <v>0.9</v>
      </c>
      <c r="Q177" s="123">
        <f t="shared" si="43"/>
        <v>0.9</v>
      </c>
      <c r="R177" s="123">
        <f t="shared" si="43"/>
        <v>0.9</v>
      </c>
      <c r="S177" s="123">
        <f t="shared" si="44"/>
        <v>0.9</v>
      </c>
      <c r="T177" s="123">
        <f t="shared" si="44"/>
        <v>0.9</v>
      </c>
      <c r="U177" s="123">
        <f t="shared" si="44"/>
        <v>0.9</v>
      </c>
      <c r="V177" s="123">
        <f t="shared" si="44"/>
        <v>0.9</v>
      </c>
      <c r="W177" s="123">
        <f t="shared" si="44"/>
        <v>0.9</v>
      </c>
      <c r="X177" s="123">
        <f t="shared" si="44"/>
        <v>0.9</v>
      </c>
      <c r="Y177" s="123">
        <f t="shared" si="44"/>
        <v>0.9</v>
      </c>
      <c r="Z177" s="123">
        <f t="shared" si="44"/>
        <v>0.9</v>
      </c>
      <c r="AA177" s="123">
        <f t="shared" si="44"/>
        <v>0.9</v>
      </c>
      <c r="AB177" s="123">
        <f t="shared" si="44"/>
        <v>0.9</v>
      </c>
      <c r="AC177" s="123">
        <f t="shared" si="44"/>
        <v>0.9</v>
      </c>
      <c r="AD177" s="123">
        <f t="shared" si="44"/>
        <v>0.9</v>
      </c>
      <c r="AE177" s="123">
        <f t="shared" si="44"/>
        <v>0.9</v>
      </c>
      <c r="AF177" s="123">
        <f t="shared" si="44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5">AF179</f>
        <v>0.57999999999999996</v>
      </c>
      <c r="C179" s="124">
        <v>0.57999999999999996</v>
      </c>
      <c r="D179" s="123">
        <f t="shared" ref="D179:S191" si="46">C179</f>
        <v>0.57999999999999996</v>
      </c>
      <c r="E179" s="123">
        <f t="shared" si="46"/>
        <v>0.57999999999999996</v>
      </c>
      <c r="F179" s="123">
        <f t="shared" si="46"/>
        <v>0.57999999999999996</v>
      </c>
      <c r="G179" s="123">
        <f t="shared" si="46"/>
        <v>0.57999999999999996</v>
      </c>
      <c r="H179" s="123">
        <f t="shared" si="46"/>
        <v>0.57999999999999996</v>
      </c>
      <c r="I179" s="123">
        <f t="shared" si="46"/>
        <v>0.57999999999999996</v>
      </c>
      <c r="J179" s="123">
        <f t="shared" si="46"/>
        <v>0.57999999999999996</v>
      </c>
      <c r="K179" s="123">
        <f t="shared" si="46"/>
        <v>0.57999999999999996</v>
      </c>
      <c r="L179" s="123">
        <f t="shared" si="46"/>
        <v>0.57999999999999996</v>
      </c>
      <c r="M179" s="123">
        <f t="shared" si="46"/>
        <v>0.57999999999999996</v>
      </c>
      <c r="N179" s="123">
        <f t="shared" si="46"/>
        <v>0.57999999999999996</v>
      </c>
      <c r="O179" s="123">
        <f t="shared" si="46"/>
        <v>0.57999999999999996</v>
      </c>
      <c r="P179" s="123">
        <f t="shared" si="46"/>
        <v>0.57999999999999996</v>
      </c>
      <c r="Q179" s="123">
        <f t="shared" si="46"/>
        <v>0.57999999999999996</v>
      </c>
      <c r="R179" s="123">
        <f t="shared" si="46"/>
        <v>0.57999999999999996</v>
      </c>
      <c r="S179" s="123">
        <f t="shared" si="46"/>
        <v>0.57999999999999996</v>
      </c>
      <c r="T179" s="123">
        <f t="shared" ref="S179:AF191" si="47">S179</f>
        <v>0.57999999999999996</v>
      </c>
      <c r="U179" s="123">
        <f t="shared" si="47"/>
        <v>0.57999999999999996</v>
      </c>
      <c r="V179" s="123">
        <f t="shared" si="47"/>
        <v>0.57999999999999996</v>
      </c>
      <c r="W179" s="123">
        <f t="shared" si="47"/>
        <v>0.57999999999999996</v>
      </c>
      <c r="X179" s="123">
        <f t="shared" si="47"/>
        <v>0.57999999999999996</v>
      </c>
      <c r="Y179" s="123">
        <f t="shared" si="47"/>
        <v>0.57999999999999996</v>
      </c>
      <c r="Z179" s="123">
        <f t="shared" si="47"/>
        <v>0.57999999999999996</v>
      </c>
      <c r="AA179" s="123">
        <f t="shared" si="47"/>
        <v>0.57999999999999996</v>
      </c>
      <c r="AB179" s="123">
        <f t="shared" si="47"/>
        <v>0.57999999999999996</v>
      </c>
      <c r="AC179" s="123">
        <f t="shared" si="47"/>
        <v>0.57999999999999996</v>
      </c>
      <c r="AD179" s="123">
        <f t="shared" si="47"/>
        <v>0.57999999999999996</v>
      </c>
      <c r="AE179" s="123">
        <f t="shared" si="47"/>
        <v>0.57999999999999996</v>
      </c>
      <c r="AF179" s="123">
        <f t="shared" si="47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5"/>
        <v>0.8</v>
      </c>
      <c r="C180" s="124">
        <v>0.8</v>
      </c>
      <c r="D180" s="123">
        <f t="shared" si="46"/>
        <v>0.8</v>
      </c>
      <c r="E180" s="123">
        <f t="shared" si="46"/>
        <v>0.8</v>
      </c>
      <c r="F180" s="123">
        <f t="shared" si="46"/>
        <v>0.8</v>
      </c>
      <c r="G180" s="123">
        <f t="shared" si="46"/>
        <v>0.8</v>
      </c>
      <c r="H180" s="123">
        <f t="shared" si="46"/>
        <v>0.8</v>
      </c>
      <c r="I180" s="123">
        <f t="shared" si="46"/>
        <v>0.8</v>
      </c>
      <c r="J180" s="123">
        <f t="shared" si="46"/>
        <v>0.8</v>
      </c>
      <c r="K180" s="123">
        <f t="shared" si="46"/>
        <v>0.8</v>
      </c>
      <c r="L180" s="123">
        <f t="shared" si="46"/>
        <v>0.8</v>
      </c>
      <c r="M180" s="123">
        <f t="shared" si="46"/>
        <v>0.8</v>
      </c>
      <c r="N180" s="123">
        <f t="shared" si="46"/>
        <v>0.8</v>
      </c>
      <c r="O180" s="123">
        <f t="shared" si="46"/>
        <v>0.8</v>
      </c>
      <c r="P180" s="123">
        <f t="shared" si="46"/>
        <v>0.8</v>
      </c>
      <c r="Q180" s="123">
        <f t="shared" si="46"/>
        <v>0.8</v>
      </c>
      <c r="R180" s="123">
        <f t="shared" si="46"/>
        <v>0.8</v>
      </c>
      <c r="S180" s="123">
        <f t="shared" si="46"/>
        <v>0.8</v>
      </c>
      <c r="T180" s="123">
        <f t="shared" si="47"/>
        <v>0.8</v>
      </c>
      <c r="U180" s="123">
        <f t="shared" si="47"/>
        <v>0.8</v>
      </c>
      <c r="V180" s="123">
        <f t="shared" si="47"/>
        <v>0.8</v>
      </c>
      <c r="W180" s="123">
        <f t="shared" si="47"/>
        <v>0.8</v>
      </c>
      <c r="X180" s="123">
        <f t="shared" si="47"/>
        <v>0.8</v>
      </c>
      <c r="Y180" s="123">
        <f t="shared" si="47"/>
        <v>0.8</v>
      </c>
      <c r="Z180" s="123">
        <f t="shared" si="47"/>
        <v>0.8</v>
      </c>
      <c r="AA180" s="123">
        <f t="shared" si="47"/>
        <v>0.8</v>
      </c>
      <c r="AB180" s="123">
        <f t="shared" si="47"/>
        <v>0.8</v>
      </c>
      <c r="AC180" s="123">
        <f t="shared" si="47"/>
        <v>0.8</v>
      </c>
      <c r="AD180" s="123">
        <f t="shared" si="47"/>
        <v>0.8</v>
      </c>
      <c r="AE180" s="123">
        <f t="shared" si="47"/>
        <v>0.8</v>
      </c>
      <c r="AF180" s="123">
        <f t="shared" si="47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5"/>
        <v>0</v>
      </c>
      <c r="C181" s="124">
        <v>0</v>
      </c>
      <c r="D181" s="123">
        <f t="shared" si="46"/>
        <v>0</v>
      </c>
      <c r="E181" s="123">
        <f t="shared" si="46"/>
        <v>0</v>
      </c>
      <c r="F181" s="123">
        <f t="shared" si="46"/>
        <v>0</v>
      </c>
      <c r="G181" s="123">
        <f t="shared" si="46"/>
        <v>0</v>
      </c>
      <c r="H181" s="123">
        <f t="shared" si="46"/>
        <v>0</v>
      </c>
      <c r="I181" s="123">
        <f t="shared" si="46"/>
        <v>0</v>
      </c>
      <c r="J181" s="123">
        <f t="shared" si="46"/>
        <v>0</v>
      </c>
      <c r="K181" s="123">
        <f t="shared" si="46"/>
        <v>0</v>
      </c>
      <c r="L181" s="123">
        <f t="shared" si="46"/>
        <v>0</v>
      </c>
      <c r="M181" s="123">
        <f t="shared" si="46"/>
        <v>0</v>
      </c>
      <c r="N181" s="123">
        <f t="shared" si="46"/>
        <v>0</v>
      </c>
      <c r="O181" s="123">
        <f t="shared" si="46"/>
        <v>0</v>
      </c>
      <c r="P181" s="123">
        <f t="shared" si="46"/>
        <v>0</v>
      </c>
      <c r="Q181" s="123">
        <f t="shared" si="46"/>
        <v>0</v>
      </c>
      <c r="R181" s="123">
        <f t="shared" si="46"/>
        <v>0</v>
      </c>
      <c r="S181" s="123">
        <f t="shared" si="46"/>
        <v>0</v>
      </c>
      <c r="T181" s="123">
        <f t="shared" si="47"/>
        <v>0</v>
      </c>
      <c r="U181" s="123">
        <f t="shared" si="47"/>
        <v>0</v>
      </c>
      <c r="V181" s="123">
        <f t="shared" si="47"/>
        <v>0</v>
      </c>
      <c r="W181" s="123">
        <f t="shared" si="47"/>
        <v>0</v>
      </c>
      <c r="X181" s="123">
        <f t="shared" si="47"/>
        <v>0</v>
      </c>
      <c r="Y181" s="123">
        <f t="shared" si="47"/>
        <v>0</v>
      </c>
      <c r="Z181" s="123">
        <f t="shared" si="47"/>
        <v>0</v>
      </c>
      <c r="AA181" s="123">
        <f t="shared" si="47"/>
        <v>0</v>
      </c>
      <c r="AB181" s="123">
        <f t="shared" si="47"/>
        <v>0</v>
      </c>
      <c r="AC181" s="123">
        <f t="shared" si="47"/>
        <v>0</v>
      </c>
      <c r="AD181" s="123">
        <f t="shared" si="47"/>
        <v>0</v>
      </c>
      <c r="AE181" s="123">
        <f t="shared" si="47"/>
        <v>0</v>
      </c>
      <c r="AF181" s="123">
        <f t="shared" si="47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5"/>
        <v>0.6</v>
      </c>
      <c r="C182" s="124">
        <v>0.6</v>
      </c>
      <c r="D182" s="123">
        <f t="shared" si="46"/>
        <v>0.6</v>
      </c>
      <c r="E182" s="123">
        <f t="shared" si="46"/>
        <v>0.6</v>
      </c>
      <c r="F182" s="123">
        <f t="shared" si="46"/>
        <v>0.6</v>
      </c>
      <c r="G182" s="123">
        <f t="shared" si="46"/>
        <v>0.6</v>
      </c>
      <c r="H182" s="123">
        <f t="shared" si="46"/>
        <v>0.6</v>
      </c>
      <c r="I182" s="123">
        <f t="shared" si="46"/>
        <v>0.6</v>
      </c>
      <c r="J182" s="123">
        <f t="shared" si="46"/>
        <v>0.6</v>
      </c>
      <c r="K182" s="123">
        <f t="shared" si="46"/>
        <v>0.6</v>
      </c>
      <c r="L182" s="123">
        <f t="shared" si="46"/>
        <v>0.6</v>
      </c>
      <c r="M182" s="123">
        <f t="shared" si="46"/>
        <v>0.6</v>
      </c>
      <c r="N182" s="123">
        <f t="shared" si="46"/>
        <v>0.6</v>
      </c>
      <c r="O182" s="123">
        <f t="shared" si="46"/>
        <v>0.6</v>
      </c>
      <c r="P182" s="123">
        <f t="shared" si="46"/>
        <v>0.6</v>
      </c>
      <c r="Q182" s="123">
        <f t="shared" si="46"/>
        <v>0.6</v>
      </c>
      <c r="R182" s="123">
        <f t="shared" si="46"/>
        <v>0.6</v>
      </c>
      <c r="S182" s="123">
        <f t="shared" si="46"/>
        <v>0.6</v>
      </c>
      <c r="T182" s="123">
        <f t="shared" si="47"/>
        <v>0.6</v>
      </c>
      <c r="U182" s="123">
        <f t="shared" si="47"/>
        <v>0.6</v>
      </c>
      <c r="V182" s="123">
        <f t="shared" si="47"/>
        <v>0.6</v>
      </c>
      <c r="W182" s="123">
        <f t="shared" si="47"/>
        <v>0.6</v>
      </c>
      <c r="X182" s="123">
        <f t="shared" si="47"/>
        <v>0.6</v>
      </c>
      <c r="Y182" s="123">
        <f t="shared" si="47"/>
        <v>0.6</v>
      </c>
      <c r="Z182" s="123">
        <f t="shared" si="47"/>
        <v>0.6</v>
      </c>
      <c r="AA182" s="123">
        <f t="shared" si="47"/>
        <v>0.6</v>
      </c>
      <c r="AB182" s="123">
        <f t="shared" si="47"/>
        <v>0.6</v>
      </c>
      <c r="AC182" s="123">
        <f t="shared" si="47"/>
        <v>0.6</v>
      </c>
      <c r="AD182" s="123">
        <f t="shared" si="47"/>
        <v>0.6</v>
      </c>
      <c r="AE182" s="123">
        <f t="shared" si="47"/>
        <v>0.6</v>
      </c>
      <c r="AF182" s="123">
        <f t="shared" si="47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5"/>
        <v>0.6</v>
      </c>
      <c r="C183" s="124">
        <v>0.6</v>
      </c>
      <c r="D183" s="123">
        <f t="shared" si="46"/>
        <v>0.6</v>
      </c>
      <c r="E183" s="123">
        <f t="shared" si="46"/>
        <v>0.6</v>
      </c>
      <c r="F183" s="123">
        <f t="shared" si="46"/>
        <v>0.6</v>
      </c>
      <c r="G183" s="123">
        <f t="shared" si="46"/>
        <v>0.6</v>
      </c>
      <c r="H183" s="123">
        <f t="shared" si="46"/>
        <v>0.6</v>
      </c>
      <c r="I183" s="123">
        <f t="shared" si="46"/>
        <v>0.6</v>
      </c>
      <c r="J183" s="123">
        <f t="shared" si="46"/>
        <v>0.6</v>
      </c>
      <c r="K183" s="123">
        <f t="shared" si="46"/>
        <v>0.6</v>
      </c>
      <c r="L183" s="123">
        <f t="shared" si="46"/>
        <v>0.6</v>
      </c>
      <c r="M183" s="123">
        <f t="shared" si="46"/>
        <v>0.6</v>
      </c>
      <c r="N183" s="123">
        <f t="shared" si="46"/>
        <v>0.6</v>
      </c>
      <c r="O183" s="123">
        <f t="shared" si="46"/>
        <v>0.6</v>
      </c>
      <c r="P183" s="123">
        <f t="shared" si="46"/>
        <v>0.6</v>
      </c>
      <c r="Q183" s="123">
        <f t="shared" si="46"/>
        <v>0.6</v>
      </c>
      <c r="R183" s="123">
        <f t="shared" si="46"/>
        <v>0.6</v>
      </c>
      <c r="S183" s="123">
        <f t="shared" si="46"/>
        <v>0.6</v>
      </c>
      <c r="T183" s="123">
        <f t="shared" si="47"/>
        <v>0.6</v>
      </c>
      <c r="U183" s="123">
        <f t="shared" si="47"/>
        <v>0.6</v>
      </c>
      <c r="V183" s="123">
        <f t="shared" si="47"/>
        <v>0.6</v>
      </c>
      <c r="W183" s="123">
        <f t="shared" si="47"/>
        <v>0.6</v>
      </c>
      <c r="X183" s="123">
        <f t="shared" si="47"/>
        <v>0.6</v>
      </c>
      <c r="Y183" s="123">
        <f t="shared" si="47"/>
        <v>0.6</v>
      </c>
      <c r="Z183" s="123">
        <f t="shared" si="47"/>
        <v>0.6</v>
      </c>
      <c r="AA183" s="123">
        <f t="shared" si="47"/>
        <v>0.6</v>
      </c>
      <c r="AB183" s="123">
        <f t="shared" si="47"/>
        <v>0.6</v>
      </c>
      <c r="AC183" s="123">
        <f t="shared" si="47"/>
        <v>0.6</v>
      </c>
      <c r="AD183" s="123">
        <f t="shared" si="47"/>
        <v>0.6</v>
      </c>
      <c r="AE183" s="123">
        <f t="shared" si="47"/>
        <v>0.6</v>
      </c>
      <c r="AF183" s="123">
        <f t="shared" si="47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5"/>
        <v>0.35</v>
      </c>
      <c r="C184" s="124">
        <v>0.35</v>
      </c>
      <c r="D184" s="123">
        <f t="shared" si="46"/>
        <v>0.35</v>
      </c>
      <c r="E184" s="123">
        <f t="shared" si="46"/>
        <v>0.35</v>
      </c>
      <c r="F184" s="123">
        <f t="shared" si="46"/>
        <v>0.35</v>
      </c>
      <c r="G184" s="123">
        <f t="shared" si="46"/>
        <v>0.35</v>
      </c>
      <c r="H184" s="123">
        <f t="shared" si="46"/>
        <v>0.35</v>
      </c>
      <c r="I184" s="123">
        <f t="shared" si="46"/>
        <v>0.35</v>
      </c>
      <c r="J184" s="123">
        <f t="shared" si="46"/>
        <v>0.35</v>
      </c>
      <c r="K184" s="123">
        <f t="shared" si="46"/>
        <v>0.35</v>
      </c>
      <c r="L184" s="123">
        <f t="shared" si="46"/>
        <v>0.35</v>
      </c>
      <c r="M184" s="123">
        <f t="shared" si="46"/>
        <v>0.35</v>
      </c>
      <c r="N184" s="123">
        <f t="shared" si="46"/>
        <v>0.35</v>
      </c>
      <c r="O184" s="123">
        <f t="shared" si="46"/>
        <v>0.35</v>
      </c>
      <c r="P184" s="123">
        <f t="shared" si="46"/>
        <v>0.35</v>
      </c>
      <c r="Q184" s="123">
        <f t="shared" si="46"/>
        <v>0.35</v>
      </c>
      <c r="R184" s="123">
        <f t="shared" si="46"/>
        <v>0.35</v>
      </c>
      <c r="S184" s="123">
        <f t="shared" si="46"/>
        <v>0.35</v>
      </c>
      <c r="T184" s="123">
        <f t="shared" si="47"/>
        <v>0.35</v>
      </c>
      <c r="U184" s="123">
        <f t="shared" si="47"/>
        <v>0.35</v>
      </c>
      <c r="V184" s="123">
        <f t="shared" si="47"/>
        <v>0.35</v>
      </c>
      <c r="W184" s="123">
        <f t="shared" si="47"/>
        <v>0.35</v>
      </c>
      <c r="X184" s="123">
        <f t="shared" si="47"/>
        <v>0.35</v>
      </c>
      <c r="Y184" s="123">
        <f t="shared" si="47"/>
        <v>0.35</v>
      </c>
      <c r="Z184" s="123">
        <f t="shared" si="47"/>
        <v>0.35</v>
      </c>
      <c r="AA184" s="123">
        <f t="shared" si="47"/>
        <v>0.35</v>
      </c>
      <c r="AB184" s="123">
        <f t="shared" si="47"/>
        <v>0.35</v>
      </c>
      <c r="AC184" s="123">
        <f t="shared" si="47"/>
        <v>0.35</v>
      </c>
      <c r="AD184" s="123">
        <f t="shared" si="47"/>
        <v>0.35</v>
      </c>
      <c r="AE184" s="123">
        <f t="shared" si="47"/>
        <v>0.35</v>
      </c>
      <c r="AF184" s="123">
        <f t="shared" si="47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5"/>
        <v>0.28999999999999998</v>
      </c>
      <c r="C185" s="124">
        <v>0.28999999999999998</v>
      </c>
      <c r="D185" s="123">
        <f t="shared" si="46"/>
        <v>0.28999999999999998</v>
      </c>
      <c r="E185" s="123">
        <f t="shared" si="46"/>
        <v>0.28999999999999998</v>
      </c>
      <c r="F185" s="123">
        <f t="shared" si="46"/>
        <v>0.28999999999999998</v>
      </c>
      <c r="G185" s="123">
        <f t="shared" si="46"/>
        <v>0.28999999999999998</v>
      </c>
      <c r="H185" s="123">
        <f t="shared" si="46"/>
        <v>0.28999999999999998</v>
      </c>
      <c r="I185" s="123">
        <f t="shared" si="46"/>
        <v>0.28999999999999998</v>
      </c>
      <c r="J185" s="123">
        <f t="shared" si="46"/>
        <v>0.28999999999999998</v>
      </c>
      <c r="K185" s="123">
        <f t="shared" si="46"/>
        <v>0.28999999999999998</v>
      </c>
      <c r="L185" s="123">
        <f t="shared" si="46"/>
        <v>0.28999999999999998</v>
      </c>
      <c r="M185" s="123">
        <f t="shared" si="46"/>
        <v>0.28999999999999998</v>
      </c>
      <c r="N185" s="123">
        <f t="shared" si="46"/>
        <v>0.28999999999999998</v>
      </c>
      <c r="O185" s="123">
        <f t="shared" si="46"/>
        <v>0.28999999999999998</v>
      </c>
      <c r="P185" s="123">
        <f t="shared" si="46"/>
        <v>0.28999999999999998</v>
      </c>
      <c r="Q185" s="123">
        <f t="shared" si="46"/>
        <v>0.28999999999999998</v>
      </c>
      <c r="R185" s="123">
        <f t="shared" si="46"/>
        <v>0.28999999999999998</v>
      </c>
      <c r="S185" s="123">
        <f t="shared" si="46"/>
        <v>0.28999999999999998</v>
      </c>
      <c r="T185" s="123">
        <f t="shared" si="47"/>
        <v>0.28999999999999998</v>
      </c>
      <c r="U185" s="123">
        <f t="shared" si="47"/>
        <v>0.28999999999999998</v>
      </c>
      <c r="V185" s="123">
        <f t="shared" si="47"/>
        <v>0.28999999999999998</v>
      </c>
      <c r="W185" s="123">
        <f t="shared" si="47"/>
        <v>0.28999999999999998</v>
      </c>
      <c r="X185" s="123">
        <f t="shared" si="47"/>
        <v>0.28999999999999998</v>
      </c>
      <c r="Y185" s="123">
        <f t="shared" si="47"/>
        <v>0.28999999999999998</v>
      </c>
      <c r="Z185" s="123">
        <f t="shared" si="47"/>
        <v>0.28999999999999998</v>
      </c>
      <c r="AA185" s="123">
        <f t="shared" si="47"/>
        <v>0.28999999999999998</v>
      </c>
      <c r="AB185" s="123">
        <f t="shared" si="47"/>
        <v>0.28999999999999998</v>
      </c>
      <c r="AC185" s="123">
        <f t="shared" si="47"/>
        <v>0.28999999999999998</v>
      </c>
      <c r="AD185" s="123">
        <f t="shared" si="47"/>
        <v>0.28999999999999998</v>
      </c>
      <c r="AE185" s="123">
        <f t="shared" si="47"/>
        <v>0.28999999999999998</v>
      </c>
      <c r="AF185" s="123">
        <f t="shared" si="47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5"/>
        <v>0.06</v>
      </c>
      <c r="C186" s="124">
        <v>0.06</v>
      </c>
      <c r="D186" s="123">
        <f t="shared" si="46"/>
        <v>0.06</v>
      </c>
      <c r="E186" s="123">
        <f t="shared" si="46"/>
        <v>0.06</v>
      </c>
      <c r="F186" s="123">
        <f t="shared" si="46"/>
        <v>0.06</v>
      </c>
      <c r="G186" s="123">
        <f t="shared" si="46"/>
        <v>0.06</v>
      </c>
      <c r="H186" s="123">
        <f t="shared" si="46"/>
        <v>0.06</v>
      </c>
      <c r="I186" s="123">
        <f t="shared" si="46"/>
        <v>0.06</v>
      </c>
      <c r="J186" s="123">
        <f t="shared" si="46"/>
        <v>0.06</v>
      </c>
      <c r="K186" s="123">
        <f t="shared" si="46"/>
        <v>0.06</v>
      </c>
      <c r="L186" s="123">
        <f t="shared" si="46"/>
        <v>0.06</v>
      </c>
      <c r="M186" s="123">
        <f t="shared" si="46"/>
        <v>0.06</v>
      </c>
      <c r="N186" s="123">
        <f t="shared" si="46"/>
        <v>0.06</v>
      </c>
      <c r="O186" s="123">
        <f t="shared" si="46"/>
        <v>0.06</v>
      </c>
      <c r="P186" s="123">
        <f t="shared" si="46"/>
        <v>0.06</v>
      </c>
      <c r="Q186" s="123">
        <f t="shared" si="46"/>
        <v>0.06</v>
      </c>
      <c r="R186" s="123">
        <f t="shared" si="46"/>
        <v>0.06</v>
      </c>
      <c r="S186" s="123">
        <f t="shared" si="46"/>
        <v>0.06</v>
      </c>
      <c r="T186" s="123">
        <f t="shared" si="47"/>
        <v>0.06</v>
      </c>
      <c r="U186" s="123">
        <f t="shared" si="47"/>
        <v>0.06</v>
      </c>
      <c r="V186" s="123">
        <f t="shared" si="47"/>
        <v>0.06</v>
      </c>
      <c r="W186" s="123">
        <f t="shared" si="47"/>
        <v>0.06</v>
      </c>
      <c r="X186" s="123">
        <f t="shared" si="47"/>
        <v>0.06</v>
      </c>
      <c r="Y186" s="123">
        <f t="shared" si="47"/>
        <v>0.06</v>
      </c>
      <c r="Z186" s="123">
        <f t="shared" si="47"/>
        <v>0.06</v>
      </c>
      <c r="AA186" s="123">
        <f t="shared" si="47"/>
        <v>0.06</v>
      </c>
      <c r="AB186" s="123">
        <f t="shared" si="47"/>
        <v>0.06</v>
      </c>
      <c r="AC186" s="123">
        <f t="shared" si="47"/>
        <v>0.06</v>
      </c>
      <c r="AD186" s="123">
        <f t="shared" si="47"/>
        <v>0.06</v>
      </c>
      <c r="AE186" s="123">
        <f t="shared" si="47"/>
        <v>0.06</v>
      </c>
      <c r="AF186" s="123">
        <f t="shared" si="47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5"/>
        <v>0.11</v>
      </c>
      <c r="C187" s="124">
        <v>0.11</v>
      </c>
      <c r="D187" s="123">
        <f t="shared" si="46"/>
        <v>0.11</v>
      </c>
      <c r="E187" s="123">
        <f t="shared" si="46"/>
        <v>0.11</v>
      </c>
      <c r="F187" s="123">
        <f t="shared" si="46"/>
        <v>0.11</v>
      </c>
      <c r="G187" s="123">
        <f t="shared" si="46"/>
        <v>0.11</v>
      </c>
      <c r="H187" s="123">
        <f t="shared" si="46"/>
        <v>0.11</v>
      </c>
      <c r="I187" s="123">
        <f t="shared" si="46"/>
        <v>0.11</v>
      </c>
      <c r="J187" s="123">
        <f t="shared" si="46"/>
        <v>0.11</v>
      </c>
      <c r="K187" s="123">
        <f t="shared" si="46"/>
        <v>0.11</v>
      </c>
      <c r="L187" s="123">
        <f t="shared" si="46"/>
        <v>0.11</v>
      </c>
      <c r="M187" s="123">
        <f t="shared" si="46"/>
        <v>0.11</v>
      </c>
      <c r="N187" s="123">
        <f t="shared" si="46"/>
        <v>0.11</v>
      </c>
      <c r="O187" s="123">
        <f t="shared" si="46"/>
        <v>0.11</v>
      </c>
      <c r="P187" s="123">
        <f t="shared" si="46"/>
        <v>0.11</v>
      </c>
      <c r="Q187" s="123">
        <f t="shared" si="46"/>
        <v>0.11</v>
      </c>
      <c r="R187" s="123">
        <f t="shared" si="46"/>
        <v>0.11</v>
      </c>
      <c r="S187" s="123">
        <f t="shared" si="46"/>
        <v>0.11</v>
      </c>
      <c r="T187" s="123">
        <f t="shared" si="47"/>
        <v>0.11</v>
      </c>
      <c r="U187" s="123">
        <f t="shared" si="47"/>
        <v>0.11</v>
      </c>
      <c r="V187" s="123">
        <f t="shared" si="47"/>
        <v>0.11</v>
      </c>
      <c r="W187" s="123">
        <f t="shared" si="47"/>
        <v>0.11</v>
      </c>
      <c r="X187" s="123">
        <f t="shared" si="47"/>
        <v>0.11</v>
      </c>
      <c r="Y187" s="123">
        <f t="shared" si="47"/>
        <v>0.11</v>
      </c>
      <c r="Z187" s="123">
        <f t="shared" si="47"/>
        <v>0.11</v>
      </c>
      <c r="AA187" s="123">
        <f t="shared" si="47"/>
        <v>0.11</v>
      </c>
      <c r="AB187" s="123">
        <f t="shared" si="47"/>
        <v>0.11</v>
      </c>
      <c r="AC187" s="123">
        <f t="shared" si="47"/>
        <v>0.11</v>
      </c>
      <c r="AD187" s="123">
        <f t="shared" si="47"/>
        <v>0.11</v>
      </c>
      <c r="AE187" s="123">
        <f t="shared" si="47"/>
        <v>0.11</v>
      </c>
      <c r="AF187" s="123">
        <f t="shared" si="47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5"/>
        <v>0.1</v>
      </c>
      <c r="C188" s="124">
        <v>0.1</v>
      </c>
      <c r="D188" s="123">
        <f t="shared" si="46"/>
        <v>0.1</v>
      </c>
      <c r="E188" s="123">
        <f t="shared" si="46"/>
        <v>0.1</v>
      </c>
      <c r="F188" s="123">
        <f t="shared" si="46"/>
        <v>0.1</v>
      </c>
      <c r="G188" s="123">
        <f t="shared" si="46"/>
        <v>0.1</v>
      </c>
      <c r="H188" s="123">
        <f t="shared" si="46"/>
        <v>0.1</v>
      </c>
      <c r="I188" s="123">
        <f t="shared" si="46"/>
        <v>0.1</v>
      </c>
      <c r="J188" s="123">
        <f t="shared" si="46"/>
        <v>0.1</v>
      </c>
      <c r="K188" s="123">
        <f t="shared" si="46"/>
        <v>0.1</v>
      </c>
      <c r="L188" s="123">
        <f t="shared" si="46"/>
        <v>0.1</v>
      </c>
      <c r="M188" s="123">
        <f t="shared" si="46"/>
        <v>0.1</v>
      </c>
      <c r="N188" s="123">
        <f t="shared" si="46"/>
        <v>0.1</v>
      </c>
      <c r="O188" s="123">
        <f t="shared" si="46"/>
        <v>0.1</v>
      </c>
      <c r="P188" s="123">
        <f t="shared" si="46"/>
        <v>0.1</v>
      </c>
      <c r="Q188" s="123">
        <f t="shared" si="46"/>
        <v>0.1</v>
      </c>
      <c r="R188" s="123">
        <f t="shared" si="46"/>
        <v>0.1</v>
      </c>
      <c r="S188" s="123">
        <f t="shared" si="47"/>
        <v>0.1</v>
      </c>
      <c r="T188" s="123">
        <f t="shared" si="47"/>
        <v>0.1</v>
      </c>
      <c r="U188" s="123">
        <f t="shared" si="47"/>
        <v>0.1</v>
      </c>
      <c r="V188" s="123">
        <f t="shared" si="47"/>
        <v>0.1</v>
      </c>
      <c r="W188" s="123">
        <f t="shared" si="47"/>
        <v>0.1</v>
      </c>
      <c r="X188" s="123">
        <f t="shared" si="47"/>
        <v>0.1</v>
      </c>
      <c r="Y188" s="123">
        <f t="shared" si="47"/>
        <v>0.1</v>
      </c>
      <c r="Z188" s="123">
        <f t="shared" si="47"/>
        <v>0.1</v>
      </c>
      <c r="AA188" s="123">
        <f t="shared" si="47"/>
        <v>0.1</v>
      </c>
      <c r="AB188" s="123">
        <f t="shared" si="47"/>
        <v>0.1</v>
      </c>
      <c r="AC188" s="123">
        <f t="shared" si="47"/>
        <v>0.1</v>
      </c>
      <c r="AD188" s="123">
        <f t="shared" si="47"/>
        <v>0.1</v>
      </c>
      <c r="AE188" s="123">
        <f t="shared" si="47"/>
        <v>0.1</v>
      </c>
      <c r="AF188" s="123">
        <f t="shared" si="47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5"/>
        <v>0.09</v>
      </c>
      <c r="C189" s="124">
        <v>0.09</v>
      </c>
      <c r="D189" s="123">
        <f t="shared" si="46"/>
        <v>0.09</v>
      </c>
      <c r="E189" s="123">
        <f t="shared" si="46"/>
        <v>0.09</v>
      </c>
      <c r="F189" s="123">
        <f t="shared" si="46"/>
        <v>0.09</v>
      </c>
      <c r="G189" s="123">
        <f t="shared" si="46"/>
        <v>0.09</v>
      </c>
      <c r="H189" s="123">
        <f t="shared" si="46"/>
        <v>0.09</v>
      </c>
      <c r="I189" s="123">
        <f t="shared" si="46"/>
        <v>0.09</v>
      </c>
      <c r="J189" s="123">
        <f t="shared" si="46"/>
        <v>0.09</v>
      </c>
      <c r="K189" s="123">
        <f t="shared" si="46"/>
        <v>0.09</v>
      </c>
      <c r="L189" s="123">
        <f t="shared" si="46"/>
        <v>0.09</v>
      </c>
      <c r="M189" s="123">
        <f t="shared" si="46"/>
        <v>0.09</v>
      </c>
      <c r="N189" s="123">
        <f t="shared" si="46"/>
        <v>0.09</v>
      </c>
      <c r="O189" s="123">
        <f t="shared" si="46"/>
        <v>0.09</v>
      </c>
      <c r="P189" s="123">
        <f t="shared" si="46"/>
        <v>0.09</v>
      </c>
      <c r="Q189" s="123">
        <f t="shared" si="46"/>
        <v>0.09</v>
      </c>
      <c r="R189" s="123">
        <f t="shared" si="46"/>
        <v>0.09</v>
      </c>
      <c r="S189" s="123">
        <f t="shared" si="47"/>
        <v>0.09</v>
      </c>
      <c r="T189" s="123">
        <f t="shared" si="47"/>
        <v>0.09</v>
      </c>
      <c r="U189" s="123">
        <f t="shared" si="47"/>
        <v>0.09</v>
      </c>
      <c r="V189" s="123">
        <f t="shared" si="47"/>
        <v>0.09</v>
      </c>
      <c r="W189" s="123">
        <f t="shared" si="47"/>
        <v>0.09</v>
      </c>
      <c r="X189" s="123">
        <f t="shared" si="47"/>
        <v>0.09</v>
      </c>
      <c r="Y189" s="123">
        <f t="shared" si="47"/>
        <v>0.09</v>
      </c>
      <c r="Z189" s="123">
        <f t="shared" si="47"/>
        <v>0.09</v>
      </c>
      <c r="AA189" s="123">
        <f t="shared" si="47"/>
        <v>0.09</v>
      </c>
      <c r="AB189" s="123">
        <f t="shared" si="47"/>
        <v>0.09</v>
      </c>
      <c r="AC189" s="123">
        <f t="shared" si="47"/>
        <v>0.09</v>
      </c>
      <c r="AD189" s="123">
        <f t="shared" si="47"/>
        <v>0.09</v>
      </c>
      <c r="AE189" s="123">
        <f t="shared" si="47"/>
        <v>0.09</v>
      </c>
      <c r="AF189" s="123">
        <f t="shared" si="47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5"/>
        <v>0.04</v>
      </c>
      <c r="C190" s="53">
        <v>0.04</v>
      </c>
      <c r="D190" s="123">
        <f t="shared" si="46"/>
        <v>0.04</v>
      </c>
      <c r="E190" s="123">
        <f t="shared" si="46"/>
        <v>0.04</v>
      </c>
      <c r="F190" s="123">
        <f t="shared" si="46"/>
        <v>0.04</v>
      </c>
      <c r="G190" s="123">
        <f t="shared" si="46"/>
        <v>0.04</v>
      </c>
      <c r="H190" s="123">
        <f t="shared" si="46"/>
        <v>0.04</v>
      </c>
      <c r="I190" s="123">
        <f t="shared" si="46"/>
        <v>0.04</v>
      </c>
      <c r="J190" s="123">
        <f t="shared" si="46"/>
        <v>0.04</v>
      </c>
      <c r="K190" s="123">
        <f t="shared" si="46"/>
        <v>0.04</v>
      </c>
      <c r="L190" s="123">
        <f t="shared" si="46"/>
        <v>0.04</v>
      </c>
      <c r="M190" s="123">
        <f t="shared" si="46"/>
        <v>0.04</v>
      </c>
      <c r="N190" s="123">
        <f t="shared" si="46"/>
        <v>0.04</v>
      </c>
      <c r="O190" s="123">
        <f t="shared" si="46"/>
        <v>0.04</v>
      </c>
      <c r="P190" s="123">
        <f t="shared" si="46"/>
        <v>0.04</v>
      </c>
      <c r="Q190" s="123">
        <f t="shared" si="46"/>
        <v>0.04</v>
      </c>
      <c r="R190" s="123">
        <f t="shared" si="46"/>
        <v>0.04</v>
      </c>
      <c r="S190" s="123">
        <f t="shared" si="47"/>
        <v>0.04</v>
      </c>
      <c r="T190" s="123">
        <f t="shared" si="47"/>
        <v>0.04</v>
      </c>
      <c r="U190" s="123">
        <f t="shared" si="47"/>
        <v>0.04</v>
      </c>
      <c r="V190" s="123">
        <f t="shared" si="47"/>
        <v>0.04</v>
      </c>
      <c r="W190" s="123">
        <f t="shared" si="47"/>
        <v>0.04</v>
      </c>
      <c r="X190" s="123">
        <f t="shared" si="47"/>
        <v>0.04</v>
      </c>
      <c r="Y190" s="123">
        <f t="shared" si="47"/>
        <v>0.04</v>
      </c>
      <c r="Z190" s="123">
        <f t="shared" si="47"/>
        <v>0.04</v>
      </c>
      <c r="AA190" s="123">
        <f t="shared" si="47"/>
        <v>0.04</v>
      </c>
      <c r="AB190" s="123">
        <f t="shared" si="47"/>
        <v>0.04</v>
      </c>
      <c r="AC190" s="123">
        <f t="shared" si="47"/>
        <v>0.04</v>
      </c>
      <c r="AD190" s="123">
        <f t="shared" si="47"/>
        <v>0.04</v>
      </c>
      <c r="AE190" s="123">
        <f t="shared" si="47"/>
        <v>0.04</v>
      </c>
      <c r="AF190" s="123">
        <f t="shared" si="47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5"/>
        <v>2.3E-2</v>
      </c>
      <c r="C191" s="53">
        <v>2.3E-2</v>
      </c>
      <c r="D191" s="123">
        <f>C191</f>
        <v>2.3E-2</v>
      </c>
      <c r="E191" s="123">
        <f t="shared" si="46"/>
        <v>2.3E-2</v>
      </c>
      <c r="F191" s="123">
        <f t="shared" si="46"/>
        <v>2.3E-2</v>
      </c>
      <c r="G191" s="123">
        <f t="shared" si="46"/>
        <v>2.3E-2</v>
      </c>
      <c r="H191" s="123">
        <f t="shared" si="46"/>
        <v>2.3E-2</v>
      </c>
      <c r="I191" s="123">
        <f t="shared" si="46"/>
        <v>2.3E-2</v>
      </c>
      <c r="J191" s="123">
        <f t="shared" si="46"/>
        <v>2.3E-2</v>
      </c>
      <c r="K191" s="123">
        <f t="shared" si="46"/>
        <v>2.3E-2</v>
      </c>
      <c r="L191" s="123">
        <f t="shared" si="46"/>
        <v>2.3E-2</v>
      </c>
      <c r="M191" s="123">
        <f t="shared" si="46"/>
        <v>2.3E-2</v>
      </c>
      <c r="N191" s="123">
        <f t="shared" si="46"/>
        <v>2.3E-2</v>
      </c>
      <c r="O191" s="123">
        <f t="shared" si="46"/>
        <v>2.3E-2</v>
      </c>
      <c r="P191" s="123">
        <f t="shared" si="46"/>
        <v>2.3E-2</v>
      </c>
      <c r="Q191" s="123">
        <f t="shared" si="46"/>
        <v>2.3E-2</v>
      </c>
      <c r="R191" s="123">
        <f t="shared" si="46"/>
        <v>2.3E-2</v>
      </c>
      <c r="S191" s="123">
        <f t="shared" si="47"/>
        <v>2.3E-2</v>
      </c>
      <c r="T191" s="123">
        <f t="shared" si="47"/>
        <v>2.3E-2</v>
      </c>
      <c r="U191" s="123">
        <f t="shared" si="47"/>
        <v>2.3E-2</v>
      </c>
      <c r="V191" s="123">
        <f t="shared" si="47"/>
        <v>2.3E-2</v>
      </c>
      <c r="W191" s="123">
        <f t="shared" si="47"/>
        <v>2.3E-2</v>
      </c>
      <c r="X191" s="123">
        <f t="shared" si="47"/>
        <v>2.3E-2</v>
      </c>
      <c r="Y191" s="123">
        <f t="shared" si="47"/>
        <v>2.3E-2</v>
      </c>
      <c r="Z191" s="123">
        <f t="shared" si="47"/>
        <v>2.3E-2</v>
      </c>
      <c r="AA191" s="123">
        <f t="shared" si="47"/>
        <v>2.3E-2</v>
      </c>
      <c r="AB191" s="123">
        <f t="shared" si="47"/>
        <v>2.3E-2</v>
      </c>
      <c r="AC191" s="123">
        <f t="shared" si="47"/>
        <v>2.3E-2</v>
      </c>
      <c r="AD191" s="123">
        <f t="shared" si="47"/>
        <v>2.3E-2</v>
      </c>
      <c r="AE191" s="123">
        <f t="shared" si="47"/>
        <v>2.3E-2</v>
      </c>
      <c r="AF191" s="123">
        <f t="shared" si="47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8">SUM(C102:C191)</f>
        <v>194.70600000000002</v>
      </c>
      <c r="D192" s="128">
        <f t="shared" si="48"/>
        <v>194.70600000000002</v>
      </c>
      <c r="E192" s="128">
        <f t="shared" si="48"/>
        <v>194.70600000000002</v>
      </c>
      <c r="F192" s="128">
        <f t="shared" si="48"/>
        <v>194.70600000000002</v>
      </c>
      <c r="G192" s="128">
        <f t="shared" si="48"/>
        <v>194.70600000000002</v>
      </c>
      <c r="H192" s="128">
        <f t="shared" si="48"/>
        <v>194.70600000000002</v>
      </c>
      <c r="I192" s="128">
        <f t="shared" si="48"/>
        <v>189.70600000000005</v>
      </c>
      <c r="J192" s="128">
        <f t="shared" si="48"/>
        <v>187.10600000000005</v>
      </c>
      <c r="K192" s="128">
        <f t="shared" si="48"/>
        <v>187.10600000000005</v>
      </c>
      <c r="L192" s="128">
        <f t="shared" si="48"/>
        <v>187.10600000000005</v>
      </c>
      <c r="M192" s="128">
        <f t="shared" si="48"/>
        <v>187.10600000000005</v>
      </c>
      <c r="N192" s="128">
        <f t="shared" si="48"/>
        <v>187.10600000000005</v>
      </c>
      <c r="O192" s="128">
        <f t="shared" si="48"/>
        <v>187.10600000000005</v>
      </c>
      <c r="P192" s="128">
        <f t="shared" si="48"/>
        <v>187.10600000000005</v>
      </c>
      <c r="Q192" s="128">
        <f t="shared" si="48"/>
        <v>187.10600000000005</v>
      </c>
      <c r="R192" s="128">
        <f t="shared" si="48"/>
        <v>187.10600000000005</v>
      </c>
      <c r="S192" s="128">
        <f t="shared" si="48"/>
        <v>187.10600000000005</v>
      </c>
      <c r="T192" s="128">
        <f t="shared" si="48"/>
        <v>187.10600000000005</v>
      </c>
      <c r="U192" s="128">
        <f t="shared" si="48"/>
        <v>187.10600000000005</v>
      </c>
      <c r="V192" s="128">
        <f t="shared" si="48"/>
        <v>187.10600000000005</v>
      </c>
      <c r="W192" s="128">
        <f t="shared" si="48"/>
        <v>187.10600000000005</v>
      </c>
      <c r="X192" s="128">
        <f t="shared" si="48"/>
        <v>187.10600000000005</v>
      </c>
      <c r="Y192" s="128">
        <f t="shared" si="48"/>
        <v>187.10600000000005</v>
      </c>
      <c r="Z192" s="128">
        <f t="shared" si="48"/>
        <v>187.10600000000005</v>
      </c>
      <c r="AA192" s="128">
        <f t="shared" si="48"/>
        <v>187.10600000000005</v>
      </c>
      <c r="AB192" s="128">
        <f t="shared" si="48"/>
        <v>187.10600000000005</v>
      </c>
      <c r="AC192" s="128">
        <f t="shared" si="48"/>
        <v>187.10600000000005</v>
      </c>
      <c r="AD192" s="128">
        <f t="shared" si="48"/>
        <v>187.10600000000005</v>
      </c>
      <c r="AE192" s="128">
        <f t="shared" si="48"/>
        <v>187.10600000000005</v>
      </c>
      <c r="AF192" s="128">
        <f t="shared" si="48"/>
        <v>187.10600000000005</v>
      </c>
      <c r="AG192" s="129">
        <f t="shared" si="4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9">AF194</f>
        <v>0.3</v>
      </c>
      <c r="C194" s="130">
        <v>0.3</v>
      </c>
      <c r="D194" s="130">
        <f t="shared" ref="D194:S199" si="50">C194</f>
        <v>0.3</v>
      </c>
      <c r="E194" s="130">
        <f t="shared" si="50"/>
        <v>0.3</v>
      </c>
      <c r="F194" s="130">
        <f t="shared" si="50"/>
        <v>0.3</v>
      </c>
      <c r="G194" s="130">
        <f t="shared" si="50"/>
        <v>0.3</v>
      </c>
      <c r="H194" s="130">
        <f t="shared" si="50"/>
        <v>0.3</v>
      </c>
      <c r="I194" s="130">
        <f t="shared" si="50"/>
        <v>0.3</v>
      </c>
      <c r="J194" s="130">
        <f t="shared" si="50"/>
        <v>0.3</v>
      </c>
      <c r="K194" s="130">
        <f t="shared" si="50"/>
        <v>0.3</v>
      </c>
      <c r="L194" s="130">
        <f t="shared" si="50"/>
        <v>0.3</v>
      </c>
      <c r="M194" s="130">
        <f t="shared" si="50"/>
        <v>0.3</v>
      </c>
      <c r="N194" s="130">
        <f t="shared" si="50"/>
        <v>0.3</v>
      </c>
      <c r="O194" s="130">
        <f t="shared" si="50"/>
        <v>0.3</v>
      </c>
      <c r="P194" s="130">
        <f t="shared" si="50"/>
        <v>0.3</v>
      </c>
      <c r="Q194" s="130">
        <f t="shared" si="50"/>
        <v>0.3</v>
      </c>
      <c r="R194" s="130">
        <f t="shared" si="50"/>
        <v>0.3</v>
      </c>
      <c r="S194" s="130">
        <f t="shared" si="50"/>
        <v>0.3</v>
      </c>
      <c r="T194" s="130">
        <f t="shared" ref="T194:AF199" si="51">S194</f>
        <v>0.3</v>
      </c>
      <c r="U194" s="130">
        <f t="shared" si="51"/>
        <v>0.3</v>
      </c>
      <c r="V194" s="130">
        <f t="shared" si="51"/>
        <v>0.3</v>
      </c>
      <c r="W194" s="130">
        <f t="shared" si="51"/>
        <v>0.3</v>
      </c>
      <c r="X194" s="130">
        <f t="shared" si="51"/>
        <v>0.3</v>
      </c>
      <c r="Y194" s="130">
        <f t="shared" si="51"/>
        <v>0.3</v>
      </c>
      <c r="Z194" s="130">
        <f t="shared" si="51"/>
        <v>0.3</v>
      </c>
      <c r="AA194" s="130">
        <f t="shared" si="51"/>
        <v>0.3</v>
      </c>
      <c r="AB194" s="130">
        <f t="shared" si="51"/>
        <v>0.3</v>
      </c>
      <c r="AC194" s="130">
        <f t="shared" si="51"/>
        <v>0.3</v>
      </c>
      <c r="AD194" s="130">
        <f t="shared" si="51"/>
        <v>0.3</v>
      </c>
      <c r="AE194" s="130">
        <f t="shared" si="51"/>
        <v>0.3</v>
      </c>
      <c r="AF194" s="130">
        <f t="shared" si="51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9"/>
        <v>0.4</v>
      </c>
      <c r="C195" s="123">
        <v>0.4</v>
      </c>
      <c r="D195" s="123">
        <f t="shared" si="50"/>
        <v>0.4</v>
      </c>
      <c r="E195" s="123">
        <f t="shared" si="50"/>
        <v>0.4</v>
      </c>
      <c r="F195" s="123">
        <f t="shared" si="50"/>
        <v>0.4</v>
      </c>
      <c r="G195" s="123">
        <f t="shared" si="50"/>
        <v>0.4</v>
      </c>
      <c r="H195" s="123">
        <f t="shared" si="50"/>
        <v>0.4</v>
      </c>
      <c r="I195" s="123">
        <f t="shared" si="50"/>
        <v>0.4</v>
      </c>
      <c r="J195" s="123">
        <f t="shared" si="50"/>
        <v>0.4</v>
      </c>
      <c r="K195" s="123">
        <f t="shared" si="50"/>
        <v>0.4</v>
      </c>
      <c r="L195" s="123">
        <f t="shared" si="50"/>
        <v>0.4</v>
      </c>
      <c r="M195" s="123">
        <f t="shared" si="50"/>
        <v>0.4</v>
      </c>
      <c r="N195" s="123">
        <f t="shared" si="50"/>
        <v>0.4</v>
      </c>
      <c r="O195" s="123">
        <f t="shared" si="50"/>
        <v>0.4</v>
      </c>
      <c r="P195" s="123">
        <f t="shared" si="50"/>
        <v>0.4</v>
      </c>
      <c r="Q195" s="123">
        <f t="shared" si="50"/>
        <v>0.4</v>
      </c>
      <c r="R195" s="123">
        <f t="shared" si="50"/>
        <v>0.4</v>
      </c>
      <c r="S195" s="123">
        <f t="shared" si="50"/>
        <v>0.4</v>
      </c>
      <c r="T195" s="123">
        <f t="shared" si="51"/>
        <v>0.4</v>
      </c>
      <c r="U195" s="123">
        <f t="shared" si="51"/>
        <v>0.4</v>
      </c>
      <c r="V195" s="123">
        <f t="shared" si="51"/>
        <v>0.4</v>
      </c>
      <c r="W195" s="123">
        <f>V195</f>
        <v>0.4</v>
      </c>
      <c r="X195" s="123">
        <f>W195</f>
        <v>0.4</v>
      </c>
      <c r="Y195" s="123">
        <f t="shared" si="51"/>
        <v>0.4</v>
      </c>
      <c r="Z195" s="123">
        <f t="shared" si="51"/>
        <v>0.4</v>
      </c>
      <c r="AA195" s="123">
        <f t="shared" si="51"/>
        <v>0.4</v>
      </c>
      <c r="AB195" s="123">
        <f t="shared" si="51"/>
        <v>0.4</v>
      </c>
      <c r="AC195" s="123">
        <f t="shared" si="51"/>
        <v>0.4</v>
      </c>
      <c r="AD195" s="123">
        <f t="shared" si="51"/>
        <v>0.4</v>
      </c>
      <c r="AE195" s="123">
        <f t="shared" si="51"/>
        <v>0.4</v>
      </c>
      <c r="AF195" s="123">
        <f t="shared" si="51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9"/>
        <v>1.5</v>
      </c>
      <c r="C196" s="123">
        <v>1.5</v>
      </c>
      <c r="D196" s="123">
        <f t="shared" si="50"/>
        <v>1.5</v>
      </c>
      <c r="E196" s="123">
        <f t="shared" si="50"/>
        <v>1.5</v>
      </c>
      <c r="F196" s="123">
        <f t="shared" si="50"/>
        <v>1.5</v>
      </c>
      <c r="G196" s="123">
        <f t="shared" si="50"/>
        <v>1.5</v>
      </c>
      <c r="H196" s="123">
        <f t="shared" si="50"/>
        <v>1.5</v>
      </c>
      <c r="I196" s="123">
        <f t="shared" si="50"/>
        <v>1.5</v>
      </c>
      <c r="J196" s="123">
        <f t="shared" si="50"/>
        <v>1.5</v>
      </c>
      <c r="K196" s="123">
        <f t="shared" si="50"/>
        <v>1.5</v>
      </c>
      <c r="L196" s="123">
        <f t="shared" si="50"/>
        <v>1.5</v>
      </c>
      <c r="M196" s="123">
        <f t="shared" si="50"/>
        <v>1.5</v>
      </c>
      <c r="N196" s="123">
        <f t="shared" si="50"/>
        <v>1.5</v>
      </c>
      <c r="O196" s="123">
        <f t="shared" si="50"/>
        <v>1.5</v>
      </c>
      <c r="P196" s="123">
        <f t="shared" si="50"/>
        <v>1.5</v>
      </c>
      <c r="Q196" s="123">
        <f t="shared" si="50"/>
        <v>1.5</v>
      </c>
      <c r="R196" s="123">
        <f t="shared" si="50"/>
        <v>1.5</v>
      </c>
      <c r="S196" s="123">
        <f t="shared" si="50"/>
        <v>1.5</v>
      </c>
      <c r="T196" s="123">
        <f t="shared" si="51"/>
        <v>1.5</v>
      </c>
      <c r="U196" s="123">
        <f t="shared" si="51"/>
        <v>1.5</v>
      </c>
      <c r="V196" s="123">
        <f t="shared" si="51"/>
        <v>1.5</v>
      </c>
      <c r="W196" s="123">
        <f t="shared" si="51"/>
        <v>1.5</v>
      </c>
      <c r="X196" s="123">
        <f t="shared" si="51"/>
        <v>1.5</v>
      </c>
      <c r="Y196" s="123">
        <f t="shared" si="51"/>
        <v>1.5</v>
      </c>
      <c r="Z196" s="123">
        <f t="shared" si="51"/>
        <v>1.5</v>
      </c>
      <c r="AA196" s="123">
        <f t="shared" si="51"/>
        <v>1.5</v>
      </c>
      <c r="AB196" s="123">
        <f t="shared" si="51"/>
        <v>1.5</v>
      </c>
      <c r="AC196" s="123">
        <f t="shared" si="51"/>
        <v>1.5</v>
      </c>
      <c r="AD196" s="123">
        <f t="shared" si="51"/>
        <v>1.5</v>
      </c>
      <c r="AE196" s="123">
        <f t="shared" si="51"/>
        <v>1.5</v>
      </c>
      <c r="AF196" s="123">
        <f t="shared" si="51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9"/>
        <v>0.3</v>
      </c>
      <c r="C197" s="123">
        <v>0.3</v>
      </c>
      <c r="D197" s="123">
        <f t="shared" si="50"/>
        <v>0.3</v>
      </c>
      <c r="E197" s="123">
        <f t="shared" si="50"/>
        <v>0.3</v>
      </c>
      <c r="F197" s="123">
        <f t="shared" si="50"/>
        <v>0.3</v>
      </c>
      <c r="G197" s="123">
        <f t="shared" si="50"/>
        <v>0.3</v>
      </c>
      <c r="H197" s="123">
        <f t="shared" si="50"/>
        <v>0.3</v>
      </c>
      <c r="I197" s="123">
        <f t="shared" si="50"/>
        <v>0.3</v>
      </c>
      <c r="J197" s="123">
        <f t="shared" si="50"/>
        <v>0.3</v>
      </c>
      <c r="K197" s="123">
        <f t="shared" si="50"/>
        <v>0.3</v>
      </c>
      <c r="L197" s="123">
        <f t="shared" si="50"/>
        <v>0.3</v>
      </c>
      <c r="M197" s="123">
        <f t="shared" si="50"/>
        <v>0.3</v>
      </c>
      <c r="N197" s="123">
        <f t="shared" si="50"/>
        <v>0.3</v>
      </c>
      <c r="O197" s="123">
        <f t="shared" si="50"/>
        <v>0.3</v>
      </c>
      <c r="P197" s="123">
        <f t="shared" si="50"/>
        <v>0.3</v>
      </c>
      <c r="Q197" s="123">
        <f t="shared" si="50"/>
        <v>0.3</v>
      </c>
      <c r="R197" s="123">
        <f t="shared" si="50"/>
        <v>0.3</v>
      </c>
      <c r="S197" s="123">
        <f t="shared" si="50"/>
        <v>0.3</v>
      </c>
      <c r="T197" s="123">
        <f t="shared" si="51"/>
        <v>0.3</v>
      </c>
      <c r="U197" s="123">
        <f t="shared" si="51"/>
        <v>0.3</v>
      </c>
      <c r="V197" s="123">
        <f t="shared" si="51"/>
        <v>0.3</v>
      </c>
      <c r="W197" s="123">
        <f t="shared" si="51"/>
        <v>0.3</v>
      </c>
      <c r="X197" s="123">
        <f t="shared" si="51"/>
        <v>0.3</v>
      </c>
      <c r="Y197" s="123">
        <f t="shared" si="51"/>
        <v>0.3</v>
      </c>
      <c r="Z197" s="123">
        <f t="shared" si="51"/>
        <v>0.3</v>
      </c>
      <c r="AA197" s="123">
        <f t="shared" si="51"/>
        <v>0.3</v>
      </c>
      <c r="AB197" s="123">
        <f t="shared" si="51"/>
        <v>0.3</v>
      </c>
      <c r="AC197" s="123">
        <f t="shared" si="51"/>
        <v>0.3</v>
      </c>
      <c r="AD197" s="123">
        <f t="shared" si="51"/>
        <v>0.3</v>
      </c>
      <c r="AE197" s="123">
        <f t="shared" si="51"/>
        <v>0.3</v>
      </c>
      <c r="AF197" s="123">
        <f t="shared" si="51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9"/>
        <v>0.4</v>
      </c>
      <c r="C198" s="123">
        <v>0.4</v>
      </c>
      <c r="D198" s="123">
        <f t="shared" si="50"/>
        <v>0.4</v>
      </c>
      <c r="E198" s="123">
        <f t="shared" si="50"/>
        <v>0.4</v>
      </c>
      <c r="F198" s="123">
        <f t="shared" si="50"/>
        <v>0.4</v>
      </c>
      <c r="G198" s="123">
        <f t="shared" si="50"/>
        <v>0.4</v>
      </c>
      <c r="H198" s="123">
        <f t="shared" si="50"/>
        <v>0.4</v>
      </c>
      <c r="I198" s="123">
        <f t="shared" si="50"/>
        <v>0.4</v>
      </c>
      <c r="J198" s="123">
        <f t="shared" si="50"/>
        <v>0.4</v>
      </c>
      <c r="K198" s="123">
        <f t="shared" si="50"/>
        <v>0.4</v>
      </c>
      <c r="L198" s="123">
        <f t="shared" si="50"/>
        <v>0.4</v>
      </c>
      <c r="M198" s="123">
        <f t="shared" si="50"/>
        <v>0.4</v>
      </c>
      <c r="N198" s="123">
        <f t="shared" si="50"/>
        <v>0.4</v>
      </c>
      <c r="O198" s="123">
        <f t="shared" si="50"/>
        <v>0.4</v>
      </c>
      <c r="P198" s="123">
        <f t="shared" si="50"/>
        <v>0.4</v>
      </c>
      <c r="Q198" s="123">
        <f t="shared" si="50"/>
        <v>0.4</v>
      </c>
      <c r="R198" s="123">
        <f t="shared" si="50"/>
        <v>0.4</v>
      </c>
      <c r="S198" s="123">
        <f t="shared" si="50"/>
        <v>0.4</v>
      </c>
      <c r="T198" s="123">
        <f t="shared" si="51"/>
        <v>0.4</v>
      </c>
      <c r="U198" s="123">
        <f t="shared" si="51"/>
        <v>0.4</v>
      </c>
      <c r="V198" s="123">
        <f t="shared" si="51"/>
        <v>0.4</v>
      </c>
      <c r="W198" s="123">
        <f t="shared" si="51"/>
        <v>0.4</v>
      </c>
      <c r="X198" s="123">
        <f t="shared" si="51"/>
        <v>0.4</v>
      </c>
      <c r="Y198" s="123">
        <f t="shared" si="51"/>
        <v>0.4</v>
      </c>
      <c r="Z198" s="123">
        <f t="shared" si="51"/>
        <v>0.4</v>
      </c>
      <c r="AA198" s="123">
        <f t="shared" si="51"/>
        <v>0.4</v>
      </c>
      <c r="AB198" s="123">
        <f t="shared" si="51"/>
        <v>0.4</v>
      </c>
      <c r="AC198" s="123">
        <f t="shared" si="51"/>
        <v>0.4</v>
      </c>
      <c r="AD198" s="123">
        <f t="shared" si="51"/>
        <v>0.4</v>
      </c>
      <c r="AE198" s="123">
        <f t="shared" si="51"/>
        <v>0.4</v>
      </c>
      <c r="AF198" s="123">
        <f t="shared" si="51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9"/>
        <v>0.64</v>
      </c>
      <c r="C199" s="133">
        <v>0.64</v>
      </c>
      <c r="D199" s="133">
        <f t="shared" si="50"/>
        <v>0.64</v>
      </c>
      <c r="E199" s="133">
        <f t="shared" si="50"/>
        <v>0.64</v>
      </c>
      <c r="F199" s="133">
        <f t="shared" si="50"/>
        <v>0.64</v>
      </c>
      <c r="G199" s="133">
        <f t="shared" si="50"/>
        <v>0.64</v>
      </c>
      <c r="H199" s="133">
        <f t="shared" si="50"/>
        <v>0.64</v>
      </c>
      <c r="I199" s="133">
        <f t="shared" si="50"/>
        <v>0.64</v>
      </c>
      <c r="J199" s="133">
        <f t="shared" si="50"/>
        <v>0.64</v>
      </c>
      <c r="K199" s="133">
        <f t="shared" si="50"/>
        <v>0.64</v>
      </c>
      <c r="L199" s="133">
        <f t="shared" si="50"/>
        <v>0.64</v>
      </c>
      <c r="M199" s="133">
        <f t="shared" si="50"/>
        <v>0.64</v>
      </c>
      <c r="N199" s="133">
        <f t="shared" si="50"/>
        <v>0.64</v>
      </c>
      <c r="O199" s="133">
        <f t="shared" si="50"/>
        <v>0.64</v>
      </c>
      <c r="P199" s="133">
        <f t="shared" si="50"/>
        <v>0.64</v>
      </c>
      <c r="Q199" s="133">
        <f t="shared" si="50"/>
        <v>0.64</v>
      </c>
      <c r="R199" s="133">
        <f t="shared" si="50"/>
        <v>0.64</v>
      </c>
      <c r="S199" s="133">
        <f t="shared" si="50"/>
        <v>0.64</v>
      </c>
      <c r="T199" s="133">
        <f t="shared" si="51"/>
        <v>0.64</v>
      </c>
      <c r="U199" s="133">
        <f t="shared" si="51"/>
        <v>0.64</v>
      </c>
      <c r="V199" s="133">
        <f t="shared" si="51"/>
        <v>0.64</v>
      </c>
      <c r="W199" s="133">
        <f t="shared" si="51"/>
        <v>0.64</v>
      </c>
      <c r="X199" s="133">
        <f t="shared" si="51"/>
        <v>0.64</v>
      </c>
      <c r="Y199" s="133">
        <f t="shared" si="51"/>
        <v>0.64</v>
      </c>
      <c r="Z199" s="133">
        <f t="shared" si="51"/>
        <v>0.64</v>
      </c>
      <c r="AA199" s="133">
        <f t="shared" si="51"/>
        <v>0.64</v>
      </c>
      <c r="AB199" s="133">
        <f t="shared" si="51"/>
        <v>0.64</v>
      </c>
      <c r="AC199" s="133">
        <f t="shared" si="51"/>
        <v>0.64</v>
      </c>
      <c r="AD199" s="133">
        <f t="shared" si="51"/>
        <v>0.64</v>
      </c>
      <c r="AE199" s="133">
        <f t="shared" si="51"/>
        <v>0.64</v>
      </c>
      <c r="AF199" s="133">
        <f t="shared" si="51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2">SUM(D194:D199)</f>
        <v>3.54</v>
      </c>
      <c r="E200" s="136">
        <f t="shared" si="52"/>
        <v>3.54</v>
      </c>
      <c r="F200" s="136">
        <f t="shared" si="52"/>
        <v>3.54</v>
      </c>
      <c r="G200" s="136">
        <f t="shared" si="52"/>
        <v>3.54</v>
      </c>
      <c r="H200" s="136">
        <f t="shared" si="52"/>
        <v>3.54</v>
      </c>
      <c r="I200" s="136">
        <f t="shared" si="52"/>
        <v>3.54</v>
      </c>
      <c r="J200" s="136">
        <f t="shared" si="52"/>
        <v>3.54</v>
      </c>
      <c r="K200" s="136">
        <f t="shared" si="52"/>
        <v>3.54</v>
      </c>
      <c r="L200" s="136">
        <f t="shared" si="52"/>
        <v>3.54</v>
      </c>
      <c r="M200" s="136">
        <f>SUM(M194:M199)</f>
        <v>3.54</v>
      </c>
      <c r="N200" s="136">
        <f t="shared" ref="N200:S200" si="53">SUM(N194:N199)</f>
        <v>3.54</v>
      </c>
      <c r="O200" s="136">
        <f t="shared" si="53"/>
        <v>3.54</v>
      </c>
      <c r="P200" s="136">
        <f t="shared" si="53"/>
        <v>3.54</v>
      </c>
      <c r="Q200" s="136">
        <f t="shared" si="53"/>
        <v>3.54</v>
      </c>
      <c r="R200" s="136">
        <f t="shared" si="53"/>
        <v>3.54</v>
      </c>
      <c r="S200" s="136">
        <f t="shared" si="53"/>
        <v>3.54</v>
      </c>
      <c r="T200" s="136">
        <f>SUM(T194:T199)</f>
        <v>3.54</v>
      </c>
      <c r="U200" s="136">
        <f t="shared" ref="U200:AG200" si="54">SUM(U194:U199)</f>
        <v>3.54</v>
      </c>
      <c r="V200" s="136">
        <f t="shared" si="54"/>
        <v>3.54</v>
      </c>
      <c r="W200" s="136">
        <f t="shared" si="54"/>
        <v>3.54</v>
      </c>
      <c r="X200" s="136">
        <f t="shared" si="54"/>
        <v>3.54</v>
      </c>
      <c r="Y200" s="136">
        <f t="shared" si="54"/>
        <v>3.54</v>
      </c>
      <c r="Z200" s="136">
        <f t="shared" si="54"/>
        <v>3.54</v>
      </c>
      <c r="AA200" s="136">
        <f t="shared" si="54"/>
        <v>3.54</v>
      </c>
      <c r="AB200" s="136">
        <f t="shared" si="54"/>
        <v>3.54</v>
      </c>
      <c r="AC200" s="136">
        <f t="shared" si="54"/>
        <v>3.54</v>
      </c>
      <c r="AD200" s="136">
        <f t="shared" si="54"/>
        <v>3.54</v>
      </c>
      <c r="AE200" s="136">
        <f t="shared" si="54"/>
        <v>3.54</v>
      </c>
      <c r="AF200" s="136">
        <f t="shared" si="54"/>
        <v>3.54</v>
      </c>
      <c r="AG200" s="137">
        <f t="shared" si="5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1452.3400000000001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19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2079/02/19)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2079/02/19)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5">B75</f>
        <v>1351.74</v>
      </c>
      <c r="U214" s="161">
        <f t="shared" si="55"/>
        <v>1314.44</v>
      </c>
      <c r="V214" s="161">
        <f t="shared" si="55"/>
        <v>1309.8400000000001</v>
      </c>
      <c r="W214" s="161">
        <f t="shared" si="55"/>
        <v>1321.18</v>
      </c>
      <c r="X214" s="161">
        <f t="shared" si="55"/>
        <v>1288.94</v>
      </c>
      <c r="Y214" s="161">
        <f t="shared" si="55"/>
        <v>1298.6400000000001</v>
      </c>
      <c r="Z214" s="161">
        <f t="shared" si="55"/>
        <v>1295.04</v>
      </c>
      <c r="AA214" s="161">
        <f t="shared" si="55"/>
        <v>1325.64</v>
      </c>
      <c r="AB214" s="161">
        <f t="shared" si="55"/>
        <v>1381.14</v>
      </c>
      <c r="AC214" s="161">
        <f t="shared" si="55"/>
        <v>1417.8400000000001</v>
      </c>
      <c r="AD214" s="161">
        <f t="shared" si="55"/>
        <v>1436.64</v>
      </c>
      <c r="AE214" s="161">
        <f t="shared" si="55"/>
        <v>1452.3400000000001</v>
      </c>
      <c r="AF214" s="161">
        <f t="shared" si="55"/>
        <v>1402.3400000000001</v>
      </c>
      <c r="AG214" s="161">
        <f t="shared" si="55"/>
        <v>1373.3400000000001</v>
      </c>
      <c r="AH214" s="161">
        <f t="shared" si="55"/>
        <v>1414.64</v>
      </c>
      <c r="AI214" s="161">
        <f t="shared" si="55"/>
        <v>1410.6399999999999</v>
      </c>
      <c r="AJ214" s="161">
        <f t="shared" si="55"/>
        <v>1441.24</v>
      </c>
      <c r="AK214" s="161">
        <f t="shared" si="55"/>
        <v>1447.54</v>
      </c>
      <c r="AL214" s="161">
        <f t="shared" si="55"/>
        <v>1476.3899999999999</v>
      </c>
      <c r="AM214" s="161">
        <f t="shared" si="55"/>
        <v>1452.6399999999999</v>
      </c>
      <c r="AN214" s="161">
        <f t="shared" si="55"/>
        <v>1438.54</v>
      </c>
      <c r="AO214" s="161">
        <f t="shared" si="55"/>
        <v>1417.94</v>
      </c>
      <c r="AP214" s="161">
        <f t="shared" si="55"/>
        <v>1354.84</v>
      </c>
      <c r="AQ214" s="161">
        <f t="shared" si="55"/>
        <v>1325.44</v>
      </c>
      <c r="AR214" s="161">
        <f t="shared" si="55"/>
        <v>1454.04</v>
      </c>
      <c r="AS214" s="161">
        <f t="shared" si="55"/>
        <v>1549.34</v>
      </c>
      <c r="AT214" s="161">
        <f t="shared" si="55"/>
        <v>1538.94</v>
      </c>
      <c r="AU214" s="161">
        <f t="shared" si="55"/>
        <v>1513.34</v>
      </c>
      <c r="AV214" s="161">
        <f t="shared" si="55"/>
        <v>1506.34</v>
      </c>
      <c r="AW214" s="161">
        <f t="shared" si="55"/>
        <v>1418.94</v>
      </c>
      <c r="AX214" s="161">
        <f t="shared" si="55"/>
        <v>1378.34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6">C199</f>
        <v>0.64</v>
      </c>
      <c r="C235" s="164">
        <f t="shared" si="56"/>
        <v>0.64</v>
      </c>
      <c r="D235" s="164">
        <f t="shared" si="56"/>
        <v>0.64</v>
      </c>
      <c r="E235" s="164">
        <f t="shared" si="56"/>
        <v>0.64</v>
      </c>
      <c r="F235" s="164">
        <f t="shared" si="56"/>
        <v>0.64</v>
      </c>
      <c r="G235" s="164">
        <f t="shared" si="56"/>
        <v>0.64</v>
      </c>
      <c r="H235" s="164">
        <f t="shared" si="56"/>
        <v>0.64</v>
      </c>
      <c r="I235" s="164">
        <f t="shared" si="56"/>
        <v>0.64</v>
      </c>
      <c r="J235" s="164">
        <f t="shared" si="56"/>
        <v>0.64</v>
      </c>
      <c r="K235" s="164">
        <f t="shared" si="56"/>
        <v>0.64</v>
      </c>
      <c r="L235" s="164">
        <f t="shared" si="56"/>
        <v>0.64</v>
      </c>
      <c r="M235" s="164">
        <f t="shared" si="56"/>
        <v>0.64</v>
      </c>
      <c r="N235" s="164">
        <f t="shared" si="56"/>
        <v>0.64</v>
      </c>
      <c r="O235" s="164">
        <f t="shared" si="56"/>
        <v>0.64</v>
      </c>
      <c r="P235" s="164">
        <f t="shared" si="56"/>
        <v>0.64</v>
      </c>
      <c r="Q235" s="164">
        <f t="shared" si="56"/>
        <v>0.64</v>
      </c>
      <c r="R235" s="164">
        <f t="shared" si="56"/>
        <v>0.64</v>
      </c>
      <c r="S235" s="164">
        <f t="shared" si="56"/>
        <v>0.64</v>
      </c>
      <c r="T235" s="164">
        <f t="shared" si="56"/>
        <v>0.64</v>
      </c>
      <c r="U235" s="164">
        <f t="shared" si="56"/>
        <v>0.64</v>
      </c>
      <c r="V235" s="164">
        <f t="shared" si="56"/>
        <v>0.64</v>
      </c>
      <c r="W235" s="164">
        <f t="shared" si="56"/>
        <v>0.64</v>
      </c>
      <c r="X235" s="164">
        <f t="shared" si="56"/>
        <v>0.64</v>
      </c>
      <c r="Y235" s="164">
        <f t="shared" si="56"/>
        <v>0.64</v>
      </c>
      <c r="Z235" s="164">
        <f t="shared" si="56"/>
        <v>0.64</v>
      </c>
      <c r="AA235" s="164">
        <f t="shared" si="56"/>
        <v>0.64</v>
      </c>
      <c r="AB235" s="164">
        <f t="shared" si="56"/>
        <v>0.64</v>
      </c>
      <c r="AC235" s="164">
        <f t="shared" si="56"/>
        <v>0.64</v>
      </c>
      <c r="AD235" s="164">
        <f t="shared" si="56"/>
        <v>0.64</v>
      </c>
      <c r="AE235" s="164">
        <f t="shared" si="56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7">IF(C203&lt;100,"",C203-520)</f>
        <v/>
      </c>
      <c r="D236" s="107" t="str">
        <f t="shared" si="57"/>
        <v/>
      </c>
      <c r="E236" s="107" t="str">
        <f t="shared" si="57"/>
        <v/>
      </c>
      <c r="F236" s="107" t="str">
        <f t="shared" si="57"/>
        <v/>
      </c>
      <c r="G236" s="107" t="str">
        <f t="shared" si="57"/>
        <v/>
      </c>
      <c r="H236" s="107" t="str">
        <f t="shared" si="57"/>
        <v/>
      </c>
      <c r="I236" s="107" t="str">
        <f t="shared" si="57"/>
        <v/>
      </c>
      <c r="J236" s="107" t="str">
        <f t="shared" si="57"/>
        <v/>
      </c>
      <c r="K236" s="107" t="str">
        <f t="shared" si="57"/>
        <v/>
      </c>
      <c r="L236" s="107" t="str">
        <f t="shared" si="57"/>
        <v/>
      </c>
      <c r="M236" s="107" t="str">
        <f t="shared" si="57"/>
        <v/>
      </c>
      <c r="N236" s="107" t="str">
        <f t="shared" si="57"/>
        <v/>
      </c>
      <c r="O236" s="107" t="str">
        <f t="shared" si="57"/>
        <v/>
      </c>
      <c r="P236" s="107" t="str">
        <f t="shared" si="57"/>
        <v/>
      </c>
      <c r="Q236" s="107" t="str">
        <f t="shared" si="57"/>
        <v/>
      </c>
      <c r="R236" s="107" t="str">
        <f t="shared" si="57"/>
        <v/>
      </c>
      <c r="S236" s="107" t="str">
        <f t="shared" si="57"/>
        <v/>
      </c>
      <c r="T236" s="107" t="str">
        <f t="shared" si="57"/>
        <v/>
      </c>
      <c r="U236" s="107" t="str">
        <f t="shared" si="57"/>
        <v/>
      </c>
      <c r="V236" s="107" t="str">
        <f t="shared" si="57"/>
        <v/>
      </c>
      <c r="W236" s="107" t="str">
        <f t="shared" si="57"/>
        <v/>
      </c>
      <c r="X236" s="107" t="str">
        <f t="shared" si="57"/>
        <v/>
      </c>
      <c r="Y236" s="107" t="str">
        <f t="shared" si="57"/>
        <v/>
      </c>
      <c r="Z236" s="107" t="str">
        <f t="shared" si="57"/>
        <v/>
      </c>
      <c r="AA236" s="107" t="str">
        <f t="shared" si="57"/>
        <v/>
      </c>
      <c r="AB236" s="107" t="str">
        <f t="shared" si="57"/>
        <v/>
      </c>
      <c r="AC236" s="107" t="str">
        <f t="shared" si="57"/>
        <v/>
      </c>
      <c r="AD236" s="107" t="str">
        <f t="shared" si="57"/>
        <v/>
      </c>
      <c r="AE236" s="107" t="str">
        <f t="shared" si="57"/>
        <v/>
      </c>
      <c r="AF236" s="107" t="str">
        <f t="shared" si="57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8">IF(B204&lt;100,"",B204-620)</f>
        <v/>
      </c>
      <c r="C237" s="107" t="str">
        <f t="shared" si="58"/>
        <v/>
      </c>
      <c r="D237" s="107" t="str">
        <f t="shared" si="58"/>
        <v/>
      </c>
      <c r="E237" s="107" t="str">
        <f t="shared" si="58"/>
        <v/>
      </c>
      <c r="F237" s="107" t="str">
        <f t="shared" si="58"/>
        <v/>
      </c>
      <c r="G237" s="107" t="str">
        <f t="shared" si="58"/>
        <v/>
      </c>
      <c r="H237" s="107" t="str">
        <f t="shared" si="58"/>
        <v/>
      </c>
      <c r="I237" s="107" t="str">
        <f t="shared" si="58"/>
        <v/>
      </c>
      <c r="J237" s="107" t="str">
        <f t="shared" si="58"/>
        <v/>
      </c>
      <c r="K237" s="107" t="str">
        <f t="shared" si="58"/>
        <v/>
      </c>
      <c r="L237" s="107" t="str">
        <f t="shared" si="58"/>
        <v/>
      </c>
      <c r="M237" s="107" t="str">
        <f t="shared" si="58"/>
        <v/>
      </c>
      <c r="N237" s="107" t="str">
        <f t="shared" si="58"/>
        <v/>
      </c>
      <c r="O237" s="107" t="str">
        <f t="shared" si="58"/>
        <v/>
      </c>
      <c r="P237" s="107" t="str">
        <f t="shared" si="58"/>
        <v/>
      </c>
      <c r="Q237" s="107" t="str">
        <f t="shared" si="58"/>
        <v/>
      </c>
      <c r="R237" s="107" t="str">
        <f t="shared" si="58"/>
        <v/>
      </c>
      <c r="S237" s="107" t="str">
        <f t="shared" si="58"/>
        <v/>
      </c>
      <c r="T237" s="107" t="str">
        <f t="shared" si="58"/>
        <v/>
      </c>
      <c r="U237" s="107" t="str">
        <f t="shared" si="58"/>
        <v/>
      </c>
      <c r="V237" s="107" t="str">
        <f t="shared" si="58"/>
        <v/>
      </c>
      <c r="W237" s="107" t="str">
        <f t="shared" si="58"/>
        <v/>
      </c>
      <c r="X237" s="107" t="str">
        <f t="shared" si="58"/>
        <v/>
      </c>
      <c r="Y237" s="107" t="str">
        <f t="shared" si="58"/>
        <v/>
      </c>
      <c r="Z237" s="107" t="str">
        <f t="shared" si="58"/>
        <v/>
      </c>
      <c r="AA237" s="107" t="str">
        <f t="shared" si="58"/>
        <v/>
      </c>
      <c r="AB237" s="107" t="str">
        <f t="shared" si="58"/>
        <v/>
      </c>
      <c r="AC237" s="107" t="str">
        <f t="shared" si="58"/>
        <v/>
      </c>
      <c r="AD237" s="107" t="str">
        <f t="shared" si="58"/>
        <v/>
      </c>
      <c r="AE237" s="107" t="str">
        <f t="shared" si="58"/>
        <v/>
      </c>
      <c r="AF237" s="107" t="str">
        <f t="shared" si="58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9">IF(B205&lt;100,"",B205-330)</f>
        <v/>
      </c>
      <c r="C238" s="107" t="str">
        <f t="shared" si="59"/>
        <v/>
      </c>
      <c r="D238" s="107" t="str">
        <f t="shared" si="59"/>
        <v/>
      </c>
      <c r="E238" s="107" t="str">
        <f t="shared" si="59"/>
        <v/>
      </c>
      <c r="F238" s="107" t="str">
        <f t="shared" si="59"/>
        <v/>
      </c>
      <c r="G238" s="107" t="str">
        <f t="shared" si="59"/>
        <v/>
      </c>
      <c r="H238" s="107" t="str">
        <f t="shared" si="59"/>
        <v/>
      </c>
      <c r="I238" s="107" t="str">
        <f t="shared" si="59"/>
        <v/>
      </c>
      <c r="J238" s="107" t="str">
        <f t="shared" si="59"/>
        <v/>
      </c>
      <c r="K238" s="107" t="str">
        <f t="shared" si="59"/>
        <v/>
      </c>
      <c r="L238" s="107" t="str">
        <f t="shared" si="59"/>
        <v/>
      </c>
      <c r="M238" s="107" t="str">
        <f t="shared" si="59"/>
        <v/>
      </c>
      <c r="N238" s="107" t="str">
        <f t="shared" si="59"/>
        <v/>
      </c>
      <c r="O238" s="107" t="str">
        <f t="shared" si="59"/>
        <v/>
      </c>
      <c r="P238" s="107" t="str">
        <f t="shared" si="59"/>
        <v/>
      </c>
      <c r="Q238" s="107" t="str">
        <f t="shared" si="59"/>
        <v/>
      </c>
      <c r="R238" s="107" t="str">
        <f t="shared" si="59"/>
        <v/>
      </c>
      <c r="S238" s="107" t="str">
        <f t="shared" si="59"/>
        <v/>
      </c>
      <c r="T238" s="107" t="str">
        <f t="shared" si="59"/>
        <v/>
      </c>
      <c r="U238" s="107" t="str">
        <f t="shared" si="59"/>
        <v/>
      </c>
      <c r="V238" s="107" t="str">
        <f t="shared" si="59"/>
        <v/>
      </c>
      <c r="W238" s="107" t="str">
        <f t="shared" si="59"/>
        <v/>
      </c>
      <c r="X238" s="107" t="str">
        <f t="shared" si="59"/>
        <v/>
      </c>
      <c r="Y238" s="107" t="str">
        <f t="shared" si="59"/>
        <v/>
      </c>
      <c r="Z238" s="107" t="str">
        <f t="shared" si="59"/>
        <v/>
      </c>
      <c r="AA238" s="107" t="str">
        <f t="shared" si="59"/>
        <v/>
      </c>
      <c r="AB238" s="107" t="str">
        <f t="shared" si="59"/>
        <v/>
      </c>
      <c r="AC238" s="107" t="str">
        <f t="shared" si="59"/>
        <v/>
      </c>
      <c r="AD238" s="107" t="str">
        <f t="shared" si="59"/>
        <v/>
      </c>
      <c r="AE238" s="107" t="str">
        <f t="shared" si="59"/>
        <v/>
      </c>
      <c r="AF238" s="107" t="str">
        <f t="shared" si="59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0">IF(C206&lt;100,"",C206-1500)</f>
        <v/>
      </c>
      <c r="D239" s="107" t="str">
        <f t="shared" si="60"/>
        <v/>
      </c>
      <c r="E239" s="107" t="str">
        <f t="shared" si="60"/>
        <v/>
      </c>
      <c r="F239" s="107" t="str">
        <f t="shared" si="60"/>
        <v/>
      </c>
      <c r="G239" s="107" t="str">
        <f t="shared" si="60"/>
        <v/>
      </c>
      <c r="H239" s="107" t="str">
        <f t="shared" si="60"/>
        <v/>
      </c>
      <c r="I239" s="107" t="str">
        <f t="shared" si="60"/>
        <v/>
      </c>
      <c r="J239" s="107" t="str">
        <f t="shared" si="60"/>
        <v/>
      </c>
      <c r="K239" s="107" t="str">
        <f t="shared" si="60"/>
        <v/>
      </c>
      <c r="L239" s="107" t="str">
        <f t="shared" si="60"/>
        <v/>
      </c>
      <c r="M239" s="107" t="str">
        <f t="shared" si="60"/>
        <v/>
      </c>
      <c r="N239" s="107" t="str">
        <f t="shared" si="60"/>
        <v/>
      </c>
      <c r="O239" s="107" t="str">
        <f t="shared" si="60"/>
        <v/>
      </c>
      <c r="P239" s="107" t="str">
        <f t="shared" si="60"/>
        <v/>
      </c>
      <c r="Q239" s="107" t="str">
        <f t="shared" si="60"/>
        <v/>
      </c>
      <c r="R239" s="107" t="str">
        <f t="shared" si="60"/>
        <v/>
      </c>
      <c r="S239" s="107" t="str">
        <f t="shared" si="60"/>
        <v/>
      </c>
      <c r="T239" s="107" t="str">
        <f t="shared" si="60"/>
        <v/>
      </c>
      <c r="U239" s="107" t="str">
        <f t="shared" si="60"/>
        <v/>
      </c>
      <c r="V239" s="107" t="str">
        <f t="shared" si="60"/>
        <v/>
      </c>
      <c r="W239" s="107" t="str">
        <f t="shared" si="60"/>
        <v/>
      </c>
      <c r="X239" s="107" t="str">
        <f t="shared" si="60"/>
        <v/>
      </c>
      <c r="Y239" s="107" t="str">
        <f t="shared" si="60"/>
        <v/>
      </c>
      <c r="Z239" s="107" t="str">
        <f t="shared" si="60"/>
        <v/>
      </c>
      <c r="AA239" s="107" t="str">
        <f t="shared" si="60"/>
        <v/>
      </c>
      <c r="AB239" s="107" t="str">
        <f t="shared" si="60"/>
        <v/>
      </c>
      <c r="AC239" s="107" t="str">
        <f t="shared" si="60"/>
        <v/>
      </c>
      <c r="AD239" s="107" t="str">
        <f t="shared" si="60"/>
        <v/>
      </c>
      <c r="AE239" s="107" t="str">
        <f t="shared" si="60"/>
        <v/>
      </c>
      <c r="AF239" s="107" t="str">
        <f t="shared" si="6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522" priority="207">
      <formula>B$9&gt;=20/24</formula>
    </cfRule>
    <cfRule type="expression" dxfId="2521" priority="208">
      <formula>AND(B$9&gt;=14/24,B$9&lt;20/24)</formula>
    </cfRule>
    <cfRule type="expression" dxfId="2520" priority="209">
      <formula>AND(B$9&gt;=8/24,B$9&lt;14/24)</formula>
    </cfRule>
    <cfRule type="expression" dxfId="2519" priority="210">
      <formula>B$9&lt;8/24</formula>
    </cfRule>
  </conditionalFormatting>
  <conditionalFormatting sqref="AL4:AL6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518" priority="202">
      <formula>S$9&gt;=20/24</formula>
    </cfRule>
    <cfRule type="expression" dxfId="2517" priority="203">
      <formula>AND(S$9&gt;=14/24,S$9&lt;20/24)</formula>
    </cfRule>
    <cfRule type="expression" dxfId="2516" priority="204">
      <formula>AND(S$9&gt;=8/24,S$9&lt;14/24)</formula>
    </cfRule>
    <cfRule type="expression" dxfId="2515" priority="205">
      <formula>S$9&lt;8/24</formula>
    </cfRule>
  </conditionalFormatting>
  <conditionalFormatting sqref="AG51 M11:AF11 S37:AF37">
    <cfRule type="expression" dxfId="2514" priority="201">
      <formula>M11&gt;$AG11</formula>
    </cfRule>
  </conditionalFormatting>
  <conditionalFormatting sqref="A101:A157 A84:A97 A11:A14 A16:A32 A45:A72 A80:A82 A74:A78 A35:A43 A170:A200">
    <cfRule type="expression" dxfId="2513" priority="200">
      <formula>$AH11=0</formula>
    </cfRule>
  </conditionalFormatting>
  <conditionalFormatting sqref="A98">
    <cfRule type="expression" dxfId="2512" priority="199">
      <formula>$AH98=0</formula>
    </cfRule>
  </conditionalFormatting>
  <conditionalFormatting sqref="AL32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511" priority="197">
      <formula>$AH34=0</formula>
    </cfRule>
  </conditionalFormatting>
  <conditionalFormatting sqref="A83">
    <cfRule type="expression" dxfId="2510" priority="196">
      <formula>$AH83=0</formula>
    </cfRule>
  </conditionalFormatting>
  <conditionalFormatting sqref="A15">
    <cfRule type="expression" dxfId="2509" priority="195">
      <formula>$AH15=0</formula>
    </cfRule>
  </conditionalFormatting>
  <conditionalFormatting sqref="A164:A169">
    <cfRule type="expression" dxfId="2508" priority="194">
      <formula>$AH164=0</formula>
    </cfRule>
  </conditionalFormatting>
  <conditionalFormatting sqref="A158:A163">
    <cfRule type="expression" dxfId="2507" priority="193">
      <formula>$AH158=0</formula>
    </cfRule>
  </conditionalFormatting>
  <conditionalFormatting sqref="A44">
    <cfRule type="expression" dxfId="2506" priority="192">
      <formula>$AH44=0</formula>
    </cfRule>
  </conditionalFormatting>
  <conditionalFormatting sqref="A79">
    <cfRule type="expression" dxfId="2505" priority="191">
      <formula>$AH79=0</formula>
    </cfRule>
  </conditionalFormatting>
  <conditionalFormatting sqref="A73">
    <cfRule type="expression" dxfId="2504" priority="190">
      <formula>$AH73=0</formula>
    </cfRule>
  </conditionalFormatting>
  <conditionalFormatting sqref="AL34:AL35 AL7:AL31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503" priority="186">
      <formula>C$9&gt;=20/24</formula>
    </cfRule>
    <cfRule type="expression" dxfId="2502" priority="187">
      <formula>AND(C$9&gt;=14/24,C$9&lt;20/24)</formula>
    </cfRule>
    <cfRule type="expression" dxfId="2501" priority="188">
      <formula>AND(C$9&gt;=8/24,C$9&lt;14/24)</formula>
    </cfRule>
    <cfRule type="expression" dxfId="2500" priority="189">
      <formula>C$9&lt;8/24</formula>
    </cfRule>
  </conditionalFormatting>
  <conditionalFormatting sqref="AL3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99" priority="214">
      <formula>C$9&gt;=20/24</formula>
    </cfRule>
    <cfRule type="expression" dxfId="2498" priority="215">
      <formula>AND(C$9&gt;=14/24,C$9&lt;20/24)</formula>
    </cfRule>
    <cfRule type="expression" dxfId="2497" priority="216">
      <formula>AND(C$9&gt;=8/24,C$9&lt;14/24)</formula>
    </cfRule>
    <cfRule type="expression" dxfId="2496" priority="217">
      <formula>C$9&lt;8/24</formula>
    </cfRule>
  </conditionalFormatting>
  <conditionalFormatting sqref="A201">
    <cfRule type="expression" dxfId="2495" priority="218">
      <formula>$AH201=0</formula>
    </cfRule>
  </conditionalFormatting>
  <conditionalFormatting sqref="AG213">
    <cfRule type="expression" dxfId="2494" priority="219">
      <formula>B$9&gt;=20/24</formula>
    </cfRule>
    <cfRule type="expression" dxfId="2493" priority="220">
      <formula>AND(B$9&gt;=14/24,B$9&lt;20/24)</formula>
    </cfRule>
    <cfRule type="expression" dxfId="2492" priority="221">
      <formula>AND(B$9&gt;=8/24,B$9&lt;14/24)</formula>
    </cfRule>
    <cfRule type="expression" dxfId="2491" priority="222">
      <formula>B$9&lt;8/24</formula>
    </cfRule>
  </conditionalFormatting>
  <conditionalFormatting sqref="S8">
    <cfRule type="expression" dxfId="2490" priority="180">
      <formula>U$9&gt;=20/24</formula>
    </cfRule>
    <cfRule type="expression" dxfId="2489" priority="181">
      <formula>AND(U$9&gt;=14/24,U$9&lt;20/24)</formula>
    </cfRule>
    <cfRule type="expression" dxfId="2488" priority="182">
      <formula>AND(U$9&gt;=8/24,U$9&lt;14/24)</formula>
    </cfRule>
    <cfRule type="expression" dxfId="2487" priority="183">
      <formula>U$9&lt;8/24</formula>
    </cfRule>
  </conditionalFormatting>
  <conditionalFormatting sqref="AB8">
    <cfRule type="expression" dxfId="2486" priority="176">
      <formula>AD$9&gt;=20/24</formula>
    </cfRule>
    <cfRule type="expression" dxfId="2485" priority="177">
      <formula>AND(AD$9&gt;=14/24,AD$9&lt;20/24)</formula>
    </cfRule>
    <cfRule type="expression" dxfId="2484" priority="178">
      <formula>AND(AD$9&gt;=8/24,AD$9&lt;14/24)</formula>
    </cfRule>
    <cfRule type="expression" dxfId="2483" priority="179">
      <formula>AD$9&lt;8/24</formula>
    </cfRule>
  </conditionalFormatting>
  <conditionalFormatting sqref="AH213:AX213">
    <cfRule type="expression" dxfId="2482" priority="223">
      <formula>AG$9&gt;=20/24</formula>
    </cfRule>
    <cfRule type="expression" dxfId="2481" priority="224">
      <formula>AND(AG$9&gt;=14/24,AG$9&lt;20/24)</formula>
    </cfRule>
    <cfRule type="expression" dxfId="2480" priority="225">
      <formula>AND(AG$9&gt;=8/24,AG$9&lt;14/24)</formula>
    </cfRule>
    <cfRule type="expression" dxfId="2479" priority="226">
      <formula>AG$9&lt;8/24</formula>
    </cfRule>
  </conditionalFormatting>
  <conditionalFormatting sqref="T213">
    <cfRule type="expression" dxfId="2478" priority="227">
      <formula>AX$9&gt;=20/24</formula>
    </cfRule>
    <cfRule type="expression" dxfId="2477" priority="228">
      <formula>AND(AX$9&gt;=14/24,AX$9&lt;20/24)</formula>
    </cfRule>
    <cfRule type="expression" dxfId="2476" priority="229">
      <formula>AND(AX$9&gt;=8/24,AX$9&lt;14/24)</formula>
    </cfRule>
    <cfRule type="expression" dxfId="2475" priority="230">
      <formula>AX$9&lt;8/24</formula>
    </cfRule>
  </conditionalFormatting>
  <conditionalFormatting sqref="A99:A100">
    <cfRule type="expression" dxfId="2474" priority="175">
      <formula>$AH99=0</formula>
    </cfRule>
  </conditionalFormatting>
  <conditionalFormatting sqref="C57:AF57 H40:AF41">
    <cfRule type="expression" dxfId="2473" priority="171">
      <formula>C$9&gt;=20/24</formula>
    </cfRule>
    <cfRule type="expression" dxfId="2472" priority="172">
      <formula>AND(C$9&gt;=14/24,C$9&lt;20/24)</formula>
    </cfRule>
    <cfRule type="expression" dxfId="2471" priority="173">
      <formula>AND(C$9&gt;=8/24,C$9&lt;14/24)</formula>
    </cfRule>
    <cfRule type="expression" dxfId="2470" priority="174">
      <formula>C$9&lt;8/24</formula>
    </cfRule>
  </conditionalFormatting>
  <conditionalFormatting sqref="H39:AF39">
    <cfRule type="expression" dxfId="2469" priority="167">
      <formula>H$9&gt;=20/24</formula>
    </cfRule>
    <cfRule type="expression" dxfId="2468" priority="168">
      <formula>AND(H$9&gt;=14/24,H$9&lt;20/24)</formula>
    </cfRule>
    <cfRule type="expression" dxfId="2467" priority="169">
      <formula>AND(H$9&gt;=8/24,H$9&lt;14/24)</formula>
    </cfRule>
    <cfRule type="expression" dxfId="2466" priority="170">
      <formula>H$9&lt;8/24</formula>
    </cfRule>
  </conditionalFormatting>
  <conditionalFormatting sqref="H39:AF41">
    <cfRule type="expression" dxfId="2465" priority="166">
      <formula>H39&gt;$AG39</formula>
    </cfRule>
  </conditionalFormatting>
  <conditionalFormatting sqref="M11:R11 C83:AF83 C75:AF81 C68:AF73 C58:D62 D63 M58:AF59 E58:L63 D67:R67 M60:R63 C53:AF56 C85:AF91 Y12:AF12 S60:AF67">
    <cfRule type="expression" dxfId="2464" priority="162">
      <formula>C$9&gt;=20/24</formula>
    </cfRule>
    <cfRule type="expression" dxfId="2463" priority="163">
      <formula>AND(C$9&gt;=14/24,C$9&lt;20/24)</formula>
    </cfRule>
    <cfRule type="expression" dxfId="2462" priority="164">
      <formula>AND(C$9&gt;=8/24,C$9&lt;14/24)</formula>
    </cfRule>
    <cfRule type="expression" dxfId="2461" priority="165">
      <formula>C$9&lt;8/24</formula>
    </cfRule>
  </conditionalFormatting>
  <conditionalFormatting sqref="M11:R11 C38:AF38 H42:T43 H44:R44 C51:AF56 Y12:AF12">
    <cfRule type="expression" dxfId="2460" priority="153">
      <formula>C11&gt;$AG11</formula>
    </cfRule>
  </conditionalFormatting>
  <conditionalFormatting sqref="S11">
    <cfRule type="expression" dxfId="2459" priority="136">
      <formula>S$9&gt;=20/24</formula>
    </cfRule>
    <cfRule type="expression" dxfId="2458" priority="137">
      <formula>AND(S$9&gt;=14/24,S$9&lt;20/24)</formula>
    </cfRule>
    <cfRule type="expression" dxfId="2457" priority="138">
      <formula>AND(S$9&gt;=8/24,S$9&lt;14/24)</formula>
    </cfRule>
    <cfRule type="expression" dxfId="2456" priority="139">
      <formula>S$9&lt;8/24</formula>
    </cfRule>
  </conditionalFormatting>
  <conditionalFormatting sqref="S44:T44 U42:AF44">
    <cfRule type="expression" dxfId="2455" priority="127">
      <formula>S$9&gt;=20/24</formula>
    </cfRule>
    <cfRule type="expression" dxfId="2454" priority="128">
      <formula>AND(S$9&gt;=14/24,S$9&lt;20/24)</formula>
    </cfRule>
    <cfRule type="expression" dxfId="2453" priority="129">
      <formula>AND(S$9&gt;=8/24,S$9&lt;14/24)</formula>
    </cfRule>
    <cfRule type="expression" dxfId="2452" priority="130">
      <formula>S$9&lt;8/24</formula>
    </cfRule>
  </conditionalFormatting>
  <conditionalFormatting sqref="S44:T44 U42:AF44">
    <cfRule type="expression" dxfId="2451" priority="126">
      <formula>S42&gt;$AG42</formula>
    </cfRule>
  </conditionalFormatting>
  <conditionalFormatting sqref="C74:I74 C11:L11">
    <cfRule type="expression" dxfId="2450" priority="118">
      <formula>C$9&gt;=20/24</formula>
    </cfRule>
    <cfRule type="expression" dxfId="2449" priority="119">
      <formula>AND(C$9&gt;=14/24,C$9&lt;20/24)</formula>
    </cfRule>
    <cfRule type="expression" dxfId="2448" priority="120">
      <formula>AND(C$9&gt;=8/24,C$9&lt;14/24)</formula>
    </cfRule>
    <cfRule type="expression" dxfId="2447" priority="121">
      <formula>C$9&lt;8/24</formula>
    </cfRule>
  </conditionalFormatting>
  <conditionalFormatting sqref="C11:L11">
    <cfRule type="expression" dxfId="2446" priority="109">
      <formula>C11&gt;$AG11</formula>
    </cfRule>
  </conditionalFormatting>
  <conditionalFormatting sqref="C40:G41">
    <cfRule type="expression" dxfId="2445" priority="92">
      <formula>C$9&gt;=20/24</formula>
    </cfRule>
    <cfRule type="expression" dxfId="2444" priority="93">
      <formula>AND(C$9&gt;=14/24,C$9&lt;20/24)</formula>
    </cfRule>
    <cfRule type="expression" dxfId="2443" priority="94">
      <formula>AND(C$9&gt;=8/24,C$9&lt;14/24)</formula>
    </cfRule>
    <cfRule type="expression" dxfId="2442" priority="95">
      <formula>C$9&lt;8/24</formula>
    </cfRule>
  </conditionalFormatting>
  <conditionalFormatting sqref="C39:G39">
    <cfRule type="expression" dxfId="2441" priority="88">
      <formula>C$9&gt;=20/24</formula>
    </cfRule>
    <cfRule type="expression" dxfId="2440" priority="89">
      <formula>AND(C$9&gt;=14/24,C$9&lt;20/24)</formula>
    </cfRule>
    <cfRule type="expression" dxfId="2439" priority="90">
      <formula>AND(C$9&gt;=8/24,C$9&lt;14/24)</formula>
    </cfRule>
    <cfRule type="expression" dxfId="2438" priority="91">
      <formula>C$9&lt;8/24</formula>
    </cfRule>
  </conditionalFormatting>
  <conditionalFormatting sqref="C39:G41">
    <cfRule type="expression" dxfId="2437" priority="87">
      <formula>C39&gt;$AG39</formula>
    </cfRule>
  </conditionalFormatting>
  <conditionalFormatting sqref="D64:R66">
    <cfRule type="expression" dxfId="2436" priority="83">
      <formula>D$9&gt;=20/24</formula>
    </cfRule>
    <cfRule type="expression" dxfId="2435" priority="84">
      <formula>AND(D$9&gt;=14/24,D$9&lt;20/24)</formula>
    </cfRule>
    <cfRule type="expression" dxfId="2434" priority="85">
      <formula>AND(D$9&gt;=8/24,D$9&lt;14/24)</formula>
    </cfRule>
    <cfRule type="expression" dxfId="2433" priority="86">
      <formula>D$9&lt;8/24</formula>
    </cfRule>
  </conditionalFormatting>
  <conditionalFormatting sqref="C42:G43">
    <cfRule type="expression" dxfId="2432" priority="82">
      <formula>C42&gt;$AG42</formula>
    </cfRule>
  </conditionalFormatting>
  <conditionalFormatting sqref="C44:G47 H45:J47 K45:AF50">
    <cfRule type="expression" dxfId="2431" priority="78">
      <formula>C$9&gt;=20/24</formula>
    </cfRule>
    <cfRule type="expression" dxfId="2430" priority="79">
      <formula>AND(C$9&gt;=14/24,C$9&lt;20/24)</formula>
    </cfRule>
    <cfRule type="expression" dxfId="2429" priority="80">
      <formula>AND(C$9&gt;=8/24,C$9&lt;14/24)</formula>
    </cfRule>
    <cfRule type="expression" dxfId="2428" priority="81">
      <formula>C$9&lt;8/24</formula>
    </cfRule>
  </conditionalFormatting>
  <conditionalFormatting sqref="C44:G47 H45:J47 K45:AF50">
    <cfRule type="expression" dxfId="2427" priority="77">
      <formula>C44&gt;$AG44</formula>
    </cfRule>
  </conditionalFormatting>
  <conditionalFormatting sqref="B82 B74 B94:B100 B11">
    <cfRule type="expression" dxfId="2426" priority="64">
      <formula>B$9&gt;=20/24</formula>
    </cfRule>
    <cfRule type="expression" dxfId="2425" priority="65">
      <formula>AND(B$9&gt;=14/24,B$9&lt;20/24)</formula>
    </cfRule>
    <cfRule type="expression" dxfId="2424" priority="66">
      <formula>AND(B$9&gt;=8/24,B$9&lt;14/24)</formula>
    </cfRule>
    <cfRule type="expression" dxfId="2423" priority="67">
      <formula>B$9&lt;8/24</formula>
    </cfRule>
  </conditionalFormatting>
  <conditionalFormatting sqref="B37:R37">
    <cfRule type="expression" dxfId="2422" priority="60">
      <formula>B$9&gt;=20/24</formula>
    </cfRule>
    <cfRule type="expression" dxfId="2421" priority="61">
      <formula>AND(B$9&gt;=14/24,B$9&lt;20/24)</formula>
    </cfRule>
    <cfRule type="expression" dxfId="2420" priority="62">
      <formula>AND(B$9&gt;=8/24,B$9&lt;14/24)</formula>
    </cfRule>
    <cfRule type="expression" dxfId="2419" priority="63">
      <formula>B$9&lt;8/24</formula>
    </cfRule>
  </conditionalFormatting>
  <conditionalFormatting sqref="B11 B37:R37">
    <cfRule type="expression" dxfId="2418" priority="59">
      <formula>B11&gt;$AG11</formula>
    </cfRule>
  </conditionalFormatting>
  <conditionalFormatting sqref="B84">
    <cfRule type="expression" dxfId="2417" priority="55">
      <formula>B$9&gt;=20/24</formula>
    </cfRule>
    <cfRule type="expression" dxfId="2416" priority="56">
      <formula>AND(B$9&gt;=14/24,B$9&lt;20/24)</formula>
    </cfRule>
    <cfRule type="expression" dxfId="2415" priority="57">
      <formula>AND(B$9&gt;=8/24,B$9&lt;14/24)</formula>
    </cfRule>
    <cfRule type="expression" dxfId="2414" priority="58">
      <formula>B$9&lt;8/24</formula>
    </cfRule>
  </conditionalFormatting>
  <conditionalFormatting sqref="B40:B41 B57 B36:AF36">
    <cfRule type="expression" dxfId="2413" priority="51">
      <formula>B$9&gt;=20/24</formula>
    </cfRule>
    <cfRule type="expression" dxfId="2412" priority="52">
      <formula>AND(B$9&gt;=14/24,B$9&lt;20/24)</formula>
    </cfRule>
    <cfRule type="expression" dxfId="2411" priority="53">
      <formula>AND(B$9&gt;=8/24,B$9&lt;14/24)</formula>
    </cfRule>
    <cfRule type="expression" dxfId="2410" priority="54">
      <formula>B$9&lt;8/24</formula>
    </cfRule>
  </conditionalFormatting>
  <conditionalFormatting sqref="B39">
    <cfRule type="expression" dxfId="2409" priority="47">
      <formula>B$9&gt;=20/24</formula>
    </cfRule>
    <cfRule type="expression" dxfId="2408" priority="48">
      <formula>AND(B$9&gt;=14/24,B$9&lt;20/24)</formula>
    </cfRule>
    <cfRule type="expression" dxfId="2407" priority="49">
      <formula>AND(B$9&gt;=8/24,B$9&lt;14/24)</formula>
    </cfRule>
    <cfRule type="expression" dxfId="2406" priority="50">
      <formula>B$9&lt;8/24</formula>
    </cfRule>
  </conditionalFormatting>
  <conditionalFormatting sqref="B39:B41 B36:AF36">
    <cfRule type="expression" dxfId="2405" priority="46">
      <formula>B36&gt;$AG36</formula>
    </cfRule>
  </conditionalFormatting>
  <conditionalFormatting sqref="B83 B75:B81 B85:B91 B53:B56 B58:B73 C63:C67 B12:X14 Y13:AF14 B16:AF16 B28:AF31 B18:AF22 B24:AF26">
    <cfRule type="expression" dxfId="2404" priority="42">
      <formula>B$9&gt;=20/24</formula>
    </cfRule>
    <cfRule type="expression" dxfId="2403" priority="43">
      <formula>AND(B$9&gt;=14/24,B$9&lt;20/24)</formula>
    </cfRule>
    <cfRule type="expression" dxfId="2402" priority="44">
      <formula>AND(B$9&gt;=8/24,B$9&lt;14/24)</formula>
    </cfRule>
    <cfRule type="expression" dxfId="2401" priority="45">
      <formula>B$9&lt;8/24</formula>
    </cfRule>
  </conditionalFormatting>
  <conditionalFormatting sqref="B32:AF32">
    <cfRule type="expression" dxfId="2400" priority="38">
      <formula>B$9&gt;=20/24</formula>
    </cfRule>
    <cfRule type="expression" dxfId="2399" priority="39">
      <formula>AND(B$9&gt;=14/24,B$9&lt;20/24)</formula>
    </cfRule>
    <cfRule type="expression" dxfId="2398" priority="40">
      <formula>AND(B$9&gt;=8/24,B$9&lt;14/24)</formula>
    </cfRule>
    <cfRule type="expression" dxfId="2397" priority="41">
      <formula>B$9&lt;8/24</formula>
    </cfRule>
  </conditionalFormatting>
  <conditionalFormatting sqref="B35:AF35">
    <cfRule type="expression" dxfId="2396" priority="34">
      <formula>B$9&gt;=20/24</formula>
    </cfRule>
    <cfRule type="expression" dxfId="2395" priority="35">
      <formula>AND(B$9&gt;=14/24,B$9&lt;20/24)</formula>
    </cfRule>
    <cfRule type="expression" dxfId="2394" priority="36">
      <formula>AND(B$9&gt;=8/24,B$9&lt;14/24)</formula>
    </cfRule>
    <cfRule type="expression" dxfId="2393" priority="37">
      <formula>B$9&lt;8/24</formula>
    </cfRule>
  </conditionalFormatting>
  <conditionalFormatting sqref="B38 B42:B43 B51:B56 B12:X16 B34:AF35 Y13:AF16 B18:AF22 B24:AF32">
    <cfRule type="expression" dxfId="2392" priority="33">
      <formula>B12&gt;$AG12</formula>
    </cfRule>
  </conditionalFormatting>
  <conditionalFormatting sqref="B34:AF34">
    <cfRule type="expression" dxfId="2391" priority="29">
      <formula>B$9&gt;=20/24</formula>
    </cfRule>
    <cfRule type="expression" dxfId="2390" priority="30">
      <formula>AND(B$9&gt;=14/24,B$9&lt;20/24)</formula>
    </cfRule>
    <cfRule type="expression" dxfId="2389" priority="31">
      <formula>AND(B$9&gt;=8/24,B$9&lt;14/24)</formula>
    </cfRule>
    <cfRule type="expression" dxfId="2388" priority="32">
      <formula>B$9&lt;8/24</formula>
    </cfRule>
  </conditionalFormatting>
  <conditionalFormatting sqref="B15:AF15">
    <cfRule type="expression" dxfId="2387" priority="25">
      <formula>B$9&gt;=20/24</formula>
    </cfRule>
    <cfRule type="expression" dxfId="2386" priority="26">
      <formula>AND(B$9&gt;=14/24,B$9&lt;20/24)</formula>
    </cfRule>
    <cfRule type="expression" dxfId="2385" priority="27">
      <formula>AND(B$9&gt;=8/24,B$9&lt;14/24)</formula>
    </cfRule>
    <cfRule type="expression" dxfId="2384" priority="28">
      <formula>B$9&lt;8/24</formula>
    </cfRule>
  </conditionalFormatting>
  <conditionalFormatting sqref="B33:AF33">
    <cfRule type="expression" dxfId="2383" priority="21">
      <formula>B$9&gt;=20/24</formula>
    </cfRule>
    <cfRule type="expression" dxfId="2382" priority="22">
      <formula>AND(B$9&gt;=14/24,B$9&lt;20/24)</formula>
    </cfRule>
    <cfRule type="expression" dxfId="2381" priority="23">
      <formula>AND(B$9&gt;=8/24,B$9&lt;14/24)</formula>
    </cfRule>
    <cfRule type="expression" dxfId="2380" priority="24">
      <formula>B$9&lt;8/24</formula>
    </cfRule>
  </conditionalFormatting>
  <conditionalFormatting sqref="B33:AF33">
    <cfRule type="expression" dxfId="2379" priority="20">
      <formula>B33&gt;$AG33</formula>
    </cfRule>
  </conditionalFormatting>
  <conditionalFormatting sqref="B44:B50 C48:J50">
    <cfRule type="expression" dxfId="2378" priority="16">
      <formula>B$9&gt;=20/24</formula>
    </cfRule>
    <cfRule type="expression" dxfId="2377" priority="17">
      <formula>AND(B$9&gt;=14/24,B$9&lt;20/24)</formula>
    </cfRule>
    <cfRule type="expression" dxfId="2376" priority="18">
      <formula>AND(B$9&gt;=8/24,B$9&lt;14/24)</formula>
    </cfRule>
    <cfRule type="expression" dxfId="2375" priority="19">
      <formula>B$9&lt;8/24</formula>
    </cfRule>
  </conditionalFormatting>
  <conditionalFormatting sqref="B44:B50 C48:J50">
    <cfRule type="expression" dxfId="2374" priority="15">
      <formula>B44&gt;$AG44</formula>
    </cfRule>
  </conditionalFormatting>
  <conditionalFormatting sqref="B27:AF27">
    <cfRule type="expression" dxfId="2373" priority="11">
      <formula>B$9&gt;=20/24</formula>
    </cfRule>
    <cfRule type="expression" dxfId="2372" priority="12">
      <formula>AND(B$9&gt;=14/24,B$9&lt;20/24)</formula>
    </cfRule>
    <cfRule type="expression" dxfId="2371" priority="13">
      <formula>AND(B$9&gt;=8/24,B$9&lt;14/24)</formula>
    </cfRule>
    <cfRule type="expression" dxfId="2370" priority="14">
      <formula>B$9&lt;8/24</formula>
    </cfRule>
  </conditionalFormatting>
  <conditionalFormatting sqref="B17:AF17 B23:AF23">
    <cfRule type="expression" dxfId="2369" priority="7">
      <formula>B$9&gt;=20/24</formula>
    </cfRule>
    <cfRule type="expression" dxfId="2368" priority="8">
      <formula>AND(B$9&gt;=14/24,B$9&lt;20/24)</formula>
    </cfRule>
    <cfRule type="expression" dxfId="2367" priority="9">
      <formula>AND(B$9&gt;=8/24,B$9&lt;14/24)</formula>
    </cfRule>
    <cfRule type="expression" dxfId="2366" priority="10">
      <formula>B$9&lt;8/24</formula>
    </cfRule>
  </conditionalFormatting>
  <conditionalFormatting sqref="B17:AF17 B23:AF23">
    <cfRule type="expression" dxfId="2365" priority="6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5" id="{6C2FE1D6-8FDC-4D10-93D8-BBD110DE597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45" sqref="L4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2079/02/20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24</v>
      </c>
      <c r="C5" s="32">
        <f t="shared" si="0"/>
        <v>45</v>
      </c>
      <c r="D5" s="32">
        <f t="shared" si="0"/>
        <v>34</v>
      </c>
      <c r="E5" s="32">
        <f t="shared" si="0"/>
        <v>26.6</v>
      </c>
      <c r="F5" s="32">
        <f t="shared" si="0"/>
        <v>31.9</v>
      </c>
      <c r="G5" s="32">
        <f t="shared" si="0"/>
        <v>24</v>
      </c>
      <c r="H5" s="32">
        <f t="shared" si="0"/>
        <v>27</v>
      </c>
      <c r="I5" s="32">
        <f t="shared" si="0"/>
        <v>30</v>
      </c>
      <c r="J5" s="32">
        <f t="shared" si="0"/>
        <v>42</v>
      </c>
      <c r="K5" s="32">
        <f t="shared" si="0"/>
        <v>27</v>
      </c>
      <c r="L5" s="32">
        <f t="shared" si="0"/>
        <v>42.5</v>
      </c>
      <c r="M5" s="32">
        <f t="shared" si="0"/>
        <v>50.4</v>
      </c>
      <c r="N5" s="32">
        <f t="shared" si="0"/>
        <v>37</v>
      </c>
      <c r="O5" s="32">
        <f t="shared" si="0"/>
        <v>36</v>
      </c>
      <c r="P5" s="32">
        <f t="shared" si="0"/>
        <v>22.899999999999991</v>
      </c>
      <c r="Q5" s="32">
        <f t="shared" si="0"/>
        <v>56</v>
      </c>
      <c r="R5" s="32">
        <f t="shared" si="0"/>
        <v>45</v>
      </c>
      <c r="S5" s="32">
        <f t="shared" si="0"/>
        <v>47</v>
      </c>
      <c r="T5" s="32">
        <f t="shared" si="0"/>
        <v>42.100000000000009</v>
      </c>
      <c r="U5" s="32">
        <f t="shared" si="0"/>
        <v>29.9</v>
      </c>
      <c r="V5" s="32">
        <f t="shared" si="0"/>
        <v>33.799999999999997</v>
      </c>
      <c r="W5" s="32">
        <f t="shared" si="0"/>
        <v>58.2</v>
      </c>
      <c r="X5" s="32">
        <f t="shared" si="0"/>
        <v>46.099999999999994</v>
      </c>
      <c r="Y5" s="32">
        <f t="shared" si="0"/>
        <v>33.700000000000003</v>
      </c>
      <c r="Z5" s="32">
        <f t="shared" si="0"/>
        <v>15</v>
      </c>
      <c r="AA5" s="32">
        <f t="shared" si="0"/>
        <v>41</v>
      </c>
      <c r="AB5" s="32">
        <f t="shared" si="0"/>
        <v>36</v>
      </c>
      <c r="AC5" s="32">
        <f t="shared" si="0"/>
        <v>30</v>
      </c>
      <c r="AD5" s="32">
        <f t="shared" si="0"/>
        <v>35</v>
      </c>
      <c r="AE5" s="32">
        <f t="shared" si="0"/>
        <v>27</v>
      </c>
      <c r="AF5" s="32">
        <f>B68</f>
        <v>36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Load=1249</v>
      </c>
      <c r="B7" s="37">
        <f>B75</f>
        <v>1383.1399999999999</v>
      </c>
      <c r="C7" s="37">
        <f t="shared" ref="C7:AF7" si="1">C75</f>
        <v>1368.1399999999999</v>
      </c>
      <c r="D7" s="37">
        <f t="shared" si="1"/>
        <v>1378.74</v>
      </c>
      <c r="E7" s="37">
        <f t="shared" si="1"/>
        <v>1347.44</v>
      </c>
      <c r="F7" s="37">
        <f t="shared" si="1"/>
        <v>1345.44</v>
      </c>
      <c r="G7" s="37">
        <f t="shared" si="1"/>
        <v>1350.3400000000001</v>
      </c>
      <c r="H7" s="37">
        <f t="shared" si="1"/>
        <v>1315.04</v>
      </c>
      <c r="I7" s="37">
        <f t="shared" si="1"/>
        <v>1323.44</v>
      </c>
      <c r="J7" s="37">
        <f t="shared" si="1"/>
        <v>1350.44</v>
      </c>
      <c r="K7" s="37">
        <f t="shared" si="1"/>
        <v>1400.94</v>
      </c>
      <c r="L7" s="37">
        <f t="shared" si="1"/>
        <v>1416.3400000000001</v>
      </c>
      <c r="M7" s="37">
        <f t="shared" si="1"/>
        <v>1442.64</v>
      </c>
      <c r="N7" s="37">
        <f t="shared" si="1"/>
        <v>1448.94</v>
      </c>
      <c r="O7" s="37">
        <f t="shared" si="1"/>
        <v>1461.54</v>
      </c>
      <c r="P7" s="37">
        <f t="shared" si="1"/>
        <v>1473.3400000000001</v>
      </c>
      <c r="Q7" s="37">
        <f t="shared" si="1"/>
        <v>1467.54</v>
      </c>
      <c r="R7" s="37">
        <f t="shared" si="1"/>
        <v>1508.6399999999999</v>
      </c>
      <c r="S7" s="37">
        <f t="shared" si="1"/>
        <v>1572.24</v>
      </c>
      <c r="T7" s="37">
        <f t="shared" si="1"/>
        <v>1534.44</v>
      </c>
      <c r="U7" s="37">
        <f t="shared" si="1"/>
        <v>1537.8400000000001</v>
      </c>
      <c r="V7" s="37">
        <f t="shared" si="1"/>
        <v>1481.74</v>
      </c>
      <c r="W7" s="37">
        <f t="shared" si="1"/>
        <v>1436.5400000000002</v>
      </c>
      <c r="X7" s="37">
        <f t="shared" si="1"/>
        <v>1430.94</v>
      </c>
      <c r="Y7" s="37">
        <f t="shared" si="1"/>
        <v>1426.5400000000002</v>
      </c>
      <c r="Z7" s="37">
        <f t="shared" si="1"/>
        <v>1545.8400000000001</v>
      </c>
      <c r="AA7" s="37">
        <f t="shared" si="1"/>
        <v>1603.64</v>
      </c>
      <c r="AB7" s="37">
        <f t="shared" si="1"/>
        <v>1519.64</v>
      </c>
      <c r="AC7" s="37">
        <f t="shared" si="1"/>
        <v>1537.0400000000002</v>
      </c>
      <c r="AD7" s="37">
        <f t="shared" si="1"/>
        <v>1438.04</v>
      </c>
      <c r="AE7" s="37">
        <f t="shared" si="1"/>
        <v>1302.94</v>
      </c>
      <c r="AF7" s="37">
        <f t="shared" si="1"/>
        <v>1248.5400000000002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290</v>
      </c>
      <c r="C11" s="50">
        <v>285</v>
      </c>
      <c r="D11" s="50">
        <v>295</v>
      </c>
      <c r="E11" s="50">
        <v>280</v>
      </c>
      <c r="F11" s="50">
        <v>300</v>
      </c>
      <c r="G11" s="50">
        <v>300</v>
      </c>
      <c r="H11" s="50">
        <v>280</v>
      </c>
      <c r="I11" s="50">
        <v>280</v>
      </c>
      <c r="J11" s="50">
        <v>300</v>
      </c>
      <c r="K11" s="50">
        <v>325</v>
      </c>
      <c r="L11" s="50">
        <v>340</v>
      </c>
      <c r="M11" s="51">
        <v>320</v>
      </c>
      <c r="N11" s="51">
        <v>320</v>
      </c>
      <c r="O11" s="51">
        <v>320</v>
      </c>
      <c r="P11" s="51">
        <v>320</v>
      </c>
      <c r="Q11" s="51">
        <v>350</v>
      </c>
      <c r="R11" s="51">
        <v>350</v>
      </c>
      <c r="S11" s="49">
        <v>420</v>
      </c>
      <c r="T11" s="49">
        <v>370</v>
      </c>
      <c r="U11" s="49">
        <v>380</v>
      </c>
      <c r="V11" s="49">
        <v>360</v>
      </c>
      <c r="W11" s="49">
        <v>300</v>
      </c>
      <c r="X11" s="49">
        <v>300</v>
      </c>
      <c r="Y11" s="49">
        <v>290</v>
      </c>
      <c r="Z11" s="49">
        <v>380</v>
      </c>
      <c r="AA11" s="49">
        <v>430</v>
      </c>
      <c r="AB11" s="49">
        <v>365</v>
      </c>
      <c r="AC11" s="49">
        <v>365</v>
      </c>
      <c r="AD11" s="49">
        <v>320</v>
      </c>
      <c r="AE11" s="49">
        <v>180</v>
      </c>
      <c r="AF11" s="49">
        <v>170</v>
      </c>
      <c r="AG11" s="53">
        <v>456</v>
      </c>
      <c r="AH11" s="54">
        <f>MAX(B11:AF11)</f>
        <v>430</v>
      </c>
      <c r="AI11" s="55">
        <f>MIN(B11:AF11)</f>
        <v>170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54</v>
      </c>
      <c r="C12" s="51">
        <v>54</v>
      </c>
      <c r="D12" s="51">
        <v>54</v>
      </c>
      <c r="E12" s="51">
        <v>54</v>
      </c>
      <c r="F12" s="51">
        <v>54</v>
      </c>
      <c r="G12" s="51">
        <v>54</v>
      </c>
      <c r="H12" s="51">
        <v>54</v>
      </c>
      <c r="I12" s="51">
        <v>54</v>
      </c>
      <c r="J12" s="51">
        <v>54</v>
      </c>
      <c r="K12" s="51">
        <v>54</v>
      </c>
      <c r="L12" s="51">
        <v>54</v>
      </c>
      <c r="M12" s="51">
        <v>54</v>
      </c>
      <c r="N12" s="51">
        <v>50</v>
      </c>
      <c r="O12" s="51">
        <v>50</v>
      </c>
      <c r="P12" s="51">
        <v>50</v>
      </c>
      <c r="Q12" s="51">
        <v>50</v>
      </c>
      <c r="R12" s="51">
        <v>50</v>
      </c>
      <c r="S12" s="51">
        <v>50</v>
      </c>
      <c r="T12" s="51">
        <v>48</v>
      </c>
      <c r="U12" s="51">
        <v>48</v>
      </c>
      <c r="V12" s="51">
        <v>48</v>
      </c>
      <c r="W12" s="51">
        <v>48</v>
      </c>
      <c r="X12" s="51">
        <v>48</v>
      </c>
      <c r="Y12" s="51">
        <v>48</v>
      </c>
      <c r="Z12" s="51">
        <v>48</v>
      </c>
      <c r="AA12" s="51">
        <v>48</v>
      </c>
      <c r="AB12" s="51">
        <v>43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43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25.4</v>
      </c>
      <c r="C13" s="51">
        <v>25.4</v>
      </c>
      <c r="D13" s="51">
        <v>25.4</v>
      </c>
      <c r="E13" s="51">
        <v>27</v>
      </c>
      <c r="F13" s="51">
        <v>27</v>
      </c>
      <c r="G13" s="51">
        <v>25.9</v>
      </c>
      <c r="H13" s="51">
        <v>25.3</v>
      </c>
      <c r="I13" s="51">
        <v>25.3</v>
      </c>
      <c r="J13" s="51">
        <v>25.3</v>
      </c>
      <c r="K13" s="51">
        <v>25.3</v>
      </c>
      <c r="L13" s="51">
        <v>24.6</v>
      </c>
      <c r="M13" s="51">
        <v>24.6</v>
      </c>
      <c r="N13" s="51">
        <v>24.6</v>
      </c>
      <c r="O13" s="51">
        <v>24.6</v>
      </c>
      <c r="P13" s="51">
        <v>24.6</v>
      </c>
      <c r="Q13" s="51">
        <v>26.1</v>
      </c>
      <c r="R13" s="51">
        <v>23.9</v>
      </c>
      <c r="S13" s="51">
        <v>23.9</v>
      </c>
      <c r="T13" s="51">
        <v>25.3</v>
      </c>
      <c r="U13" s="51">
        <v>25.3</v>
      </c>
      <c r="V13" s="51">
        <v>25.3</v>
      </c>
      <c r="W13" s="51">
        <v>25.3</v>
      </c>
      <c r="X13" s="51">
        <v>25.3</v>
      </c>
      <c r="Y13" s="51">
        <v>25.3</v>
      </c>
      <c r="Z13" s="51">
        <v>25.3</v>
      </c>
      <c r="AA13" s="51">
        <v>25.3</v>
      </c>
      <c r="AB13" s="51">
        <v>25.3</v>
      </c>
      <c r="AC13" s="51">
        <v>25.3</v>
      </c>
      <c r="AD13" s="51">
        <v>24.3</v>
      </c>
      <c r="AE13" s="51">
        <v>24.3</v>
      </c>
      <c r="AF13" s="51">
        <v>24.3</v>
      </c>
      <c r="AG13" s="58">
        <v>52.4</v>
      </c>
      <c r="AH13" s="54">
        <f t="shared" si="2"/>
        <v>27</v>
      </c>
      <c r="AI13" s="55">
        <f t="shared" si="3"/>
        <v>23.9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50.3</v>
      </c>
      <c r="C14" s="51">
        <v>50.3</v>
      </c>
      <c r="D14" s="51">
        <v>50.3</v>
      </c>
      <c r="E14" s="51">
        <v>50.4</v>
      </c>
      <c r="F14" s="51">
        <v>50.4</v>
      </c>
      <c r="G14" s="51">
        <v>50.4</v>
      </c>
      <c r="H14" s="51">
        <v>50.2</v>
      </c>
      <c r="I14" s="51">
        <v>50.2</v>
      </c>
      <c r="J14" s="51">
        <v>50.2</v>
      </c>
      <c r="K14" s="51">
        <v>50.2</v>
      </c>
      <c r="L14" s="51">
        <v>50.4</v>
      </c>
      <c r="M14" s="51">
        <v>50.4</v>
      </c>
      <c r="N14" s="51">
        <v>50.4</v>
      </c>
      <c r="O14" s="51">
        <v>50.4</v>
      </c>
      <c r="P14" s="51">
        <v>50.4</v>
      </c>
      <c r="Q14" s="51">
        <v>50.5</v>
      </c>
      <c r="R14" s="51">
        <v>50.4</v>
      </c>
      <c r="S14" s="51">
        <v>50.4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8">
        <v>50</v>
      </c>
      <c r="AH14" s="54">
        <f t="shared" si="2"/>
        <v>50.5</v>
      </c>
      <c r="AI14" s="55">
        <f t="shared" si="3"/>
        <v>50.2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45.7</v>
      </c>
      <c r="O15" s="51">
        <v>45.7</v>
      </c>
      <c r="P15" s="51">
        <v>45.7</v>
      </c>
      <c r="Q15" s="51">
        <v>44.5</v>
      </c>
      <c r="R15" s="51">
        <v>42.4</v>
      </c>
      <c r="S15" s="51">
        <v>42.4</v>
      </c>
      <c r="T15" s="51">
        <v>42.6</v>
      </c>
      <c r="U15" s="51">
        <v>42.6</v>
      </c>
      <c r="V15" s="51">
        <v>42.6</v>
      </c>
      <c r="W15" s="51">
        <v>42.6</v>
      </c>
      <c r="X15" s="51">
        <v>42.6</v>
      </c>
      <c r="Y15" s="51">
        <v>42.6</v>
      </c>
      <c r="Z15" s="51">
        <v>42.6</v>
      </c>
      <c r="AA15" s="51">
        <v>42.6</v>
      </c>
      <c r="AB15" s="51">
        <v>42.6</v>
      </c>
      <c r="AC15" s="51">
        <v>45.3</v>
      </c>
      <c r="AD15" s="51">
        <v>45.3</v>
      </c>
      <c r="AE15" s="51">
        <v>45.3</v>
      </c>
      <c r="AF15" s="51">
        <v>45.3</v>
      </c>
      <c r="AG15" s="59">
        <v>45</v>
      </c>
      <c r="AH15" s="54">
        <f t="shared" si="2"/>
        <v>45.7</v>
      </c>
      <c r="AI15" s="55">
        <f t="shared" si="3"/>
        <v>42.4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34</v>
      </c>
      <c r="C16" s="51">
        <v>34</v>
      </c>
      <c r="D16" s="51">
        <v>34</v>
      </c>
      <c r="E16" s="51">
        <v>34</v>
      </c>
      <c r="F16" s="51">
        <v>25</v>
      </c>
      <c r="G16" s="51">
        <v>25</v>
      </c>
      <c r="H16" s="51">
        <v>25</v>
      </c>
      <c r="I16" s="51">
        <v>25</v>
      </c>
      <c r="J16" s="51">
        <v>25</v>
      </c>
      <c r="K16" s="51">
        <v>25</v>
      </c>
      <c r="L16" s="51">
        <v>25</v>
      </c>
      <c r="M16" s="51">
        <v>25</v>
      </c>
      <c r="N16" s="51">
        <v>25</v>
      </c>
      <c r="O16" s="51">
        <v>25</v>
      </c>
      <c r="P16" s="51">
        <v>25</v>
      </c>
      <c r="Q16" s="51">
        <v>25</v>
      </c>
      <c r="R16" s="51">
        <v>25</v>
      </c>
      <c r="S16" s="51">
        <v>33</v>
      </c>
      <c r="T16" s="51">
        <v>33</v>
      </c>
      <c r="U16" s="51">
        <v>33</v>
      </c>
      <c r="V16" s="51">
        <v>33</v>
      </c>
      <c r="W16" s="51">
        <v>33</v>
      </c>
      <c r="X16" s="51">
        <v>34</v>
      </c>
      <c r="Y16" s="51">
        <v>34</v>
      </c>
      <c r="Z16" s="51">
        <v>34</v>
      </c>
      <c r="AA16" s="51">
        <v>36</v>
      </c>
      <c r="AB16" s="51">
        <v>37</v>
      </c>
      <c r="AC16" s="51">
        <v>36</v>
      </c>
      <c r="AD16" s="51">
        <v>33</v>
      </c>
      <c r="AE16" s="51">
        <v>33</v>
      </c>
      <c r="AF16" s="51">
        <v>33</v>
      </c>
      <c r="AG16" s="58">
        <v>45</v>
      </c>
      <c r="AH16" s="54">
        <f t="shared" si="2"/>
        <v>37</v>
      </c>
      <c r="AI16" s="55">
        <f t="shared" si="3"/>
        <v>25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25.8</v>
      </c>
      <c r="C19" s="51">
        <v>25.8</v>
      </c>
      <c r="D19" s="51">
        <v>25.8</v>
      </c>
      <c r="E19" s="51">
        <v>24</v>
      </c>
      <c r="F19" s="51">
        <v>24</v>
      </c>
      <c r="G19" s="51">
        <v>24</v>
      </c>
      <c r="H19" s="51">
        <v>22.8</v>
      </c>
      <c r="I19" s="51">
        <v>22.8</v>
      </c>
      <c r="J19" s="51">
        <v>22.8</v>
      </c>
      <c r="K19" s="51">
        <v>22.8</v>
      </c>
      <c r="L19" s="51">
        <v>22.8</v>
      </c>
      <c r="M19" s="51">
        <v>22.8</v>
      </c>
      <c r="N19" s="51">
        <v>22.8</v>
      </c>
      <c r="O19" s="51">
        <v>22.8</v>
      </c>
      <c r="P19" s="51">
        <v>20.5</v>
      </c>
      <c r="Q19" s="51">
        <v>21.3</v>
      </c>
      <c r="R19" s="51">
        <v>19.600000000000001</v>
      </c>
      <c r="S19" s="51">
        <v>19.600000000000001</v>
      </c>
      <c r="T19" s="51">
        <v>19.600000000000001</v>
      </c>
      <c r="U19" s="51">
        <v>19.600000000000001</v>
      </c>
      <c r="V19" s="51">
        <v>19.600000000000001</v>
      </c>
      <c r="W19" s="51">
        <v>19.600000000000001</v>
      </c>
      <c r="X19" s="51">
        <v>19.600000000000001</v>
      </c>
      <c r="Y19" s="51">
        <v>19.600000000000001</v>
      </c>
      <c r="Z19" s="51">
        <v>19.600000000000001</v>
      </c>
      <c r="AA19" s="51">
        <v>19.600000000000001</v>
      </c>
      <c r="AB19" s="51">
        <v>19.600000000000001</v>
      </c>
      <c r="AC19" s="51">
        <v>25.6</v>
      </c>
      <c r="AD19" s="51">
        <v>23.8</v>
      </c>
      <c r="AE19" s="51">
        <v>23.8</v>
      </c>
      <c r="AF19" s="51">
        <v>23.8</v>
      </c>
      <c r="AG19" s="58">
        <v>30</v>
      </c>
      <c r="AH19" s="54">
        <f t="shared" si="2"/>
        <v>25.8</v>
      </c>
      <c r="AI19" s="55">
        <f t="shared" si="3"/>
        <v>19.600000000000001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</v>
      </c>
      <c r="C22" s="51">
        <v>22</v>
      </c>
      <c r="D22" s="51">
        <v>22</v>
      </c>
      <c r="E22" s="51">
        <v>22</v>
      </c>
      <c r="F22" s="51">
        <v>22</v>
      </c>
      <c r="G22" s="51">
        <v>22</v>
      </c>
      <c r="H22" s="51">
        <v>22</v>
      </c>
      <c r="I22" s="51">
        <v>22</v>
      </c>
      <c r="J22" s="51">
        <v>22</v>
      </c>
      <c r="K22" s="51">
        <v>22</v>
      </c>
      <c r="L22" s="51">
        <v>22</v>
      </c>
      <c r="M22" s="51">
        <v>22</v>
      </c>
      <c r="N22" s="51">
        <v>22</v>
      </c>
      <c r="O22" s="51">
        <v>22</v>
      </c>
      <c r="P22" s="51">
        <v>22</v>
      </c>
      <c r="Q22" s="51">
        <v>22.8</v>
      </c>
      <c r="R22" s="51">
        <v>23.1</v>
      </c>
      <c r="S22" s="51">
        <v>23.1</v>
      </c>
      <c r="T22" s="51">
        <v>23.1</v>
      </c>
      <c r="U22" s="51">
        <v>23.1</v>
      </c>
      <c r="V22" s="51">
        <v>23.1</v>
      </c>
      <c r="W22" s="51">
        <v>23.1</v>
      </c>
      <c r="X22" s="51">
        <v>23.1</v>
      </c>
      <c r="Y22" s="51">
        <v>23.1</v>
      </c>
      <c r="Z22" s="51">
        <v>23.1</v>
      </c>
      <c r="AA22" s="51">
        <v>23.1</v>
      </c>
      <c r="AB22" s="51">
        <v>23.1</v>
      </c>
      <c r="AC22" s="51">
        <v>23.1</v>
      </c>
      <c r="AD22" s="51">
        <v>23.1</v>
      </c>
      <c r="AE22" s="51">
        <v>23.1</v>
      </c>
      <c r="AF22" s="51">
        <v>23.1</v>
      </c>
      <c r="AG22" s="58">
        <v>25</v>
      </c>
      <c r="AH22" s="54">
        <f t="shared" si="2"/>
        <v>23.1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23.1</v>
      </c>
      <c r="C24" s="51">
        <v>23.1</v>
      </c>
      <c r="D24" s="51">
        <v>23.1</v>
      </c>
      <c r="E24" s="51">
        <v>23.1</v>
      </c>
      <c r="F24" s="51">
        <v>23.1</v>
      </c>
      <c r="G24" s="51">
        <v>23.1</v>
      </c>
      <c r="H24" s="51">
        <v>23</v>
      </c>
      <c r="I24" s="51">
        <v>23</v>
      </c>
      <c r="J24" s="51">
        <v>23</v>
      </c>
      <c r="K24" s="51">
        <v>23</v>
      </c>
      <c r="L24" s="51">
        <v>23</v>
      </c>
      <c r="M24" s="51">
        <v>23</v>
      </c>
      <c r="N24" s="51">
        <v>23</v>
      </c>
      <c r="O24" s="51">
        <v>23</v>
      </c>
      <c r="P24" s="51">
        <v>16.5</v>
      </c>
      <c r="Q24" s="51">
        <v>15.7</v>
      </c>
      <c r="R24" s="51">
        <v>14.9</v>
      </c>
      <c r="S24" s="51">
        <v>14.9</v>
      </c>
      <c r="T24" s="51">
        <v>14.9</v>
      </c>
      <c r="U24" s="51">
        <v>14.9</v>
      </c>
      <c r="V24" s="51">
        <v>14.9</v>
      </c>
      <c r="W24" s="51">
        <v>14.9</v>
      </c>
      <c r="X24" s="51">
        <v>14.9</v>
      </c>
      <c r="Y24" s="51">
        <v>14.9</v>
      </c>
      <c r="Z24" s="51">
        <v>14.9</v>
      </c>
      <c r="AA24" s="51">
        <v>14.9</v>
      </c>
      <c r="AB24" s="51">
        <v>14.9</v>
      </c>
      <c r="AC24" s="51">
        <v>14.9</v>
      </c>
      <c r="AD24" s="51">
        <v>14.9</v>
      </c>
      <c r="AE24" s="51">
        <v>14.9</v>
      </c>
      <c r="AF24" s="51">
        <v>14.9</v>
      </c>
      <c r="AG24" s="58">
        <v>25</v>
      </c>
      <c r="AH24" s="54">
        <f t="shared" si="2"/>
        <v>23.1</v>
      </c>
      <c r="AI24" s="55">
        <f t="shared" si="3"/>
        <v>14.9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10.5</v>
      </c>
      <c r="C26" s="51">
        <v>10.5</v>
      </c>
      <c r="D26" s="51">
        <v>10.5</v>
      </c>
      <c r="E26" s="51">
        <v>10.5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7.5</v>
      </c>
      <c r="L26" s="51">
        <v>7.5</v>
      </c>
      <c r="M26" s="51">
        <v>7.5</v>
      </c>
      <c r="N26" s="51">
        <v>7.5</v>
      </c>
      <c r="O26" s="51">
        <v>7.5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9</v>
      </c>
      <c r="AE26" s="51">
        <v>9</v>
      </c>
      <c r="AF26" s="51">
        <v>9</v>
      </c>
      <c r="AG26" s="58">
        <v>20</v>
      </c>
      <c r="AH26" s="54">
        <f t="shared" si="2"/>
        <v>10.5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7</v>
      </c>
      <c r="C30" s="51">
        <v>7</v>
      </c>
      <c r="D30" s="51">
        <v>7</v>
      </c>
      <c r="E30" s="51">
        <v>7</v>
      </c>
      <c r="F30" s="51">
        <v>7</v>
      </c>
      <c r="G30" s="51">
        <v>7</v>
      </c>
      <c r="H30" s="51">
        <v>7</v>
      </c>
      <c r="I30" s="51">
        <v>7</v>
      </c>
      <c r="J30" s="51">
        <v>7</v>
      </c>
      <c r="K30" s="51">
        <v>7</v>
      </c>
      <c r="L30" s="51">
        <v>7</v>
      </c>
      <c r="M30" s="51">
        <v>7</v>
      </c>
      <c r="N30" s="51">
        <v>7</v>
      </c>
      <c r="O30" s="51">
        <v>7</v>
      </c>
      <c r="P30" s="51">
        <v>7</v>
      </c>
      <c r="Q30" s="51">
        <v>7</v>
      </c>
      <c r="R30" s="51">
        <v>7</v>
      </c>
      <c r="S30" s="51">
        <v>7</v>
      </c>
      <c r="T30" s="51">
        <v>7</v>
      </c>
      <c r="U30" s="51">
        <v>7</v>
      </c>
      <c r="V30" s="51">
        <v>7</v>
      </c>
      <c r="W30" s="51">
        <v>7</v>
      </c>
      <c r="X30" s="51">
        <v>7</v>
      </c>
      <c r="Y30" s="51">
        <v>7</v>
      </c>
      <c r="Z30" s="51">
        <v>7</v>
      </c>
      <c r="AA30" s="51">
        <v>7</v>
      </c>
      <c r="AB30" s="51">
        <v>7</v>
      </c>
      <c r="AC30" s="51">
        <v>7</v>
      </c>
      <c r="AD30" s="51">
        <v>7</v>
      </c>
      <c r="AE30" s="51">
        <v>7</v>
      </c>
      <c r="AF30" s="51">
        <v>7</v>
      </c>
      <c r="AG30" s="58">
        <v>22.1</v>
      </c>
      <c r="AH30" s="54">
        <f t="shared" si="2"/>
        <v>7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7</v>
      </c>
      <c r="C34" s="51">
        <v>7</v>
      </c>
      <c r="D34" s="51">
        <v>7</v>
      </c>
      <c r="E34" s="51">
        <v>7</v>
      </c>
      <c r="F34" s="51">
        <v>7</v>
      </c>
      <c r="G34" s="51">
        <v>7</v>
      </c>
      <c r="H34" s="51">
        <v>7</v>
      </c>
      <c r="I34" s="51">
        <v>7</v>
      </c>
      <c r="J34" s="51">
        <v>7</v>
      </c>
      <c r="K34" s="51">
        <v>7</v>
      </c>
      <c r="L34" s="51">
        <v>7</v>
      </c>
      <c r="M34" s="51">
        <v>7</v>
      </c>
      <c r="N34" s="51">
        <v>7</v>
      </c>
      <c r="O34" s="51">
        <v>7</v>
      </c>
      <c r="P34" s="51">
        <v>7</v>
      </c>
      <c r="Q34" s="51">
        <v>7</v>
      </c>
      <c r="R34" s="51">
        <v>7</v>
      </c>
      <c r="S34" s="51">
        <v>7</v>
      </c>
      <c r="T34" s="51">
        <v>7</v>
      </c>
      <c r="U34" s="51">
        <v>7</v>
      </c>
      <c r="V34" s="51">
        <v>7</v>
      </c>
      <c r="W34" s="51">
        <v>7</v>
      </c>
      <c r="X34" s="51">
        <v>7</v>
      </c>
      <c r="Y34" s="51">
        <v>7</v>
      </c>
      <c r="Z34" s="51">
        <v>7</v>
      </c>
      <c r="AA34" s="51">
        <v>7</v>
      </c>
      <c r="AB34" s="51">
        <v>7</v>
      </c>
      <c r="AC34" s="51">
        <v>7</v>
      </c>
      <c r="AD34" s="51">
        <v>7</v>
      </c>
      <c r="AE34" s="51">
        <v>7</v>
      </c>
      <c r="AF34" s="51">
        <v>7</v>
      </c>
      <c r="AG34" s="63">
        <v>20</v>
      </c>
      <c r="AH34" s="54">
        <f t="shared" si="2"/>
        <v>7</v>
      </c>
      <c r="AI34" s="55">
        <f t="shared" si="3"/>
        <v>7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126</v>
      </c>
      <c r="C37" s="67">
        <v>118</v>
      </c>
      <c r="D37" s="67">
        <v>118</v>
      </c>
      <c r="E37" s="67">
        <f>59.7+59.9</f>
        <v>119.6</v>
      </c>
      <c r="F37" s="67">
        <f>60+60.6</f>
        <v>120.6</v>
      </c>
      <c r="G37" s="67">
        <f>59.7+60.6</f>
        <v>120.30000000000001</v>
      </c>
      <c r="H37" s="67">
        <f>120</f>
        <v>120</v>
      </c>
      <c r="I37" s="67">
        <v>122</v>
      </c>
      <c r="J37" s="67">
        <v>120</v>
      </c>
      <c r="K37" s="67">
        <v>119</v>
      </c>
      <c r="L37" s="67">
        <f>56.7+59.5</f>
        <v>116.2</v>
      </c>
      <c r="M37" s="67">
        <f>59.5+56.5</f>
        <v>116</v>
      </c>
      <c r="N37" s="67">
        <f>59.6+56.5</f>
        <v>116.1</v>
      </c>
      <c r="O37" s="67">
        <f>60+54.9</f>
        <v>114.9</v>
      </c>
      <c r="P37" s="67">
        <f>60.2+54.7</f>
        <v>114.9</v>
      </c>
      <c r="Q37" s="67">
        <f>60.4+49.6</f>
        <v>110</v>
      </c>
      <c r="R37" s="67">
        <f>57.8+48.4</f>
        <v>106.19999999999999</v>
      </c>
      <c r="S37" s="67">
        <f>17.3+46.6</f>
        <v>63.900000000000006</v>
      </c>
      <c r="T37" s="67">
        <f>58+47.7</f>
        <v>105.7</v>
      </c>
      <c r="U37" s="67">
        <f>54.1+49.4</f>
        <v>103.5</v>
      </c>
      <c r="V37" s="67">
        <f>54+44</f>
        <v>98</v>
      </c>
      <c r="W37" s="67">
        <f>48.6+46.2</f>
        <v>94.800000000000011</v>
      </c>
      <c r="X37" s="67">
        <f>49+50</f>
        <v>99</v>
      </c>
      <c r="Y37" s="67">
        <f>53+54</f>
        <v>107</v>
      </c>
      <c r="Z37" s="67">
        <f>53+63</f>
        <v>116</v>
      </c>
      <c r="AA37" s="67">
        <f>47+64</f>
        <v>111</v>
      </c>
      <c r="AB37" s="67">
        <f>47+64</f>
        <v>111</v>
      </c>
      <c r="AC37" s="67">
        <f>52+67</f>
        <v>119</v>
      </c>
      <c r="AD37" s="67">
        <v>125</v>
      </c>
      <c r="AE37" s="67">
        <v>133</v>
      </c>
      <c r="AF37" s="67">
        <v>133</v>
      </c>
      <c r="AG37" s="63">
        <v>240</v>
      </c>
      <c r="AH37" s="54">
        <f t="shared" si="2"/>
        <v>133</v>
      </c>
      <c r="AI37" s="55">
        <f t="shared" si="3"/>
        <v>63.900000000000006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913.8</v>
      </c>
      <c r="C38" s="69">
        <f t="shared" si="4"/>
        <v>908.8</v>
      </c>
      <c r="D38" s="69">
        <f t="shared" si="4"/>
        <v>918.8</v>
      </c>
      <c r="E38" s="69">
        <f t="shared" si="4"/>
        <v>903.69999999999993</v>
      </c>
      <c r="F38" s="69">
        <f t="shared" si="4"/>
        <v>904.19999999999993</v>
      </c>
      <c r="G38" s="69">
        <f t="shared" si="4"/>
        <v>903.1</v>
      </c>
      <c r="H38" s="69">
        <f t="shared" si="4"/>
        <v>881</v>
      </c>
      <c r="I38" s="69">
        <f t="shared" si="4"/>
        <v>881</v>
      </c>
      <c r="J38" s="69">
        <f t="shared" si="4"/>
        <v>901</v>
      </c>
      <c r="K38" s="69">
        <f>SUM(K11:K36)</f>
        <v>933.5</v>
      </c>
      <c r="L38" s="69">
        <f>SUM(L11:L36)</f>
        <v>948</v>
      </c>
      <c r="M38" s="69">
        <f t="shared" si="4"/>
        <v>928</v>
      </c>
      <c r="N38" s="69">
        <f t="shared" si="4"/>
        <v>924</v>
      </c>
      <c r="O38" s="69">
        <f t="shared" si="4"/>
        <v>924</v>
      </c>
      <c r="P38" s="69">
        <f t="shared" si="4"/>
        <v>917.7</v>
      </c>
      <c r="Q38" s="69">
        <f t="shared" si="4"/>
        <v>948.9</v>
      </c>
      <c r="R38" s="69">
        <f t="shared" si="4"/>
        <v>942.3</v>
      </c>
      <c r="S38" s="69">
        <f t="shared" si="4"/>
        <v>1020.3</v>
      </c>
      <c r="T38" s="69">
        <f t="shared" si="4"/>
        <v>970</v>
      </c>
      <c r="U38" s="69">
        <f t="shared" si="4"/>
        <v>980</v>
      </c>
      <c r="V38" s="69">
        <f t="shared" si="4"/>
        <v>960</v>
      </c>
      <c r="W38" s="69">
        <f t="shared" si="4"/>
        <v>900.00000000000011</v>
      </c>
      <c r="X38" s="69">
        <f t="shared" si="4"/>
        <v>901.00000000000011</v>
      </c>
      <c r="Y38" s="69">
        <f t="shared" si="4"/>
        <v>891.00000000000011</v>
      </c>
      <c r="Z38" s="69">
        <f t="shared" si="4"/>
        <v>981</v>
      </c>
      <c r="AA38" s="69">
        <f t="shared" si="4"/>
        <v>1033</v>
      </c>
      <c r="AB38" s="69">
        <f t="shared" si="4"/>
        <v>964</v>
      </c>
      <c r="AC38" s="69">
        <f t="shared" si="4"/>
        <v>988.7</v>
      </c>
      <c r="AD38" s="69">
        <f t="shared" si="4"/>
        <v>936.9</v>
      </c>
      <c r="AE38" s="69">
        <f t="shared" si="4"/>
        <v>796.90000000000009</v>
      </c>
      <c r="AF38" s="69">
        <f t="shared" si="4"/>
        <v>786.90000000000009</v>
      </c>
      <c r="AG38" s="63">
        <f>SUM(AG11:AG37)</f>
        <v>1492.8299999999997</v>
      </c>
      <c r="AH38" s="54">
        <f t="shared" si="2"/>
        <v>1033</v>
      </c>
      <c r="AI38" s="55">
        <f t="shared" si="3"/>
        <v>786.90000000000009</v>
      </c>
      <c r="AK38" s="56"/>
    </row>
    <row r="39" spans="1:88" x14ac:dyDescent="0.25">
      <c r="A39" s="57" t="s">
        <v>47</v>
      </c>
      <c r="B39" s="51">
        <v>144.5</v>
      </c>
      <c r="C39" s="51">
        <v>144.5</v>
      </c>
      <c r="D39" s="51">
        <v>144.5</v>
      </c>
      <c r="E39" s="51">
        <v>144.30000000000001</v>
      </c>
      <c r="F39" s="51">
        <v>144.30000000000001</v>
      </c>
      <c r="G39" s="51">
        <v>145.4</v>
      </c>
      <c r="H39" s="51">
        <v>141.5</v>
      </c>
      <c r="I39" s="51">
        <v>141.4</v>
      </c>
      <c r="J39" s="51">
        <v>141.6</v>
      </c>
      <c r="K39" s="51">
        <v>145.5</v>
      </c>
      <c r="L39" s="51">
        <v>145.30000000000001</v>
      </c>
      <c r="M39" s="51">
        <v>145.30000000000001</v>
      </c>
      <c r="N39" s="51">
        <v>145.30000000000001</v>
      </c>
      <c r="O39" s="51">
        <v>145.30000000000001</v>
      </c>
      <c r="P39" s="51">
        <v>145.30000000000001</v>
      </c>
      <c r="Q39" s="51">
        <v>143.5</v>
      </c>
      <c r="R39" s="51">
        <v>145.6</v>
      </c>
      <c r="S39" s="51">
        <v>145.6</v>
      </c>
      <c r="T39" s="51">
        <v>143.6</v>
      </c>
      <c r="U39" s="51">
        <v>143.6</v>
      </c>
      <c r="V39" s="51">
        <v>145</v>
      </c>
      <c r="W39" s="51">
        <v>145</v>
      </c>
      <c r="X39" s="51">
        <v>145</v>
      </c>
      <c r="Y39" s="51">
        <v>145</v>
      </c>
      <c r="Z39" s="51">
        <v>145</v>
      </c>
      <c r="AA39" s="51">
        <v>145</v>
      </c>
      <c r="AB39" s="51">
        <v>145</v>
      </c>
      <c r="AC39" s="51">
        <v>146.30000000000001</v>
      </c>
      <c r="AD39" s="51">
        <v>146.80000000000001</v>
      </c>
      <c r="AE39" s="51">
        <v>146.80000000000001</v>
      </c>
      <c r="AF39" s="51">
        <v>146.80000000000001</v>
      </c>
      <c r="AG39" s="59">
        <v>144</v>
      </c>
      <c r="AH39" s="54">
        <f t="shared" si="2"/>
        <v>146.80000000000001</v>
      </c>
      <c r="AI39" s="55">
        <f t="shared" si="3"/>
        <v>141.4</v>
      </c>
      <c r="AK39" s="56"/>
    </row>
    <row r="40" spans="1:88" x14ac:dyDescent="0.25">
      <c r="A40" s="62" t="s">
        <v>48</v>
      </c>
      <c r="B40" s="70">
        <v>71.5</v>
      </c>
      <c r="C40" s="70">
        <v>71.5</v>
      </c>
      <c r="D40" s="70">
        <v>71.5</v>
      </c>
      <c r="E40" s="70">
        <v>71.900000000000006</v>
      </c>
      <c r="F40" s="70">
        <v>71.7</v>
      </c>
      <c r="G40" s="70">
        <v>72.099999999999994</v>
      </c>
      <c r="H40" s="70">
        <v>71</v>
      </c>
      <c r="I40" s="70">
        <v>71.3</v>
      </c>
      <c r="J40" s="70">
        <v>70.8</v>
      </c>
      <c r="K40" s="70">
        <v>71.599999999999994</v>
      </c>
      <c r="L40" s="70">
        <v>72</v>
      </c>
      <c r="M40" s="70">
        <v>72</v>
      </c>
      <c r="N40" s="70">
        <v>72</v>
      </c>
      <c r="O40" s="70">
        <v>72</v>
      </c>
      <c r="P40" s="70">
        <v>52</v>
      </c>
      <c r="Q40" s="70">
        <v>52.1</v>
      </c>
      <c r="R40" s="70">
        <v>71.2</v>
      </c>
      <c r="S40" s="70">
        <v>71.2</v>
      </c>
      <c r="T40" s="70">
        <v>72.7</v>
      </c>
      <c r="U40" s="70">
        <v>72.7</v>
      </c>
      <c r="V40" s="70">
        <v>72.7</v>
      </c>
      <c r="W40" s="70">
        <v>72.7</v>
      </c>
      <c r="X40" s="70">
        <v>72.7</v>
      </c>
      <c r="Y40" s="70">
        <v>72.7</v>
      </c>
      <c r="Z40" s="70">
        <v>72.7</v>
      </c>
      <c r="AA40" s="70">
        <v>72.7</v>
      </c>
      <c r="AB40" s="70">
        <v>72.7</v>
      </c>
      <c r="AC40" s="70">
        <v>71.2</v>
      </c>
      <c r="AD40" s="70">
        <v>71.900000000000006</v>
      </c>
      <c r="AE40" s="70">
        <v>71.900000000000006</v>
      </c>
      <c r="AF40" s="70">
        <v>71.900000000000006</v>
      </c>
      <c r="AG40" s="63">
        <v>70</v>
      </c>
      <c r="AH40" s="54">
        <f t="shared" si="2"/>
        <v>72.7</v>
      </c>
      <c r="AI40" s="55">
        <f t="shared" si="3"/>
        <v>52</v>
      </c>
      <c r="AK40" s="56"/>
    </row>
    <row r="41" spans="1:88" x14ac:dyDescent="0.25">
      <c r="A41" s="62" t="s">
        <v>49</v>
      </c>
      <c r="B41" s="70">
        <v>66</v>
      </c>
      <c r="C41" s="70">
        <v>68</v>
      </c>
      <c r="D41" s="70">
        <v>68</v>
      </c>
      <c r="E41" s="70">
        <v>68.2</v>
      </c>
      <c r="F41" s="70">
        <v>68.2</v>
      </c>
      <c r="G41" s="70">
        <v>68.599999999999994</v>
      </c>
      <c r="H41" s="70">
        <v>68.7</v>
      </c>
      <c r="I41" s="70">
        <v>68.900000000000006</v>
      </c>
      <c r="J41" s="70">
        <v>68.2</v>
      </c>
      <c r="K41" s="70">
        <v>69.5</v>
      </c>
      <c r="L41" s="70">
        <v>69.2</v>
      </c>
      <c r="M41" s="70">
        <v>69.2</v>
      </c>
      <c r="N41" s="70">
        <v>69.2</v>
      </c>
      <c r="O41" s="70">
        <v>69.2</v>
      </c>
      <c r="P41" s="70">
        <v>19.2</v>
      </c>
      <c r="Q41" s="70">
        <v>18.899999999999999</v>
      </c>
      <c r="R41" s="70">
        <v>68.599999999999994</v>
      </c>
      <c r="S41" s="70">
        <v>68.599999999999994</v>
      </c>
      <c r="T41" s="70">
        <v>67.599999999999994</v>
      </c>
      <c r="U41" s="70">
        <v>68.2</v>
      </c>
      <c r="V41" s="70">
        <v>68.2</v>
      </c>
      <c r="W41" s="70">
        <v>68.2</v>
      </c>
      <c r="X41" s="70">
        <v>68.2</v>
      </c>
      <c r="Y41" s="70">
        <v>68.2</v>
      </c>
      <c r="Z41" s="70">
        <v>68.2</v>
      </c>
      <c r="AA41" s="70">
        <v>68.2</v>
      </c>
      <c r="AB41" s="70">
        <v>68.2</v>
      </c>
      <c r="AC41" s="70">
        <v>68.099999999999994</v>
      </c>
      <c r="AD41" s="70">
        <v>68.5</v>
      </c>
      <c r="AE41" s="70">
        <v>68.5</v>
      </c>
      <c r="AF41" s="70">
        <v>68.5</v>
      </c>
      <c r="AG41" s="63">
        <v>69</v>
      </c>
      <c r="AH41" s="54">
        <f t="shared" si="2"/>
        <v>69.5</v>
      </c>
      <c r="AI41" s="55">
        <f t="shared" si="3"/>
        <v>18.899999999999999</v>
      </c>
      <c r="AK41" s="56"/>
    </row>
    <row r="42" spans="1:88" x14ac:dyDescent="0.25">
      <c r="A42" s="62" t="s">
        <v>50</v>
      </c>
      <c r="B42" s="65">
        <v>60.4</v>
      </c>
      <c r="C42" s="65">
        <v>60.4</v>
      </c>
      <c r="D42" s="65">
        <v>60.4</v>
      </c>
      <c r="E42" s="65">
        <v>60.4</v>
      </c>
      <c r="F42" s="65">
        <v>62</v>
      </c>
      <c r="G42" s="65">
        <v>60.7</v>
      </c>
      <c r="H42" s="65">
        <v>60.4</v>
      </c>
      <c r="I42" s="65">
        <v>60.4</v>
      </c>
      <c r="J42" s="65">
        <v>60.4</v>
      </c>
      <c r="K42" s="65">
        <v>60.4</v>
      </c>
      <c r="L42" s="65">
        <v>60.4</v>
      </c>
      <c r="M42" s="65">
        <v>60.4</v>
      </c>
      <c r="N42" s="65">
        <v>60.4</v>
      </c>
      <c r="O42" s="65">
        <v>60.4</v>
      </c>
      <c r="P42" s="65">
        <v>60.4</v>
      </c>
      <c r="Q42" s="70">
        <v>60.4</v>
      </c>
      <c r="R42" s="70">
        <v>61.4</v>
      </c>
      <c r="S42" s="70">
        <v>61.4</v>
      </c>
      <c r="T42" s="70">
        <v>60.9</v>
      </c>
      <c r="U42" s="70">
        <v>61.2</v>
      </c>
      <c r="V42" s="70">
        <v>61.2</v>
      </c>
      <c r="W42" s="70">
        <v>61.2</v>
      </c>
      <c r="X42" s="70">
        <v>61.2</v>
      </c>
      <c r="Y42" s="70">
        <v>61.2</v>
      </c>
      <c r="Z42" s="70">
        <v>61.2</v>
      </c>
      <c r="AA42" s="70">
        <v>61.2</v>
      </c>
      <c r="AB42" s="70">
        <v>61.2</v>
      </c>
      <c r="AC42" s="70">
        <v>61.2</v>
      </c>
      <c r="AD42" s="51">
        <v>60.9</v>
      </c>
      <c r="AE42" s="51">
        <v>60.9</v>
      </c>
      <c r="AF42" s="51">
        <v>60.9</v>
      </c>
      <c r="AG42" s="63">
        <v>60</v>
      </c>
      <c r="AH42" s="54">
        <f t="shared" si="2"/>
        <v>62</v>
      </c>
      <c r="AI42" s="55">
        <f t="shared" si="3"/>
        <v>60.4</v>
      </c>
      <c r="AK42" s="56"/>
    </row>
    <row r="43" spans="1:88" x14ac:dyDescent="0.25">
      <c r="A43" s="62" t="s">
        <v>51</v>
      </c>
      <c r="B43" s="65">
        <v>10</v>
      </c>
      <c r="C43" s="65">
        <v>9.6</v>
      </c>
      <c r="D43" s="65">
        <v>6.5</v>
      </c>
      <c r="E43" s="65">
        <v>6.5</v>
      </c>
      <c r="F43" s="65">
        <v>10</v>
      </c>
      <c r="G43" s="65">
        <v>10</v>
      </c>
      <c r="H43" s="65">
        <v>10</v>
      </c>
      <c r="I43" s="65">
        <v>15</v>
      </c>
      <c r="J43" s="65">
        <v>20</v>
      </c>
      <c r="K43" s="65">
        <v>20</v>
      </c>
      <c r="L43" s="65">
        <v>20</v>
      </c>
      <c r="M43" s="70">
        <v>20</v>
      </c>
      <c r="N43" s="70">
        <v>20</v>
      </c>
      <c r="O43" s="70">
        <v>29</v>
      </c>
      <c r="P43" s="70">
        <v>24</v>
      </c>
      <c r="Q43" s="70">
        <v>24.9</v>
      </c>
      <c r="R43" s="70">
        <v>20</v>
      </c>
      <c r="S43" s="70">
        <v>20</v>
      </c>
      <c r="T43" s="70">
        <v>20</v>
      </c>
      <c r="U43" s="70">
        <v>17.399999999999999</v>
      </c>
      <c r="V43" s="70">
        <v>16</v>
      </c>
      <c r="W43" s="70">
        <v>20</v>
      </c>
      <c r="X43" s="70">
        <v>0</v>
      </c>
      <c r="Y43" s="70">
        <v>0</v>
      </c>
      <c r="Z43" s="70">
        <v>0</v>
      </c>
      <c r="AA43" s="70">
        <v>6</v>
      </c>
      <c r="AB43" s="70">
        <v>30</v>
      </c>
      <c r="AC43" s="70">
        <v>28</v>
      </c>
      <c r="AD43" s="51">
        <v>28</v>
      </c>
      <c r="AE43" s="51">
        <v>28</v>
      </c>
      <c r="AF43" s="51">
        <v>15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70">
        <v>10</v>
      </c>
      <c r="N44" s="70">
        <v>10</v>
      </c>
      <c r="O44" s="70">
        <v>10</v>
      </c>
      <c r="P44" s="70">
        <v>10</v>
      </c>
      <c r="Q44" s="70">
        <v>10</v>
      </c>
      <c r="R44" s="70">
        <v>10</v>
      </c>
      <c r="S44" s="70">
        <v>10</v>
      </c>
      <c r="T44" s="70">
        <v>10</v>
      </c>
      <c r="U44" s="70">
        <v>10</v>
      </c>
      <c r="V44" s="70">
        <v>10</v>
      </c>
      <c r="W44" s="70">
        <v>10</v>
      </c>
      <c r="X44" s="70">
        <v>10</v>
      </c>
      <c r="Y44" s="70">
        <v>10</v>
      </c>
      <c r="Z44" s="70">
        <v>10</v>
      </c>
      <c r="AA44" s="70">
        <v>10</v>
      </c>
      <c r="AB44" s="70">
        <v>10</v>
      </c>
      <c r="AC44" s="70">
        <v>10</v>
      </c>
      <c r="AD44" s="70">
        <v>10</v>
      </c>
      <c r="AE44" s="70">
        <v>10</v>
      </c>
      <c r="AF44" s="70">
        <v>10</v>
      </c>
      <c r="AG44" s="63">
        <v>25</v>
      </c>
      <c r="AH44" s="54">
        <f t="shared" si="2"/>
        <v>10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17.399999999999999</v>
      </c>
      <c r="C45" s="70">
        <v>17.399999999999999</v>
      </c>
      <c r="D45" s="70">
        <v>17.399999999999999</v>
      </c>
      <c r="E45" s="70">
        <v>17.5</v>
      </c>
      <c r="F45" s="70">
        <v>17.5</v>
      </c>
      <c r="G45" s="70">
        <v>17.600000000000001</v>
      </c>
      <c r="H45" s="70">
        <v>17.5</v>
      </c>
      <c r="I45" s="70">
        <v>17.5</v>
      </c>
      <c r="J45" s="70">
        <v>17.5</v>
      </c>
      <c r="K45" s="70">
        <v>17.5</v>
      </c>
      <c r="L45" s="70">
        <v>17.5</v>
      </c>
      <c r="M45" s="70">
        <v>17.5</v>
      </c>
      <c r="N45" s="70">
        <v>17.5</v>
      </c>
      <c r="O45" s="70">
        <v>17.5</v>
      </c>
      <c r="P45" s="70">
        <v>17.5</v>
      </c>
      <c r="Q45" s="70">
        <v>17.600000000000001</v>
      </c>
      <c r="R45" s="70">
        <v>17.600000000000001</v>
      </c>
      <c r="S45" s="70">
        <v>17.600000000000001</v>
      </c>
      <c r="T45" s="70">
        <v>17.600000000000001</v>
      </c>
      <c r="U45" s="70">
        <v>17.600000000000001</v>
      </c>
      <c r="V45" s="70">
        <v>17.600000000000001</v>
      </c>
      <c r="W45" s="70">
        <v>17.600000000000001</v>
      </c>
      <c r="X45" s="70">
        <v>17.600000000000001</v>
      </c>
      <c r="Y45" s="70">
        <v>17.600000000000001</v>
      </c>
      <c r="Z45" s="70">
        <v>17.600000000000001</v>
      </c>
      <c r="AA45" s="70">
        <v>17.600000000000001</v>
      </c>
      <c r="AB45" s="70">
        <v>17.600000000000001</v>
      </c>
      <c r="AC45" s="70">
        <v>17.600000000000001</v>
      </c>
      <c r="AD45" s="70">
        <v>17.600000000000001</v>
      </c>
      <c r="AE45" s="70">
        <v>17.600000000000001</v>
      </c>
      <c r="AF45" s="70">
        <v>17.600000000000001</v>
      </c>
      <c r="AG45" s="63">
        <v>24</v>
      </c>
      <c r="AH45" s="54">
        <f t="shared" si="2"/>
        <v>17.600000000000001</v>
      </c>
      <c r="AI45" s="55">
        <f t="shared" si="3"/>
        <v>17.399999999999999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3</v>
      </c>
      <c r="R46" s="70">
        <v>3</v>
      </c>
      <c r="S46" s="70">
        <v>3</v>
      </c>
      <c r="T46" s="70">
        <v>3</v>
      </c>
      <c r="U46" s="70">
        <v>3</v>
      </c>
      <c r="V46" s="70">
        <v>3</v>
      </c>
      <c r="W46" s="70">
        <v>3</v>
      </c>
      <c r="X46" s="70">
        <v>3</v>
      </c>
      <c r="Y46" s="70">
        <v>3</v>
      </c>
      <c r="Z46" s="70">
        <v>3</v>
      </c>
      <c r="AA46" s="70">
        <v>3</v>
      </c>
      <c r="AB46" s="70">
        <v>3</v>
      </c>
      <c r="AC46" s="70">
        <v>3</v>
      </c>
      <c r="AD46" s="70">
        <v>3</v>
      </c>
      <c r="AE46" s="70">
        <v>3</v>
      </c>
      <c r="AF46" s="70">
        <v>3</v>
      </c>
      <c r="AG46" s="63">
        <v>15</v>
      </c>
      <c r="AH46" s="54">
        <f t="shared" si="2"/>
        <v>3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13.1</v>
      </c>
      <c r="C47" s="70">
        <v>13.1</v>
      </c>
      <c r="D47" s="70">
        <v>13.1</v>
      </c>
      <c r="E47" s="70">
        <v>13.5</v>
      </c>
      <c r="F47" s="70">
        <v>13.6</v>
      </c>
      <c r="G47" s="70">
        <v>13.6</v>
      </c>
      <c r="H47" s="70">
        <v>13.6</v>
      </c>
      <c r="I47" s="70">
        <v>13.6</v>
      </c>
      <c r="J47" s="70">
        <v>13.6</v>
      </c>
      <c r="K47" s="70">
        <v>13.6</v>
      </c>
      <c r="L47" s="70">
        <v>13.6</v>
      </c>
      <c r="M47" s="70">
        <v>13.6</v>
      </c>
      <c r="N47" s="70">
        <v>13.6</v>
      </c>
      <c r="O47" s="70">
        <v>13.6</v>
      </c>
      <c r="P47" s="70">
        <v>13.6</v>
      </c>
      <c r="Q47" s="70">
        <v>14</v>
      </c>
      <c r="R47" s="70">
        <v>14</v>
      </c>
      <c r="S47" s="70">
        <v>14</v>
      </c>
      <c r="T47" s="70">
        <v>14</v>
      </c>
      <c r="U47" s="70">
        <v>14</v>
      </c>
      <c r="V47" s="70">
        <v>14</v>
      </c>
      <c r="W47" s="70">
        <v>14</v>
      </c>
      <c r="X47" s="70">
        <v>14</v>
      </c>
      <c r="Y47" s="70">
        <v>14</v>
      </c>
      <c r="Z47" s="70">
        <v>14</v>
      </c>
      <c r="AA47" s="70">
        <v>14</v>
      </c>
      <c r="AB47" s="70">
        <v>14</v>
      </c>
      <c r="AC47" s="70">
        <v>14</v>
      </c>
      <c r="AD47" s="70">
        <v>14</v>
      </c>
      <c r="AE47" s="70">
        <v>14</v>
      </c>
      <c r="AF47" s="70">
        <v>14</v>
      </c>
      <c r="AG47" s="63">
        <v>14.1</v>
      </c>
      <c r="AH47" s="54">
        <f t="shared" si="2"/>
        <v>14</v>
      </c>
      <c r="AI47" s="55">
        <f t="shared" si="3"/>
        <v>13.1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13</v>
      </c>
      <c r="C48" s="70">
        <v>13</v>
      </c>
      <c r="D48" s="70">
        <v>13</v>
      </c>
      <c r="E48" s="70">
        <v>13</v>
      </c>
      <c r="F48" s="70">
        <v>13</v>
      </c>
      <c r="G48" s="70">
        <v>13</v>
      </c>
      <c r="H48" s="70">
        <v>13</v>
      </c>
      <c r="I48" s="70">
        <v>13</v>
      </c>
      <c r="J48" s="70">
        <v>13</v>
      </c>
      <c r="K48" s="70">
        <v>13</v>
      </c>
      <c r="L48" s="70">
        <v>13</v>
      </c>
      <c r="M48" s="70">
        <v>13</v>
      </c>
      <c r="N48" s="70">
        <v>13</v>
      </c>
      <c r="O48" s="70">
        <v>13</v>
      </c>
      <c r="P48" s="70">
        <v>13</v>
      </c>
      <c r="Q48" s="70">
        <v>12.5</v>
      </c>
      <c r="R48" s="70">
        <v>12.5</v>
      </c>
      <c r="S48" s="70">
        <v>12.5</v>
      </c>
      <c r="T48" s="70">
        <v>12.5</v>
      </c>
      <c r="U48" s="70">
        <v>12.5</v>
      </c>
      <c r="V48" s="70">
        <v>12.5</v>
      </c>
      <c r="W48" s="70">
        <v>12.5</v>
      </c>
      <c r="X48" s="70">
        <v>12.5</v>
      </c>
      <c r="Y48" s="70">
        <v>12.5</v>
      </c>
      <c r="Z48" s="70">
        <v>12.5</v>
      </c>
      <c r="AA48" s="70">
        <v>12.5</v>
      </c>
      <c r="AB48" s="70">
        <v>12.5</v>
      </c>
      <c r="AC48" s="70">
        <v>12.5</v>
      </c>
      <c r="AD48" s="70">
        <v>12.5</v>
      </c>
      <c r="AE48" s="70">
        <v>12.5</v>
      </c>
      <c r="AF48" s="70">
        <v>12.5</v>
      </c>
      <c r="AG48" s="63">
        <v>14</v>
      </c>
      <c r="AH48" s="54">
        <f t="shared" si="2"/>
        <v>13</v>
      </c>
      <c r="AI48" s="55">
        <f t="shared" si="3"/>
        <v>12.5</v>
      </c>
      <c r="AK48" s="56"/>
    </row>
    <row r="49" spans="1:37" x14ac:dyDescent="0.25">
      <c r="A49" s="62" t="s">
        <v>57</v>
      </c>
      <c r="B49" s="70">
        <v>7.8</v>
      </c>
      <c r="C49" s="70">
        <v>7.8</v>
      </c>
      <c r="D49" s="70">
        <v>7.8</v>
      </c>
      <c r="E49" s="70">
        <v>7.8</v>
      </c>
      <c r="F49" s="70">
        <v>7.7</v>
      </c>
      <c r="G49" s="70">
        <v>7.7</v>
      </c>
      <c r="H49" s="70">
        <v>7.7</v>
      </c>
      <c r="I49" s="70">
        <v>7.7</v>
      </c>
      <c r="J49" s="70">
        <v>7.7</v>
      </c>
      <c r="K49" s="70">
        <v>7.7</v>
      </c>
      <c r="L49" s="70">
        <v>7.7</v>
      </c>
      <c r="M49" s="70">
        <v>7.7</v>
      </c>
      <c r="N49" s="70">
        <v>7.7</v>
      </c>
      <c r="O49" s="70">
        <v>7.7</v>
      </c>
      <c r="P49" s="70">
        <v>7.7</v>
      </c>
      <c r="Q49" s="70">
        <v>7.8</v>
      </c>
      <c r="R49" s="70">
        <v>7.8</v>
      </c>
      <c r="S49" s="70">
        <v>7.8</v>
      </c>
      <c r="T49" s="70">
        <v>7.8</v>
      </c>
      <c r="U49" s="70">
        <v>7.8</v>
      </c>
      <c r="V49" s="70">
        <v>7.8</v>
      </c>
      <c r="W49" s="70">
        <v>7.8</v>
      </c>
      <c r="X49" s="70">
        <v>7.8</v>
      </c>
      <c r="Y49" s="70">
        <v>7.8</v>
      </c>
      <c r="Z49" s="70">
        <v>7.8</v>
      </c>
      <c r="AA49" s="70">
        <v>7.8</v>
      </c>
      <c r="AB49" s="70">
        <v>7.8</v>
      </c>
      <c r="AC49" s="70">
        <v>7.8</v>
      </c>
      <c r="AD49" s="70">
        <v>7.8</v>
      </c>
      <c r="AE49" s="70">
        <v>7.8</v>
      </c>
      <c r="AF49" s="70">
        <v>7.8</v>
      </c>
      <c r="AG49" s="63">
        <v>10.050000000000001</v>
      </c>
      <c r="AH49" s="54">
        <f t="shared" si="2"/>
        <v>7.8</v>
      </c>
      <c r="AI49" s="55">
        <f t="shared" si="3"/>
        <v>7.7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70">
        <v>3.1</v>
      </c>
      <c r="R50" s="70">
        <v>3.1</v>
      </c>
      <c r="S50" s="70">
        <v>3.1</v>
      </c>
      <c r="T50" s="70">
        <v>3.1</v>
      </c>
      <c r="U50" s="70">
        <v>3.1</v>
      </c>
      <c r="V50" s="70">
        <v>3.1</v>
      </c>
      <c r="W50" s="70">
        <v>3.1</v>
      </c>
      <c r="X50" s="70">
        <v>3.1</v>
      </c>
      <c r="Y50" s="70">
        <v>3.1</v>
      </c>
      <c r="Z50" s="70">
        <v>3.1</v>
      </c>
      <c r="AA50" s="70">
        <v>3.1</v>
      </c>
      <c r="AB50" s="70">
        <v>3.1</v>
      </c>
      <c r="AC50" s="70">
        <v>3.1</v>
      </c>
      <c r="AD50" s="70">
        <v>3.1</v>
      </c>
      <c r="AE50" s="70">
        <v>3.1</v>
      </c>
      <c r="AF50" s="70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410.34000000000003</v>
      </c>
      <c r="C52" s="69">
        <f t="shared" si="6"/>
        <v>411.94000000000005</v>
      </c>
      <c r="D52" s="69">
        <f t="shared" si="6"/>
        <v>408.84000000000003</v>
      </c>
      <c r="E52" s="69">
        <f t="shared" si="6"/>
        <v>409.74000000000007</v>
      </c>
      <c r="F52" s="69">
        <f t="shared" si="6"/>
        <v>414.64000000000004</v>
      </c>
      <c r="G52" s="69">
        <f t="shared" si="6"/>
        <v>415.34000000000009</v>
      </c>
      <c r="H52" s="69">
        <f t="shared" si="6"/>
        <v>410.04</v>
      </c>
      <c r="I52" s="69">
        <f t="shared" si="6"/>
        <v>415.44000000000005</v>
      </c>
      <c r="J52" s="69">
        <f t="shared" si="6"/>
        <v>419.44</v>
      </c>
      <c r="K52" s="69">
        <f t="shared" si="6"/>
        <v>425.44000000000005</v>
      </c>
      <c r="L52" s="69">
        <f t="shared" si="6"/>
        <v>425.34000000000003</v>
      </c>
      <c r="M52" s="69">
        <f t="shared" si="6"/>
        <v>435.34000000000003</v>
      </c>
      <c r="N52" s="69">
        <f t="shared" si="6"/>
        <v>435.34000000000003</v>
      </c>
      <c r="O52" s="69">
        <f t="shared" si="6"/>
        <v>444.34000000000003</v>
      </c>
      <c r="P52" s="69">
        <f t="shared" si="6"/>
        <v>369.34000000000003</v>
      </c>
      <c r="Q52" s="69">
        <f t="shared" si="6"/>
        <v>371.34000000000003</v>
      </c>
      <c r="R52" s="69">
        <f t="shared" si="6"/>
        <v>438.34000000000003</v>
      </c>
      <c r="S52" s="69">
        <f t="shared" si="6"/>
        <v>438.34000000000003</v>
      </c>
      <c r="T52" s="69">
        <f t="shared" si="6"/>
        <v>436.34000000000003</v>
      </c>
      <c r="U52" s="69">
        <f t="shared" si="6"/>
        <v>434.64000000000004</v>
      </c>
      <c r="V52" s="69">
        <f t="shared" si="6"/>
        <v>434.64000000000004</v>
      </c>
      <c r="W52" s="69">
        <f t="shared" si="6"/>
        <v>438.64000000000004</v>
      </c>
      <c r="X52" s="69">
        <f>SUM(X39:X51)</f>
        <v>418.64000000000004</v>
      </c>
      <c r="Y52" s="69">
        <f t="shared" si="6"/>
        <v>418.64000000000004</v>
      </c>
      <c r="Z52" s="69">
        <f t="shared" si="6"/>
        <v>418.64000000000004</v>
      </c>
      <c r="AA52" s="69">
        <f t="shared" si="6"/>
        <v>424.64000000000004</v>
      </c>
      <c r="AB52" s="69">
        <f t="shared" si="6"/>
        <v>448.64000000000004</v>
      </c>
      <c r="AC52" s="69">
        <f t="shared" si="6"/>
        <v>446.34000000000009</v>
      </c>
      <c r="AD52" s="69">
        <f t="shared" si="6"/>
        <v>447.6400000000001</v>
      </c>
      <c r="AE52" s="69">
        <f t="shared" si="6"/>
        <v>447.6400000000001</v>
      </c>
      <c r="AF52" s="69">
        <f t="shared" si="6"/>
        <v>434.6400000000001</v>
      </c>
      <c r="AG52" s="74">
        <f>SUM(AG39:AG51)</f>
        <v>489.91</v>
      </c>
      <c r="AH52" s="54">
        <f t="shared" si="2"/>
        <v>448.64000000000004</v>
      </c>
      <c r="AI52" s="55">
        <f t="shared" si="3"/>
        <v>369.34000000000003</v>
      </c>
      <c r="AK52" s="56"/>
    </row>
    <row r="53" spans="1:37" x14ac:dyDescent="0.25">
      <c r="A53" s="57" t="s">
        <v>61</v>
      </c>
      <c r="B53" s="51">
        <v>14</v>
      </c>
      <c r="C53" s="51">
        <v>14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10</v>
      </c>
      <c r="M53" s="51">
        <v>25</v>
      </c>
      <c r="N53" s="51">
        <v>25</v>
      </c>
      <c r="O53" s="51">
        <v>30</v>
      </c>
      <c r="P53" s="51">
        <v>50</v>
      </c>
      <c r="Q53" s="51">
        <v>39.9</v>
      </c>
      <c r="R53" s="51">
        <v>40.1</v>
      </c>
      <c r="S53" s="51">
        <v>40</v>
      </c>
      <c r="T53" s="51">
        <v>50</v>
      </c>
      <c r="U53" s="51">
        <v>49.2</v>
      </c>
      <c r="V53" s="51">
        <v>34</v>
      </c>
      <c r="W53" s="51">
        <v>40.5</v>
      </c>
      <c r="X53" s="51">
        <v>34</v>
      </c>
      <c r="Y53" s="51">
        <v>43.1</v>
      </c>
      <c r="Z53" s="51">
        <v>58</v>
      </c>
      <c r="AA53" s="51">
        <v>58</v>
      </c>
      <c r="AB53" s="51">
        <v>40</v>
      </c>
      <c r="AC53" s="51">
        <v>40</v>
      </c>
      <c r="AD53" s="51">
        <v>14</v>
      </c>
      <c r="AE53" s="51">
        <v>14</v>
      </c>
      <c r="AF53" s="51">
        <v>0</v>
      </c>
      <c r="AG53" s="59">
        <v>60</v>
      </c>
      <c r="AH53" s="54">
        <f t="shared" si="2"/>
        <v>58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6</v>
      </c>
      <c r="C54" s="70">
        <v>6.4</v>
      </c>
      <c r="D54" s="70">
        <v>4.5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4.4000000000000004</v>
      </c>
      <c r="M54" s="70">
        <v>8.6</v>
      </c>
      <c r="N54" s="70">
        <v>10.4</v>
      </c>
      <c r="O54" s="70">
        <v>21</v>
      </c>
      <c r="P54" s="70">
        <v>22.2</v>
      </c>
      <c r="Q54" s="70">
        <v>5.3</v>
      </c>
      <c r="R54" s="70">
        <v>23.4</v>
      </c>
      <c r="S54" s="70">
        <v>21.1</v>
      </c>
      <c r="T54" s="70">
        <v>22.8</v>
      </c>
      <c r="U54" s="70">
        <v>23.4</v>
      </c>
      <c r="V54" s="70">
        <v>17</v>
      </c>
      <c r="W54" s="70">
        <v>17.3</v>
      </c>
      <c r="X54" s="70">
        <v>14</v>
      </c>
      <c r="Y54" s="70">
        <v>20.3</v>
      </c>
      <c r="Z54" s="70">
        <v>18</v>
      </c>
      <c r="AA54" s="70">
        <v>31</v>
      </c>
      <c r="AB54" s="70">
        <v>19</v>
      </c>
      <c r="AC54" s="70">
        <v>19</v>
      </c>
      <c r="AD54" s="70">
        <v>7</v>
      </c>
      <c r="AE54" s="70">
        <v>7</v>
      </c>
      <c r="AF54" s="70">
        <v>0</v>
      </c>
      <c r="AG54" s="63">
        <v>32</v>
      </c>
      <c r="AH54" s="54">
        <f t="shared" si="2"/>
        <v>31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3</v>
      </c>
      <c r="C55" s="75">
        <v>3</v>
      </c>
      <c r="D55" s="75">
        <v>1.6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1.6</v>
      </c>
      <c r="M55" s="75">
        <v>3.2</v>
      </c>
      <c r="N55" s="75">
        <v>3.8</v>
      </c>
      <c r="O55" s="75">
        <v>5.2</v>
      </c>
      <c r="P55" s="75">
        <v>8.1</v>
      </c>
      <c r="Q55" s="75">
        <v>9.1999999999999993</v>
      </c>
      <c r="R55" s="75">
        <v>8.5</v>
      </c>
      <c r="S55" s="75">
        <v>7.5</v>
      </c>
      <c r="T55" s="75">
        <v>8.3000000000000007</v>
      </c>
      <c r="U55" s="75">
        <v>8.5</v>
      </c>
      <c r="V55" s="75">
        <v>6.2</v>
      </c>
      <c r="W55" s="75">
        <v>6.3</v>
      </c>
      <c r="X55" s="75">
        <v>5.0999999999999996</v>
      </c>
      <c r="Y55" s="75">
        <v>7.4</v>
      </c>
      <c r="Z55" s="75">
        <v>6.5</v>
      </c>
      <c r="AA55" s="75">
        <v>12</v>
      </c>
      <c r="AB55" s="75">
        <v>7</v>
      </c>
      <c r="AC55" s="75">
        <v>7</v>
      </c>
      <c r="AD55" s="75">
        <v>2.5</v>
      </c>
      <c r="AE55" s="75">
        <v>2.4</v>
      </c>
      <c r="AF55" s="75">
        <v>0</v>
      </c>
      <c r="AG55" s="76">
        <v>14</v>
      </c>
      <c r="AH55" s="54">
        <f t="shared" si="2"/>
        <v>12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23</v>
      </c>
      <c r="C56" s="69">
        <f t="shared" si="7"/>
        <v>23.4</v>
      </c>
      <c r="D56" s="69">
        <f t="shared" si="7"/>
        <v>6.1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16</v>
      </c>
      <c r="M56" s="69">
        <f t="shared" si="7"/>
        <v>36.800000000000004</v>
      </c>
      <c r="N56" s="69">
        <f t="shared" si="7"/>
        <v>39.199999999999996</v>
      </c>
      <c r="O56" s="69">
        <f t="shared" si="7"/>
        <v>56.2</v>
      </c>
      <c r="P56" s="69">
        <f t="shared" si="7"/>
        <v>80.3</v>
      </c>
      <c r="Q56" s="69">
        <f t="shared" si="7"/>
        <v>54.399999999999991</v>
      </c>
      <c r="R56" s="69">
        <f t="shared" si="7"/>
        <v>72</v>
      </c>
      <c r="S56" s="69">
        <f t="shared" si="7"/>
        <v>68.599999999999994</v>
      </c>
      <c r="T56" s="69">
        <f t="shared" si="7"/>
        <v>81.099999999999994</v>
      </c>
      <c r="U56" s="69">
        <f t="shared" si="7"/>
        <v>81.099999999999994</v>
      </c>
      <c r="V56" s="69">
        <f t="shared" si="7"/>
        <v>57.2</v>
      </c>
      <c r="W56" s="69">
        <f t="shared" si="7"/>
        <v>64.099999999999994</v>
      </c>
      <c r="X56" s="69">
        <f t="shared" si="7"/>
        <v>53.1</v>
      </c>
      <c r="Y56" s="69">
        <f t="shared" si="7"/>
        <v>70.800000000000011</v>
      </c>
      <c r="Z56" s="69">
        <f t="shared" si="7"/>
        <v>82.5</v>
      </c>
      <c r="AA56" s="69">
        <f t="shared" si="7"/>
        <v>101</v>
      </c>
      <c r="AB56" s="69">
        <f t="shared" si="7"/>
        <v>66</v>
      </c>
      <c r="AC56" s="69">
        <f t="shared" si="7"/>
        <v>66</v>
      </c>
      <c r="AD56" s="69">
        <f t="shared" si="7"/>
        <v>23.5</v>
      </c>
      <c r="AE56" s="69">
        <f t="shared" si="7"/>
        <v>23.4</v>
      </c>
      <c r="AF56" s="69">
        <f t="shared" si="7"/>
        <v>0</v>
      </c>
      <c r="AG56" s="74">
        <f>SUM(AG53:AG55)</f>
        <v>106</v>
      </c>
      <c r="AH56" s="54">
        <f t="shared" si="2"/>
        <v>101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51</v>
      </c>
      <c r="C57" s="51">
        <v>49</v>
      </c>
      <c r="D57" s="51">
        <v>54</v>
      </c>
      <c r="E57" s="51">
        <v>51.6</v>
      </c>
      <c r="F57" s="51">
        <v>54</v>
      </c>
      <c r="G57" s="51">
        <v>51.9</v>
      </c>
      <c r="H57" s="51">
        <v>52</v>
      </c>
      <c r="I57" s="51">
        <v>65</v>
      </c>
      <c r="J57" s="51">
        <v>60</v>
      </c>
      <c r="K57" s="51">
        <v>59</v>
      </c>
      <c r="L57" s="51">
        <v>60</v>
      </c>
      <c r="M57" s="51">
        <v>66</v>
      </c>
      <c r="N57" s="51">
        <v>71</v>
      </c>
      <c r="O57" s="51">
        <v>69</v>
      </c>
      <c r="P57" s="51">
        <v>70</v>
      </c>
      <c r="Q57" s="51">
        <v>68.099999999999994</v>
      </c>
      <c r="R57" s="51">
        <v>75</v>
      </c>
      <c r="S57" s="51">
        <v>77</v>
      </c>
      <c r="T57" s="51">
        <v>75</v>
      </c>
      <c r="U57" s="51">
        <v>74.900000000000006</v>
      </c>
      <c r="V57" s="51">
        <v>67</v>
      </c>
      <c r="W57" s="51">
        <v>76.8</v>
      </c>
      <c r="X57" s="51">
        <v>74.2</v>
      </c>
      <c r="Y57" s="51">
        <v>68.099999999999994</v>
      </c>
      <c r="Z57" s="51">
        <v>70</v>
      </c>
      <c r="AA57" s="51">
        <v>67</v>
      </c>
      <c r="AB57" s="51">
        <v>77</v>
      </c>
      <c r="AC57" s="51">
        <v>68</v>
      </c>
      <c r="AD57" s="51">
        <v>65</v>
      </c>
      <c r="AE57" s="51">
        <v>66</v>
      </c>
      <c r="AF57" s="51">
        <v>65</v>
      </c>
      <c r="AG57" s="59"/>
      <c r="AH57" s="54">
        <f t="shared" si="2"/>
        <v>77</v>
      </c>
      <c r="AI57" s="55">
        <f t="shared" si="3"/>
        <v>49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-50</v>
      </c>
      <c r="C59" s="70">
        <v>-60</v>
      </c>
      <c r="D59" s="70">
        <v>-45</v>
      </c>
      <c r="E59" s="70">
        <v>-52</v>
      </c>
      <c r="F59" s="70">
        <v>-62.4</v>
      </c>
      <c r="G59" s="70">
        <v>-54</v>
      </c>
      <c r="H59" s="70">
        <v>-50</v>
      </c>
      <c r="I59" s="70">
        <v>-60</v>
      </c>
      <c r="J59" s="70">
        <v>-52</v>
      </c>
      <c r="K59" s="70">
        <v>-39</v>
      </c>
      <c r="L59" s="70">
        <v>-55</v>
      </c>
      <c r="M59" s="70">
        <v>-45.5</v>
      </c>
      <c r="N59" s="70">
        <v>-42.6</v>
      </c>
      <c r="O59" s="70">
        <v>-54</v>
      </c>
      <c r="P59" s="70">
        <v>-56</v>
      </c>
      <c r="Q59" s="70">
        <v>-67.2</v>
      </c>
      <c r="R59" s="70">
        <v>-41</v>
      </c>
      <c r="S59" s="70">
        <v>-54</v>
      </c>
      <c r="T59" s="70">
        <v>-50</v>
      </c>
      <c r="U59" s="70">
        <v>-54.8</v>
      </c>
      <c r="V59" s="70">
        <v>-59.1</v>
      </c>
      <c r="W59" s="70">
        <v>-65</v>
      </c>
      <c r="X59" s="70">
        <v>-38</v>
      </c>
      <c r="Y59" s="70">
        <v>-44</v>
      </c>
      <c r="Z59" s="70">
        <v>-58.3</v>
      </c>
      <c r="AA59" s="70">
        <v>-74</v>
      </c>
      <c r="AB59" s="70">
        <v>-58</v>
      </c>
      <c r="AC59" s="70">
        <v>-54</v>
      </c>
      <c r="AD59" s="70">
        <v>-57</v>
      </c>
      <c r="AE59" s="70">
        <v>-53</v>
      </c>
      <c r="AF59" s="70">
        <v>-60</v>
      </c>
      <c r="AG59" s="77"/>
      <c r="AH59" s="54">
        <f t="shared" si="2"/>
        <v>-38</v>
      </c>
      <c r="AI59" s="55">
        <f t="shared" si="3"/>
        <v>-74</v>
      </c>
      <c r="AK59" s="56"/>
    </row>
    <row r="60" spans="1:37" x14ac:dyDescent="0.25">
      <c r="A60" s="62" t="s">
        <v>68</v>
      </c>
      <c r="B60" s="78">
        <v>27</v>
      </c>
      <c r="C60" s="78">
        <v>27</v>
      </c>
      <c r="D60" s="78">
        <v>28</v>
      </c>
      <c r="E60" s="78">
        <v>26.4</v>
      </c>
      <c r="F60" s="78">
        <v>27</v>
      </c>
      <c r="G60" s="78">
        <v>26</v>
      </c>
      <c r="H60" s="78">
        <v>14</v>
      </c>
      <c r="I60" s="78">
        <v>14</v>
      </c>
      <c r="J60" s="78">
        <v>14</v>
      </c>
      <c r="K60" s="78">
        <v>14</v>
      </c>
      <c r="L60" s="78">
        <v>14</v>
      </c>
      <c r="M60" s="78">
        <v>14</v>
      </c>
      <c r="N60" s="78">
        <v>14</v>
      </c>
      <c r="O60" s="78">
        <v>14</v>
      </c>
      <c r="P60" s="78">
        <v>14</v>
      </c>
      <c r="Q60" s="78">
        <v>14</v>
      </c>
      <c r="R60" s="78">
        <v>14</v>
      </c>
      <c r="S60" s="78">
        <v>14</v>
      </c>
      <c r="T60" s="78">
        <v>14</v>
      </c>
      <c r="U60" s="78">
        <v>14</v>
      </c>
      <c r="V60" s="78">
        <v>14</v>
      </c>
      <c r="W60" s="78">
        <v>14</v>
      </c>
      <c r="X60" s="78">
        <v>14</v>
      </c>
      <c r="Y60" s="78">
        <v>14</v>
      </c>
      <c r="Z60" s="78">
        <v>14</v>
      </c>
      <c r="AA60" s="78">
        <v>14</v>
      </c>
      <c r="AB60" s="78">
        <v>14</v>
      </c>
      <c r="AC60" s="78">
        <v>14</v>
      </c>
      <c r="AD60" s="78">
        <v>14</v>
      </c>
      <c r="AE60" s="78">
        <v>14</v>
      </c>
      <c r="AF60" s="78">
        <v>14</v>
      </c>
      <c r="AG60" s="77"/>
      <c r="AH60" s="54">
        <f t="shared" si="2"/>
        <v>28</v>
      </c>
      <c r="AI60" s="55">
        <f t="shared" si="3"/>
        <v>14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8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9">
        <v>0</v>
      </c>
      <c r="R64" s="79">
        <v>0</v>
      </c>
      <c r="S64" s="79">
        <v>0</v>
      </c>
      <c r="T64" s="79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79">
        <v>0</v>
      </c>
      <c r="AC64" s="79">
        <v>0</v>
      </c>
      <c r="AD64" s="79">
        <v>0</v>
      </c>
      <c r="AE64" s="79">
        <v>0</v>
      </c>
      <c r="AF64" s="79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9">
        <v>0</v>
      </c>
      <c r="R65" s="79">
        <v>0</v>
      </c>
      <c r="S65" s="79">
        <v>0</v>
      </c>
      <c r="T65" s="79">
        <v>0</v>
      </c>
      <c r="U65" s="79">
        <v>0</v>
      </c>
      <c r="V65" s="79">
        <v>0</v>
      </c>
      <c r="W65" s="79">
        <v>0</v>
      </c>
      <c r="X65" s="79">
        <v>0</v>
      </c>
      <c r="Y65" s="79">
        <v>0</v>
      </c>
      <c r="Z65" s="79">
        <v>0</v>
      </c>
      <c r="AA65" s="79">
        <v>0</v>
      </c>
      <c r="AB65" s="79">
        <v>0</v>
      </c>
      <c r="AC65" s="79">
        <v>0</v>
      </c>
      <c r="AD65" s="79">
        <v>0</v>
      </c>
      <c r="AE65" s="79">
        <v>0</v>
      </c>
      <c r="AF65" s="79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79">
        <v>0</v>
      </c>
      <c r="R66" s="79">
        <v>0</v>
      </c>
      <c r="S66" s="79">
        <v>0</v>
      </c>
      <c r="T66" s="79">
        <v>0</v>
      </c>
      <c r="U66" s="79">
        <v>0</v>
      </c>
      <c r="V66" s="79">
        <v>0</v>
      </c>
      <c r="W66" s="79">
        <v>0</v>
      </c>
      <c r="X66" s="79">
        <v>0</v>
      </c>
      <c r="Y66" s="79">
        <v>0</v>
      </c>
      <c r="Z66" s="79">
        <v>0</v>
      </c>
      <c r="AA66" s="79">
        <v>0</v>
      </c>
      <c r="AB66" s="79">
        <v>0</v>
      </c>
      <c r="AC66" s="79">
        <v>0</v>
      </c>
      <c r="AD66" s="79">
        <v>0</v>
      </c>
      <c r="AE66" s="79">
        <v>0</v>
      </c>
      <c r="AF66" s="79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79">
        <v>0</v>
      </c>
      <c r="R67" s="79">
        <v>0</v>
      </c>
      <c r="S67" s="79">
        <v>0</v>
      </c>
      <c r="T67" s="79">
        <v>0</v>
      </c>
      <c r="U67" s="79">
        <v>0</v>
      </c>
      <c r="V67" s="79">
        <v>0</v>
      </c>
      <c r="W67" s="79">
        <v>0</v>
      </c>
      <c r="X67" s="79">
        <v>0</v>
      </c>
      <c r="Y67" s="79">
        <v>0</v>
      </c>
      <c r="Z67" s="79">
        <v>0</v>
      </c>
      <c r="AA67" s="79">
        <v>0</v>
      </c>
      <c r="AB67" s="79">
        <v>0</v>
      </c>
      <c r="AC67" s="79">
        <v>0</v>
      </c>
      <c r="AD67" s="79">
        <v>0</v>
      </c>
      <c r="AE67" s="79">
        <v>0</v>
      </c>
      <c r="AF67" s="79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36</v>
      </c>
      <c r="C68" s="69">
        <f t="shared" si="8"/>
        <v>24</v>
      </c>
      <c r="D68" s="69">
        <f t="shared" si="8"/>
        <v>45</v>
      </c>
      <c r="E68" s="69">
        <f t="shared" si="8"/>
        <v>34</v>
      </c>
      <c r="F68" s="69">
        <f t="shared" si="8"/>
        <v>26.6</v>
      </c>
      <c r="G68" s="69">
        <f t="shared" si="8"/>
        <v>31.9</v>
      </c>
      <c r="H68" s="69">
        <f t="shared" si="8"/>
        <v>24</v>
      </c>
      <c r="I68" s="69">
        <f t="shared" si="8"/>
        <v>27</v>
      </c>
      <c r="J68" s="69">
        <f t="shared" si="8"/>
        <v>30</v>
      </c>
      <c r="K68" s="69">
        <f t="shared" si="8"/>
        <v>42</v>
      </c>
      <c r="L68" s="69">
        <f t="shared" si="8"/>
        <v>27</v>
      </c>
      <c r="M68" s="69">
        <f t="shared" si="8"/>
        <v>42.5</v>
      </c>
      <c r="N68" s="69">
        <f t="shared" si="8"/>
        <v>50.4</v>
      </c>
      <c r="O68" s="69">
        <f t="shared" si="8"/>
        <v>37</v>
      </c>
      <c r="P68" s="69">
        <f t="shared" si="8"/>
        <v>36</v>
      </c>
      <c r="Q68" s="69">
        <f t="shared" si="8"/>
        <v>22.899999999999991</v>
      </c>
      <c r="R68" s="69">
        <f t="shared" si="8"/>
        <v>56</v>
      </c>
      <c r="S68" s="69">
        <f t="shared" si="8"/>
        <v>45</v>
      </c>
      <c r="T68" s="69">
        <f t="shared" si="8"/>
        <v>47</v>
      </c>
      <c r="U68" s="69">
        <f t="shared" si="8"/>
        <v>42.100000000000009</v>
      </c>
      <c r="V68" s="69">
        <f>SUM(V57:V67)</f>
        <v>29.9</v>
      </c>
      <c r="W68" s="69">
        <f t="shared" si="8"/>
        <v>33.799999999999997</v>
      </c>
      <c r="X68" s="69">
        <f t="shared" si="8"/>
        <v>58.2</v>
      </c>
      <c r="Y68" s="69">
        <f t="shared" si="8"/>
        <v>46.099999999999994</v>
      </c>
      <c r="Z68" s="69">
        <f t="shared" si="8"/>
        <v>33.700000000000003</v>
      </c>
      <c r="AA68" s="69">
        <f t="shared" si="8"/>
        <v>15</v>
      </c>
      <c r="AB68" s="69">
        <f t="shared" si="8"/>
        <v>41</v>
      </c>
      <c r="AC68" s="69">
        <f t="shared" si="8"/>
        <v>36</v>
      </c>
      <c r="AD68" s="69">
        <f t="shared" si="8"/>
        <v>30</v>
      </c>
      <c r="AE68" s="69">
        <f t="shared" si="8"/>
        <v>35</v>
      </c>
      <c r="AF68" s="69">
        <f t="shared" si="8"/>
        <v>27</v>
      </c>
      <c r="AG68" s="74">
        <f>SUM(AG57:AG67)</f>
        <v>0</v>
      </c>
      <c r="AH68" s="54">
        <f t="shared" si="2"/>
        <v>58.2</v>
      </c>
      <c r="AI68" s="55">
        <f t="shared" si="3"/>
        <v>15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>
        <v>70</v>
      </c>
      <c r="Q74" s="86">
        <v>70</v>
      </c>
      <c r="R74" s="86"/>
      <c r="S74" s="86"/>
      <c r="T74" s="86"/>
      <c r="U74" s="86"/>
      <c r="V74" s="86"/>
      <c r="W74" s="86"/>
      <c r="X74" s="86"/>
      <c r="Y74" s="86"/>
      <c r="Z74" s="86">
        <v>30</v>
      </c>
      <c r="AA74" s="86">
        <v>30</v>
      </c>
      <c r="AB74" s="86"/>
      <c r="AC74" s="86"/>
      <c r="AD74" s="86"/>
      <c r="AE74" s="86"/>
      <c r="AF74" s="86"/>
      <c r="AG74" s="74"/>
      <c r="AH74" s="54">
        <f t="shared" si="2"/>
        <v>70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1383.1399999999999</v>
      </c>
      <c r="C75" s="84">
        <f t="shared" si="10"/>
        <v>1368.1399999999999</v>
      </c>
      <c r="D75" s="84">
        <f t="shared" si="10"/>
        <v>1378.74</v>
      </c>
      <c r="E75" s="84">
        <f t="shared" si="10"/>
        <v>1347.44</v>
      </c>
      <c r="F75" s="84">
        <f t="shared" si="10"/>
        <v>1345.44</v>
      </c>
      <c r="G75" s="84">
        <f t="shared" si="10"/>
        <v>1350.3400000000001</v>
      </c>
      <c r="H75" s="84">
        <f t="shared" si="10"/>
        <v>1315.04</v>
      </c>
      <c r="I75" s="84">
        <f t="shared" si="10"/>
        <v>1323.44</v>
      </c>
      <c r="J75" s="84">
        <f t="shared" si="10"/>
        <v>1350.44</v>
      </c>
      <c r="K75" s="84">
        <f t="shared" si="10"/>
        <v>1400.94</v>
      </c>
      <c r="L75" s="84">
        <f t="shared" si="10"/>
        <v>1416.3400000000001</v>
      </c>
      <c r="M75" s="84">
        <f t="shared" si="10"/>
        <v>1442.64</v>
      </c>
      <c r="N75" s="84">
        <f t="shared" si="10"/>
        <v>1448.94</v>
      </c>
      <c r="O75" s="84">
        <f t="shared" si="10"/>
        <v>1461.54</v>
      </c>
      <c r="P75" s="84">
        <f t="shared" si="10"/>
        <v>1473.3400000000001</v>
      </c>
      <c r="Q75" s="84">
        <f t="shared" si="10"/>
        <v>1467.54</v>
      </c>
      <c r="R75" s="84">
        <f t="shared" si="10"/>
        <v>1508.6399999999999</v>
      </c>
      <c r="S75" s="84">
        <f>S72+S68+S56+S52+S38+S74</f>
        <v>1572.24</v>
      </c>
      <c r="T75" s="84">
        <f t="shared" si="10"/>
        <v>1534.44</v>
      </c>
      <c r="U75" s="84">
        <f>U72+U68+U56+U52+U38+U74</f>
        <v>1537.8400000000001</v>
      </c>
      <c r="V75" s="84">
        <f t="shared" si="10"/>
        <v>1481.74</v>
      </c>
      <c r="W75" s="84">
        <f t="shared" si="10"/>
        <v>1436.5400000000002</v>
      </c>
      <c r="X75" s="84">
        <f t="shared" si="10"/>
        <v>1430.94</v>
      </c>
      <c r="Y75" s="84">
        <f t="shared" si="10"/>
        <v>1426.5400000000002</v>
      </c>
      <c r="Z75" s="84">
        <f t="shared" si="10"/>
        <v>1545.8400000000001</v>
      </c>
      <c r="AA75" s="84">
        <f t="shared" si="10"/>
        <v>1603.64</v>
      </c>
      <c r="AB75" s="84">
        <f t="shared" si="10"/>
        <v>1519.64</v>
      </c>
      <c r="AC75" s="84">
        <f t="shared" si="10"/>
        <v>1537.0400000000002</v>
      </c>
      <c r="AD75" s="84">
        <f t="shared" si="10"/>
        <v>1438.04</v>
      </c>
      <c r="AE75" s="84">
        <f t="shared" si="10"/>
        <v>1302.94</v>
      </c>
      <c r="AF75" s="84">
        <f t="shared" si="10"/>
        <v>1248.5400000000002</v>
      </c>
      <c r="AG75" s="74">
        <f>AG72+AG68+AG56+AG52+AG38+AG74</f>
        <v>2144.14</v>
      </c>
      <c r="AH75" s="54">
        <f t="shared" si="2"/>
        <v>1603.64</v>
      </c>
      <c r="AI75" s="55">
        <f t="shared" si="3"/>
        <v>1248.5400000000002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2585.0299999999997</v>
      </c>
      <c r="C83" s="69">
        <f t="shared" si="14"/>
        <v>2570.0299999999997</v>
      </c>
      <c r="D83" s="69">
        <f t="shared" si="14"/>
        <v>2580.63</v>
      </c>
      <c r="E83" s="69">
        <f t="shared" si="14"/>
        <v>2549.33</v>
      </c>
      <c r="F83" s="69">
        <f t="shared" si="14"/>
        <v>2547.33</v>
      </c>
      <c r="G83" s="69">
        <f t="shared" si="14"/>
        <v>2552.23</v>
      </c>
      <c r="H83" s="69">
        <f t="shared" si="14"/>
        <v>2516.9299999999998</v>
      </c>
      <c r="I83" s="69">
        <f t="shared" si="14"/>
        <v>2525.33</v>
      </c>
      <c r="J83" s="69">
        <f t="shared" si="14"/>
        <v>2552.33</v>
      </c>
      <c r="K83" s="69">
        <f t="shared" si="14"/>
        <v>2602.83</v>
      </c>
      <c r="L83" s="69">
        <f t="shared" si="14"/>
        <v>2618.23</v>
      </c>
      <c r="M83" s="69">
        <f t="shared" si="14"/>
        <v>2644.5299999999997</v>
      </c>
      <c r="N83" s="69">
        <f t="shared" si="14"/>
        <v>2650.83</v>
      </c>
      <c r="O83" s="69">
        <f t="shared" si="14"/>
        <v>2663.43</v>
      </c>
      <c r="P83" s="69">
        <f t="shared" si="14"/>
        <v>2745.23</v>
      </c>
      <c r="Q83" s="69">
        <f t="shared" si="14"/>
        <v>2739.43</v>
      </c>
      <c r="R83" s="69">
        <f t="shared" si="14"/>
        <v>2710.5299999999997</v>
      </c>
      <c r="S83" s="69">
        <f t="shared" si="14"/>
        <v>2774.13</v>
      </c>
      <c r="T83" s="69">
        <f t="shared" si="14"/>
        <v>2736.33</v>
      </c>
      <c r="U83" s="69">
        <f t="shared" si="14"/>
        <v>2739.73</v>
      </c>
      <c r="V83" s="69">
        <f t="shared" si="14"/>
        <v>2683.63</v>
      </c>
      <c r="W83" s="69">
        <f t="shared" si="14"/>
        <v>2638.4300000000003</v>
      </c>
      <c r="X83" s="69">
        <f t="shared" si="14"/>
        <v>2632.83</v>
      </c>
      <c r="Y83" s="69">
        <f t="shared" si="14"/>
        <v>2628.4300000000003</v>
      </c>
      <c r="Z83" s="69">
        <f t="shared" si="14"/>
        <v>2777.73</v>
      </c>
      <c r="AA83" s="69">
        <f t="shared" si="14"/>
        <v>2835.5299999999997</v>
      </c>
      <c r="AB83" s="69">
        <f t="shared" si="14"/>
        <v>2721.5299999999997</v>
      </c>
      <c r="AC83" s="69">
        <f t="shared" si="14"/>
        <v>2738.9300000000003</v>
      </c>
      <c r="AD83" s="69">
        <f t="shared" si="14"/>
        <v>2639.93</v>
      </c>
      <c r="AE83" s="69">
        <f t="shared" si="14"/>
        <v>2504.83</v>
      </c>
      <c r="AF83" s="69">
        <f t="shared" si="14"/>
        <v>2450.4300000000003</v>
      </c>
      <c r="AG83" s="74">
        <f t="shared" si="14"/>
        <v>4360.08</v>
      </c>
      <c r="AH83" s="54">
        <f t="shared" si="11"/>
        <v>2835.5299999999997</v>
      </c>
      <c r="AI83" s="55">
        <f t="shared" si="12"/>
        <v>2450.4300000000003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49.976999999999997</v>
      </c>
      <c r="C84" s="90">
        <v>49.930999999999997</v>
      </c>
      <c r="D84" s="90">
        <v>49.954999999999998</v>
      </c>
      <c r="E84" s="90">
        <v>49.896000000000001</v>
      </c>
      <c r="F84" s="90">
        <v>49.935000000000002</v>
      </c>
      <c r="G84" s="90">
        <v>49.905000000000001</v>
      </c>
      <c r="H84" s="90">
        <v>50.04</v>
      </c>
      <c r="I84" s="90">
        <v>49.945</v>
      </c>
      <c r="J84" s="90">
        <v>49.997</v>
      </c>
      <c r="K84" s="90">
        <v>50.01</v>
      </c>
      <c r="L84" s="90">
        <v>50.03</v>
      </c>
      <c r="M84" s="90">
        <v>50.09</v>
      </c>
      <c r="N84" s="90">
        <v>50.079000000000001</v>
      </c>
      <c r="O84" s="90">
        <v>49.99</v>
      </c>
      <c r="P84" s="90">
        <v>49.81</v>
      </c>
      <c r="Q84" s="90">
        <v>49.832000000000001</v>
      </c>
      <c r="R84" s="90">
        <v>50.05</v>
      </c>
      <c r="S84" s="90">
        <v>49.923999999999999</v>
      </c>
      <c r="T84" s="90">
        <v>49.895000000000003</v>
      </c>
      <c r="U84" s="90">
        <v>49.911999999999999</v>
      </c>
      <c r="V84" s="90">
        <v>49.929000000000002</v>
      </c>
      <c r="W84" s="90">
        <v>49.987000000000002</v>
      </c>
      <c r="X84" s="90">
        <v>49.962000000000003</v>
      </c>
      <c r="Y84" s="90">
        <v>50.061</v>
      </c>
      <c r="Z84" s="90">
        <v>49.957999999999998</v>
      </c>
      <c r="AA84" s="90">
        <v>50.024999999999999</v>
      </c>
      <c r="AB84" s="90">
        <v>50.002000000000002</v>
      </c>
      <c r="AC84" s="90">
        <v>50.002000000000002</v>
      </c>
      <c r="AD84" s="90">
        <v>49.99</v>
      </c>
      <c r="AE84" s="90">
        <v>50.02</v>
      </c>
      <c r="AF84" s="90">
        <v>49.79</v>
      </c>
      <c r="AG84" s="91"/>
      <c r="AH84" s="54">
        <f t="shared" si="11"/>
        <v>50.09</v>
      </c>
      <c r="AI84" s="55">
        <f t="shared" si="12"/>
        <v>49.79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123</v>
      </c>
      <c r="C85" s="70">
        <v>122</v>
      </c>
      <c r="D85" s="70">
        <v>121</v>
      </c>
      <c r="E85" s="70">
        <v>121.7</v>
      </c>
      <c r="F85" s="70">
        <v>121.5</v>
      </c>
      <c r="G85" s="70">
        <v>121.2</v>
      </c>
      <c r="H85" s="70">
        <v>123.2</v>
      </c>
      <c r="I85" s="70">
        <v>122.6</v>
      </c>
      <c r="J85" s="70">
        <v>123.1</v>
      </c>
      <c r="K85" s="70">
        <v>120.8</v>
      </c>
      <c r="L85" s="70">
        <v>120.8</v>
      </c>
      <c r="M85" s="70">
        <v>121.9</v>
      </c>
      <c r="N85" s="70">
        <v>121</v>
      </c>
      <c r="O85" s="70">
        <v>119</v>
      </c>
      <c r="P85" s="70">
        <v>120.2</v>
      </c>
      <c r="Q85" s="70">
        <v>121.7</v>
      </c>
      <c r="R85" s="70">
        <v>120.3</v>
      </c>
      <c r="S85" s="70">
        <v>120.7</v>
      </c>
      <c r="T85" s="70">
        <v>121</v>
      </c>
      <c r="U85" s="70">
        <v>120.3</v>
      </c>
      <c r="V85" s="70">
        <v>122.9</v>
      </c>
      <c r="W85" s="70">
        <v>124.1</v>
      </c>
      <c r="X85" s="70">
        <v>122.5</v>
      </c>
      <c r="Y85" s="70">
        <v>123.7</v>
      </c>
      <c r="Z85" s="70">
        <v>123</v>
      </c>
      <c r="AA85" s="70">
        <v>123.4</v>
      </c>
      <c r="AB85" s="70">
        <v>124</v>
      </c>
      <c r="AC85" s="70">
        <v>124</v>
      </c>
      <c r="AD85" s="70">
        <v>127</v>
      </c>
      <c r="AE85" s="70">
        <v>127.5</v>
      </c>
      <c r="AF85" s="70">
        <v>127.5</v>
      </c>
      <c r="AG85" s="93"/>
      <c r="AH85" s="54">
        <f t="shared" si="11"/>
        <v>127.5</v>
      </c>
      <c r="AI85" s="55">
        <f t="shared" si="12"/>
        <v>119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</v>
      </c>
      <c r="C86" s="70">
        <v>128</v>
      </c>
      <c r="D86" s="70">
        <v>127</v>
      </c>
      <c r="E86" s="70">
        <v>127.1</v>
      </c>
      <c r="F86" s="70">
        <v>127.3</v>
      </c>
      <c r="G86" s="70">
        <v>126.6</v>
      </c>
      <c r="H86" s="70">
        <v>127.3</v>
      </c>
      <c r="I86" s="70">
        <v>126.9</v>
      </c>
      <c r="J86" s="70">
        <v>127.4</v>
      </c>
      <c r="K86" s="70">
        <v>125.4</v>
      </c>
      <c r="L86" s="70">
        <v>125.3</v>
      </c>
      <c r="M86" s="70">
        <v>126</v>
      </c>
      <c r="N86" s="70">
        <v>125.4</v>
      </c>
      <c r="O86" s="70">
        <v>124</v>
      </c>
      <c r="P86" s="70">
        <v>124.9</v>
      </c>
      <c r="Q86" s="70">
        <v>125.6</v>
      </c>
      <c r="R86" s="70">
        <v>125.8</v>
      </c>
      <c r="S86" s="70">
        <v>124.9</v>
      </c>
      <c r="T86" s="70">
        <v>125.1</v>
      </c>
      <c r="U86" s="70">
        <v>125.4</v>
      </c>
      <c r="V86" s="70">
        <v>127.2</v>
      </c>
      <c r="W86" s="70">
        <v>127.9</v>
      </c>
      <c r="X86" s="70">
        <v>127.1</v>
      </c>
      <c r="Y86" s="70">
        <v>128.1</v>
      </c>
      <c r="Z86" s="70">
        <v>127.3</v>
      </c>
      <c r="AA86" s="70">
        <v>127.1</v>
      </c>
      <c r="AB86" s="70">
        <v>129</v>
      </c>
      <c r="AC86" s="70">
        <v>129</v>
      </c>
      <c r="AD86" s="70">
        <v>130</v>
      </c>
      <c r="AE86" s="70">
        <v>131.4</v>
      </c>
      <c r="AF86" s="70">
        <v>131.4</v>
      </c>
      <c r="AG86" s="93"/>
      <c r="AH86" s="54">
        <f t="shared" si="11"/>
        <v>131.4</v>
      </c>
      <c r="AI86" s="55">
        <f t="shared" si="12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127</v>
      </c>
      <c r="C87" s="70">
        <v>129</v>
      </c>
      <c r="D87" s="70">
        <v>129</v>
      </c>
      <c r="E87" s="70">
        <v>129.30000000000001</v>
      </c>
      <c r="F87" s="70">
        <v>128.30000000000001</v>
      </c>
      <c r="G87" s="70">
        <v>129.1</v>
      </c>
      <c r="H87" s="70">
        <v>130.5</v>
      </c>
      <c r="I87" s="70">
        <v>129.4</v>
      </c>
      <c r="J87" s="70">
        <v>126.3</v>
      </c>
      <c r="K87" s="70">
        <v>127.9</v>
      </c>
      <c r="L87" s="70">
        <v>128.9</v>
      </c>
      <c r="M87" s="70">
        <v>126.5</v>
      </c>
      <c r="N87" s="70">
        <v>124</v>
      </c>
      <c r="O87" s="70">
        <v>126</v>
      </c>
      <c r="P87" s="70">
        <v>123.8</v>
      </c>
      <c r="Q87" s="70">
        <v>126.3</v>
      </c>
      <c r="R87" s="70">
        <v>124.1</v>
      </c>
      <c r="S87" s="70">
        <v>124.4</v>
      </c>
      <c r="T87" s="70">
        <v>124.3</v>
      </c>
      <c r="U87" s="70">
        <v>126.8</v>
      </c>
      <c r="V87" s="70">
        <v>128.1</v>
      </c>
      <c r="W87" s="70">
        <v>130.9</v>
      </c>
      <c r="X87" s="70">
        <v>128.4</v>
      </c>
      <c r="Y87" s="70">
        <v>130.1</v>
      </c>
      <c r="Z87" s="70">
        <v>127.1</v>
      </c>
      <c r="AA87" s="70">
        <v>126</v>
      </c>
      <c r="AB87" s="70">
        <v>128</v>
      </c>
      <c r="AC87" s="70">
        <v>128</v>
      </c>
      <c r="AD87" s="70">
        <v>129</v>
      </c>
      <c r="AE87" s="70">
        <v>128</v>
      </c>
      <c r="AF87" s="70">
        <v>128</v>
      </c>
      <c r="AG87" s="93"/>
      <c r="AH87" s="54">
        <f t="shared" si="11"/>
        <v>130.9</v>
      </c>
      <c r="AI87" s="55">
        <f t="shared" si="12"/>
        <v>123.8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131</v>
      </c>
      <c r="C88" s="70">
        <v>133</v>
      </c>
      <c r="D88" s="70">
        <v>132</v>
      </c>
      <c r="E88" s="70">
        <v>133.4</v>
      </c>
      <c r="F88" s="70">
        <v>133.30000000000001</v>
      </c>
      <c r="G88" s="70">
        <v>134</v>
      </c>
      <c r="H88" s="70">
        <v>132.5</v>
      </c>
      <c r="I88" s="70">
        <v>132.19999999999999</v>
      </c>
      <c r="J88" s="70">
        <v>129.5</v>
      </c>
      <c r="K88" s="70">
        <v>130.19999999999999</v>
      </c>
      <c r="L88" s="70">
        <v>130.9</v>
      </c>
      <c r="M88" s="70">
        <v>127.4</v>
      </c>
      <c r="N88" s="70">
        <v>124.3</v>
      </c>
      <c r="O88" s="70">
        <v>127.8</v>
      </c>
      <c r="P88" s="70">
        <v>124.5</v>
      </c>
      <c r="Q88" s="70">
        <v>127.8</v>
      </c>
      <c r="R88" s="70">
        <v>125.8</v>
      </c>
      <c r="S88" s="70">
        <v>124.9</v>
      </c>
      <c r="T88" s="70">
        <v>124.8</v>
      </c>
      <c r="U88" s="70">
        <v>127.2</v>
      </c>
      <c r="V88" s="70">
        <v>129.69999999999999</v>
      </c>
      <c r="W88" s="70">
        <v>130.9</v>
      </c>
      <c r="X88" s="70">
        <v>129.19999999999999</v>
      </c>
      <c r="Y88" s="70">
        <v>131</v>
      </c>
      <c r="Z88" s="70">
        <v>128.6</v>
      </c>
      <c r="AA88" s="70">
        <v>127.4</v>
      </c>
      <c r="AB88" s="70">
        <v>130</v>
      </c>
      <c r="AC88" s="70">
        <v>130</v>
      </c>
      <c r="AD88" s="70">
        <v>132</v>
      </c>
      <c r="AE88" s="70">
        <v>132</v>
      </c>
      <c r="AF88" s="70">
        <v>132</v>
      </c>
      <c r="AG88" s="93"/>
      <c r="AH88" s="54">
        <f t="shared" si="11"/>
        <v>134</v>
      </c>
      <c r="AI88" s="55">
        <f t="shared" si="12"/>
        <v>124.3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127</v>
      </c>
      <c r="C89" s="95">
        <v>129</v>
      </c>
      <c r="D89" s="95">
        <v>130</v>
      </c>
      <c r="E89" s="95">
        <v>130.5</v>
      </c>
      <c r="F89" s="95">
        <v>132.80000000000001</v>
      </c>
      <c r="G89" s="95">
        <v>131.30000000000001</v>
      </c>
      <c r="H89" s="95">
        <v>136.69999999999999</v>
      </c>
      <c r="I89" s="95">
        <v>134</v>
      </c>
      <c r="J89" s="95">
        <v>133</v>
      </c>
      <c r="K89" s="95">
        <v>133.5</v>
      </c>
      <c r="L89" s="95">
        <v>131.5</v>
      </c>
      <c r="M89" s="95">
        <v>135.1</v>
      </c>
      <c r="N89" s="95">
        <v>129.5</v>
      </c>
      <c r="O89" s="95">
        <v>128.80000000000001</v>
      </c>
      <c r="P89" s="95">
        <v>128.80000000000001</v>
      </c>
      <c r="Q89" s="95">
        <v>133.1</v>
      </c>
      <c r="R89" s="95">
        <v>129.19999999999999</v>
      </c>
      <c r="S89" s="95">
        <v>128.19999999999999</v>
      </c>
      <c r="T89" s="95">
        <v>129.1</v>
      </c>
      <c r="U89" s="95">
        <v>134.4</v>
      </c>
      <c r="V89" s="95">
        <v>129.69999999999999</v>
      </c>
      <c r="W89" s="95">
        <v>134.4</v>
      </c>
      <c r="X89" s="95">
        <v>130</v>
      </c>
      <c r="Y89" s="95">
        <v>134.1</v>
      </c>
      <c r="Z89" s="95">
        <v>135.1</v>
      </c>
      <c r="AA89" s="95">
        <v>133.69999999999999</v>
      </c>
      <c r="AB89" s="95">
        <v>132</v>
      </c>
      <c r="AC89" s="95">
        <v>132</v>
      </c>
      <c r="AD89" s="95">
        <v>129</v>
      </c>
      <c r="AE89" s="95">
        <v>130</v>
      </c>
      <c r="AF89" s="95">
        <v>130</v>
      </c>
      <c r="AG89" s="96"/>
      <c r="AH89" s="54">
        <f t="shared" si="11"/>
        <v>136.69999999999999</v>
      </c>
      <c r="AI89" s="55">
        <f t="shared" si="12"/>
        <v>127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126</v>
      </c>
      <c r="C90" s="70">
        <v>129</v>
      </c>
      <c r="D90" s="70">
        <v>129</v>
      </c>
      <c r="E90" s="70">
        <v>129.6</v>
      </c>
      <c r="F90" s="70">
        <v>131.5</v>
      </c>
      <c r="G90" s="70">
        <v>130</v>
      </c>
      <c r="H90" s="70">
        <v>133.69999999999999</v>
      </c>
      <c r="I90" s="70">
        <v>131.80000000000001</v>
      </c>
      <c r="J90" s="70">
        <v>130.4</v>
      </c>
      <c r="K90" s="70">
        <v>129.69999999999999</v>
      </c>
      <c r="L90" s="70">
        <v>126.5</v>
      </c>
      <c r="M90" s="70">
        <v>129.1</v>
      </c>
      <c r="N90" s="70">
        <v>121</v>
      </c>
      <c r="O90" s="70">
        <v>121.5</v>
      </c>
      <c r="P90" s="70">
        <v>121.5</v>
      </c>
      <c r="Q90" s="70">
        <v>121.9</v>
      </c>
      <c r="R90" s="70">
        <v>125.1</v>
      </c>
      <c r="S90" s="70">
        <v>124.6</v>
      </c>
      <c r="T90" s="70">
        <v>120.7</v>
      </c>
      <c r="U90" s="70">
        <v>132.6</v>
      </c>
      <c r="V90" s="70">
        <v>126</v>
      </c>
      <c r="W90" s="70">
        <v>133.6</v>
      </c>
      <c r="X90" s="70">
        <v>123</v>
      </c>
      <c r="Y90" s="70">
        <v>132.4</v>
      </c>
      <c r="Z90" s="70">
        <v>130.1</v>
      </c>
      <c r="AA90" s="70">
        <v>127</v>
      </c>
      <c r="AB90" s="70">
        <v>123</v>
      </c>
      <c r="AC90" s="70">
        <v>123</v>
      </c>
      <c r="AD90" s="70">
        <v>125</v>
      </c>
      <c r="AE90" s="70">
        <v>129</v>
      </c>
      <c r="AF90" s="70">
        <v>129</v>
      </c>
      <c r="AG90" s="93"/>
      <c r="AH90" s="54">
        <f t="shared" si="11"/>
        <v>133.69999999999999</v>
      </c>
      <c r="AI90" s="55">
        <f t="shared" si="12"/>
        <v>120.7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64.599999999999994</v>
      </c>
      <c r="C91" s="97">
        <v>64.7</v>
      </c>
      <c r="D91" s="97">
        <v>64</v>
      </c>
      <c r="E91" s="97">
        <v>64.2</v>
      </c>
      <c r="F91" s="97">
        <v>64.3</v>
      </c>
      <c r="G91" s="97">
        <v>63.9</v>
      </c>
      <c r="H91" s="97">
        <v>63.9</v>
      </c>
      <c r="I91" s="97">
        <v>64</v>
      </c>
      <c r="J91" s="97">
        <v>64.2</v>
      </c>
      <c r="K91" s="97">
        <v>63.2</v>
      </c>
      <c r="L91" s="97">
        <v>63.3</v>
      </c>
      <c r="M91" s="97">
        <v>63.4</v>
      </c>
      <c r="N91" s="97">
        <v>63.3</v>
      </c>
      <c r="O91" s="97">
        <v>63.1</v>
      </c>
      <c r="P91" s="97">
        <v>63</v>
      </c>
      <c r="Q91" s="97">
        <v>63.3</v>
      </c>
      <c r="R91" s="97">
        <v>65.400000000000006</v>
      </c>
      <c r="S91" s="97">
        <v>62.9</v>
      </c>
      <c r="T91" s="97">
        <v>63.1</v>
      </c>
      <c r="U91" s="97">
        <v>63.2</v>
      </c>
      <c r="V91" s="97">
        <v>64</v>
      </c>
      <c r="W91" s="97">
        <v>64.2</v>
      </c>
      <c r="X91" s="97">
        <v>64.099999999999994</v>
      </c>
      <c r="Y91" s="97">
        <v>64.400000000000006</v>
      </c>
      <c r="Z91" s="97">
        <v>64.2</v>
      </c>
      <c r="AA91" s="97">
        <v>64</v>
      </c>
      <c r="AB91" s="97">
        <v>65</v>
      </c>
      <c r="AC91" s="97">
        <v>65</v>
      </c>
      <c r="AD91" s="97">
        <v>65.599999999999994</v>
      </c>
      <c r="AE91" s="97">
        <v>65.8</v>
      </c>
      <c r="AF91" s="97">
        <v>65.8</v>
      </c>
      <c r="AG91" s="98"/>
      <c r="AH91" s="54">
        <f t="shared" si="11"/>
        <v>65.8</v>
      </c>
      <c r="AI91" s="55">
        <f t="shared" si="12"/>
        <v>62.9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159.44</v>
      </c>
      <c r="C93" s="103">
        <f t="shared" si="15"/>
        <v>148.23999999999998</v>
      </c>
      <c r="D93" s="103">
        <f t="shared" si="15"/>
        <v>157.73999999999998</v>
      </c>
      <c r="E93" s="103">
        <f t="shared" si="15"/>
        <v>138.83999999999997</v>
      </c>
      <c r="F93" s="103">
        <f t="shared" si="15"/>
        <v>144.03999999999994</v>
      </c>
      <c r="G93" s="103">
        <f t="shared" si="15"/>
        <v>164.13999999999996</v>
      </c>
      <c r="H93" s="103">
        <f t="shared" si="15"/>
        <v>193.33999999999997</v>
      </c>
      <c r="I93" s="103">
        <f t="shared" si="15"/>
        <v>211.43999999999994</v>
      </c>
      <c r="J93" s="103">
        <f t="shared" si="15"/>
        <v>252.53999999999996</v>
      </c>
      <c r="K93" s="103">
        <f>SUM(K15,K18,K21:K22,K42,K44:K45,K47,K49,K94:K97,K103,K109,K115,K124,K126,K138,K145,K148:K149,K156,K158,K160,K164:K166,K168:K170,K175,K181:K182,K184:K186,K194,K199)</f>
        <v>277.44</v>
      </c>
      <c r="L93" s="103">
        <f>SUM(L15,L18,L21:L22,L42,L44:L45,L47,L49,L94:L97,L103,L109,L115,L124,L126,L138,L145,L148:L149,L156,L158,L160,L164:L166,L168:L170,L175,L181:L182,L184:L186,L194,L199)</f>
        <v>292.44</v>
      </c>
      <c r="M93" s="103">
        <f t="shared" si="15"/>
        <v>302.54000000000002</v>
      </c>
      <c r="N93" s="103">
        <f t="shared" si="15"/>
        <v>290.64</v>
      </c>
      <c r="O93" s="103">
        <f t="shared" si="15"/>
        <v>316.44</v>
      </c>
      <c r="P93" s="103">
        <f t="shared" si="15"/>
        <v>317.74</v>
      </c>
      <c r="Q93" s="103">
        <f t="shared" si="15"/>
        <v>303.34000000000003</v>
      </c>
      <c r="R93" s="103">
        <f t="shared" si="15"/>
        <v>303.74000000000007</v>
      </c>
      <c r="S93" s="103">
        <f t="shared" si="15"/>
        <v>315.44000000000005</v>
      </c>
      <c r="T93" s="103">
        <f t="shared" si="15"/>
        <v>307.14000000000004</v>
      </c>
      <c r="U93" s="103">
        <f t="shared" si="15"/>
        <v>308.24000000000007</v>
      </c>
      <c r="V93" s="103">
        <f t="shared" si="15"/>
        <v>306.04000000000002</v>
      </c>
      <c r="W93" s="103">
        <f>SUM(W15,W18,W21:W22,W42,W44:W45,W47,W49,W94:W97,W103,W109,W115,W124,W126,W138,W145,W148:W149,W156,W158,W160,W164:W166,W168:W170,W175,W181:W182,W184:W186,W194,W199)</f>
        <v>293.84000000000003</v>
      </c>
      <c r="X93" s="103">
        <f>SUM(X15,X18,X21:X22,X42,X44:X45,X47,X49,X94:X97,X103,X109,X115,X124,X126,X138,X145,X148:X149,X156,X158,X160,X164:X166,X168:X170,X175,X181:X182,X184:X186,X194,X199)</f>
        <v>290.94000000000005</v>
      </c>
      <c r="Y93" s="103">
        <f t="shared" si="15"/>
        <v>307.04000000000008</v>
      </c>
      <c r="Z93" s="103">
        <f t="shared" si="15"/>
        <v>349.34000000000003</v>
      </c>
      <c r="AA93" s="103">
        <f t="shared" si="15"/>
        <v>359.54000000000008</v>
      </c>
      <c r="AB93" s="103">
        <f t="shared" si="15"/>
        <v>331.14000000000004</v>
      </c>
      <c r="AC93" s="103">
        <f t="shared" si="15"/>
        <v>308.84000000000003</v>
      </c>
      <c r="AD93" s="103">
        <f t="shared" si="15"/>
        <v>230.54</v>
      </c>
      <c r="AE93" s="103">
        <f t="shared" si="15"/>
        <v>273.54000000000002</v>
      </c>
      <c r="AF93" s="103">
        <f t="shared" si="15"/>
        <v>161.54</v>
      </c>
      <c r="AG93" s="104"/>
      <c r="AH93" s="54">
        <f>MAX(C93:AF93)</f>
        <v>359.54000000000008</v>
      </c>
      <c r="AI93" s="55">
        <f>MIN(C93:AF93)</f>
        <v>138.83999999999997</v>
      </c>
    </row>
    <row r="94" spans="1:88" x14ac:dyDescent="0.25">
      <c r="A94" s="105" t="s">
        <v>99</v>
      </c>
      <c r="B94" s="106">
        <v>34</v>
      </c>
      <c r="C94" s="106">
        <v>32</v>
      </c>
      <c r="D94" s="106">
        <v>33</v>
      </c>
      <c r="E94" s="106">
        <v>36.1</v>
      </c>
      <c r="F94" s="106">
        <v>28.2</v>
      </c>
      <c r="G94" s="106">
        <v>31</v>
      </c>
      <c r="H94" s="106">
        <v>37.299999999999997</v>
      </c>
      <c r="I94" s="106">
        <v>41.1</v>
      </c>
      <c r="J94" s="106">
        <v>33.4</v>
      </c>
      <c r="K94" s="106">
        <v>45.7</v>
      </c>
      <c r="L94" s="106">
        <v>44.2</v>
      </c>
      <c r="M94" s="106">
        <v>45</v>
      </c>
      <c r="N94" s="106">
        <v>42.7</v>
      </c>
      <c r="O94" s="106">
        <v>43.8</v>
      </c>
      <c r="P94" s="106">
        <v>115</v>
      </c>
      <c r="Q94" s="106">
        <v>108.1</v>
      </c>
      <c r="R94" s="106">
        <v>49.4</v>
      </c>
      <c r="S94" s="106">
        <v>43.9</v>
      </c>
      <c r="T94" s="106">
        <v>37.9</v>
      </c>
      <c r="U94" s="106">
        <v>39.799999999999997</v>
      </c>
      <c r="V94" s="106">
        <v>47.5</v>
      </c>
      <c r="W94" s="106">
        <v>49.2</v>
      </c>
      <c r="X94" s="106">
        <v>47</v>
      </c>
      <c r="Y94" s="106">
        <v>45.5</v>
      </c>
      <c r="Z94" s="106">
        <v>43.8</v>
      </c>
      <c r="AA94" s="106">
        <v>34</v>
      </c>
      <c r="AB94" s="106">
        <v>50</v>
      </c>
      <c r="AC94" s="106">
        <v>36</v>
      </c>
      <c r="AD94" s="106">
        <v>35</v>
      </c>
      <c r="AE94" s="106">
        <v>41</v>
      </c>
      <c r="AF94" s="106">
        <v>38</v>
      </c>
      <c r="AG94" s="107">
        <v>75</v>
      </c>
      <c r="AH94" s="54">
        <f t="shared" ref="AH94:AH100" si="16">IF(ABS(MAX(C94:AF94))&gt;ABS(MIN(C94:AF94)),MAX(C94:AF94),MIN(C94:AF94))</f>
        <v>115</v>
      </c>
      <c r="AI94" s="108">
        <f t="shared" ref="AI94:AI100" si="17">INDEX($C$9:$AF$9,1,MATCH(AH94,C94:AF94,0))</f>
        <v>0.45833333333333298</v>
      </c>
    </row>
    <row r="95" spans="1:88" x14ac:dyDescent="0.25">
      <c r="A95" s="109" t="s">
        <v>100</v>
      </c>
      <c r="B95" s="110">
        <v>-98</v>
      </c>
      <c r="C95" s="110">
        <v>-105</v>
      </c>
      <c r="D95" s="110">
        <v>-105</v>
      </c>
      <c r="E95" s="110">
        <v>-115</v>
      </c>
      <c r="F95" s="110">
        <v>-104</v>
      </c>
      <c r="G95" s="110">
        <v>-90</v>
      </c>
      <c r="H95" s="110">
        <v>-70</v>
      </c>
      <c r="I95" s="110">
        <v>-58</v>
      </c>
      <c r="J95" s="110">
        <v>-68</v>
      </c>
      <c r="K95" s="110">
        <v>-66</v>
      </c>
      <c r="L95" s="110">
        <v>-60</v>
      </c>
      <c r="M95" s="110">
        <v>-55.7</v>
      </c>
      <c r="N95" s="110">
        <v>-65</v>
      </c>
      <c r="O95" s="110">
        <v>-50</v>
      </c>
      <c r="P95" s="110">
        <v>-115</v>
      </c>
      <c r="Q95" s="110">
        <f>-50.2-61.4</f>
        <v>-111.6</v>
      </c>
      <c r="R95" s="110">
        <f>-26-34.8</f>
        <v>-60.8</v>
      </c>
      <c r="S95" s="110">
        <f>-25-34</f>
        <v>-59</v>
      </c>
      <c r="T95" s="110">
        <f>-24.8-34.7</f>
        <v>-59.5</v>
      </c>
      <c r="U95" s="110">
        <f>-25.2-35</f>
        <v>-60.2</v>
      </c>
      <c r="V95" s="110">
        <v>-53</v>
      </c>
      <c r="W95" s="110">
        <f>-25-33.1</f>
        <v>-58.1</v>
      </c>
      <c r="X95" s="110">
        <f>-27.4-34.1</f>
        <v>-61.5</v>
      </c>
      <c r="Y95" s="110">
        <f>-23.1-32</f>
        <v>-55.1</v>
      </c>
      <c r="Z95" s="110">
        <f>-17.9-25.5</f>
        <v>-43.4</v>
      </c>
      <c r="AA95" s="110">
        <f>-11-22</f>
        <v>-33</v>
      </c>
      <c r="AB95" s="110">
        <v>-52</v>
      </c>
      <c r="AC95" s="110">
        <v>-62</v>
      </c>
      <c r="AD95" s="110">
        <v>-75</v>
      </c>
      <c r="AE95" s="110">
        <v>-47</v>
      </c>
      <c r="AF95" s="110">
        <v>-108</v>
      </c>
      <c r="AG95" s="107">
        <v>240</v>
      </c>
      <c r="AH95" s="54">
        <f t="shared" si="16"/>
        <v>-115</v>
      </c>
      <c r="AI95" s="108">
        <f t="shared" si="17"/>
        <v>0.125</v>
      </c>
    </row>
    <row r="96" spans="1:88" x14ac:dyDescent="0.25">
      <c r="A96" s="109" t="s">
        <v>101</v>
      </c>
      <c r="B96" s="110">
        <v>2.2000000000000002</v>
      </c>
      <c r="C96" s="110">
        <v>0</v>
      </c>
      <c r="D96" s="110">
        <v>8.5</v>
      </c>
      <c r="E96" s="110">
        <v>-4</v>
      </c>
      <c r="F96" s="110">
        <v>-3.5</v>
      </c>
      <c r="G96" s="110">
        <v>1</v>
      </c>
      <c r="H96" s="110">
        <v>4.3</v>
      </c>
      <c r="I96" s="110">
        <v>6.6</v>
      </c>
      <c r="J96" s="110">
        <v>7</v>
      </c>
      <c r="K96" s="110">
        <v>9</v>
      </c>
      <c r="L96" s="110">
        <v>17.5</v>
      </c>
      <c r="M96" s="110">
        <v>18.5</v>
      </c>
      <c r="N96" s="110">
        <v>21.2</v>
      </c>
      <c r="O96" s="110">
        <v>33</v>
      </c>
      <c r="P96" s="110">
        <v>30.5</v>
      </c>
      <c r="Q96" s="110">
        <v>26.5</v>
      </c>
      <c r="R96" s="110">
        <v>29.5</v>
      </c>
      <c r="S96" s="110">
        <v>29.4</v>
      </c>
      <c r="T96" s="110">
        <v>38.5</v>
      </c>
      <c r="U96" s="110">
        <v>38</v>
      </c>
      <c r="V96" s="110">
        <v>40.700000000000003</v>
      </c>
      <c r="W96" s="110">
        <v>29.3</v>
      </c>
      <c r="X96" s="110">
        <v>31.2</v>
      </c>
      <c r="Y96" s="110">
        <v>38.200000000000003</v>
      </c>
      <c r="Z96" s="110">
        <v>50.4</v>
      </c>
      <c r="AA96" s="110">
        <v>52</v>
      </c>
      <c r="AB96" s="110">
        <v>39</v>
      </c>
      <c r="AC96" s="110">
        <v>37</v>
      </c>
      <c r="AD96" s="110">
        <v>17</v>
      </c>
      <c r="AE96" s="110">
        <v>13</v>
      </c>
      <c r="AF96" s="110">
        <v>-2</v>
      </c>
      <c r="AG96" s="107">
        <v>60</v>
      </c>
      <c r="AH96" s="54">
        <f t="shared" si="16"/>
        <v>52</v>
      </c>
      <c r="AI96" s="108">
        <f t="shared" si="17"/>
        <v>0.8125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58.4</v>
      </c>
      <c r="K97" s="112">
        <v>67</v>
      </c>
      <c r="L97" s="112">
        <v>69</v>
      </c>
      <c r="M97" s="112">
        <v>63</v>
      </c>
      <c r="N97" s="112">
        <v>60</v>
      </c>
      <c r="O97" s="112">
        <v>57.9</v>
      </c>
      <c r="P97" s="112">
        <v>55.5</v>
      </c>
      <c r="Q97" s="112">
        <v>48.4</v>
      </c>
      <c r="R97" s="112">
        <v>54.5</v>
      </c>
      <c r="S97" s="112">
        <v>70</v>
      </c>
      <c r="T97" s="112">
        <v>59.4</v>
      </c>
      <c r="U97" s="112">
        <v>59.5</v>
      </c>
      <c r="V97" s="112">
        <v>39.700000000000003</v>
      </c>
      <c r="W97" s="112">
        <v>42.3</v>
      </c>
      <c r="X97" s="112">
        <v>43.1</v>
      </c>
      <c r="Y97" s="112">
        <v>47.3</v>
      </c>
      <c r="Z97" s="112">
        <v>67.400000000000006</v>
      </c>
      <c r="AA97" s="112">
        <v>75.400000000000006</v>
      </c>
      <c r="AB97" s="112">
        <v>63</v>
      </c>
      <c r="AC97" s="112">
        <v>64</v>
      </c>
      <c r="AD97" s="112">
        <v>20</v>
      </c>
      <c r="AE97" s="112">
        <v>33</v>
      </c>
      <c r="AF97" s="112">
        <v>0</v>
      </c>
      <c r="AG97" s="113">
        <v>120</v>
      </c>
      <c r="AH97" s="54">
        <f t="shared" si="16"/>
        <v>75.400000000000006</v>
      </c>
      <c r="AI97" s="108">
        <f t="shared" si="17"/>
        <v>0.8125</v>
      </c>
    </row>
    <row r="98" spans="1:37" x14ac:dyDescent="0.25">
      <c r="A98" s="111" t="s">
        <v>103</v>
      </c>
      <c r="B98" s="112">
        <v>52</v>
      </c>
      <c r="C98" s="112">
        <v>44</v>
      </c>
      <c r="D98" s="112">
        <v>56</v>
      </c>
      <c r="E98" s="112">
        <v>49</v>
      </c>
      <c r="F98" s="112">
        <v>68</v>
      </c>
      <c r="G98" s="112">
        <v>69</v>
      </c>
      <c r="H98" s="112">
        <v>74</v>
      </c>
      <c r="I98" s="112">
        <v>78</v>
      </c>
      <c r="J98" s="112">
        <v>68.400000000000006</v>
      </c>
      <c r="K98" s="112">
        <v>75</v>
      </c>
      <c r="L98" s="112">
        <v>74</v>
      </c>
      <c r="M98" s="112">
        <v>66.400000000000006</v>
      </c>
      <c r="N98" s="112">
        <v>72.3</v>
      </c>
      <c r="O98" s="112">
        <v>62.7</v>
      </c>
      <c r="P98" s="112">
        <v>65.5</v>
      </c>
      <c r="Q98" s="112">
        <v>57.6</v>
      </c>
      <c r="R98" s="112">
        <v>61.5</v>
      </c>
      <c r="S98" s="112">
        <v>66</v>
      </c>
      <c r="T98" s="112">
        <v>64.5</v>
      </c>
      <c r="U98" s="112">
        <v>69.099999999999994</v>
      </c>
      <c r="V98" s="112">
        <v>44</v>
      </c>
      <c r="W98" s="112">
        <v>50</v>
      </c>
      <c r="X98" s="112">
        <v>52</v>
      </c>
      <c r="Y98" s="112">
        <v>54.2</v>
      </c>
      <c r="Z98" s="112">
        <v>64</v>
      </c>
      <c r="AA98" s="112">
        <v>73</v>
      </c>
      <c r="AB98" s="112">
        <v>62</v>
      </c>
      <c r="AC98" s="112">
        <v>70</v>
      </c>
      <c r="AD98" s="112">
        <v>31</v>
      </c>
      <c r="AE98" s="112">
        <v>34</v>
      </c>
      <c r="AF98" s="112">
        <v>7</v>
      </c>
      <c r="AG98" s="113"/>
      <c r="AH98" s="54">
        <f t="shared" si="16"/>
        <v>78</v>
      </c>
      <c r="AI98" s="108">
        <f t="shared" si="17"/>
        <v>0.25</v>
      </c>
    </row>
    <row r="99" spans="1:37" x14ac:dyDescent="0.25">
      <c r="A99" s="111" t="s">
        <v>104</v>
      </c>
      <c r="B99" s="112">
        <v>70</v>
      </c>
      <c r="C99" s="112">
        <v>77</v>
      </c>
      <c r="D99" s="112">
        <v>76</v>
      </c>
      <c r="E99" s="112">
        <v>67</v>
      </c>
      <c r="F99" s="112">
        <v>72</v>
      </c>
      <c r="G99" s="112">
        <v>73</v>
      </c>
      <c r="H99" s="112">
        <v>68</v>
      </c>
      <c r="I99" s="112">
        <v>60</v>
      </c>
      <c r="J99" s="112">
        <v>65</v>
      </c>
      <c r="K99" s="112">
        <v>46</v>
      </c>
      <c r="L99" s="112">
        <v>51</v>
      </c>
      <c r="M99" s="112">
        <v>47.5</v>
      </c>
      <c r="N99" s="112">
        <v>52.3</v>
      </c>
      <c r="O99" s="112">
        <v>56.7</v>
      </c>
      <c r="P99" s="112">
        <v>28.1</v>
      </c>
      <c r="Q99" s="112">
        <v>25.4</v>
      </c>
      <c r="R99" s="112">
        <v>50</v>
      </c>
      <c r="S99" s="112">
        <v>74.2</v>
      </c>
      <c r="T99" s="112">
        <v>63.6</v>
      </c>
      <c r="U99" s="112">
        <v>58.3</v>
      </c>
      <c r="V99" s="112">
        <v>59.6</v>
      </c>
      <c r="W99" s="112">
        <v>41.4</v>
      </c>
      <c r="X99" s="112">
        <v>47</v>
      </c>
      <c r="Y99" s="112">
        <v>52</v>
      </c>
      <c r="Z99" s="112">
        <v>57</v>
      </c>
      <c r="AA99" s="112">
        <v>82</v>
      </c>
      <c r="AB99" s="112">
        <v>43</v>
      </c>
      <c r="AC99" s="112">
        <v>71</v>
      </c>
      <c r="AD99" s="112">
        <v>85</v>
      </c>
      <c r="AE99" s="112">
        <v>78</v>
      </c>
      <c r="AF99" s="112">
        <v>71</v>
      </c>
      <c r="AG99" s="114"/>
      <c r="AH99" s="54">
        <f t="shared" si="16"/>
        <v>85</v>
      </c>
      <c r="AI99" s="108">
        <f t="shared" si="17"/>
        <v>0.875</v>
      </c>
    </row>
    <row r="100" spans="1:37" ht="15.75" thickBot="1" x14ac:dyDescent="0.3">
      <c r="A100" s="115" t="s">
        <v>105</v>
      </c>
      <c r="B100" s="95">
        <v>71</v>
      </c>
      <c r="C100" s="95">
        <v>69</v>
      </c>
      <c r="D100" s="95">
        <v>69</v>
      </c>
      <c r="E100" s="95">
        <v>66</v>
      </c>
      <c r="F100" s="95">
        <v>58</v>
      </c>
      <c r="G100" s="95">
        <v>54</v>
      </c>
      <c r="H100" s="95">
        <v>47</v>
      </c>
      <c r="I100" s="95">
        <v>40</v>
      </c>
      <c r="J100" s="95">
        <v>48</v>
      </c>
      <c r="K100" s="95">
        <v>52</v>
      </c>
      <c r="L100" s="95">
        <v>53</v>
      </c>
      <c r="M100" s="95">
        <v>64.900000000000006</v>
      </c>
      <c r="N100" s="95">
        <v>59.8</v>
      </c>
      <c r="O100" s="95">
        <v>62.6</v>
      </c>
      <c r="P100" s="95">
        <v>68.400000000000006</v>
      </c>
      <c r="Q100" s="95">
        <v>70.3</v>
      </c>
      <c r="R100" s="95">
        <v>75.8</v>
      </c>
      <c r="S100" s="95">
        <v>89</v>
      </c>
      <c r="T100" s="95">
        <v>76.400000000000006</v>
      </c>
      <c r="U100" s="95">
        <v>72</v>
      </c>
      <c r="V100" s="95">
        <v>45.9</v>
      </c>
      <c r="W100" s="95">
        <v>59</v>
      </c>
      <c r="X100" s="95">
        <v>63</v>
      </c>
      <c r="Y100" s="95">
        <v>59</v>
      </c>
      <c r="Z100" s="95">
        <v>72</v>
      </c>
      <c r="AA100" s="95">
        <v>67</v>
      </c>
      <c r="AB100" s="95">
        <v>60</v>
      </c>
      <c r="AC100" s="95">
        <v>50</v>
      </c>
      <c r="AD100" s="95">
        <v>36</v>
      </c>
      <c r="AE100" s="95">
        <v>40</v>
      </c>
      <c r="AF100" s="95">
        <v>58</v>
      </c>
      <c r="AG100" s="114"/>
      <c r="AH100" s="54">
        <f t="shared" si="16"/>
        <v>89</v>
      </c>
      <c r="AI100" s="108">
        <f t="shared" si="17"/>
        <v>0.58333333333333304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1448.94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20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2079/02/20)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2079/02/20)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1383.1399999999999</v>
      </c>
      <c r="U214" s="161">
        <f t="shared" si="54"/>
        <v>1368.1399999999999</v>
      </c>
      <c r="V214" s="161">
        <f t="shared" si="54"/>
        <v>1378.74</v>
      </c>
      <c r="W214" s="161">
        <f t="shared" si="54"/>
        <v>1347.44</v>
      </c>
      <c r="X214" s="161">
        <f t="shared" si="54"/>
        <v>1345.44</v>
      </c>
      <c r="Y214" s="161">
        <f t="shared" si="54"/>
        <v>1350.3400000000001</v>
      </c>
      <c r="Z214" s="161">
        <f t="shared" si="54"/>
        <v>1315.04</v>
      </c>
      <c r="AA214" s="161">
        <f t="shared" si="54"/>
        <v>1323.44</v>
      </c>
      <c r="AB214" s="161">
        <f t="shared" si="54"/>
        <v>1350.44</v>
      </c>
      <c r="AC214" s="161">
        <f t="shared" si="54"/>
        <v>1400.94</v>
      </c>
      <c r="AD214" s="161">
        <f t="shared" si="54"/>
        <v>1416.3400000000001</v>
      </c>
      <c r="AE214" s="161">
        <f t="shared" si="54"/>
        <v>1442.64</v>
      </c>
      <c r="AF214" s="161">
        <f t="shared" si="54"/>
        <v>1448.94</v>
      </c>
      <c r="AG214" s="161">
        <f t="shared" si="54"/>
        <v>1461.54</v>
      </c>
      <c r="AH214" s="161">
        <f t="shared" si="54"/>
        <v>1473.3400000000001</v>
      </c>
      <c r="AI214" s="161">
        <f t="shared" si="54"/>
        <v>1467.54</v>
      </c>
      <c r="AJ214" s="161">
        <f t="shared" si="54"/>
        <v>1508.6399999999999</v>
      </c>
      <c r="AK214" s="161">
        <f t="shared" si="54"/>
        <v>1572.24</v>
      </c>
      <c r="AL214" s="161">
        <f t="shared" si="54"/>
        <v>1534.44</v>
      </c>
      <c r="AM214" s="161">
        <f t="shared" si="54"/>
        <v>1537.8400000000001</v>
      </c>
      <c r="AN214" s="161">
        <f t="shared" si="54"/>
        <v>1481.74</v>
      </c>
      <c r="AO214" s="161">
        <f t="shared" si="54"/>
        <v>1436.5400000000002</v>
      </c>
      <c r="AP214" s="161">
        <f t="shared" si="54"/>
        <v>1430.94</v>
      </c>
      <c r="AQ214" s="161">
        <f t="shared" si="54"/>
        <v>1426.5400000000002</v>
      </c>
      <c r="AR214" s="161">
        <f t="shared" si="54"/>
        <v>1545.8400000000001</v>
      </c>
      <c r="AS214" s="161">
        <f t="shared" si="54"/>
        <v>1603.64</v>
      </c>
      <c r="AT214" s="161">
        <f t="shared" si="54"/>
        <v>1519.64</v>
      </c>
      <c r="AU214" s="161">
        <f t="shared" si="54"/>
        <v>1537.0400000000002</v>
      </c>
      <c r="AV214" s="161">
        <f t="shared" si="54"/>
        <v>1438.04</v>
      </c>
      <c r="AW214" s="161">
        <f t="shared" si="54"/>
        <v>1302.94</v>
      </c>
      <c r="AX214" s="161">
        <f t="shared" si="54"/>
        <v>1248.5400000000002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363" priority="157">
      <formula>B$9&gt;=20/24</formula>
    </cfRule>
    <cfRule type="expression" dxfId="2362" priority="158">
      <formula>AND(B$9&gt;=14/24,B$9&lt;20/24)</formula>
    </cfRule>
    <cfRule type="expression" dxfId="2361" priority="159">
      <formula>AND(B$9&gt;=8/24,B$9&lt;14/24)</formula>
    </cfRule>
    <cfRule type="expression" dxfId="2360" priority="160">
      <formula>B$9&lt;8/24</formula>
    </cfRule>
  </conditionalFormatting>
  <conditionalFormatting sqref="AL4:AL6">
    <cfRule type="iconSet" priority="156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359" priority="152">
      <formula>S$9&gt;=20/24</formula>
    </cfRule>
    <cfRule type="expression" dxfId="2358" priority="153">
      <formula>AND(S$9&gt;=14/24,S$9&lt;20/24)</formula>
    </cfRule>
    <cfRule type="expression" dxfId="2357" priority="154">
      <formula>AND(S$9&gt;=8/24,S$9&lt;14/24)</formula>
    </cfRule>
    <cfRule type="expression" dxfId="2356" priority="155">
      <formula>S$9&lt;8/24</formula>
    </cfRule>
  </conditionalFormatting>
  <conditionalFormatting sqref="AG51 M11:AF11 S37:AF37">
    <cfRule type="expression" dxfId="2355" priority="151">
      <formula>M11&gt;$AG11</formula>
    </cfRule>
  </conditionalFormatting>
  <conditionalFormatting sqref="A101:A157 A84:A97 A11:A14 A16:A32 A45:A72 A80:A82 A74:A78 A35:A43 A170:A200">
    <cfRule type="expression" dxfId="2354" priority="150">
      <formula>$AH11=0</formula>
    </cfRule>
  </conditionalFormatting>
  <conditionalFormatting sqref="A98">
    <cfRule type="expression" dxfId="2353" priority="149">
      <formula>$AH98=0</formula>
    </cfRule>
  </conditionalFormatting>
  <conditionalFormatting sqref="AL32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352" priority="147">
      <formula>$AH34=0</formula>
    </cfRule>
  </conditionalFormatting>
  <conditionalFormatting sqref="A83">
    <cfRule type="expression" dxfId="2351" priority="146">
      <formula>$AH83=0</formula>
    </cfRule>
  </conditionalFormatting>
  <conditionalFormatting sqref="A15">
    <cfRule type="expression" dxfId="2350" priority="145">
      <formula>$AH15=0</formula>
    </cfRule>
  </conditionalFormatting>
  <conditionalFormatting sqref="A164:A169">
    <cfRule type="expression" dxfId="2349" priority="144">
      <formula>$AH164=0</formula>
    </cfRule>
  </conditionalFormatting>
  <conditionalFormatting sqref="A158:A163">
    <cfRule type="expression" dxfId="2348" priority="143">
      <formula>$AH158=0</formula>
    </cfRule>
  </conditionalFormatting>
  <conditionalFormatting sqref="A44">
    <cfRule type="expression" dxfId="2347" priority="142">
      <formula>$AH44=0</formula>
    </cfRule>
  </conditionalFormatting>
  <conditionalFormatting sqref="A79">
    <cfRule type="expression" dxfId="2346" priority="141">
      <formula>$AH79=0</formula>
    </cfRule>
  </conditionalFormatting>
  <conditionalFormatting sqref="A73">
    <cfRule type="expression" dxfId="2345" priority="140">
      <formula>$AH73=0</formula>
    </cfRule>
  </conditionalFormatting>
  <conditionalFormatting sqref="AL34:AL35 AL7:AL31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344" priority="136">
      <formula>C$9&gt;=20/24</formula>
    </cfRule>
    <cfRule type="expression" dxfId="2343" priority="137">
      <formula>AND(C$9&gt;=14/24,C$9&lt;20/24)</formula>
    </cfRule>
    <cfRule type="expression" dxfId="2342" priority="138">
      <formula>AND(C$9&gt;=8/24,C$9&lt;14/24)</formula>
    </cfRule>
    <cfRule type="expression" dxfId="2341" priority="139">
      <formula>C$9&lt;8/24</formula>
    </cfRule>
  </conditionalFormatting>
  <conditionalFormatting sqref="AL3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40" priority="164">
      <formula>C$9&gt;=20/24</formula>
    </cfRule>
    <cfRule type="expression" dxfId="2339" priority="165">
      <formula>AND(C$9&gt;=14/24,C$9&lt;20/24)</formula>
    </cfRule>
    <cfRule type="expression" dxfId="2338" priority="166">
      <formula>AND(C$9&gt;=8/24,C$9&lt;14/24)</formula>
    </cfRule>
    <cfRule type="expression" dxfId="2337" priority="167">
      <formula>C$9&lt;8/24</formula>
    </cfRule>
  </conditionalFormatting>
  <conditionalFormatting sqref="A201">
    <cfRule type="expression" dxfId="2336" priority="168">
      <formula>$AH201=0</formula>
    </cfRule>
  </conditionalFormatting>
  <conditionalFormatting sqref="AG213">
    <cfRule type="expression" dxfId="2335" priority="169">
      <formula>B$9&gt;=20/24</formula>
    </cfRule>
    <cfRule type="expression" dxfId="2334" priority="170">
      <formula>AND(B$9&gt;=14/24,B$9&lt;20/24)</formula>
    </cfRule>
    <cfRule type="expression" dxfId="2333" priority="171">
      <formula>AND(B$9&gt;=8/24,B$9&lt;14/24)</formula>
    </cfRule>
    <cfRule type="expression" dxfId="2332" priority="172">
      <formula>B$9&lt;8/24</formula>
    </cfRule>
  </conditionalFormatting>
  <conditionalFormatting sqref="S8">
    <cfRule type="expression" dxfId="2331" priority="130">
      <formula>U$9&gt;=20/24</formula>
    </cfRule>
    <cfRule type="expression" dxfId="2330" priority="131">
      <formula>AND(U$9&gt;=14/24,U$9&lt;20/24)</formula>
    </cfRule>
    <cfRule type="expression" dxfId="2329" priority="132">
      <formula>AND(U$9&gt;=8/24,U$9&lt;14/24)</formula>
    </cfRule>
    <cfRule type="expression" dxfId="2328" priority="133">
      <formula>U$9&lt;8/24</formula>
    </cfRule>
  </conditionalFormatting>
  <conditionalFormatting sqref="AB8">
    <cfRule type="expression" dxfId="2327" priority="126">
      <formula>AD$9&gt;=20/24</formula>
    </cfRule>
    <cfRule type="expression" dxfId="2326" priority="127">
      <formula>AND(AD$9&gt;=14/24,AD$9&lt;20/24)</formula>
    </cfRule>
    <cfRule type="expression" dxfId="2325" priority="128">
      <formula>AND(AD$9&gt;=8/24,AD$9&lt;14/24)</formula>
    </cfRule>
    <cfRule type="expression" dxfId="2324" priority="129">
      <formula>AD$9&lt;8/24</formula>
    </cfRule>
  </conditionalFormatting>
  <conditionalFormatting sqref="AH213:AX213">
    <cfRule type="expression" dxfId="2323" priority="173">
      <formula>AG$9&gt;=20/24</formula>
    </cfRule>
    <cfRule type="expression" dxfId="2322" priority="174">
      <formula>AND(AG$9&gt;=14/24,AG$9&lt;20/24)</formula>
    </cfRule>
    <cfRule type="expression" dxfId="2321" priority="175">
      <formula>AND(AG$9&gt;=8/24,AG$9&lt;14/24)</formula>
    </cfRule>
    <cfRule type="expression" dxfId="2320" priority="176">
      <formula>AG$9&lt;8/24</formula>
    </cfRule>
  </conditionalFormatting>
  <conditionalFormatting sqref="T213">
    <cfRule type="expression" dxfId="2319" priority="177">
      <formula>AX$9&gt;=20/24</formula>
    </cfRule>
    <cfRule type="expression" dxfId="2318" priority="178">
      <formula>AND(AX$9&gt;=14/24,AX$9&lt;20/24)</formula>
    </cfRule>
    <cfRule type="expression" dxfId="2317" priority="179">
      <formula>AND(AX$9&gt;=8/24,AX$9&lt;14/24)</formula>
    </cfRule>
    <cfRule type="expression" dxfId="2316" priority="180">
      <formula>AX$9&lt;8/24</formula>
    </cfRule>
  </conditionalFormatting>
  <conditionalFormatting sqref="A99:A100">
    <cfRule type="expression" dxfId="2315" priority="125">
      <formula>$AH99=0</formula>
    </cfRule>
  </conditionalFormatting>
  <conditionalFormatting sqref="H40:S41 C57:AF57 T40:AC40 AD40:AF41">
    <cfRule type="expression" dxfId="2314" priority="121">
      <formula>C$9&gt;=20/24</formula>
    </cfRule>
    <cfRule type="expression" dxfId="2313" priority="122">
      <formula>AND(C$9&gt;=14/24,C$9&lt;20/24)</formula>
    </cfRule>
    <cfRule type="expression" dxfId="2312" priority="123">
      <formula>AND(C$9&gt;=8/24,C$9&lt;14/24)</formula>
    </cfRule>
    <cfRule type="expression" dxfId="2311" priority="124">
      <formula>C$9&lt;8/24</formula>
    </cfRule>
  </conditionalFormatting>
  <conditionalFormatting sqref="H39:AF39">
    <cfRule type="expression" dxfId="2310" priority="117">
      <formula>H$9&gt;=20/24</formula>
    </cfRule>
    <cfRule type="expression" dxfId="2309" priority="118">
      <formula>AND(H$9&gt;=14/24,H$9&lt;20/24)</formula>
    </cfRule>
    <cfRule type="expression" dxfId="2308" priority="119">
      <formula>AND(H$9&gt;=8/24,H$9&lt;14/24)</formula>
    </cfRule>
    <cfRule type="expression" dxfId="2307" priority="120">
      <formula>H$9&lt;8/24</formula>
    </cfRule>
  </conditionalFormatting>
  <conditionalFormatting sqref="H39:S41 T39:AC40 AD39:AF41">
    <cfRule type="expression" dxfId="2306" priority="116">
      <formula>H39&gt;$AG39</formula>
    </cfRule>
  </conditionalFormatting>
  <conditionalFormatting sqref="C83:AF83 C75:AF81 C68:AF73 C58:D60 M58:R61 E67:P67 E58:L63 Q64:Q67 M11:R11 M62:Q63 R62:R67 C53:AF56 S58:AF67 C85:AF91">
    <cfRule type="expression" dxfId="2305" priority="112">
      <formula>C$9&gt;=20/24</formula>
    </cfRule>
    <cfRule type="expression" dxfId="2304" priority="113">
      <formula>AND(C$9&gt;=14/24,C$9&lt;20/24)</formula>
    </cfRule>
    <cfRule type="expression" dxfId="2303" priority="114">
      <formula>AND(C$9&gt;=8/24,C$9&lt;14/24)</formula>
    </cfRule>
    <cfRule type="expression" dxfId="2302" priority="115">
      <formula>C$9&lt;8/24</formula>
    </cfRule>
  </conditionalFormatting>
  <conditionalFormatting sqref="C38:AF38 H43:L44 H42:P42 M11:R11 C52:AF56">
    <cfRule type="expression" dxfId="2301" priority="111">
      <formula>C11&gt;$AG11</formula>
    </cfRule>
  </conditionalFormatting>
  <conditionalFormatting sqref="S11">
    <cfRule type="expression" dxfId="2300" priority="107">
      <formula>S$9&gt;=20/24</formula>
    </cfRule>
    <cfRule type="expression" dxfId="2299" priority="108">
      <formula>AND(S$9&gt;=14/24,S$9&lt;20/24)</formula>
    </cfRule>
    <cfRule type="expression" dxfId="2298" priority="109">
      <formula>AND(S$9&gt;=8/24,S$9&lt;14/24)</formula>
    </cfRule>
    <cfRule type="expression" dxfId="2297" priority="110">
      <formula>S$9&lt;8/24</formula>
    </cfRule>
  </conditionalFormatting>
  <conditionalFormatting sqref="AD42:AF43">
    <cfRule type="expression" dxfId="2296" priority="103">
      <formula>AD$9&gt;=20/24</formula>
    </cfRule>
    <cfRule type="expression" dxfId="2295" priority="104">
      <formula>AND(AD$9&gt;=14/24,AD$9&lt;20/24)</formula>
    </cfRule>
    <cfRule type="expression" dxfId="2294" priority="105">
      <formula>AND(AD$9&gt;=8/24,AD$9&lt;14/24)</formula>
    </cfRule>
    <cfRule type="expression" dxfId="2293" priority="106">
      <formula>AD$9&lt;8/24</formula>
    </cfRule>
  </conditionalFormatting>
  <conditionalFormatting sqref="AD42:AF43">
    <cfRule type="expression" dxfId="2292" priority="102">
      <formula>AD42&gt;$AG42</formula>
    </cfRule>
  </conditionalFormatting>
  <conditionalFormatting sqref="C74:I74 C11:L11">
    <cfRule type="expression" dxfId="2291" priority="98">
      <formula>C$9&gt;=20/24</formula>
    </cfRule>
    <cfRule type="expression" dxfId="2290" priority="99">
      <formula>AND(C$9&gt;=14/24,C$9&lt;20/24)</formula>
    </cfRule>
    <cfRule type="expression" dxfId="2289" priority="100">
      <formula>AND(C$9&gt;=8/24,C$9&lt;14/24)</formula>
    </cfRule>
    <cfRule type="expression" dxfId="2288" priority="101">
      <formula>C$9&lt;8/24</formula>
    </cfRule>
  </conditionalFormatting>
  <conditionalFormatting sqref="C11:L11">
    <cfRule type="expression" dxfId="2287" priority="97">
      <formula>C11&gt;$AG11</formula>
    </cfRule>
  </conditionalFormatting>
  <conditionalFormatting sqref="E40:G41">
    <cfRule type="expression" dxfId="2286" priority="93">
      <formula>E$9&gt;=20/24</formula>
    </cfRule>
    <cfRule type="expression" dxfId="2285" priority="94">
      <formula>AND(E$9&gt;=14/24,E$9&lt;20/24)</formula>
    </cfRule>
    <cfRule type="expression" dxfId="2284" priority="95">
      <formula>AND(E$9&gt;=8/24,E$9&lt;14/24)</formula>
    </cfRule>
    <cfRule type="expression" dxfId="2283" priority="96">
      <formula>E$9&lt;8/24</formula>
    </cfRule>
  </conditionalFormatting>
  <conditionalFormatting sqref="E39:G39">
    <cfRule type="expression" dxfId="2282" priority="89">
      <formula>E$9&gt;=20/24</formula>
    </cfRule>
    <cfRule type="expression" dxfId="2281" priority="90">
      <formula>AND(E$9&gt;=14/24,E$9&lt;20/24)</formula>
    </cfRule>
    <cfRule type="expression" dxfId="2280" priority="91">
      <formula>AND(E$9&gt;=8/24,E$9&lt;14/24)</formula>
    </cfRule>
    <cfRule type="expression" dxfId="2279" priority="92">
      <formula>E$9&lt;8/24</formula>
    </cfRule>
  </conditionalFormatting>
  <conditionalFormatting sqref="E39:G41">
    <cfRule type="expression" dxfId="2278" priority="88">
      <formula>E39&gt;$AG39</formula>
    </cfRule>
  </conditionalFormatting>
  <conditionalFormatting sqref="E64:P66">
    <cfRule type="expression" dxfId="2277" priority="84">
      <formula>E$9&gt;=20/24</formula>
    </cfRule>
    <cfRule type="expression" dxfId="2276" priority="85">
      <formula>AND(E$9&gt;=14/24,E$9&lt;20/24)</formula>
    </cfRule>
    <cfRule type="expression" dxfId="2275" priority="86">
      <formula>AND(E$9&gt;=8/24,E$9&lt;14/24)</formula>
    </cfRule>
    <cfRule type="expression" dxfId="2274" priority="87">
      <formula>E$9&lt;8/24</formula>
    </cfRule>
  </conditionalFormatting>
  <conditionalFormatting sqref="E42:G43">
    <cfRule type="expression" dxfId="2273" priority="83">
      <formula>E42&gt;$AG42</formula>
    </cfRule>
  </conditionalFormatting>
  <conditionalFormatting sqref="F44:G47 H45:P47 Q46:AF50">
    <cfRule type="expression" dxfId="2272" priority="79">
      <formula>F$9&gt;=20/24</formula>
    </cfRule>
    <cfRule type="expression" dxfId="2271" priority="80">
      <formula>AND(F$9&gt;=14/24,F$9&lt;20/24)</formula>
    </cfRule>
    <cfRule type="expression" dxfId="2270" priority="81">
      <formula>AND(F$9&gt;=8/24,F$9&lt;14/24)</formula>
    </cfRule>
    <cfRule type="expression" dxfId="2269" priority="82">
      <formula>F$9&lt;8/24</formula>
    </cfRule>
  </conditionalFormatting>
  <conditionalFormatting sqref="F44:G47 H45:P47 Q46:AF50">
    <cfRule type="expression" dxfId="2268" priority="78">
      <formula>F44&gt;$AG44</formula>
    </cfRule>
  </conditionalFormatting>
  <conditionalFormatting sqref="B82 B74 B94:B100 B11">
    <cfRule type="expression" dxfId="2267" priority="74">
      <formula>B$9&gt;=20/24</formula>
    </cfRule>
    <cfRule type="expression" dxfId="2266" priority="75">
      <formula>AND(B$9&gt;=14/24,B$9&lt;20/24)</formula>
    </cfRule>
    <cfRule type="expression" dxfId="2265" priority="76">
      <formula>AND(B$9&gt;=8/24,B$9&lt;14/24)</formula>
    </cfRule>
    <cfRule type="expression" dxfId="2264" priority="77">
      <formula>B$9&lt;8/24</formula>
    </cfRule>
  </conditionalFormatting>
  <conditionalFormatting sqref="B37:R37">
    <cfRule type="expression" dxfId="2263" priority="70">
      <formula>B$9&gt;=20/24</formula>
    </cfRule>
    <cfRule type="expression" dxfId="2262" priority="71">
      <formula>AND(B$9&gt;=14/24,B$9&lt;20/24)</formula>
    </cfRule>
    <cfRule type="expression" dxfId="2261" priority="72">
      <formula>AND(B$9&gt;=8/24,B$9&lt;14/24)</formula>
    </cfRule>
    <cfRule type="expression" dxfId="2260" priority="73">
      <formula>B$9&lt;8/24</formula>
    </cfRule>
  </conditionalFormatting>
  <conditionalFormatting sqref="B11 B37:R37">
    <cfRule type="expression" dxfId="2259" priority="69">
      <formula>B11&gt;$AG11</formula>
    </cfRule>
  </conditionalFormatting>
  <conditionalFormatting sqref="B84">
    <cfRule type="expression" dxfId="2258" priority="65">
      <formula>B$9&gt;=20/24</formula>
    </cfRule>
    <cfRule type="expression" dxfId="2257" priority="66">
      <formula>AND(B$9&gt;=14/24,B$9&lt;20/24)</formula>
    </cfRule>
    <cfRule type="expression" dxfId="2256" priority="67">
      <formula>AND(B$9&gt;=8/24,B$9&lt;14/24)</formula>
    </cfRule>
    <cfRule type="expression" dxfId="2255" priority="68">
      <formula>B$9&lt;8/24</formula>
    </cfRule>
  </conditionalFormatting>
  <conditionalFormatting sqref="B57 B40:D41 B36:AF36">
    <cfRule type="expression" dxfId="2254" priority="61">
      <formula>B$9&gt;=20/24</formula>
    </cfRule>
    <cfRule type="expression" dxfId="2253" priority="62">
      <formula>AND(B$9&gt;=14/24,B$9&lt;20/24)</formula>
    </cfRule>
    <cfRule type="expression" dxfId="2252" priority="63">
      <formula>AND(B$9&gt;=8/24,B$9&lt;14/24)</formula>
    </cfRule>
    <cfRule type="expression" dxfId="2251" priority="64">
      <formula>B$9&lt;8/24</formula>
    </cfRule>
  </conditionalFormatting>
  <conditionalFormatting sqref="B39:D39">
    <cfRule type="expression" dxfId="2250" priority="57">
      <formula>B$9&gt;=20/24</formula>
    </cfRule>
    <cfRule type="expression" dxfId="2249" priority="58">
      <formula>AND(B$9&gt;=14/24,B$9&lt;20/24)</formula>
    </cfRule>
    <cfRule type="expression" dxfId="2248" priority="59">
      <formula>AND(B$9&gt;=8/24,B$9&lt;14/24)</formula>
    </cfRule>
    <cfRule type="expression" dxfId="2247" priority="60">
      <formula>B$9&lt;8/24</formula>
    </cfRule>
  </conditionalFormatting>
  <conditionalFormatting sqref="B39:D41 B36:AF36">
    <cfRule type="expression" dxfId="2246" priority="56">
      <formula>B36&gt;$AG36</formula>
    </cfRule>
  </conditionalFormatting>
  <conditionalFormatting sqref="B83 B75:B81 B85:B91 B53:B56 B58:B73 C61:D67 B16:AF16 B12:AF14 B18:AF22 B28:AF31 B24:AF26">
    <cfRule type="expression" dxfId="2245" priority="52">
      <formula>B$9&gt;=20/24</formula>
    </cfRule>
    <cfRule type="expression" dxfId="2244" priority="53">
      <formula>AND(B$9&gt;=14/24,B$9&lt;20/24)</formula>
    </cfRule>
    <cfRule type="expression" dxfId="2243" priority="54">
      <formula>AND(B$9&gt;=8/24,B$9&lt;14/24)</formula>
    </cfRule>
    <cfRule type="expression" dxfId="2242" priority="55">
      <formula>B$9&lt;8/24</formula>
    </cfRule>
  </conditionalFormatting>
  <conditionalFormatting sqref="B32:AF32">
    <cfRule type="expression" dxfId="2241" priority="48">
      <formula>B$9&gt;=20/24</formula>
    </cfRule>
    <cfRule type="expression" dxfId="2240" priority="49">
      <formula>AND(B$9&gt;=14/24,B$9&lt;20/24)</formula>
    </cfRule>
    <cfRule type="expression" dxfId="2239" priority="50">
      <formula>AND(B$9&gt;=8/24,B$9&lt;14/24)</formula>
    </cfRule>
    <cfRule type="expression" dxfId="2238" priority="51">
      <formula>B$9&lt;8/24</formula>
    </cfRule>
  </conditionalFormatting>
  <conditionalFormatting sqref="B35:AF35">
    <cfRule type="expression" dxfId="2237" priority="44">
      <formula>B$9&gt;=20/24</formula>
    </cfRule>
    <cfRule type="expression" dxfId="2236" priority="45">
      <formula>AND(B$9&gt;=14/24,B$9&lt;20/24)</formula>
    </cfRule>
    <cfRule type="expression" dxfId="2235" priority="46">
      <formula>AND(B$9&gt;=8/24,B$9&lt;14/24)</formula>
    </cfRule>
    <cfRule type="expression" dxfId="2234" priority="47">
      <formula>B$9&lt;8/24</formula>
    </cfRule>
  </conditionalFormatting>
  <conditionalFormatting sqref="B38 B51:B56 B42:D43 C51:AF51 B12:AF16 B18:AF22 B34:AF35 B24:AF32">
    <cfRule type="expression" dxfId="2233" priority="43">
      <formula>B12&gt;$AG12</formula>
    </cfRule>
  </conditionalFormatting>
  <conditionalFormatting sqref="B34:AF34">
    <cfRule type="expression" dxfId="2232" priority="39">
      <formula>B$9&gt;=20/24</formula>
    </cfRule>
    <cfRule type="expression" dxfId="2231" priority="40">
      <formula>AND(B$9&gt;=14/24,B$9&lt;20/24)</formula>
    </cfRule>
    <cfRule type="expression" dxfId="2230" priority="41">
      <formula>AND(B$9&gt;=8/24,B$9&lt;14/24)</formula>
    </cfRule>
    <cfRule type="expression" dxfId="2229" priority="42">
      <formula>B$9&lt;8/24</formula>
    </cfRule>
  </conditionalFormatting>
  <conditionalFormatting sqref="B15:AF15">
    <cfRule type="expression" dxfId="2228" priority="35">
      <formula>B$9&gt;=20/24</formula>
    </cfRule>
    <cfRule type="expression" dxfId="2227" priority="36">
      <formula>AND(B$9&gt;=14/24,B$9&lt;20/24)</formula>
    </cfRule>
    <cfRule type="expression" dxfId="2226" priority="37">
      <formula>AND(B$9&gt;=8/24,B$9&lt;14/24)</formula>
    </cfRule>
    <cfRule type="expression" dxfId="2225" priority="38">
      <formula>B$9&lt;8/24</formula>
    </cfRule>
  </conditionalFormatting>
  <conditionalFormatting sqref="B33:AF33">
    <cfRule type="expression" dxfId="2224" priority="31">
      <formula>B$9&gt;=20/24</formula>
    </cfRule>
    <cfRule type="expression" dxfId="2223" priority="32">
      <formula>AND(B$9&gt;=14/24,B$9&lt;20/24)</formula>
    </cfRule>
    <cfRule type="expression" dxfId="2222" priority="33">
      <formula>AND(B$9&gt;=8/24,B$9&lt;14/24)</formula>
    </cfRule>
    <cfRule type="expression" dxfId="2221" priority="34">
      <formula>B$9&lt;8/24</formula>
    </cfRule>
  </conditionalFormatting>
  <conditionalFormatting sqref="B33:AF33">
    <cfRule type="expression" dxfId="2220" priority="30">
      <formula>B33&gt;$AG33</formula>
    </cfRule>
  </conditionalFormatting>
  <conditionalFormatting sqref="B44:E50 F48:P50">
    <cfRule type="expression" dxfId="2219" priority="26">
      <formula>B$9&gt;=20/24</formula>
    </cfRule>
    <cfRule type="expression" dxfId="2218" priority="27">
      <formula>AND(B$9&gt;=14/24,B$9&lt;20/24)</formula>
    </cfRule>
    <cfRule type="expression" dxfId="2217" priority="28">
      <formula>AND(B$9&gt;=8/24,B$9&lt;14/24)</formula>
    </cfRule>
    <cfRule type="expression" dxfId="2216" priority="29">
      <formula>B$9&lt;8/24</formula>
    </cfRule>
  </conditionalFormatting>
  <conditionalFormatting sqref="B44:E50 F48:P50">
    <cfRule type="expression" dxfId="2215" priority="25">
      <formula>B44&gt;$AG44</formula>
    </cfRule>
  </conditionalFormatting>
  <conditionalFormatting sqref="B27:AF27">
    <cfRule type="expression" dxfId="2214" priority="21">
      <formula>B$9&gt;=20/24</formula>
    </cfRule>
    <cfRule type="expression" dxfId="2213" priority="22">
      <formula>AND(B$9&gt;=14/24,B$9&lt;20/24)</formula>
    </cfRule>
    <cfRule type="expression" dxfId="2212" priority="23">
      <formula>AND(B$9&gt;=8/24,B$9&lt;14/24)</formula>
    </cfRule>
    <cfRule type="expression" dxfId="2211" priority="24">
      <formula>B$9&lt;8/24</formula>
    </cfRule>
  </conditionalFormatting>
  <conditionalFormatting sqref="B17:AF17 B23:AF23">
    <cfRule type="expression" dxfId="2210" priority="17">
      <formula>B$9&gt;=20/24</formula>
    </cfRule>
    <cfRule type="expression" dxfId="2209" priority="18">
      <formula>AND(B$9&gt;=14/24,B$9&lt;20/24)</formula>
    </cfRule>
    <cfRule type="expression" dxfId="2208" priority="19">
      <formula>AND(B$9&gt;=8/24,B$9&lt;14/24)</formula>
    </cfRule>
    <cfRule type="expression" dxfId="2207" priority="20">
      <formula>B$9&lt;8/24</formula>
    </cfRule>
  </conditionalFormatting>
  <conditionalFormatting sqref="B17:AF17 B23:AF23">
    <cfRule type="expression" dxfId="2206" priority="16">
      <formula>B17&gt;$AG17</formula>
    </cfRule>
  </conditionalFormatting>
  <conditionalFormatting sqref="M44:P44 Q42:S45 T44:AF45">
    <cfRule type="expression" dxfId="2205" priority="12">
      <formula>M$9&gt;=20/24</formula>
    </cfRule>
    <cfRule type="expression" dxfId="2204" priority="13">
      <formula>AND(M$9&gt;=14/24,M$9&lt;20/24)</formula>
    </cfRule>
    <cfRule type="expression" dxfId="2203" priority="14">
      <formula>AND(M$9&gt;=8/24,M$9&lt;14/24)</formula>
    </cfRule>
    <cfRule type="expression" dxfId="2202" priority="15">
      <formula>M$9&lt;8/24</formula>
    </cfRule>
  </conditionalFormatting>
  <conditionalFormatting sqref="M44:P44 Q42:S45 T44:AF45">
    <cfRule type="expression" dxfId="2201" priority="11">
      <formula>M42&gt;$AG42</formula>
    </cfRule>
  </conditionalFormatting>
  <conditionalFormatting sqref="T41:AC43">
    <cfRule type="expression" dxfId="2200" priority="7">
      <formula>T$9&gt;=20/24</formula>
    </cfRule>
    <cfRule type="expression" dxfId="2199" priority="8">
      <formula>AND(T$9&gt;=14/24,T$9&lt;20/24)</formula>
    </cfRule>
    <cfRule type="expression" dxfId="2198" priority="9">
      <formula>AND(T$9&gt;=8/24,T$9&lt;14/24)</formula>
    </cfRule>
    <cfRule type="expression" dxfId="2197" priority="10">
      <formula>T$9&lt;8/24</formula>
    </cfRule>
  </conditionalFormatting>
  <conditionalFormatting sqref="T41:AC43">
    <cfRule type="expression" dxfId="2196" priority="6">
      <formula>T41&gt;$AG41</formula>
    </cfRule>
  </conditionalFormatting>
  <conditionalFormatting sqref="M43:P43">
    <cfRule type="expression" dxfId="2195" priority="2">
      <formula>M$9&gt;=20/24</formula>
    </cfRule>
    <cfRule type="expression" dxfId="2194" priority="3">
      <formula>AND(M$9&gt;=14/24,M$9&lt;20/24)</formula>
    </cfRule>
    <cfRule type="expression" dxfId="2193" priority="4">
      <formula>AND(M$9&gt;=8/24,M$9&lt;14/24)</formula>
    </cfRule>
    <cfRule type="expression" dxfId="2192" priority="5">
      <formula>M$9&lt;8/24</formula>
    </cfRule>
  </conditionalFormatting>
  <conditionalFormatting sqref="M43:P43">
    <cfRule type="expression" dxfId="2191" priority="1">
      <formula>M43&gt;$AG43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5" id="{517D86D2-D2F0-4298-9137-4A4C02D697F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D99" sqref="D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-7</v>
      </c>
      <c r="C5" s="32">
        <f t="shared" si="0"/>
        <v>-65.400000000000006</v>
      </c>
      <c r="D5" s="32">
        <f t="shared" si="0"/>
        <v>-82</v>
      </c>
      <c r="E5" s="32">
        <f t="shared" si="0"/>
        <v>-125</v>
      </c>
      <c r="F5" s="32">
        <f t="shared" si="0"/>
        <v>-113</v>
      </c>
      <c r="G5" s="32">
        <f t="shared" si="0"/>
        <v>-143</v>
      </c>
      <c r="H5" s="32">
        <f t="shared" si="0"/>
        <v>-128</v>
      </c>
      <c r="I5" s="32">
        <f t="shared" si="0"/>
        <v>-141</v>
      </c>
      <c r="J5" s="32">
        <f t="shared" si="0"/>
        <v>-100</v>
      </c>
      <c r="K5" s="32">
        <f t="shared" si="0"/>
        <v>-86</v>
      </c>
      <c r="L5" s="32">
        <f t="shared" si="0"/>
        <v>-23.5</v>
      </c>
      <c r="M5" s="32">
        <f t="shared" si="0"/>
        <v>-73.3</v>
      </c>
      <c r="N5" s="32">
        <f t="shared" si="0"/>
        <v>-68.2</v>
      </c>
      <c r="O5" s="32">
        <f t="shared" si="0"/>
        <v>-21</v>
      </c>
      <c r="P5" s="32">
        <f t="shared" si="0"/>
        <v>-41</v>
      </c>
      <c r="Q5" s="32">
        <f t="shared" si="0"/>
        <v>-39</v>
      </c>
      <c r="R5" s="32">
        <f t="shared" si="0"/>
        <v>17.300000000000004</v>
      </c>
      <c r="S5" s="32">
        <f t="shared" si="0"/>
        <v>-31.599999999999994</v>
      </c>
      <c r="T5" s="32">
        <f t="shared" si="0"/>
        <v>-60.7</v>
      </c>
      <c r="U5" s="32">
        <f t="shared" si="0"/>
        <v>-19.800000000000004</v>
      </c>
      <c r="V5" s="32">
        <f t="shared" si="0"/>
        <v>-30.199999999999996</v>
      </c>
      <c r="W5" s="32">
        <f t="shared" si="0"/>
        <v>-12.100000000000001</v>
      </c>
      <c r="X5" s="32">
        <f t="shared" si="0"/>
        <v>-20.099999999999994</v>
      </c>
      <c r="Y5" s="32">
        <f t="shared" si="0"/>
        <v>-44.5</v>
      </c>
      <c r="Z5" s="32">
        <f t="shared" si="0"/>
        <v>-4.2000000000000028</v>
      </c>
      <c r="AA5" s="32">
        <f t="shared" si="0"/>
        <v>-26.6</v>
      </c>
      <c r="AB5" s="32">
        <f t="shared" si="0"/>
        <v>-19.700000000000003</v>
      </c>
      <c r="AC5" s="32">
        <f t="shared" si="0"/>
        <v>-11.700000000000003</v>
      </c>
      <c r="AD5" s="32">
        <f t="shared" si="0"/>
        <v>-6.2999999999999972</v>
      </c>
      <c r="AE5" s="32">
        <f t="shared" si="0"/>
        <v>-15.199999999999996</v>
      </c>
      <c r="AF5" s="32">
        <f>B68</f>
        <v>28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1255MW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Load=1099</v>
      </c>
      <c r="B7" s="37">
        <f>B75</f>
        <v>1230.5400000000002</v>
      </c>
      <c r="C7" s="37">
        <f t="shared" ref="C7:AF7" si="1">C75</f>
        <v>1185.5400000000002</v>
      </c>
      <c r="D7" s="37">
        <f t="shared" si="1"/>
        <v>1211.94</v>
      </c>
      <c r="E7" s="37">
        <f t="shared" si="1"/>
        <v>1173.8400000000001</v>
      </c>
      <c r="F7" s="37">
        <f t="shared" si="1"/>
        <v>1128.8400000000001</v>
      </c>
      <c r="G7" s="37">
        <f t="shared" si="1"/>
        <v>1140.8400000000001</v>
      </c>
      <c r="H7" s="37">
        <f t="shared" si="1"/>
        <v>1105.8400000000001</v>
      </c>
      <c r="I7" s="37">
        <f t="shared" si="1"/>
        <v>1098.8400000000001</v>
      </c>
      <c r="J7" s="37">
        <f t="shared" si="1"/>
        <v>1145.8400000000001</v>
      </c>
      <c r="K7" s="37">
        <f t="shared" si="1"/>
        <v>1198.8400000000001</v>
      </c>
      <c r="L7" s="37">
        <f t="shared" si="1"/>
        <v>1218.8400000000001</v>
      </c>
      <c r="M7" s="37">
        <f t="shared" si="1"/>
        <v>1255.1400000000001</v>
      </c>
      <c r="N7" s="37">
        <f t="shared" si="1"/>
        <v>1223.24</v>
      </c>
      <c r="O7" s="37">
        <f t="shared" si="1"/>
        <v>1247.3400000000001</v>
      </c>
      <c r="P7" s="37">
        <f t="shared" si="1"/>
        <v>1216.8400000000001</v>
      </c>
      <c r="Q7" s="37">
        <f t="shared" si="1"/>
        <v>1191.24</v>
      </c>
      <c r="R7" s="37">
        <f t="shared" si="1"/>
        <v>1229.54</v>
      </c>
      <c r="S7" s="37">
        <f t="shared" si="1"/>
        <v>1298.6399999999999</v>
      </c>
      <c r="T7" s="37">
        <f t="shared" si="1"/>
        <v>1216.74</v>
      </c>
      <c r="U7" s="37">
        <f t="shared" si="1"/>
        <v>1141.74</v>
      </c>
      <c r="V7" s="37">
        <f t="shared" si="1"/>
        <v>1175.24</v>
      </c>
      <c r="W7" s="37">
        <f t="shared" si="1"/>
        <v>1163.5400000000002</v>
      </c>
      <c r="X7" s="37">
        <f t="shared" si="1"/>
        <v>1198.7400000000002</v>
      </c>
      <c r="Y7" s="37">
        <f t="shared" si="1"/>
        <v>1254.04</v>
      </c>
      <c r="Z7" s="37">
        <f t="shared" si="1"/>
        <v>1301.3</v>
      </c>
      <c r="AA7" s="37">
        <f t="shared" si="1"/>
        <v>1441.6</v>
      </c>
      <c r="AB7" s="37">
        <f t="shared" si="1"/>
        <v>1459.1399999999999</v>
      </c>
      <c r="AC7" s="37">
        <f t="shared" si="1"/>
        <v>1415.2399999999998</v>
      </c>
      <c r="AD7" s="37">
        <f t="shared" si="1"/>
        <v>1404.14</v>
      </c>
      <c r="AE7" s="37">
        <f t="shared" si="1"/>
        <v>1317.24</v>
      </c>
      <c r="AF7" s="37">
        <f t="shared" si="1"/>
        <v>1321.04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170</v>
      </c>
      <c r="C11" s="50">
        <v>160</v>
      </c>
      <c r="D11" s="50">
        <v>250</v>
      </c>
      <c r="E11" s="51">
        <v>305</v>
      </c>
      <c r="F11" s="51">
        <v>305</v>
      </c>
      <c r="G11" s="51">
        <v>290</v>
      </c>
      <c r="H11" s="51">
        <v>290</v>
      </c>
      <c r="I11" s="51">
        <v>290</v>
      </c>
      <c r="J11" s="52">
        <v>350</v>
      </c>
      <c r="K11" s="52">
        <v>320</v>
      </c>
      <c r="L11" s="52">
        <v>320</v>
      </c>
      <c r="M11" s="52">
        <v>320</v>
      </c>
      <c r="N11" s="52">
        <v>320</v>
      </c>
      <c r="O11" s="52">
        <v>350</v>
      </c>
      <c r="P11" s="51">
        <v>310</v>
      </c>
      <c r="Q11" s="51">
        <v>320</v>
      </c>
      <c r="R11" s="51">
        <v>320</v>
      </c>
      <c r="S11" s="51">
        <v>340</v>
      </c>
      <c r="T11" s="51">
        <v>340</v>
      </c>
      <c r="U11" s="51">
        <v>286</v>
      </c>
      <c r="V11" s="51">
        <v>280</v>
      </c>
      <c r="W11" s="51">
        <v>272</v>
      </c>
      <c r="X11" s="51">
        <v>271</v>
      </c>
      <c r="Y11" s="51">
        <v>274</v>
      </c>
      <c r="Z11" s="51">
        <v>350</v>
      </c>
      <c r="AA11" s="49">
        <v>410</v>
      </c>
      <c r="AB11" s="49">
        <v>410</v>
      </c>
      <c r="AC11" s="49">
        <v>390</v>
      </c>
      <c r="AD11" s="49">
        <v>370</v>
      </c>
      <c r="AE11" s="49">
        <v>300</v>
      </c>
      <c r="AF11" s="49">
        <v>315</v>
      </c>
      <c r="AG11" s="53">
        <v>456</v>
      </c>
      <c r="AH11" s="54">
        <f>MAX(B11:AF11)</f>
        <v>410</v>
      </c>
      <c r="AI11" s="55">
        <f>MIN(B11:AF11)</f>
        <v>160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50</v>
      </c>
      <c r="F12" s="51">
        <v>50</v>
      </c>
      <c r="G12" s="51">
        <v>50</v>
      </c>
      <c r="H12" s="51">
        <v>50</v>
      </c>
      <c r="I12" s="51">
        <v>50</v>
      </c>
      <c r="J12" s="51">
        <v>50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45</v>
      </c>
      <c r="T12" s="51">
        <v>42</v>
      </c>
      <c r="U12" s="51">
        <v>42</v>
      </c>
      <c r="V12" s="51">
        <v>42</v>
      </c>
      <c r="W12" s="51">
        <v>42</v>
      </c>
      <c r="X12" s="51">
        <v>42</v>
      </c>
      <c r="Y12" s="51">
        <v>41</v>
      </c>
      <c r="Z12" s="51">
        <v>41</v>
      </c>
      <c r="AA12" s="51">
        <v>41</v>
      </c>
      <c r="AB12" s="51">
        <v>41</v>
      </c>
      <c r="AC12" s="51">
        <v>41</v>
      </c>
      <c r="AD12" s="51">
        <v>41</v>
      </c>
      <c r="AE12" s="51">
        <v>50</v>
      </c>
      <c r="AF12" s="51">
        <v>50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41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24.3</v>
      </c>
      <c r="C13" s="51">
        <v>24.3</v>
      </c>
      <c r="D13" s="51">
        <v>24.3</v>
      </c>
      <c r="E13" s="51">
        <v>26</v>
      </c>
      <c r="F13" s="51">
        <v>26</v>
      </c>
      <c r="G13" s="51">
        <v>26</v>
      </c>
      <c r="H13" s="51">
        <v>26</v>
      </c>
      <c r="I13" s="51">
        <v>26</v>
      </c>
      <c r="J13" s="51">
        <v>26</v>
      </c>
      <c r="K13" s="51">
        <v>26</v>
      </c>
      <c r="L13" s="51">
        <v>26</v>
      </c>
      <c r="M13" s="51">
        <v>26</v>
      </c>
      <c r="N13" s="51">
        <v>26</v>
      </c>
      <c r="O13" s="51">
        <v>26</v>
      </c>
      <c r="P13" s="51">
        <v>26</v>
      </c>
      <c r="Q13" s="51">
        <v>26</v>
      </c>
      <c r="R13" s="51">
        <v>26</v>
      </c>
      <c r="S13" s="51">
        <v>26</v>
      </c>
      <c r="T13" s="51">
        <v>23</v>
      </c>
      <c r="U13" s="51">
        <v>26</v>
      </c>
      <c r="V13" s="51">
        <v>26</v>
      </c>
      <c r="W13" s="51">
        <v>26</v>
      </c>
      <c r="X13" s="51">
        <v>25.8</v>
      </c>
      <c r="Y13" s="51">
        <v>25</v>
      </c>
      <c r="Z13" s="51">
        <v>25</v>
      </c>
      <c r="AA13" s="51">
        <v>24.3</v>
      </c>
      <c r="AB13" s="51">
        <v>24.3</v>
      </c>
      <c r="AC13" s="51">
        <v>24.3</v>
      </c>
      <c r="AD13" s="51">
        <v>23.5</v>
      </c>
      <c r="AE13" s="51">
        <v>26</v>
      </c>
      <c r="AF13" s="51">
        <v>26</v>
      </c>
      <c r="AG13" s="58">
        <v>52.4</v>
      </c>
      <c r="AH13" s="54">
        <f t="shared" si="2"/>
        <v>26</v>
      </c>
      <c r="AI13" s="55">
        <f t="shared" si="3"/>
        <v>23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50.5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50.3</v>
      </c>
      <c r="AG14" s="58">
        <v>50</v>
      </c>
      <c r="AH14" s="54">
        <f t="shared" si="2"/>
        <v>50.5</v>
      </c>
      <c r="AI14" s="55">
        <f t="shared" si="3"/>
        <v>50.3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45.3</v>
      </c>
      <c r="C15" s="51">
        <v>45.3</v>
      </c>
      <c r="D15" s="51">
        <v>43</v>
      </c>
      <c r="E15" s="51">
        <v>40</v>
      </c>
      <c r="F15" s="51">
        <v>40</v>
      </c>
      <c r="G15" s="51">
        <v>40</v>
      </c>
      <c r="H15" s="51">
        <v>40</v>
      </c>
      <c r="I15" s="51">
        <v>40</v>
      </c>
      <c r="J15" s="51">
        <v>40</v>
      </c>
      <c r="K15" s="51">
        <v>40</v>
      </c>
      <c r="L15" s="51">
        <v>40</v>
      </c>
      <c r="M15" s="51">
        <v>40</v>
      </c>
      <c r="N15" s="51">
        <v>40</v>
      </c>
      <c r="O15" s="51">
        <v>40</v>
      </c>
      <c r="P15" s="51">
        <v>40</v>
      </c>
      <c r="Q15" s="51">
        <v>40</v>
      </c>
      <c r="R15" s="51">
        <v>40</v>
      </c>
      <c r="S15" s="51">
        <v>40</v>
      </c>
      <c r="T15" s="51">
        <v>40</v>
      </c>
      <c r="U15" s="51">
        <v>43.3</v>
      </c>
      <c r="V15" s="51">
        <v>43.3</v>
      </c>
      <c r="W15" s="51">
        <v>43.3</v>
      </c>
      <c r="X15" s="51">
        <v>43.3</v>
      </c>
      <c r="Y15" s="51">
        <v>43.3</v>
      </c>
      <c r="Z15" s="51">
        <v>43.3</v>
      </c>
      <c r="AA15" s="51">
        <v>43</v>
      </c>
      <c r="AB15" s="51">
        <v>43</v>
      </c>
      <c r="AC15" s="51">
        <v>43</v>
      </c>
      <c r="AD15" s="51">
        <v>43.1</v>
      </c>
      <c r="AE15" s="51">
        <v>43.1</v>
      </c>
      <c r="AF15" s="51">
        <v>43</v>
      </c>
      <c r="AG15" s="59">
        <v>45</v>
      </c>
      <c r="AH15" s="54">
        <f t="shared" si="2"/>
        <v>45.3</v>
      </c>
      <c r="AI15" s="55">
        <f t="shared" si="3"/>
        <v>40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33</v>
      </c>
      <c r="C16" s="51">
        <v>33</v>
      </c>
      <c r="D16" s="51">
        <v>32</v>
      </c>
      <c r="E16" s="51">
        <v>32</v>
      </c>
      <c r="F16" s="51">
        <v>33</v>
      </c>
      <c r="G16" s="51">
        <v>33</v>
      </c>
      <c r="H16" s="51">
        <v>33</v>
      </c>
      <c r="I16" s="51">
        <v>33</v>
      </c>
      <c r="J16" s="51">
        <v>33</v>
      </c>
      <c r="K16" s="51">
        <v>33</v>
      </c>
      <c r="L16" s="51">
        <v>33</v>
      </c>
      <c r="M16" s="51">
        <v>25</v>
      </c>
      <c r="N16" s="51">
        <v>25</v>
      </c>
      <c r="O16" s="51">
        <v>25</v>
      </c>
      <c r="P16" s="51">
        <v>25</v>
      </c>
      <c r="Q16" s="51">
        <v>28</v>
      </c>
      <c r="R16" s="51">
        <v>28</v>
      </c>
      <c r="S16" s="51">
        <v>28</v>
      </c>
      <c r="T16" s="51">
        <v>28</v>
      </c>
      <c r="U16" s="51">
        <v>28</v>
      </c>
      <c r="V16" s="51">
        <v>28</v>
      </c>
      <c r="W16" s="51">
        <v>28</v>
      </c>
      <c r="X16" s="51">
        <v>28</v>
      </c>
      <c r="Y16" s="51">
        <v>28</v>
      </c>
      <c r="Z16" s="51">
        <v>28</v>
      </c>
      <c r="AA16" s="51">
        <v>28</v>
      </c>
      <c r="AB16" s="51">
        <v>36</v>
      </c>
      <c r="AC16" s="51">
        <v>36</v>
      </c>
      <c r="AD16" s="51">
        <v>36</v>
      </c>
      <c r="AE16" s="51">
        <v>36</v>
      </c>
      <c r="AF16" s="51">
        <v>36</v>
      </c>
      <c r="AG16" s="58">
        <v>45</v>
      </c>
      <c r="AH16" s="54">
        <f t="shared" si="2"/>
        <v>36</v>
      </c>
      <c r="AI16" s="55">
        <f t="shared" si="3"/>
        <v>25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20</v>
      </c>
      <c r="G17" s="51">
        <v>20</v>
      </c>
      <c r="H17" s="51">
        <v>20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23.8</v>
      </c>
      <c r="C19" s="51">
        <v>23.8</v>
      </c>
      <c r="D19" s="51">
        <v>23.8</v>
      </c>
      <c r="E19" s="51">
        <v>23.8</v>
      </c>
      <c r="F19" s="51">
        <v>23.8</v>
      </c>
      <c r="G19" s="51">
        <v>23.8</v>
      </c>
      <c r="H19" s="51">
        <v>23.8</v>
      </c>
      <c r="I19" s="51">
        <v>23.8</v>
      </c>
      <c r="J19" s="51">
        <v>23.8</v>
      </c>
      <c r="K19" s="51">
        <v>23.8</v>
      </c>
      <c r="L19" s="51">
        <v>23.8</v>
      </c>
      <c r="M19" s="51">
        <v>23.8</v>
      </c>
      <c r="N19" s="51">
        <v>23.8</v>
      </c>
      <c r="O19" s="51">
        <v>23.8</v>
      </c>
      <c r="P19" s="51">
        <v>23.8</v>
      </c>
      <c r="Q19" s="51">
        <v>23.8</v>
      </c>
      <c r="R19" s="51">
        <v>23.8</v>
      </c>
      <c r="S19" s="51">
        <v>23.8</v>
      </c>
      <c r="T19" s="51">
        <v>23.8</v>
      </c>
      <c r="U19" s="51">
        <v>23.8</v>
      </c>
      <c r="V19" s="51">
        <v>23.8</v>
      </c>
      <c r="W19" s="51">
        <v>23.8</v>
      </c>
      <c r="X19" s="51">
        <v>23.8</v>
      </c>
      <c r="Y19" s="51">
        <v>23.8</v>
      </c>
      <c r="Z19" s="51">
        <v>23.8</v>
      </c>
      <c r="AA19" s="51">
        <v>23.8</v>
      </c>
      <c r="AB19" s="51">
        <v>23.8</v>
      </c>
      <c r="AC19" s="51">
        <v>23.8</v>
      </c>
      <c r="AD19" s="51">
        <v>25.6</v>
      </c>
      <c r="AE19" s="51">
        <v>24.7</v>
      </c>
      <c r="AF19" s="51">
        <v>25.3</v>
      </c>
      <c r="AG19" s="58">
        <v>30</v>
      </c>
      <c r="AH19" s="54">
        <f t="shared" si="2"/>
        <v>25.6</v>
      </c>
      <c r="AI19" s="55">
        <f t="shared" si="3"/>
        <v>23.8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23.1</v>
      </c>
      <c r="C22" s="51">
        <v>23.1</v>
      </c>
      <c r="D22" s="51">
        <v>23.1</v>
      </c>
      <c r="E22" s="51">
        <v>23.1</v>
      </c>
      <c r="F22" s="51">
        <v>23.1</v>
      </c>
      <c r="G22" s="51">
        <v>23.1</v>
      </c>
      <c r="H22" s="51">
        <v>23.1</v>
      </c>
      <c r="I22" s="51">
        <v>23.1</v>
      </c>
      <c r="J22" s="51">
        <v>23.1</v>
      </c>
      <c r="K22" s="51">
        <v>23.1</v>
      </c>
      <c r="L22" s="51">
        <v>23.1</v>
      </c>
      <c r="M22" s="51">
        <v>23.1</v>
      </c>
      <c r="N22" s="51">
        <v>23.1</v>
      </c>
      <c r="O22" s="51">
        <v>23.1</v>
      </c>
      <c r="P22" s="51">
        <v>23.1</v>
      </c>
      <c r="Q22" s="51">
        <v>23.1</v>
      </c>
      <c r="R22" s="51">
        <v>23.1</v>
      </c>
      <c r="S22" s="51">
        <v>23.1</v>
      </c>
      <c r="T22" s="51">
        <v>23.1</v>
      </c>
      <c r="U22" s="51">
        <v>23.1</v>
      </c>
      <c r="V22" s="51">
        <v>23.1</v>
      </c>
      <c r="W22" s="51">
        <v>23.1</v>
      </c>
      <c r="X22" s="51">
        <v>23.1</v>
      </c>
      <c r="Y22" s="51">
        <v>23.1</v>
      </c>
      <c r="Z22" s="51">
        <v>23.1</v>
      </c>
      <c r="AA22" s="51">
        <v>23.1</v>
      </c>
      <c r="AB22" s="51">
        <v>23.1</v>
      </c>
      <c r="AC22" s="51">
        <v>23.1</v>
      </c>
      <c r="AD22" s="51">
        <v>23.5</v>
      </c>
      <c r="AE22" s="51">
        <v>23.5</v>
      </c>
      <c r="AF22" s="51">
        <v>23.3</v>
      </c>
      <c r="AG22" s="58">
        <v>25</v>
      </c>
      <c r="AH22" s="54">
        <f t="shared" si="2"/>
        <v>23.5</v>
      </c>
      <c r="AI22" s="55">
        <f t="shared" si="3"/>
        <v>23.1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14.9</v>
      </c>
      <c r="C24" s="51">
        <v>14.9</v>
      </c>
      <c r="D24" s="51">
        <v>14.9</v>
      </c>
      <c r="E24" s="51">
        <v>14.9</v>
      </c>
      <c r="F24" s="51">
        <v>14.9</v>
      </c>
      <c r="G24" s="51">
        <v>14.9</v>
      </c>
      <c r="H24" s="51">
        <v>14.9</v>
      </c>
      <c r="I24" s="51">
        <v>18.899999999999999</v>
      </c>
      <c r="J24" s="51">
        <v>18.899999999999999</v>
      </c>
      <c r="K24" s="51">
        <v>18.899999999999999</v>
      </c>
      <c r="L24" s="51">
        <v>18.899999999999999</v>
      </c>
      <c r="M24" s="51">
        <v>18.899999999999999</v>
      </c>
      <c r="N24" s="51">
        <v>18.899999999999999</v>
      </c>
      <c r="O24" s="51">
        <v>18.899999999999999</v>
      </c>
      <c r="P24" s="51">
        <v>18.899999999999999</v>
      </c>
      <c r="Q24" s="51">
        <v>18.899999999999999</v>
      </c>
      <c r="R24" s="51">
        <v>18.899999999999999</v>
      </c>
      <c r="S24" s="51">
        <v>18.899999999999999</v>
      </c>
      <c r="T24" s="51">
        <v>18.899999999999999</v>
      </c>
      <c r="U24" s="51">
        <v>18.899999999999999</v>
      </c>
      <c r="V24" s="51">
        <v>18.899999999999999</v>
      </c>
      <c r="W24" s="51">
        <v>18.899999999999999</v>
      </c>
      <c r="X24" s="51">
        <v>18.899999999999999</v>
      </c>
      <c r="Y24" s="51">
        <v>18.899999999999999</v>
      </c>
      <c r="Z24" s="51">
        <v>18.899999999999999</v>
      </c>
      <c r="AA24" s="51">
        <v>18.899999999999999</v>
      </c>
      <c r="AB24" s="51">
        <v>18.899999999999999</v>
      </c>
      <c r="AC24" s="51">
        <v>18.899999999999999</v>
      </c>
      <c r="AD24" s="51">
        <v>22.9</v>
      </c>
      <c r="AE24" s="51">
        <v>23</v>
      </c>
      <c r="AF24" s="51">
        <v>23.1</v>
      </c>
      <c r="AG24" s="58">
        <v>25</v>
      </c>
      <c r="AH24" s="54">
        <f t="shared" si="2"/>
        <v>23.1</v>
      </c>
      <c r="AI24" s="55">
        <f t="shared" si="3"/>
        <v>14.9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0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9</v>
      </c>
      <c r="C26" s="51">
        <v>9</v>
      </c>
      <c r="D26" s="51">
        <v>9</v>
      </c>
      <c r="E26" s="51">
        <v>9</v>
      </c>
      <c r="F26" s="51">
        <v>11</v>
      </c>
      <c r="G26" s="51">
        <v>11</v>
      </c>
      <c r="H26" s="51">
        <v>5</v>
      </c>
      <c r="I26" s="51">
        <v>5</v>
      </c>
      <c r="J26" s="51">
        <v>5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5</v>
      </c>
      <c r="AC26" s="51">
        <v>5</v>
      </c>
      <c r="AD26" s="51">
        <v>5</v>
      </c>
      <c r="AE26" s="51">
        <v>5</v>
      </c>
      <c r="AF26" s="51">
        <v>5</v>
      </c>
      <c r="AG26" s="58">
        <v>20</v>
      </c>
      <c r="AH26" s="54">
        <f t="shared" si="2"/>
        <v>11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0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7</v>
      </c>
      <c r="C30" s="51">
        <v>7</v>
      </c>
      <c r="D30" s="51">
        <v>7</v>
      </c>
      <c r="E30" s="51">
        <v>0</v>
      </c>
      <c r="F30" s="51">
        <v>0</v>
      </c>
      <c r="G30" s="51">
        <v>8</v>
      </c>
      <c r="H30" s="51">
        <v>10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8">
        <v>22.1</v>
      </c>
      <c r="AH30" s="54">
        <f t="shared" si="2"/>
        <v>12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0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0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7</v>
      </c>
      <c r="C34" s="51">
        <v>7</v>
      </c>
      <c r="D34" s="51">
        <v>7</v>
      </c>
      <c r="E34" s="51">
        <v>7</v>
      </c>
      <c r="F34" s="51">
        <v>7</v>
      </c>
      <c r="G34" s="51">
        <v>7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4</v>
      </c>
      <c r="N34" s="51">
        <v>4</v>
      </c>
      <c r="O34" s="51">
        <v>4</v>
      </c>
      <c r="P34" s="51">
        <v>4</v>
      </c>
      <c r="Q34" s="51">
        <v>4</v>
      </c>
      <c r="R34" s="51">
        <v>4</v>
      </c>
      <c r="S34" s="51">
        <v>4</v>
      </c>
      <c r="T34" s="51">
        <v>4</v>
      </c>
      <c r="U34" s="51">
        <v>4</v>
      </c>
      <c r="V34" s="51">
        <v>4</v>
      </c>
      <c r="W34" s="51">
        <v>4</v>
      </c>
      <c r="X34" s="51">
        <v>4</v>
      </c>
      <c r="Y34" s="51">
        <v>4</v>
      </c>
      <c r="Z34" s="51">
        <v>4</v>
      </c>
      <c r="AA34" s="51">
        <v>4</v>
      </c>
      <c r="AB34" s="51">
        <v>4</v>
      </c>
      <c r="AC34" s="51">
        <v>4</v>
      </c>
      <c r="AD34" s="51">
        <v>4</v>
      </c>
      <c r="AE34" s="51">
        <v>4</v>
      </c>
      <c r="AF34" s="51">
        <v>4</v>
      </c>
      <c r="AG34" s="63">
        <v>20</v>
      </c>
      <c r="AH34" s="54">
        <f t="shared" si="2"/>
        <v>7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180</v>
      </c>
      <c r="J36" s="65">
        <v>180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180</v>
      </c>
      <c r="AK36" s="56"/>
    </row>
    <row r="37" spans="1:88" ht="15.75" thickBot="1" x14ac:dyDescent="0.3">
      <c r="A37" s="66" t="s">
        <v>45</v>
      </c>
      <c r="B37" s="67">
        <v>133</v>
      </c>
      <c r="C37" s="67">
        <v>140</v>
      </c>
      <c r="D37" s="67">
        <v>128</v>
      </c>
      <c r="E37" s="67">
        <v>125</v>
      </c>
      <c r="F37" s="67">
        <v>125</v>
      </c>
      <c r="G37" s="67">
        <v>116</v>
      </c>
      <c r="H37" s="67">
        <v>116</v>
      </c>
      <c r="I37" s="67">
        <v>0</v>
      </c>
      <c r="J37" s="67">
        <v>84</v>
      </c>
      <c r="K37" s="67">
        <v>107</v>
      </c>
      <c r="L37" s="67">
        <v>107</v>
      </c>
      <c r="M37" s="65">
        <f>64.9+49.4</f>
        <v>114.30000000000001</v>
      </c>
      <c r="N37" s="65">
        <f>60.5+52.5</f>
        <v>113</v>
      </c>
      <c r="O37" s="65">
        <v>116</v>
      </c>
      <c r="P37" s="65">
        <v>117</v>
      </c>
      <c r="Q37" s="65">
        <f>60+55.7</f>
        <v>115.7</v>
      </c>
      <c r="R37" s="65">
        <f>59+69</f>
        <v>128</v>
      </c>
      <c r="S37" s="65">
        <f>58.4+69.6</f>
        <v>128</v>
      </c>
      <c r="T37" s="65">
        <f>57.6+69.8</f>
        <v>127.4</v>
      </c>
      <c r="U37" s="65">
        <f>57.3+64.9</f>
        <v>122.2</v>
      </c>
      <c r="V37" s="65">
        <f>25.5+76</f>
        <v>101.5</v>
      </c>
      <c r="W37" s="65">
        <f>53.4+72</f>
        <v>125.4</v>
      </c>
      <c r="X37" s="65">
        <f>57.8+74.8</f>
        <v>132.6</v>
      </c>
      <c r="Y37" s="65">
        <f>57.7+70.1</f>
        <v>127.8</v>
      </c>
      <c r="Z37" s="65">
        <f>57.7+63.9</f>
        <v>121.6</v>
      </c>
      <c r="AA37" s="67">
        <v>121.6</v>
      </c>
      <c r="AB37" s="67">
        <v>121.6</v>
      </c>
      <c r="AC37" s="67">
        <v>121.6</v>
      </c>
      <c r="AD37" s="67">
        <f>63.3+65.1</f>
        <v>128.39999999999998</v>
      </c>
      <c r="AE37" s="67">
        <f>62.1+64.1</f>
        <v>126.19999999999999</v>
      </c>
      <c r="AF37" s="67">
        <f>63.6+66.2</f>
        <v>129.80000000000001</v>
      </c>
      <c r="AG37" s="63">
        <v>240</v>
      </c>
      <c r="AH37" s="54">
        <f t="shared" si="2"/>
        <v>140</v>
      </c>
      <c r="AI37" s="55">
        <f t="shared" si="3"/>
        <v>0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786.90000000000009</v>
      </c>
      <c r="C38" s="69">
        <f t="shared" si="4"/>
        <v>776.90000000000009</v>
      </c>
      <c r="D38" s="69">
        <f t="shared" si="4"/>
        <v>863.6</v>
      </c>
      <c r="E38" s="69">
        <f t="shared" si="4"/>
        <v>900.3</v>
      </c>
      <c r="F38" s="69">
        <f t="shared" si="4"/>
        <v>898.3</v>
      </c>
      <c r="G38" s="69">
        <f t="shared" si="4"/>
        <v>891.3</v>
      </c>
      <c r="H38" s="69">
        <f t="shared" si="4"/>
        <v>884.3</v>
      </c>
      <c r="I38" s="69">
        <f t="shared" si="4"/>
        <v>812.3</v>
      </c>
      <c r="J38" s="69">
        <f t="shared" si="4"/>
        <v>900.3</v>
      </c>
      <c r="K38" s="69">
        <f t="shared" si="4"/>
        <v>895.3</v>
      </c>
      <c r="L38" s="69">
        <f t="shared" si="4"/>
        <v>895.3</v>
      </c>
      <c r="M38" s="69">
        <f t="shared" si="4"/>
        <v>887.3</v>
      </c>
      <c r="N38" s="69">
        <f t="shared" si="4"/>
        <v>887.3</v>
      </c>
      <c r="O38" s="69">
        <f t="shared" si="4"/>
        <v>917.3</v>
      </c>
      <c r="P38" s="69">
        <f t="shared" si="4"/>
        <v>877.3</v>
      </c>
      <c r="Q38" s="69">
        <f t="shared" si="4"/>
        <v>890.3</v>
      </c>
      <c r="R38" s="69">
        <f t="shared" si="4"/>
        <v>890.3</v>
      </c>
      <c r="S38" s="69">
        <f t="shared" si="4"/>
        <v>895.3</v>
      </c>
      <c r="T38" s="69">
        <f t="shared" si="4"/>
        <v>889.3</v>
      </c>
      <c r="U38" s="69">
        <f t="shared" si="4"/>
        <v>841.6</v>
      </c>
      <c r="V38" s="69">
        <f t="shared" si="4"/>
        <v>835.6</v>
      </c>
      <c r="W38" s="69">
        <f t="shared" si="4"/>
        <v>827.6</v>
      </c>
      <c r="X38" s="69">
        <f t="shared" si="4"/>
        <v>826.40000000000009</v>
      </c>
      <c r="Y38" s="69">
        <f t="shared" si="4"/>
        <v>827.6</v>
      </c>
      <c r="Z38" s="69">
        <f t="shared" si="4"/>
        <v>903.59999999999991</v>
      </c>
      <c r="AA38" s="69">
        <f t="shared" si="4"/>
        <v>962.59999999999991</v>
      </c>
      <c r="AB38" s="69">
        <f t="shared" si="4"/>
        <v>998.59999999999991</v>
      </c>
      <c r="AC38" s="69">
        <f t="shared" si="4"/>
        <v>978.59999999999991</v>
      </c>
      <c r="AD38" s="69">
        <f t="shared" si="4"/>
        <v>964.1</v>
      </c>
      <c r="AE38" s="69">
        <f t="shared" si="4"/>
        <v>904.80000000000007</v>
      </c>
      <c r="AF38" s="69">
        <f t="shared" si="4"/>
        <v>919.99999999999989</v>
      </c>
      <c r="AG38" s="63">
        <f>SUM(AG11:AG37)</f>
        <v>1492.8299999999997</v>
      </c>
      <c r="AH38" s="54">
        <f t="shared" si="2"/>
        <v>998.59999999999991</v>
      </c>
      <c r="AI38" s="55">
        <f t="shared" si="3"/>
        <v>776.90000000000009</v>
      </c>
      <c r="AK38" s="56"/>
    </row>
    <row r="39" spans="1:88" x14ac:dyDescent="0.25">
      <c r="A39" s="57" t="s">
        <v>47</v>
      </c>
      <c r="B39" s="51">
        <v>146.80000000000001</v>
      </c>
      <c r="C39" s="51">
        <v>146.80000000000001</v>
      </c>
      <c r="D39" s="51">
        <v>146.80000000000001</v>
      </c>
      <c r="E39" s="51">
        <v>145</v>
      </c>
      <c r="F39" s="51">
        <v>146</v>
      </c>
      <c r="G39" s="51">
        <v>146</v>
      </c>
      <c r="H39" s="51">
        <v>146</v>
      </c>
      <c r="I39" s="51">
        <v>146</v>
      </c>
      <c r="J39" s="51">
        <v>146</v>
      </c>
      <c r="K39" s="51">
        <v>146</v>
      </c>
      <c r="L39" s="51">
        <v>146</v>
      </c>
      <c r="M39" s="51">
        <v>130.69999999999999</v>
      </c>
      <c r="N39" s="51">
        <v>138.1</v>
      </c>
      <c r="O39" s="51">
        <v>138.1</v>
      </c>
      <c r="P39" s="51">
        <v>97</v>
      </c>
      <c r="Q39" s="51">
        <v>97</v>
      </c>
      <c r="R39" s="51">
        <v>97</v>
      </c>
      <c r="S39" s="51">
        <v>145.80000000000001</v>
      </c>
      <c r="T39" s="51">
        <v>97</v>
      </c>
      <c r="U39" s="51">
        <v>97</v>
      </c>
      <c r="V39" s="51">
        <v>97.2</v>
      </c>
      <c r="W39" s="51">
        <v>97.1</v>
      </c>
      <c r="X39" s="51">
        <v>121.2</v>
      </c>
      <c r="Y39" s="51">
        <v>147.30000000000001</v>
      </c>
      <c r="Z39" s="51">
        <v>146.6</v>
      </c>
      <c r="AA39" s="51">
        <v>146.6</v>
      </c>
      <c r="AB39" s="51">
        <v>146.6</v>
      </c>
      <c r="AC39" s="51">
        <v>146.6</v>
      </c>
      <c r="AD39" s="51">
        <v>145.19999999999999</v>
      </c>
      <c r="AE39" s="51">
        <v>145.5</v>
      </c>
      <c r="AF39" s="51">
        <v>145.69999999999999</v>
      </c>
      <c r="AG39" s="59">
        <v>144</v>
      </c>
      <c r="AH39" s="54">
        <f t="shared" si="2"/>
        <v>147.30000000000001</v>
      </c>
      <c r="AI39" s="55">
        <f t="shared" si="3"/>
        <v>97</v>
      </c>
      <c r="AK39" s="56"/>
    </row>
    <row r="40" spans="1:88" x14ac:dyDescent="0.25">
      <c r="A40" s="62" t="s">
        <v>48</v>
      </c>
      <c r="B40" s="70">
        <v>71.900000000000006</v>
      </c>
      <c r="C40" s="70">
        <v>71.900000000000006</v>
      </c>
      <c r="D40" s="70">
        <v>70</v>
      </c>
      <c r="E40" s="70">
        <v>50</v>
      </c>
      <c r="F40" s="70">
        <v>50</v>
      </c>
      <c r="G40" s="70">
        <v>50</v>
      </c>
      <c r="H40" s="70">
        <v>50</v>
      </c>
      <c r="I40" s="70">
        <v>50</v>
      </c>
      <c r="J40" s="70">
        <v>70</v>
      </c>
      <c r="K40" s="70">
        <v>70</v>
      </c>
      <c r="L40" s="70">
        <v>70</v>
      </c>
      <c r="M40" s="70">
        <v>70</v>
      </c>
      <c r="N40" s="70">
        <v>70</v>
      </c>
      <c r="O40" s="70">
        <v>70</v>
      </c>
      <c r="P40" s="51">
        <v>73</v>
      </c>
      <c r="Q40" s="51">
        <v>73</v>
      </c>
      <c r="R40" s="51">
        <v>73</v>
      </c>
      <c r="S40" s="70">
        <v>72.5</v>
      </c>
      <c r="T40" s="70">
        <v>72.900000000000006</v>
      </c>
      <c r="U40" s="70">
        <v>73.8</v>
      </c>
      <c r="V40" s="70">
        <v>72.5</v>
      </c>
      <c r="W40" s="70">
        <v>72.7</v>
      </c>
      <c r="X40" s="70">
        <v>72.5</v>
      </c>
      <c r="Y40" s="70">
        <v>72.900000000000006</v>
      </c>
      <c r="Z40" s="70">
        <v>72.900000000000006</v>
      </c>
      <c r="AA40" s="70">
        <v>72.400000000000006</v>
      </c>
      <c r="AB40" s="70">
        <v>72.400000000000006</v>
      </c>
      <c r="AC40" s="70">
        <v>72.400000000000006</v>
      </c>
      <c r="AD40" s="70">
        <v>72.5</v>
      </c>
      <c r="AE40" s="70">
        <v>72.8</v>
      </c>
      <c r="AF40" s="70">
        <v>72.099999999999994</v>
      </c>
      <c r="AG40" s="63">
        <v>70</v>
      </c>
      <c r="AH40" s="54">
        <f t="shared" si="2"/>
        <v>73.8</v>
      </c>
      <c r="AI40" s="55">
        <f t="shared" si="3"/>
        <v>50</v>
      </c>
      <c r="AK40" s="56"/>
    </row>
    <row r="41" spans="1:88" x14ac:dyDescent="0.25">
      <c r="A41" s="62" t="s">
        <v>49</v>
      </c>
      <c r="B41" s="70">
        <v>68.5</v>
      </c>
      <c r="C41" s="70">
        <v>68.5</v>
      </c>
      <c r="D41" s="70">
        <v>68.5</v>
      </c>
      <c r="E41" s="70">
        <v>53</v>
      </c>
      <c r="F41" s="70">
        <v>53</v>
      </c>
      <c r="G41" s="70">
        <v>60</v>
      </c>
      <c r="H41" s="70">
        <v>60</v>
      </c>
      <c r="I41" s="70">
        <v>60</v>
      </c>
      <c r="J41" s="70">
        <v>60</v>
      </c>
      <c r="K41" s="70">
        <v>68</v>
      </c>
      <c r="L41" s="70">
        <v>68</v>
      </c>
      <c r="M41" s="70">
        <v>56.1</v>
      </c>
      <c r="N41" s="70">
        <v>68.5</v>
      </c>
      <c r="O41" s="70">
        <v>57.5</v>
      </c>
      <c r="P41" s="51">
        <v>60</v>
      </c>
      <c r="Q41" s="51">
        <v>55.4</v>
      </c>
      <c r="R41" s="51">
        <v>68.400000000000006</v>
      </c>
      <c r="S41" s="70">
        <v>45.5</v>
      </c>
      <c r="T41" s="70">
        <v>45.7</v>
      </c>
      <c r="U41" s="70">
        <v>45.9</v>
      </c>
      <c r="V41" s="70">
        <v>45.8</v>
      </c>
      <c r="W41" s="70">
        <v>53.8</v>
      </c>
      <c r="X41" s="70">
        <v>54</v>
      </c>
      <c r="Y41" s="70">
        <v>67.900000000000006</v>
      </c>
      <c r="Z41" s="70">
        <v>67.900000000000006</v>
      </c>
      <c r="AA41" s="70">
        <v>68</v>
      </c>
      <c r="AB41" s="70">
        <v>68</v>
      </c>
      <c r="AC41" s="70">
        <v>68</v>
      </c>
      <c r="AD41" s="70">
        <v>68</v>
      </c>
      <c r="AE41" s="70">
        <v>69.099999999999994</v>
      </c>
      <c r="AF41" s="70">
        <v>68.400000000000006</v>
      </c>
      <c r="AG41" s="63">
        <v>69</v>
      </c>
      <c r="AH41" s="54">
        <f t="shared" si="2"/>
        <v>69.099999999999994</v>
      </c>
      <c r="AI41" s="55">
        <f t="shared" si="3"/>
        <v>45.5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40</v>
      </c>
      <c r="F42" s="65">
        <v>40</v>
      </c>
      <c r="G42" s="65">
        <v>40</v>
      </c>
      <c r="H42" s="65">
        <v>40</v>
      </c>
      <c r="I42" s="65">
        <v>40</v>
      </c>
      <c r="J42" s="65">
        <v>40</v>
      </c>
      <c r="K42" s="65">
        <v>40</v>
      </c>
      <c r="L42" s="65">
        <v>40</v>
      </c>
      <c r="M42" s="65">
        <v>40</v>
      </c>
      <c r="N42" s="65">
        <v>40</v>
      </c>
      <c r="O42" s="65">
        <v>40</v>
      </c>
      <c r="P42" s="51">
        <v>41</v>
      </c>
      <c r="Q42" s="51">
        <v>41</v>
      </c>
      <c r="R42" s="51">
        <v>55.2</v>
      </c>
      <c r="S42" s="51">
        <v>39.799999999999997</v>
      </c>
      <c r="T42" s="51">
        <v>59.7</v>
      </c>
      <c r="U42" s="51">
        <v>60.4</v>
      </c>
      <c r="V42" s="70">
        <v>60.4</v>
      </c>
      <c r="W42" s="70">
        <v>39</v>
      </c>
      <c r="X42" s="70">
        <v>39.5</v>
      </c>
      <c r="Y42" s="70">
        <v>61.2</v>
      </c>
      <c r="Z42" s="70">
        <v>60.9</v>
      </c>
      <c r="AA42" s="70">
        <v>61.4</v>
      </c>
      <c r="AB42" s="70">
        <v>61.4</v>
      </c>
      <c r="AC42" s="70">
        <v>61.4</v>
      </c>
      <c r="AD42" s="70">
        <v>60.5</v>
      </c>
      <c r="AE42" s="70">
        <v>60.9</v>
      </c>
      <c r="AF42" s="70">
        <v>60.9</v>
      </c>
      <c r="AG42" s="63">
        <v>60</v>
      </c>
      <c r="AH42" s="54">
        <f t="shared" si="2"/>
        <v>61.4</v>
      </c>
      <c r="AI42" s="55">
        <f t="shared" si="3"/>
        <v>39</v>
      </c>
      <c r="AK42" s="56"/>
    </row>
    <row r="43" spans="1:88" x14ac:dyDescent="0.25">
      <c r="A43" s="62" t="s">
        <v>51</v>
      </c>
      <c r="B43" s="65">
        <v>6</v>
      </c>
      <c r="C43" s="65">
        <v>6</v>
      </c>
      <c r="D43" s="65">
        <v>6</v>
      </c>
      <c r="E43" s="65">
        <v>6</v>
      </c>
      <c r="F43" s="65">
        <v>6</v>
      </c>
      <c r="G43" s="65">
        <v>6</v>
      </c>
      <c r="H43" s="65">
        <v>8</v>
      </c>
      <c r="I43" s="65">
        <v>8</v>
      </c>
      <c r="J43" s="65">
        <v>10</v>
      </c>
      <c r="K43" s="65">
        <v>19</v>
      </c>
      <c r="L43" s="65">
        <v>25</v>
      </c>
      <c r="M43" s="65">
        <v>25</v>
      </c>
      <c r="N43" s="65">
        <v>23.1</v>
      </c>
      <c r="O43" s="65">
        <v>23.1</v>
      </c>
      <c r="P43" s="51">
        <v>20</v>
      </c>
      <c r="Q43" s="51">
        <v>6</v>
      </c>
      <c r="R43" s="51">
        <v>15.1</v>
      </c>
      <c r="S43" s="51">
        <v>14.9</v>
      </c>
      <c r="T43" s="51">
        <v>16.2</v>
      </c>
      <c r="U43" s="51">
        <v>16.2</v>
      </c>
      <c r="V43" s="70">
        <v>15.7</v>
      </c>
      <c r="W43" s="70">
        <v>15.7</v>
      </c>
      <c r="X43" s="70">
        <v>9.5</v>
      </c>
      <c r="Y43" s="70">
        <v>9.5</v>
      </c>
      <c r="Z43" s="70">
        <v>10</v>
      </c>
      <c r="AA43" s="70">
        <v>28.7</v>
      </c>
      <c r="AB43" s="70">
        <v>28.7</v>
      </c>
      <c r="AC43" s="70">
        <v>28.7</v>
      </c>
      <c r="AD43" s="70">
        <v>29.6</v>
      </c>
      <c r="AE43" s="70">
        <v>12</v>
      </c>
      <c r="AF43" s="70">
        <v>10.7</v>
      </c>
      <c r="AG43" s="63">
        <v>30</v>
      </c>
      <c r="AH43" s="54">
        <f t="shared" si="2"/>
        <v>29.6</v>
      </c>
      <c r="AI43" s="55">
        <f t="shared" si="3"/>
        <v>6</v>
      </c>
      <c r="AK43" s="56"/>
    </row>
    <row r="44" spans="1:88" x14ac:dyDescent="0.25">
      <c r="A44" s="62" t="s">
        <v>52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>
        <v>9</v>
      </c>
      <c r="N44" s="70">
        <v>9</v>
      </c>
      <c r="O44" s="70">
        <v>9</v>
      </c>
      <c r="P44" s="51">
        <v>9</v>
      </c>
      <c r="Q44" s="51">
        <v>9</v>
      </c>
      <c r="R44" s="51">
        <v>9</v>
      </c>
      <c r="S44" s="51">
        <v>9</v>
      </c>
      <c r="T44" s="51">
        <v>9</v>
      </c>
      <c r="U44" s="51">
        <v>9</v>
      </c>
      <c r="V44" s="51">
        <v>9</v>
      </c>
      <c r="W44" s="51">
        <v>9</v>
      </c>
      <c r="X44" s="51">
        <v>9</v>
      </c>
      <c r="Y44" s="51">
        <v>9</v>
      </c>
      <c r="Z44" s="51">
        <v>9</v>
      </c>
      <c r="AA44" s="51">
        <v>9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9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17.600000000000001</v>
      </c>
      <c r="C45" s="70">
        <v>17.600000000000001</v>
      </c>
      <c r="D45" s="70">
        <v>17.600000000000001</v>
      </c>
      <c r="E45" s="70">
        <v>17.600000000000001</v>
      </c>
      <c r="F45" s="70">
        <v>17.600000000000001</v>
      </c>
      <c r="G45" s="70">
        <v>17.600000000000001</v>
      </c>
      <c r="H45" s="70">
        <v>17.600000000000001</v>
      </c>
      <c r="I45" s="70">
        <v>17.600000000000001</v>
      </c>
      <c r="J45" s="70">
        <v>17.600000000000001</v>
      </c>
      <c r="K45" s="70">
        <v>17.600000000000001</v>
      </c>
      <c r="L45" s="70">
        <v>17.600000000000001</v>
      </c>
      <c r="M45" s="70">
        <v>17.600000000000001</v>
      </c>
      <c r="N45" s="70">
        <v>17.600000000000001</v>
      </c>
      <c r="O45" s="70">
        <v>17.600000000000001</v>
      </c>
      <c r="P45" s="70">
        <v>17.600000000000001</v>
      </c>
      <c r="Q45" s="70">
        <v>17.600000000000001</v>
      </c>
      <c r="R45" s="70">
        <v>17.600000000000001</v>
      </c>
      <c r="S45" s="51">
        <v>17.5</v>
      </c>
      <c r="T45" s="51">
        <v>17.5</v>
      </c>
      <c r="U45" s="51">
        <v>17.5</v>
      </c>
      <c r="V45" s="51">
        <v>17.600000000000001</v>
      </c>
      <c r="W45" s="51">
        <v>17.600000000000001</v>
      </c>
      <c r="X45" s="51">
        <v>17.600000000000001</v>
      </c>
      <c r="Y45" s="51">
        <v>17.600000000000001</v>
      </c>
      <c r="Z45" s="51">
        <v>17.600000000000001</v>
      </c>
      <c r="AA45" s="51">
        <v>17.600000000000001</v>
      </c>
      <c r="AB45" s="51">
        <v>17.600000000000001</v>
      </c>
      <c r="AC45" s="51">
        <v>17.600000000000001</v>
      </c>
      <c r="AD45" s="51">
        <v>17.600000000000001</v>
      </c>
      <c r="AE45" s="51">
        <v>17.600000000000001</v>
      </c>
      <c r="AF45" s="51">
        <v>17.600000000000001</v>
      </c>
      <c r="AG45" s="63">
        <v>24</v>
      </c>
      <c r="AH45" s="54">
        <f t="shared" si="2"/>
        <v>17.600000000000001</v>
      </c>
      <c r="AI45" s="55">
        <f t="shared" si="3"/>
        <v>17.5</v>
      </c>
      <c r="AK45" s="56"/>
    </row>
    <row r="46" spans="1:88" x14ac:dyDescent="0.25">
      <c r="A46" s="62" t="s">
        <v>54</v>
      </c>
      <c r="B46" s="70">
        <v>3</v>
      </c>
      <c r="C46" s="70">
        <v>3</v>
      </c>
      <c r="D46" s="70">
        <v>3</v>
      </c>
      <c r="E46" s="70">
        <v>3</v>
      </c>
      <c r="F46" s="70">
        <v>3</v>
      </c>
      <c r="G46" s="70">
        <v>3</v>
      </c>
      <c r="H46" s="70">
        <v>3</v>
      </c>
      <c r="I46" s="70">
        <v>3</v>
      </c>
      <c r="J46" s="70">
        <v>3</v>
      </c>
      <c r="K46" s="70">
        <v>3</v>
      </c>
      <c r="L46" s="70">
        <v>3</v>
      </c>
      <c r="M46" s="70">
        <v>3</v>
      </c>
      <c r="N46" s="70">
        <v>3</v>
      </c>
      <c r="O46" s="70">
        <v>3</v>
      </c>
      <c r="P46" s="70">
        <v>3</v>
      </c>
      <c r="Q46" s="70">
        <v>3</v>
      </c>
      <c r="R46" s="70">
        <v>3</v>
      </c>
      <c r="S46" s="51">
        <v>3</v>
      </c>
      <c r="T46" s="51">
        <v>3</v>
      </c>
      <c r="U46" s="51">
        <v>3</v>
      </c>
      <c r="V46" s="51">
        <v>3</v>
      </c>
      <c r="W46" s="51">
        <v>3</v>
      </c>
      <c r="X46" s="51">
        <v>3</v>
      </c>
      <c r="Y46" s="51">
        <v>3</v>
      </c>
      <c r="Z46" s="51">
        <v>3</v>
      </c>
      <c r="AA46" s="51">
        <v>3</v>
      </c>
      <c r="AB46" s="51">
        <v>3</v>
      </c>
      <c r="AC46" s="51">
        <v>3</v>
      </c>
      <c r="AD46" s="51">
        <v>3</v>
      </c>
      <c r="AE46" s="51">
        <v>3</v>
      </c>
      <c r="AF46" s="51">
        <v>3</v>
      </c>
      <c r="AG46" s="63">
        <v>15</v>
      </c>
      <c r="AH46" s="54">
        <f t="shared" si="2"/>
        <v>3</v>
      </c>
      <c r="AI46" s="55">
        <f t="shared" si="3"/>
        <v>3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14</v>
      </c>
      <c r="C47" s="70">
        <v>14</v>
      </c>
      <c r="D47" s="70">
        <v>14</v>
      </c>
      <c r="E47" s="70">
        <v>14</v>
      </c>
      <c r="F47" s="70">
        <v>13</v>
      </c>
      <c r="G47" s="70">
        <v>13</v>
      </c>
      <c r="H47" s="70">
        <v>13</v>
      </c>
      <c r="I47" s="70">
        <v>13</v>
      </c>
      <c r="J47" s="70">
        <v>13</v>
      </c>
      <c r="K47" s="70">
        <v>13</v>
      </c>
      <c r="L47" s="70">
        <v>13</v>
      </c>
      <c r="M47" s="70">
        <v>13</v>
      </c>
      <c r="N47" s="70">
        <v>13</v>
      </c>
      <c r="O47" s="70">
        <v>13</v>
      </c>
      <c r="P47" s="70">
        <v>13</v>
      </c>
      <c r="Q47" s="70">
        <v>13</v>
      </c>
      <c r="R47" s="70">
        <v>13</v>
      </c>
      <c r="S47" s="51">
        <v>13.4</v>
      </c>
      <c r="T47" s="51">
        <v>13.4</v>
      </c>
      <c r="U47" s="51">
        <v>13.4</v>
      </c>
      <c r="V47" s="51">
        <v>13.6</v>
      </c>
      <c r="W47" s="51">
        <v>13.6</v>
      </c>
      <c r="X47" s="51">
        <v>13.5</v>
      </c>
      <c r="Y47" s="51">
        <v>13.5</v>
      </c>
      <c r="Z47" s="51">
        <v>13.3</v>
      </c>
      <c r="AA47" s="51">
        <v>13.3</v>
      </c>
      <c r="AB47" s="51">
        <v>13.3</v>
      </c>
      <c r="AC47" s="51">
        <v>13.3</v>
      </c>
      <c r="AD47" s="51">
        <v>13.3</v>
      </c>
      <c r="AE47" s="51">
        <v>13.3</v>
      </c>
      <c r="AF47" s="51">
        <v>13.3</v>
      </c>
      <c r="AG47" s="63">
        <v>14.1</v>
      </c>
      <c r="AH47" s="54">
        <f t="shared" si="2"/>
        <v>14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12.5</v>
      </c>
      <c r="C48" s="70">
        <v>12.5</v>
      </c>
      <c r="D48" s="70">
        <v>12.5</v>
      </c>
      <c r="E48" s="70">
        <v>12.5</v>
      </c>
      <c r="F48" s="70">
        <v>12.5</v>
      </c>
      <c r="G48" s="70">
        <v>12.5</v>
      </c>
      <c r="H48" s="70">
        <v>12.5</v>
      </c>
      <c r="I48" s="70">
        <v>12.5</v>
      </c>
      <c r="J48" s="70">
        <v>12.5</v>
      </c>
      <c r="K48" s="70">
        <v>12.5</v>
      </c>
      <c r="L48" s="70">
        <v>12.5</v>
      </c>
      <c r="M48" s="70">
        <v>12.5</v>
      </c>
      <c r="N48" s="70">
        <v>12.5</v>
      </c>
      <c r="O48" s="70">
        <v>12.5</v>
      </c>
      <c r="P48" s="70">
        <v>12.5</v>
      </c>
      <c r="Q48" s="70">
        <v>12.5</v>
      </c>
      <c r="R48" s="70">
        <v>12.5</v>
      </c>
      <c r="S48" s="51">
        <v>10.4</v>
      </c>
      <c r="T48" s="51">
        <v>10.4</v>
      </c>
      <c r="U48" s="51">
        <v>10.4</v>
      </c>
      <c r="V48" s="51">
        <v>10.4</v>
      </c>
      <c r="W48" s="51">
        <v>10.4</v>
      </c>
      <c r="X48" s="51">
        <v>10.4</v>
      </c>
      <c r="Y48" s="51">
        <v>10.4</v>
      </c>
      <c r="Z48" s="51">
        <v>10.4</v>
      </c>
      <c r="AA48" s="51">
        <v>10.4</v>
      </c>
      <c r="AB48" s="51">
        <v>10.4</v>
      </c>
      <c r="AC48" s="51">
        <v>10.4</v>
      </c>
      <c r="AD48" s="51">
        <v>10.4</v>
      </c>
      <c r="AE48" s="51">
        <v>10.4</v>
      </c>
      <c r="AF48" s="51">
        <v>10.4</v>
      </c>
      <c r="AG48" s="63">
        <v>14</v>
      </c>
      <c r="AH48" s="54">
        <f t="shared" si="2"/>
        <v>12.5</v>
      </c>
      <c r="AI48" s="55">
        <f t="shared" si="3"/>
        <v>10.4</v>
      </c>
      <c r="AK48" s="56"/>
    </row>
    <row r="49" spans="1:37" x14ac:dyDescent="0.25">
      <c r="A49" s="62" t="s">
        <v>57</v>
      </c>
      <c r="B49" s="70">
        <v>7.8</v>
      </c>
      <c r="C49" s="70">
        <v>7.8</v>
      </c>
      <c r="D49" s="70">
        <v>7.8</v>
      </c>
      <c r="E49" s="70">
        <v>7.8</v>
      </c>
      <c r="F49" s="70">
        <v>7.8</v>
      </c>
      <c r="G49" s="70">
        <v>7.8</v>
      </c>
      <c r="H49" s="70">
        <v>7.8</v>
      </c>
      <c r="I49" s="70">
        <v>7.8</v>
      </c>
      <c r="J49" s="70">
        <v>7.8</v>
      </c>
      <c r="K49" s="70">
        <v>7.8</v>
      </c>
      <c r="L49" s="70">
        <v>7.8</v>
      </c>
      <c r="M49" s="70">
        <v>7.8</v>
      </c>
      <c r="N49" s="70">
        <v>7.8</v>
      </c>
      <c r="O49" s="70">
        <v>7.8</v>
      </c>
      <c r="P49" s="70">
        <v>7.8</v>
      </c>
      <c r="Q49" s="70">
        <v>7.8</v>
      </c>
      <c r="R49" s="70">
        <v>7.8</v>
      </c>
      <c r="S49" s="51">
        <v>7.6</v>
      </c>
      <c r="T49" s="51">
        <v>7.6</v>
      </c>
      <c r="U49" s="51">
        <v>7.6</v>
      </c>
      <c r="V49" s="51">
        <v>7.6</v>
      </c>
      <c r="W49" s="51">
        <v>7.6</v>
      </c>
      <c r="X49" s="51">
        <v>7.6</v>
      </c>
      <c r="Y49" s="51">
        <v>7.6</v>
      </c>
      <c r="Z49" s="51">
        <v>7.5</v>
      </c>
      <c r="AA49" s="51">
        <v>7.5</v>
      </c>
      <c r="AB49" s="51">
        <v>7.5</v>
      </c>
      <c r="AC49" s="51">
        <v>7.5</v>
      </c>
      <c r="AD49" s="51">
        <v>7.5</v>
      </c>
      <c r="AE49" s="51">
        <v>7.5</v>
      </c>
      <c r="AF49" s="51">
        <v>7.5</v>
      </c>
      <c r="AG49" s="63">
        <v>10.050000000000001</v>
      </c>
      <c r="AH49" s="54">
        <f t="shared" si="2"/>
        <v>7.8</v>
      </c>
      <c r="AI49" s="55">
        <f t="shared" si="3"/>
        <v>7.5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70">
        <v>3.1</v>
      </c>
      <c r="R50" s="70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0</v>
      </c>
      <c r="AA51" s="73">
        <v>0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0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415.6400000000001</v>
      </c>
      <c r="C52" s="69">
        <f t="shared" si="6"/>
        <v>415.6400000000001</v>
      </c>
      <c r="D52" s="69">
        <f t="shared" si="6"/>
        <v>413.74000000000007</v>
      </c>
      <c r="E52" s="69">
        <f t="shared" si="6"/>
        <v>355.54000000000008</v>
      </c>
      <c r="F52" s="69">
        <f t="shared" si="6"/>
        <v>355.54000000000008</v>
      </c>
      <c r="G52" s="69">
        <f t="shared" si="6"/>
        <v>362.54000000000008</v>
      </c>
      <c r="H52" s="69">
        <f t="shared" si="6"/>
        <v>364.54000000000008</v>
      </c>
      <c r="I52" s="69">
        <f t="shared" si="6"/>
        <v>364.54000000000008</v>
      </c>
      <c r="J52" s="69">
        <f t="shared" si="6"/>
        <v>386.54000000000008</v>
      </c>
      <c r="K52" s="69">
        <f t="shared" si="6"/>
        <v>403.54000000000008</v>
      </c>
      <c r="L52" s="69">
        <f t="shared" si="6"/>
        <v>409.54000000000008</v>
      </c>
      <c r="M52" s="69">
        <f t="shared" si="6"/>
        <v>391.34000000000009</v>
      </c>
      <c r="N52" s="69">
        <f t="shared" si="6"/>
        <v>409.24000000000012</v>
      </c>
      <c r="O52" s="69">
        <f t="shared" si="6"/>
        <v>398.24000000000012</v>
      </c>
      <c r="P52" s="69">
        <f t="shared" si="6"/>
        <v>360.54000000000008</v>
      </c>
      <c r="Q52" s="69">
        <f t="shared" si="6"/>
        <v>341.94000000000005</v>
      </c>
      <c r="R52" s="69">
        <f t="shared" si="6"/>
        <v>378.24000000000012</v>
      </c>
      <c r="S52" s="69">
        <f t="shared" si="6"/>
        <v>386.04</v>
      </c>
      <c r="T52" s="69">
        <f t="shared" si="6"/>
        <v>359.04</v>
      </c>
      <c r="U52" s="69">
        <f t="shared" si="6"/>
        <v>360.84000000000003</v>
      </c>
      <c r="V52" s="69">
        <f t="shared" si="6"/>
        <v>359.44000000000005</v>
      </c>
      <c r="W52" s="69">
        <f t="shared" si="6"/>
        <v>346.1400000000001</v>
      </c>
      <c r="X52" s="69">
        <f>SUM(X39:X51)</f>
        <v>364.44000000000005</v>
      </c>
      <c r="Y52" s="69">
        <f t="shared" si="6"/>
        <v>426.54000000000008</v>
      </c>
      <c r="Z52" s="69">
        <f t="shared" si="6"/>
        <v>422.2</v>
      </c>
      <c r="AA52" s="69">
        <f t="shared" si="6"/>
        <v>441</v>
      </c>
      <c r="AB52" s="69">
        <f t="shared" si="6"/>
        <v>435.54</v>
      </c>
      <c r="AC52" s="69">
        <f t="shared" si="6"/>
        <v>435.54</v>
      </c>
      <c r="AD52" s="69">
        <f t="shared" si="6"/>
        <v>434.24000000000007</v>
      </c>
      <c r="AE52" s="69">
        <f t="shared" si="6"/>
        <v>418.74</v>
      </c>
      <c r="AF52" s="69">
        <f t="shared" si="6"/>
        <v>416.24</v>
      </c>
      <c r="AG52" s="74">
        <f>SUM(AG39:AG51)</f>
        <v>489.91</v>
      </c>
      <c r="AH52" s="54">
        <f t="shared" si="2"/>
        <v>441</v>
      </c>
      <c r="AI52" s="55">
        <f t="shared" si="3"/>
        <v>341.94000000000005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25</v>
      </c>
      <c r="AB53" s="51">
        <v>30</v>
      </c>
      <c r="AC53" s="51">
        <v>10</v>
      </c>
      <c r="AD53" s="51">
        <v>10</v>
      </c>
      <c r="AE53" s="51">
        <v>0</v>
      </c>
      <c r="AF53" s="51">
        <v>0</v>
      </c>
      <c r="AG53" s="59">
        <v>60</v>
      </c>
      <c r="AH53" s="54">
        <f t="shared" si="2"/>
        <v>30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O54" s="70">
        <v>0</v>
      </c>
      <c r="P54" s="70">
        <v>0</v>
      </c>
      <c r="Q54" s="70">
        <v>0</v>
      </c>
      <c r="R54" s="70">
        <v>0</v>
      </c>
      <c r="S54" s="70">
        <v>0</v>
      </c>
      <c r="T54" s="70">
        <v>0</v>
      </c>
      <c r="U54" s="70">
        <v>0</v>
      </c>
      <c r="V54" s="70">
        <v>0</v>
      </c>
      <c r="W54" s="70">
        <v>0</v>
      </c>
      <c r="X54" s="70">
        <v>0</v>
      </c>
      <c r="Y54" s="70">
        <v>0</v>
      </c>
      <c r="Z54" s="70">
        <v>0</v>
      </c>
      <c r="AA54" s="70">
        <v>12.6</v>
      </c>
      <c r="AB54" s="70">
        <v>15.8</v>
      </c>
      <c r="AC54" s="70">
        <v>7.9</v>
      </c>
      <c r="AD54" s="70">
        <v>5.5</v>
      </c>
      <c r="AE54" s="70">
        <v>0</v>
      </c>
      <c r="AF54" s="70">
        <v>0</v>
      </c>
      <c r="AG54" s="63">
        <v>32</v>
      </c>
      <c r="AH54" s="54">
        <f t="shared" si="2"/>
        <v>15.8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4.5999999999999996</v>
      </c>
      <c r="AB55" s="75">
        <v>5.8</v>
      </c>
      <c r="AC55" s="75">
        <v>2.9</v>
      </c>
      <c r="AD55" s="75">
        <v>2</v>
      </c>
      <c r="AE55" s="75">
        <v>0</v>
      </c>
      <c r="AF55" s="75">
        <v>0</v>
      </c>
      <c r="AG55" s="76">
        <v>14</v>
      </c>
      <c r="AH55" s="54">
        <f t="shared" si="2"/>
        <v>5.8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0</v>
      </c>
      <c r="C56" s="69">
        <f t="shared" si="7"/>
        <v>0</v>
      </c>
      <c r="D56" s="69">
        <f t="shared" si="7"/>
        <v>0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0</v>
      </c>
      <c r="N56" s="69">
        <f t="shared" si="7"/>
        <v>0</v>
      </c>
      <c r="O56" s="69">
        <f t="shared" si="7"/>
        <v>0</v>
      </c>
      <c r="P56" s="69">
        <f t="shared" si="7"/>
        <v>0</v>
      </c>
      <c r="Q56" s="69">
        <f t="shared" si="7"/>
        <v>0</v>
      </c>
      <c r="R56" s="69">
        <f t="shared" si="7"/>
        <v>0</v>
      </c>
      <c r="S56" s="69">
        <f t="shared" si="7"/>
        <v>0</v>
      </c>
      <c r="T56" s="69">
        <f t="shared" si="7"/>
        <v>0</v>
      </c>
      <c r="U56" s="69">
        <f t="shared" si="7"/>
        <v>0</v>
      </c>
      <c r="V56" s="69">
        <f t="shared" si="7"/>
        <v>0</v>
      </c>
      <c r="W56" s="69">
        <f t="shared" si="7"/>
        <v>0</v>
      </c>
      <c r="X56" s="69">
        <f t="shared" si="7"/>
        <v>0</v>
      </c>
      <c r="Y56" s="69">
        <f t="shared" si="7"/>
        <v>0</v>
      </c>
      <c r="Z56" s="69">
        <f t="shared" si="7"/>
        <v>0</v>
      </c>
      <c r="AA56" s="69">
        <f t="shared" si="7"/>
        <v>42.2</v>
      </c>
      <c r="AB56" s="69">
        <f t="shared" si="7"/>
        <v>51.599999999999994</v>
      </c>
      <c r="AC56" s="69">
        <f t="shared" si="7"/>
        <v>20.799999999999997</v>
      </c>
      <c r="AD56" s="69">
        <f t="shared" si="7"/>
        <v>17.5</v>
      </c>
      <c r="AE56" s="69">
        <f t="shared" si="7"/>
        <v>0</v>
      </c>
      <c r="AF56" s="69">
        <f t="shared" si="7"/>
        <v>0</v>
      </c>
      <c r="AG56" s="74">
        <f>SUM(AG53:AG55)</f>
        <v>106</v>
      </c>
      <c r="AH56" s="54">
        <f t="shared" si="2"/>
        <v>51.599999999999994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66</v>
      </c>
      <c r="C57" s="51">
        <v>62</v>
      </c>
      <c r="D57" s="51">
        <v>62.6</v>
      </c>
      <c r="E57" s="51">
        <v>61</v>
      </c>
      <c r="F57" s="51">
        <v>60</v>
      </c>
      <c r="G57" s="51">
        <v>60</v>
      </c>
      <c r="H57" s="51">
        <v>50</v>
      </c>
      <c r="I57" s="51">
        <v>50</v>
      </c>
      <c r="J57" s="51">
        <v>42</v>
      </c>
      <c r="K57" s="51">
        <v>37</v>
      </c>
      <c r="L57" s="51">
        <v>34</v>
      </c>
      <c r="M57" s="51">
        <v>34.700000000000003</v>
      </c>
      <c r="N57" s="51">
        <v>36.700000000000003</v>
      </c>
      <c r="O57" s="51">
        <v>39</v>
      </c>
      <c r="P57" s="51">
        <v>39</v>
      </c>
      <c r="Q57" s="51">
        <v>35</v>
      </c>
      <c r="R57" s="51">
        <v>63</v>
      </c>
      <c r="S57" s="51">
        <v>66.900000000000006</v>
      </c>
      <c r="T57" s="51">
        <v>68.400000000000006</v>
      </c>
      <c r="U57" s="51">
        <v>45.3</v>
      </c>
      <c r="V57" s="51">
        <v>53.1</v>
      </c>
      <c r="W57" s="51">
        <v>52.6</v>
      </c>
      <c r="X57" s="51">
        <v>57.9</v>
      </c>
      <c r="Y57" s="51">
        <v>58.7</v>
      </c>
      <c r="Z57" s="51">
        <v>45.5</v>
      </c>
      <c r="AA57" s="51">
        <v>72.8</v>
      </c>
      <c r="AB57" s="51">
        <v>47.4</v>
      </c>
      <c r="AC57" s="51">
        <v>46.3</v>
      </c>
      <c r="AD57" s="51">
        <v>50.2</v>
      </c>
      <c r="AE57" s="51">
        <v>48.1</v>
      </c>
      <c r="AF57" s="51">
        <v>57.6</v>
      </c>
      <c r="AG57" s="59"/>
      <c r="AH57" s="54">
        <f t="shared" si="2"/>
        <v>72.8</v>
      </c>
      <c r="AI57" s="55">
        <f t="shared" si="3"/>
        <v>34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-60</v>
      </c>
      <c r="C59" s="70">
        <v>-91</v>
      </c>
      <c r="D59" s="70">
        <v>-150</v>
      </c>
      <c r="E59" s="70">
        <v>-165</v>
      </c>
      <c r="F59" s="70">
        <v>-193</v>
      </c>
      <c r="G59" s="70">
        <v>-181</v>
      </c>
      <c r="H59" s="70">
        <v>-193</v>
      </c>
      <c r="I59" s="70">
        <v>-178</v>
      </c>
      <c r="J59" s="70">
        <v>-183</v>
      </c>
      <c r="K59" s="70">
        <v>-137</v>
      </c>
      <c r="L59" s="70">
        <v>-120</v>
      </c>
      <c r="M59" s="70">
        <v>-58.2</v>
      </c>
      <c r="N59" s="70">
        <v>-110</v>
      </c>
      <c r="O59" s="70">
        <v>-107.2</v>
      </c>
      <c r="P59" s="70">
        <v>-60</v>
      </c>
      <c r="Q59" s="70">
        <v>-76</v>
      </c>
      <c r="R59" s="70">
        <v>-102</v>
      </c>
      <c r="S59" s="70">
        <v>-49.6</v>
      </c>
      <c r="T59" s="70">
        <v>-100</v>
      </c>
      <c r="U59" s="70">
        <v>-106</v>
      </c>
      <c r="V59" s="70">
        <v>-72.900000000000006</v>
      </c>
      <c r="W59" s="70">
        <v>-82.8</v>
      </c>
      <c r="X59" s="70">
        <v>-70</v>
      </c>
      <c r="Y59" s="70">
        <v>-78.8</v>
      </c>
      <c r="Z59" s="70">
        <v>-90</v>
      </c>
      <c r="AA59" s="70">
        <v>-81</v>
      </c>
      <c r="AB59" s="70">
        <v>-78</v>
      </c>
      <c r="AC59" s="70">
        <v>-70</v>
      </c>
      <c r="AD59" s="70">
        <v>-65.900000000000006</v>
      </c>
      <c r="AE59" s="70">
        <v>-58.4</v>
      </c>
      <c r="AF59" s="70">
        <v>-76.8</v>
      </c>
      <c r="AG59" s="77"/>
      <c r="AH59" s="54">
        <f t="shared" si="2"/>
        <v>-49.6</v>
      </c>
      <c r="AI59" s="55">
        <f t="shared" si="3"/>
        <v>-193</v>
      </c>
      <c r="AK59" s="56"/>
    </row>
    <row r="60" spans="1:37" x14ac:dyDescent="0.25">
      <c r="A60" s="62" t="s">
        <v>68</v>
      </c>
      <c r="B60" s="78">
        <v>14</v>
      </c>
      <c r="C60" s="78">
        <v>14</v>
      </c>
      <c r="D60" s="78">
        <v>14</v>
      </c>
      <c r="E60" s="78">
        <v>14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7"/>
      <c r="AH60" s="54">
        <f t="shared" si="2"/>
        <v>14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4</v>
      </c>
      <c r="AB62" s="79">
        <v>4</v>
      </c>
      <c r="AC62" s="79">
        <v>4</v>
      </c>
      <c r="AD62" s="79">
        <v>4</v>
      </c>
      <c r="AE62" s="79">
        <v>4</v>
      </c>
      <c r="AF62" s="79">
        <v>4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28</v>
      </c>
      <c r="C68" s="69">
        <f t="shared" si="8"/>
        <v>-7</v>
      </c>
      <c r="D68" s="69">
        <f t="shared" si="8"/>
        <v>-65.400000000000006</v>
      </c>
      <c r="E68" s="69">
        <f t="shared" si="8"/>
        <v>-82</v>
      </c>
      <c r="F68" s="69">
        <f t="shared" si="8"/>
        <v>-125</v>
      </c>
      <c r="G68" s="69">
        <f t="shared" si="8"/>
        <v>-113</v>
      </c>
      <c r="H68" s="69">
        <f t="shared" si="8"/>
        <v>-143</v>
      </c>
      <c r="I68" s="69">
        <f t="shared" si="8"/>
        <v>-128</v>
      </c>
      <c r="J68" s="69">
        <f t="shared" si="8"/>
        <v>-141</v>
      </c>
      <c r="K68" s="69">
        <f t="shared" si="8"/>
        <v>-100</v>
      </c>
      <c r="L68" s="69">
        <f t="shared" si="8"/>
        <v>-86</v>
      </c>
      <c r="M68" s="69">
        <f t="shared" si="8"/>
        <v>-23.5</v>
      </c>
      <c r="N68" s="69">
        <f t="shared" si="8"/>
        <v>-73.3</v>
      </c>
      <c r="O68" s="69">
        <f t="shared" si="8"/>
        <v>-68.2</v>
      </c>
      <c r="P68" s="69">
        <f t="shared" si="8"/>
        <v>-21</v>
      </c>
      <c r="Q68" s="69">
        <f t="shared" si="8"/>
        <v>-41</v>
      </c>
      <c r="R68" s="69">
        <f t="shared" si="8"/>
        <v>-39</v>
      </c>
      <c r="S68" s="69">
        <f t="shared" si="8"/>
        <v>17.300000000000004</v>
      </c>
      <c r="T68" s="69">
        <f t="shared" si="8"/>
        <v>-31.599999999999994</v>
      </c>
      <c r="U68" s="69">
        <f t="shared" si="8"/>
        <v>-60.7</v>
      </c>
      <c r="V68" s="69">
        <f>SUM(V57:V67)</f>
        <v>-19.800000000000004</v>
      </c>
      <c r="W68" s="69">
        <f t="shared" si="8"/>
        <v>-30.199999999999996</v>
      </c>
      <c r="X68" s="69">
        <f t="shared" si="8"/>
        <v>-12.100000000000001</v>
      </c>
      <c r="Y68" s="69">
        <f t="shared" si="8"/>
        <v>-20.099999999999994</v>
      </c>
      <c r="Z68" s="69">
        <f t="shared" si="8"/>
        <v>-44.5</v>
      </c>
      <c r="AA68" s="69">
        <f t="shared" si="8"/>
        <v>-4.2000000000000028</v>
      </c>
      <c r="AB68" s="69">
        <f t="shared" si="8"/>
        <v>-26.6</v>
      </c>
      <c r="AC68" s="69">
        <f t="shared" si="8"/>
        <v>-19.700000000000003</v>
      </c>
      <c r="AD68" s="69">
        <f t="shared" si="8"/>
        <v>-11.700000000000003</v>
      </c>
      <c r="AE68" s="69">
        <f t="shared" si="8"/>
        <v>-6.2999999999999972</v>
      </c>
      <c r="AF68" s="69">
        <f t="shared" si="8"/>
        <v>-15.199999999999996</v>
      </c>
      <c r="AG68" s="74">
        <f>SUM(AG57:AG67)</f>
        <v>0</v>
      </c>
      <c r="AH68" s="54">
        <f t="shared" si="2"/>
        <v>28</v>
      </c>
      <c r="AI68" s="55">
        <f t="shared" si="3"/>
        <v>-143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>
        <v>50</v>
      </c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>
        <v>20</v>
      </c>
      <c r="X74" s="86">
        <v>20</v>
      </c>
      <c r="Y74" s="86">
        <v>20</v>
      </c>
      <c r="Z74" s="86">
        <v>20</v>
      </c>
      <c r="AA74" s="86"/>
      <c r="AB74" s="86"/>
      <c r="AC74" s="86"/>
      <c r="AD74" s="86"/>
      <c r="AE74" s="86"/>
      <c r="AF74" s="86"/>
      <c r="AG74" s="74"/>
      <c r="AH74" s="54">
        <f t="shared" si="2"/>
        <v>50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1230.5400000000002</v>
      </c>
      <c r="C75" s="84">
        <f t="shared" si="10"/>
        <v>1185.5400000000002</v>
      </c>
      <c r="D75" s="84">
        <f t="shared" si="10"/>
        <v>1211.94</v>
      </c>
      <c r="E75" s="84">
        <f t="shared" si="10"/>
        <v>1173.8400000000001</v>
      </c>
      <c r="F75" s="84">
        <f t="shared" si="10"/>
        <v>1128.8400000000001</v>
      </c>
      <c r="G75" s="84">
        <f t="shared" si="10"/>
        <v>1140.8400000000001</v>
      </c>
      <c r="H75" s="84">
        <f t="shared" si="10"/>
        <v>1105.8400000000001</v>
      </c>
      <c r="I75" s="84">
        <f t="shared" si="10"/>
        <v>1098.8400000000001</v>
      </c>
      <c r="J75" s="84">
        <f t="shared" si="10"/>
        <v>1145.8400000000001</v>
      </c>
      <c r="K75" s="84">
        <f t="shared" si="10"/>
        <v>1198.8400000000001</v>
      </c>
      <c r="L75" s="84">
        <f t="shared" si="10"/>
        <v>1218.8400000000001</v>
      </c>
      <c r="M75" s="84">
        <f t="shared" si="10"/>
        <v>1255.1400000000001</v>
      </c>
      <c r="N75" s="84">
        <f t="shared" si="10"/>
        <v>1223.24</v>
      </c>
      <c r="O75" s="84">
        <f t="shared" si="10"/>
        <v>1247.3400000000001</v>
      </c>
      <c r="P75" s="84">
        <f t="shared" si="10"/>
        <v>1216.8400000000001</v>
      </c>
      <c r="Q75" s="84">
        <f t="shared" si="10"/>
        <v>1191.24</v>
      </c>
      <c r="R75" s="84">
        <f t="shared" si="10"/>
        <v>1229.54</v>
      </c>
      <c r="S75" s="84">
        <f t="shared" si="10"/>
        <v>1298.6399999999999</v>
      </c>
      <c r="T75" s="84">
        <f t="shared" si="10"/>
        <v>1216.74</v>
      </c>
      <c r="U75" s="84">
        <f t="shared" si="10"/>
        <v>1141.74</v>
      </c>
      <c r="V75" s="84">
        <f t="shared" si="10"/>
        <v>1175.24</v>
      </c>
      <c r="W75" s="84">
        <f t="shared" si="10"/>
        <v>1163.5400000000002</v>
      </c>
      <c r="X75" s="84">
        <f t="shared" si="10"/>
        <v>1198.7400000000002</v>
      </c>
      <c r="Y75" s="84">
        <f t="shared" si="10"/>
        <v>1254.04</v>
      </c>
      <c r="Z75" s="84">
        <f t="shared" si="10"/>
        <v>1301.3</v>
      </c>
      <c r="AA75" s="84">
        <f t="shared" si="10"/>
        <v>1441.6</v>
      </c>
      <c r="AB75" s="84">
        <f t="shared" si="10"/>
        <v>1459.1399999999999</v>
      </c>
      <c r="AC75" s="84">
        <f>AC72+AC68+AC56+AC52+AC38+AC74</f>
        <v>1415.2399999999998</v>
      </c>
      <c r="AD75" s="84">
        <f t="shared" si="10"/>
        <v>1404.14</v>
      </c>
      <c r="AE75" s="84">
        <f t="shared" si="10"/>
        <v>1317.24</v>
      </c>
      <c r="AF75" s="84">
        <f t="shared" si="10"/>
        <v>1321.04</v>
      </c>
      <c r="AG75" s="74">
        <f>AG72+AG68+AG56+AG52+AG38+AG74</f>
        <v>2144.14</v>
      </c>
      <c r="AH75" s="54">
        <f t="shared" si="2"/>
        <v>1459.1399999999999</v>
      </c>
      <c r="AI75" s="55">
        <f t="shared" si="3"/>
        <v>1098.8400000000001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2432.4300000000003</v>
      </c>
      <c r="C83" s="69">
        <f t="shared" si="14"/>
        <v>2387.4300000000003</v>
      </c>
      <c r="D83" s="69">
        <f t="shared" si="14"/>
        <v>2413.83</v>
      </c>
      <c r="E83" s="69">
        <f t="shared" si="14"/>
        <v>2375.73</v>
      </c>
      <c r="F83" s="69">
        <f t="shared" si="14"/>
        <v>2330.73</v>
      </c>
      <c r="G83" s="69">
        <f t="shared" si="14"/>
        <v>2342.73</v>
      </c>
      <c r="H83" s="69">
        <f t="shared" si="14"/>
        <v>2307.73</v>
      </c>
      <c r="I83" s="69">
        <f t="shared" si="14"/>
        <v>2350.73</v>
      </c>
      <c r="J83" s="69">
        <f t="shared" si="14"/>
        <v>2347.73</v>
      </c>
      <c r="K83" s="69">
        <f t="shared" si="14"/>
        <v>2400.73</v>
      </c>
      <c r="L83" s="69">
        <f t="shared" si="14"/>
        <v>2420.73</v>
      </c>
      <c r="M83" s="69">
        <f t="shared" si="14"/>
        <v>2457.0299999999997</v>
      </c>
      <c r="N83" s="69">
        <f t="shared" si="14"/>
        <v>2425.13</v>
      </c>
      <c r="O83" s="69">
        <f t="shared" si="14"/>
        <v>2449.23</v>
      </c>
      <c r="P83" s="69">
        <f t="shared" si="14"/>
        <v>2418.73</v>
      </c>
      <c r="Q83" s="69">
        <f t="shared" si="14"/>
        <v>2393.13</v>
      </c>
      <c r="R83" s="69">
        <f t="shared" si="14"/>
        <v>2431.4299999999998</v>
      </c>
      <c r="S83" s="69">
        <f t="shared" si="14"/>
        <v>2500.5299999999997</v>
      </c>
      <c r="T83" s="69">
        <f t="shared" si="14"/>
        <v>2418.63</v>
      </c>
      <c r="U83" s="69">
        <f t="shared" si="14"/>
        <v>2343.63</v>
      </c>
      <c r="V83" s="69">
        <f t="shared" si="14"/>
        <v>2377.13</v>
      </c>
      <c r="W83" s="69">
        <f t="shared" si="14"/>
        <v>2385.4300000000003</v>
      </c>
      <c r="X83" s="69">
        <f t="shared" si="14"/>
        <v>2420.63</v>
      </c>
      <c r="Y83" s="69">
        <f t="shared" si="14"/>
        <v>2475.9299999999998</v>
      </c>
      <c r="Z83" s="69">
        <f t="shared" si="14"/>
        <v>2523.1899999999996</v>
      </c>
      <c r="AA83" s="69">
        <f t="shared" si="14"/>
        <v>2643.49</v>
      </c>
      <c r="AB83" s="69">
        <f t="shared" si="14"/>
        <v>2661.0299999999997</v>
      </c>
      <c r="AC83" s="69">
        <f t="shared" si="14"/>
        <v>2617.1299999999997</v>
      </c>
      <c r="AD83" s="69">
        <f t="shared" si="14"/>
        <v>2606.0299999999997</v>
      </c>
      <c r="AE83" s="69">
        <f t="shared" si="14"/>
        <v>2519.13</v>
      </c>
      <c r="AF83" s="69">
        <f t="shared" si="14"/>
        <v>2522.9299999999998</v>
      </c>
      <c r="AG83" s="74">
        <f t="shared" si="14"/>
        <v>4360.08</v>
      </c>
      <c r="AH83" s="54">
        <f t="shared" si="11"/>
        <v>2661.0299999999997</v>
      </c>
      <c r="AI83" s="55">
        <f t="shared" si="12"/>
        <v>2307.73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49.95</v>
      </c>
      <c r="C84" s="90">
        <v>49.82</v>
      </c>
      <c r="D84" s="90">
        <v>49.9</v>
      </c>
      <c r="E84" s="90">
        <v>49.904000000000003</v>
      </c>
      <c r="F84" s="90">
        <v>49.914999999999999</v>
      </c>
      <c r="G84" s="90">
        <v>49.908000000000001</v>
      </c>
      <c r="H84" s="90">
        <v>49.908000000000001</v>
      </c>
      <c r="I84" s="90">
        <v>49.935000000000002</v>
      </c>
      <c r="J84" s="90">
        <v>49.935000000000002</v>
      </c>
      <c r="K84" s="90">
        <v>49.935000000000002</v>
      </c>
      <c r="L84" s="90">
        <v>49.972000000000001</v>
      </c>
      <c r="M84" s="90">
        <v>50.088000000000001</v>
      </c>
      <c r="N84" s="90">
        <v>50.03</v>
      </c>
      <c r="O84" s="90">
        <v>50.002000000000002</v>
      </c>
      <c r="P84" s="90">
        <v>50</v>
      </c>
      <c r="Q84" s="90">
        <v>50.012999999999998</v>
      </c>
      <c r="R84" s="90">
        <v>50.012</v>
      </c>
      <c r="S84" s="90">
        <v>49.99</v>
      </c>
      <c r="T84" s="90">
        <v>49.94</v>
      </c>
      <c r="U84" s="90">
        <v>49.94</v>
      </c>
      <c r="V84" s="90">
        <v>50.04</v>
      </c>
      <c r="W84" s="90">
        <v>50.03</v>
      </c>
      <c r="X84" s="90">
        <v>50</v>
      </c>
      <c r="Y84" s="90">
        <v>50</v>
      </c>
      <c r="Z84" s="90">
        <v>49.83</v>
      </c>
      <c r="AA84" s="90">
        <v>49.8</v>
      </c>
      <c r="AB84" s="90">
        <v>49.78</v>
      </c>
      <c r="AC84" s="90">
        <v>49.835999999999999</v>
      </c>
      <c r="AD84" s="90">
        <v>49.933999999999997</v>
      </c>
      <c r="AE84" s="90">
        <v>49.9</v>
      </c>
      <c r="AF84" s="90">
        <v>49.88</v>
      </c>
      <c r="AG84" s="91"/>
      <c r="AH84" s="54">
        <f t="shared" si="11"/>
        <v>50.088000000000001</v>
      </c>
      <c r="AI84" s="55">
        <f t="shared" si="12"/>
        <v>49.78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126</v>
      </c>
      <c r="C85" s="70">
        <v>126</v>
      </c>
      <c r="D85" s="70">
        <v>126</v>
      </c>
      <c r="E85" s="70">
        <v>126</v>
      </c>
      <c r="F85" s="70">
        <v>126.5</v>
      </c>
      <c r="G85" s="70">
        <v>126</v>
      </c>
      <c r="H85" s="70">
        <v>126</v>
      </c>
      <c r="I85" s="70">
        <v>126</v>
      </c>
      <c r="J85" s="70">
        <v>126</v>
      </c>
      <c r="K85" s="70">
        <v>126</v>
      </c>
      <c r="L85" s="70">
        <v>126</v>
      </c>
      <c r="M85" s="70">
        <v>125.1</v>
      </c>
      <c r="N85" s="70">
        <v>124</v>
      </c>
      <c r="O85" s="70">
        <v>123.1</v>
      </c>
      <c r="P85" s="70">
        <v>123</v>
      </c>
      <c r="Q85" s="70">
        <v>123</v>
      </c>
      <c r="R85" s="70">
        <v>123.5</v>
      </c>
      <c r="S85" s="70">
        <v>122.6</v>
      </c>
      <c r="T85" s="70">
        <v>123.1</v>
      </c>
      <c r="U85" s="70">
        <v>124.7</v>
      </c>
      <c r="V85" s="70">
        <v>124.1</v>
      </c>
      <c r="W85" s="70">
        <v>124.1</v>
      </c>
      <c r="X85" s="70">
        <v>124.7</v>
      </c>
      <c r="Y85" s="70">
        <v>124.7</v>
      </c>
      <c r="Z85" s="70">
        <v>123.9</v>
      </c>
      <c r="AA85" s="70">
        <v>122.7</v>
      </c>
      <c r="AB85" s="70">
        <v>124.3</v>
      </c>
      <c r="AC85" s="70">
        <v>123.3</v>
      </c>
      <c r="AD85" s="70">
        <v>123.9</v>
      </c>
      <c r="AE85" s="70">
        <v>124.1</v>
      </c>
      <c r="AF85" s="70">
        <v>123.7</v>
      </c>
      <c r="AG85" s="93"/>
      <c r="AH85" s="54">
        <f t="shared" si="11"/>
        <v>126.5</v>
      </c>
      <c r="AI85" s="55">
        <f t="shared" si="12"/>
        <v>122.6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</v>
      </c>
      <c r="C86" s="70">
        <v>129</v>
      </c>
      <c r="D86" s="70">
        <v>130</v>
      </c>
      <c r="E86" s="70">
        <v>130</v>
      </c>
      <c r="F86" s="70">
        <v>130</v>
      </c>
      <c r="G86" s="70">
        <v>130</v>
      </c>
      <c r="H86" s="70">
        <v>130</v>
      </c>
      <c r="I86" s="70">
        <v>130</v>
      </c>
      <c r="J86" s="70">
        <v>126</v>
      </c>
      <c r="K86" s="70">
        <v>127</v>
      </c>
      <c r="L86" s="70">
        <v>127.6</v>
      </c>
      <c r="M86" s="70">
        <v>128.6</v>
      </c>
      <c r="N86" s="70">
        <v>127.4</v>
      </c>
      <c r="O86" s="70">
        <v>126.5</v>
      </c>
      <c r="P86" s="70">
        <v>127</v>
      </c>
      <c r="Q86" s="70">
        <v>128</v>
      </c>
      <c r="R86" s="70">
        <v>128.30000000000001</v>
      </c>
      <c r="S86" s="70">
        <v>127.5</v>
      </c>
      <c r="T86" s="70">
        <v>128</v>
      </c>
      <c r="U86" s="70">
        <v>129.4</v>
      </c>
      <c r="V86" s="70">
        <v>124</v>
      </c>
      <c r="W86" s="70">
        <v>128.80000000000001</v>
      </c>
      <c r="X86" s="70">
        <v>128.9</v>
      </c>
      <c r="Y86" s="70">
        <v>128.9</v>
      </c>
      <c r="Z86" s="70">
        <v>128.1</v>
      </c>
      <c r="AA86" s="70">
        <v>127.3</v>
      </c>
      <c r="AB86" s="70">
        <v>129</v>
      </c>
      <c r="AC86" s="70">
        <v>128</v>
      </c>
      <c r="AD86" s="70">
        <v>128.5</v>
      </c>
      <c r="AE86" s="70">
        <v>129.4</v>
      </c>
      <c r="AF86" s="70">
        <v>128.9</v>
      </c>
      <c r="AG86" s="93"/>
      <c r="AH86" s="54">
        <f t="shared" si="11"/>
        <v>130</v>
      </c>
      <c r="AI86" s="55">
        <f t="shared" si="12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129</v>
      </c>
      <c r="C87" s="70">
        <v>129</v>
      </c>
      <c r="D87" s="70">
        <v>128</v>
      </c>
      <c r="E87" s="70">
        <v>128</v>
      </c>
      <c r="F87" s="70">
        <v>128</v>
      </c>
      <c r="G87" s="70">
        <v>129</v>
      </c>
      <c r="H87" s="70">
        <v>129</v>
      </c>
      <c r="I87" s="70">
        <v>129</v>
      </c>
      <c r="J87" s="70">
        <v>129</v>
      </c>
      <c r="K87" s="70">
        <v>129</v>
      </c>
      <c r="L87" s="70">
        <v>129</v>
      </c>
      <c r="M87" s="70">
        <v>128.80000000000001</v>
      </c>
      <c r="N87" s="70">
        <v>128.5</v>
      </c>
      <c r="O87" s="70">
        <v>128.69999999999999</v>
      </c>
      <c r="P87" s="70">
        <v>128.69999999999999</v>
      </c>
      <c r="Q87" s="70">
        <v>128</v>
      </c>
      <c r="R87" s="70">
        <v>128.5</v>
      </c>
      <c r="S87" s="70">
        <v>126.8</v>
      </c>
      <c r="T87" s="70">
        <v>126.9</v>
      </c>
      <c r="U87" s="70">
        <v>128</v>
      </c>
      <c r="V87" s="70">
        <v>128.9</v>
      </c>
      <c r="W87" s="70">
        <v>130.1</v>
      </c>
      <c r="X87" s="70">
        <v>129.19999999999999</v>
      </c>
      <c r="Y87" s="70">
        <v>129.30000000000001</v>
      </c>
      <c r="Z87" s="70">
        <v>125.6</v>
      </c>
      <c r="AA87" s="70">
        <v>125.9</v>
      </c>
      <c r="AB87" s="70">
        <v>128.1</v>
      </c>
      <c r="AC87" s="70">
        <v>127.1</v>
      </c>
      <c r="AD87" s="70">
        <v>126.4</v>
      </c>
      <c r="AE87" s="70">
        <v>127.1</v>
      </c>
      <c r="AF87" s="70">
        <v>128.5</v>
      </c>
      <c r="AG87" s="93"/>
      <c r="AH87" s="54">
        <f t="shared" si="11"/>
        <v>130.1</v>
      </c>
      <c r="AI87" s="55">
        <f t="shared" si="12"/>
        <v>125.6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133</v>
      </c>
      <c r="C88" s="70">
        <v>133</v>
      </c>
      <c r="D88" s="70">
        <v>131.6</v>
      </c>
      <c r="E88" s="70">
        <v>131.6</v>
      </c>
      <c r="F88" s="70">
        <v>131.6</v>
      </c>
      <c r="G88" s="70">
        <v>132</v>
      </c>
      <c r="H88" s="70">
        <v>132</v>
      </c>
      <c r="I88" s="70">
        <v>132</v>
      </c>
      <c r="J88" s="70">
        <v>132</v>
      </c>
      <c r="K88" s="70">
        <v>132</v>
      </c>
      <c r="L88" s="70">
        <v>132</v>
      </c>
      <c r="M88" s="70">
        <v>131.69999999999999</v>
      </c>
      <c r="N88" s="70">
        <v>131.6</v>
      </c>
      <c r="O88" s="70">
        <v>131.80000000000001</v>
      </c>
      <c r="P88" s="70">
        <v>131.80000000000001</v>
      </c>
      <c r="Q88" s="70">
        <v>132</v>
      </c>
      <c r="R88" s="70">
        <v>132.30000000000001</v>
      </c>
      <c r="S88" s="70">
        <v>131.30000000000001</v>
      </c>
      <c r="T88" s="70">
        <v>130.69999999999999</v>
      </c>
      <c r="U88" s="70">
        <v>132.4</v>
      </c>
      <c r="V88" s="70">
        <v>133.80000000000001</v>
      </c>
      <c r="W88" s="70">
        <v>133.6</v>
      </c>
      <c r="X88" s="70">
        <v>133.19999999999999</v>
      </c>
      <c r="Y88" s="70">
        <v>133.9</v>
      </c>
      <c r="Z88" s="70">
        <v>130.19999999999999</v>
      </c>
      <c r="AA88" s="70">
        <v>129.5</v>
      </c>
      <c r="AB88" s="70">
        <v>131.5</v>
      </c>
      <c r="AC88" s="70">
        <v>130.6</v>
      </c>
      <c r="AD88" s="70">
        <v>130.19999999999999</v>
      </c>
      <c r="AE88" s="70">
        <v>132</v>
      </c>
      <c r="AF88" s="70">
        <v>132.80000000000001</v>
      </c>
      <c r="AG88" s="93"/>
      <c r="AH88" s="54">
        <f t="shared" si="11"/>
        <v>133.9</v>
      </c>
      <c r="AI88" s="55">
        <f t="shared" si="12"/>
        <v>129.5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131</v>
      </c>
      <c r="C89" s="95">
        <v>131</v>
      </c>
      <c r="D89" s="95">
        <v>131.6</v>
      </c>
      <c r="E89" s="95">
        <v>131.6</v>
      </c>
      <c r="F89" s="95">
        <v>131.6</v>
      </c>
      <c r="G89" s="95">
        <v>131</v>
      </c>
      <c r="H89" s="95">
        <v>131</v>
      </c>
      <c r="I89" s="95">
        <v>131</v>
      </c>
      <c r="J89" s="95">
        <v>131</v>
      </c>
      <c r="K89" s="95">
        <v>131</v>
      </c>
      <c r="L89" s="95">
        <v>131</v>
      </c>
      <c r="M89" s="95">
        <v>133.69999999999999</v>
      </c>
      <c r="N89" s="95">
        <v>134.6</v>
      </c>
      <c r="O89" s="95">
        <v>134</v>
      </c>
      <c r="P89" s="95">
        <v>134</v>
      </c>
      <c r="Q89" s="95">
        <v>133</v>
      </c>
      <c r="R89" s="95">
        <v>130</v>
      </c>
      <c r="S89" s="95">
        <v>120.5</v>
      </c>
      <c r="T89" s="95">
        <v>133.4</v>
      </c>
      <c r="U89" s="95">
        <v>132.30000000000001</v>
      </c>
      <c r="V89" s="95">
        <v>130.4</v>
      </c>
      <c r="W89" s="95">
        <v>132.30000000000001</v>
      </c>
      <c r="X89" s="95">
        <v>131.6</v>
      </c>
      <c r="Y89" s="95">
        <v>132.19999999999999</v>
      </c>
      <c r="Z89" s="95">
        <v>134.5</v>
      </c>
      <c r="AA89" s="95">
        <v>132.69999999999999</v>
      </c>
      <c r="AB89" s="95">
        <v>133.5</v>
      </c>
      <c r="AC89" s="95">
        <v>133.69999999999999</v>
      </c>
      <c r="AD89" s="95">
        <v>134</v>
      </c>
      <c r="AE89" s="95">
        <v>127.8</v>
      </c>
      <c r="AF89" s="95">
        <v>127.4</v>
      </c>
      <c r="AG89" s="96"/>
      <c r="AH89" s="54">
        <f t="shared" si="11"/>
        <v>134.6</v>
      </c>
      <c r="AI89" s="55">
        <f t="shared" si="12"/>
        <v>120.5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122</v>
      </c>
      <c r="C90" s="70">
        <v>122</v>
      </c>
      <c r="D90" s="70">
        <v>122.6</v>
      </c>
      <c r="E90" s="70">
        <v>122.6</v>
      </c>
      <c r="F90" s="70">
        <v>122.6</v>
      </c>
      <c r="G90" s="70">
        <v>125</v>
      </c>
      <c r="H90" s="70">
        <v>125</v>
      </c>
      <c r="I90" s="70">
        <v>125</v>
      </c>
      <c r="J90" s="70">
        <v>125</v>
      </c>
      <c r="K90" s="70">
        <v>125</v>
      </c>
      <c r="L90" s="70">
        <v>125</v>
      </c>
      <c r="M90" s="70">
        <v>125.4</v>
      </c>
      <c r="N90" s="70">
        <v>126</v>
      </c>
      <c r="O90" s="70">
        <v>125.1</v>
      </c>
      <c r="P90" s="70">
        <v>125.1</v>
      </c>
      <c r="Q90" s="70">
        <v>131</v>
      </c>
      <c r="R90" s="70">
        <v>124.2</v>
      </c>
      <c r="S90" s="70">
        <v>126.7</v>
      </c>
      <c r="T90" s="70">
        <v>131.80000000000001</v>
      </c>
      <c r="U90" s="70">
        <v>130</v>
      </c>
      <c r="V90" s="70">
        <v>127.5</v>
      </c>
      <c r="W90" s="70">
        <v>130.69999999999999</v>
      </c>
      <c r="X90" s="70">
        <v>127.1</v>
      </c>
      <c r="Y90" s="70">
        <v>126.4</v>
      </c>
      <c r="Z90" s="70">
        <v>128.9</v>
      </c>
      <c r="AA90" s="70">
        <v>128.19999999999999</v>
      </c>
      <c r="AB90" s="70">
        <v>131.4</v>
      </c>
      <c r="AC90" s="70">
        <v>125.1</v>
      </c>
      <c r="AD90" s="70">
        <v>131.6</v>
      </c>
      <c r="AE90" s="70">
        <v>120.1</v>
      </c>
      <c r="AF90" s="70">
        <v>110.4</v>
      </c>
      <c r="AG90" s="93"/>
      <c r="AH90" s="54">
        <f t="shared" si="11"/>
        <v>131.80000000000001</v>
      </c>
      <c r="AI90" s="55">
        <f t="shared" si="12"/>
        <v>110.4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65.400000000000006</v>
      </c>
      <c r="C91" s="97">
        <v>65.400000000000006</v>
      </c>
      <c r="D91" s="97">
        <v>65.8</v>
      </c>
      <c r="E91" s="97">
        <v>65.8</v>
      </c>
      <c r="F91" s="97">
        <v>65.8</v>
      </c>
      <c r="G91" s="97">
        <v>65.900000000000006</v>
      </c>
      <c r="H91" s="97">
        <v>65.400000000000006</v>
      </c>
      <c r="I91" s="97">
        <v>65.400000000000006</v>
      </c>
      <c r="J91" s="97">
        <v>65.400000000000006</v>
      </c>
      <c r="K91" s="97">
        <v>65.400000000000006</v>
      </c>
      <c r="L91" s="97">
        <v>65.400000000000006</v>
      </c>
      <c r="M91" s="97">
        <v>64.5</v>
      </c>
      <c r="N91" s="97">
        <v>64.099999999999994</v>
      </c>
      <c r="O91" s="97">
        <v>63.8</v>
      </c>
      <c r="P91" s="97">
        <v>63.8</v>
      </c>
      <c r="Q91" s="97">
        <v>65</v>
      </c>
      <c r="R91" s="97">
        <v>64.7</v>
      </c>
      <c r="S91" s="97">
        <v>63.9</v>
      </c>
      <c r="T91" s="97">
        <v>64.900000000000006</v>
      </c>
      <c r="U91" s="97">
        <v>65.2</v>
      </c>
      <c r="V91" s="97">
        <v>65</v>
      </c>
      <c r="W91" s="97">
        <v>65.099999999999994</v>
      </c>
      <c r="X91" s="97">
        <v>64.5</v>
      </c>
      <c r="Y91" s="97">
        <v>65</v>
      </c>
      <c r="Z91" s="97">
        <v>64.7</v>
      </c>
      <c r="AA91" s="97">
        <v>64.2</v>
      </c>
      <c r="AB91" s="97">
        <v>65.2</v>
      </c>
      <c r="AC91" s="97">
        <v>64.8</v>
      </c>
      <c r="AD91" s="97">
        <v>65.099999999999994</v>
      </c>
      <c r="AE91" s="97">
        <v>65.7</v>
      </c>
      <c r="AF91" s="97">
        <v>65.3</v>
      </c>
      <c r="AG91" s="98"/>
      <c r="AH91" s="54">
        <f t="shared" si="11"/>
        <v>65.900000000000006</v>
      </c>
      <c r="AI91" s="55">
        <f t="shared" si="12"/>
        <v>63.8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145.54</v>
      </c>
      <c r="C93" s="103">
        <f t="shared" si="15"/>
        <v>143.54</v>
      </c>
      <c r="D93" s="103">
        <f t="shared" si="15"/>
        <v>137.83999999999997</v>
      </c>
      <c r="E93" s="103">
        <f t="shared" si="15"/>
        <v>131.73999999999998</v>
      </c>
      <c r="F93" s="103">
        <f t="shared" si="15"/>
        <v>120.33999999999999</v>
      </c>
      <c r="G93" s="103">
        <f t="shared" si="15"/>
        <v>147.83999999999997</v>
      </c>
      <c r="H93" s="103">
        <f t="shared" si="15"/>
        <v>166.33999999999997</v>
      </c>
      <c r="I93" s="103">
        <f t="shared" si="15"/>
        <v>180.53999999999996</v>
      </c>
      <c r="J93" s="103">
        <f t="shared" si="15"/>
        <v>212.64</v>
      </c>
      <c r="K93" s="103">
        <f t="shared" si="15"/>
        <v>235.33999999999997</v>
      </c>
      <c r="L93" s="103">
        <f t="shared" si="15"/>
        <v>256.33999999999997</v>
      </c>
      <c r="M93" s="103">
        <f t="shared" si="15"/>
        <v>285.24</v>
      </c>
      <c r="N93" s="103">
        <f t="shared" si="15"/>
        <v>289.04000000000002</v>
      </c>
      <c r="O93" s="103">
        <f t="shared" si="15"/>
        <v>290.94000000000005</v>
      </c>
      <c r="P93" s="103">
        <f t="shared" si="15"/>
        <v>269.53999999999996</v>
      </c>
      <c r="Q93" s="103">
        <f t="shared" si="15"/>
        <v>195.44</v>
      </c>
      <c r="R93" s="103">
        <f t="shared" si="15"/>
        <v>234.83999999999997</v>
      </c>
      <c r="S93" s="103">
        <f t="shared" si="15"/>
        <v>313.64</v>
      </c>
      <c r="T93" s="103">
        <f t="shared" si="15"/>
        <v>244.24</v>
      </c>
      <c r="U93" s="103">
        <f t="shared" si="15"/>
        <v>244.94</v>
      </c>
      <c r="V93" s="103">
        <f t="shared" si="15"/>
        <v>263.74</v>
      </c>
      <c r="W93" s="103">
        <f>SUM(W15,W18,W21:W22,W42,W44:W45,W47,W49,W94:W97,W103,W109,W115,W124,W126,W138,W145,W148:W149,W156,W158,W160,W164:W166,W168:W170,W175,W181:W182,W184:W186,W194,W199)</f>
        <v>264.94</v>
      </c>
      <c r="X93" s="103">
        <f>SUM(X15,X18,X21:X22,X42,X44:X45,X47,X49,X94:X97,X103,X109,X115,X124,X126,X138,X145,X148:X149,X156,X158,X160,X164:X166,X168:X170,X175,X181:X182,X184:X186,X194,X199)</f>
        <v>278.04000000000002</v>
      </c>
      <c r="Y93" s="103">
        <f t="shared" si="15"/>
        <v>305.14000000000004</v>
      </c>
      <c r="Z93" s="103">
        <f t="shared" si="15"/>
        <v>326.1400000000001</v>
      </c>
      <c r="AA93" s="103">
        <f t="shared" si="15"/>
        <v>340.24</v>
      </c>
      <c r="AB93" s="103">
        <f t="shared" si="15"/>
        <v>306.44000000000005</v>
      </c>
      <c r="AC93" s="103">
        <f t="shared" si="15"/>
        <v>294.14000000000004</v>
      </c>
      <c r="AD93" s="103">
        <f t="shared" si="15"/>
        <v>282.34000000000003</v>
      </c>
      <c r="AE93" s="103">
        <f t="shared" si="15"/>
        <v>238.04</v>
      </c>
      <c r="AF93" s="103">
        <f t="shared" si="15"/>
        <v>163.03999999999996</v>
      </c>
      <c r="AG93" s="104"/>
      <c r="AH93" s="54">
        <f>MAX(C93:AF93)</f>
        <v>340.24</v>
      </c>
      <c r="AI93" s="55">
        <f>MIN(C93:AF93)</f>
        <v>120.33999999999999</v>
      </c>
    </row>
    <row r="94" spans="1:88" x14ac:dyDescent="0.25">
      <c r="A94" s="105" t="s">
        <v>99</v>
      </c>
      <c r="B94" s="106">
        <v>36</v>
      </c>
      <c r="C94" s="106">
        <v>31</v>
      </c>
      <c r="D94" s="106">
        <v>30</v>
      </c>
      <c r="E94" s="106">
        <v>17</v>
      </c>
      <c r="F94" s="106">
        <v>3</v>
      </c>
      <c r="G94" s="106">
        <v>19.5</v>
      </c>
      <c r="H94" s="106">
        <v>35</v>
      </c>
      <c r="I94" s="106">
        <v>32</v>
      </c>
      <c r="J94" s="106">
        <v>32</v>
      </c>
      <c r="K94" s="106">
        <v>38</v>
      </c>
      <c r="L94" s="106">
        <v>36</v>
      </c>
      <c r="M94" s="106">
        <v>29.8</v>
      </c>
      <c r="N94" s="106">
        <v>31.7</v>
      </c>
      <c r="O94" s="106">
        <v>39.1</v>
      </c>
      <c r="P94" s="106">
        <v>28</v>
      </c>
      <c r="Q94" s="106">
        <v>-26.7</v>
      </c>
      <c r="R94" s="106">
        <v>16.899999999999999</v>
      </c>
      <c r="S94" s="106">
        <v>18.2</v>
      </c>
      <c r="T94" s="106">
        <v>19</v>
      </c>
      <c r="U94" s="106">
        <v>28.5</v>
      </c>
      <c r="V94" s="106">
        <v>31.6</v>
      </c>
      <c r="W94" s="106">
        <v>34.1</v>
      </c>
      <c r="X94" s="106">
        <v>41.1</v>
      </c>
      <c r="Y94" s="106">
        <v>52.1</v>
      </c>
      <c r="Z94" s="106">
        <v>56</v>
      </c>
      <c r="AA94" s="106">
        <v>36.200000000000003</v>
      </c>
      <c r="AB94" s="106">
        <v>41.9</v>
      </c>
      <c r="AC94" s="106">
        <v>39</v>
      </c>
      <c r="AD94" s="106">
        <v>37.299999999999997</v>
      </c>
      <c r="AE94" s="106">
        <v>30.9</v>
      </c>
      <c r="AF94" s="106">
        <v>25</v>
      </c>
      <c r="AG94" s="107">
        <v>75</v>
      </c>
      <c r="AH94" s="54">
        <f t="shared" ref="AH94:AH100" si="16">IF(ABS(MAX(C94:AF94))&gt;ABS(MIN(C94:AF94)),MAX(C94:AF94),MIN(C94:AF94))</f>
        <v>56</v>
      </c>
      <c r="AI94" s="108">
        <f t="shared" ref="AI94:AI100" si="17">INDEX($C$9:$AF$9,1,MATCH(AH94,C94:AF94,0))</f>
        <v>0.79166666666666663</v>
      </c>
    </row>
    <row r="95" spans="1:88" x14ac:dyDescent="0.25">
      <c r="A95" s="109" t="s">
        <v>100</v>
      </c>
      <c r="B95" s="110">
        <v>-112</v>
      </c>
      <c r="C95" s="110">
        <v>-106</v>
      </c>
      <c r="D95" s="110">
        <v>-112</v>
      </c>
      <c r="E95" s="110">
        <v>-80</v>
      </c>
      <c r="F95" s="110">
        <v>-77</v>
      </c>
      <c r="G95" s="110">
        <v>-67</v>
      </c>
      <c r="H95" s="110">
        <v>-65</v>
      </c>
      <c r="I95" s="110">
        <v>-57</v>
      </c>
      <c r="J95" s="110">
        <v>-69</v>
      </c>
      <c r="K95" s="110">
        <v>-60</v>
      </c>
      <c r="L95" s="110">
        <v>-52</v>
      </c>
      <c r="M95" s="110">
        <f>-17.6-20</f>
        <v>-37.6</v>
      </c>
      <c r="N95" s="110">
        <f>-18.8-20.6</f>
        <v>-39.400000000000006</v>
      </c>
      <c r="O95" s="110">
        <f>-19.5-22</f>
        <v>-41.5</v>
      </c>
      <c r="P95" s="110">
        <v>-51</v>
      </c>
      <c r="Q95" s="110">
        <f>-32-30</f>
        <v>-62</v>
      </c>
      <c r="R95" s="110">
        <f>-32.4-35.7</f>
        <v>-68.099999999999994</v>
      </c>
      <c r="S95" s="110">
        <f>-28.6-31.6</f>
        <v>-60.2</v>
      </c>
      <c r="T95" s="110">
        <f>-32.4-35.6</f>
        <v>-68</v>
      </c>
      <c r="U95" s="110">
        <f>-34.3-37.4</f>
        <v>-71.699999999999989</v>
      </c>
      <c r="V95" s="110">
        <f>-31.4-34.2</f>
        <v>-65.599999999999994</v>
      </c>
      <c r="W95" s="110">
        <f>-24.3-27</f>
        <v>-51.3</v>
      </c>
      <c r="X95" s="110">
        <f>-22.6-24.5</f>
        <v>-47.1</v>
      </c>
      <c r="Y95" s="110">
        <f>-24.3-26.7</f>
        <v>-51</v>
      </c>
      <c r="Z95" s="110">
        <f>-23.1-25.7</f>
        <v>-48.8</v>
      </c>
      <c r="AA95" s="110">
        <v>-44.8</v>
      </c>
      <c r="AB95" s="110">
        <f>-22.4-29.7</f>
        <v>-52.099999999999994</v>
      </c>
      <c r="AC95" s="110">
        <f>-25.7-31.3</f>
        <v>-57</v>
      </c>
      <c r="AD95" s="110">
        <f>-29.8-34.7</f>
        <v>-64.5</v>
      </c>
      <c r="AE95" s="110">
        <v>-84</v>
      </c>
      <c r="AF95" s="110">
        <f>-53.6-57.8</f>
        <v>-111.4</v>
      </c>
      <c r="AG95" s="107">
        <v>240</v>
      </c>
      <c r="AH95" s="54">
        <f t="shared" si="16"/>
        <v>-112</v>
      </c>
      <c r="AI95" s="108">
        <f t="shared" si="17"/>
        <v>8.3333333333333301E-2</v>
      </c>
    </row>
    <row r="96" spans="1:88" x14ac:dyDescent="0.25">
      <c r="A96" s="109" t="s">
        <v>101</v>
      </c>
      <c r="B96" s="110">
        <v>-2</v>
      </c>
      <c r="C96" s="110">
        <v>-5</v>
      </c>
      <c r="D96" s="110">
        <v>-1.4</v>
      </c>
      <c r="E96" s="110">
        <v>-2.6</v>
      </c>
      <c r="F96" s="110">
        <v>-2</v>
      </c>
      <c r="G96" s="110">
        <v>-1</v>
      </c>
      <c r="H96" s="110">
        <v>0</v>
      </c>
      <c r="I96" s="110">
        <v>9.1999999999999993</v>
      </c>
      <c r="J96" s="110">
        <v>6.3</v>
      </c>
      <c r="K96" s="110">
        <v>7</v>
      </c>
      <c r="L96" s="110">
        <v>8</v>
      </c>
      <c r="M96" s="110">
        <v>9.6999999999999993</v>
      </c>
      <c r="N96" s="110">
        <v>9.5</v>
      </c>
      <c r="O96" s="110">
        <v>7.9</v>
      </c>
      <c r="P96" s="110">
        <v>9.1999999999999993</v>
      </c>
      <c r="Q96" s="110">
        <v>3.4</v>
      </c>
      <c r="R96" s="110">
        <v>1.7</v>
      </c>
      <c r="S96" s="110">
        <v>75.2</v>
      </c>
      <c r="T96" s="110">
        <v>3.3</v>
      </c>
      <c r="U96" s="110">
        <v>3.5</v>
      </c>
      <c r="V96" s="110">
        <v>10.6</v>
      </c>
      <c r="W96" s="110">
        <v>13.7</v>
      </c>
      <c r="X96" s="110">
        <v>14.4</v>
      </c>
      <c r="Y96" s="110">
        <v>14.5</v>
      </c>
      <c r="Z96" s="110">
        <v>24.8</v>
      </c>
      <c r="AA96" s="110">
        <v>31.5</v>
      </c>
      <c r="AB96" s="110">
        <v>31.6</v>
      </c>
      <c r="AC96" s="110">
        <v>19.3</v>
      </c>
      <c r="AD96" s="110">
        <v>17.7</v>
      </c>
      <c r="AE96" s="110">
        <v>12</v>
      </c>
      <c r="AF96" s="110">
        <v>-0.7</v>
      </c>
      <c r="AG96" s="107">
        <v>60</v>
      </c>
      <c r="AH96" s="54">
        <f t="shared" si="16"/>
        <v>75.2</v>
      </c>
      <c r="AI96" s="108">
        <f t="shared" si="17"/>
        <v>0.58333333333333304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47</v>
      </c>
      <c r="K97" s="112">
        <v>54</v>
      </c>
      <c r="L97" s="112">
        <v>68</v>
      </c>
      <c r="M97" s="112">
        <v>78</v>
      </c>
      <c r="N97" s="112">
        <v>81.900000000000006</v>
      </c>
      <c r="O97" s="112">
        <v>80.099999999999994</v>
      </c>
      <c r="P97" s="112">
        <v>77</v>
      </c>
      <c r="Q97" s="112">
        <v>74.400000000000006</v>
      </c>
      <c r="R97" s="112">
        <v>63.8</v>
      </c>
      <c r="S97" s="112">
        <v>75.2</v>
      </c>
      <c r="T97" s="112">
        <v>64.8</v>
      </c>
      <c r="U97" s="112">
        <v>55.5</v>
      </c>
      <c r="V97" s="112">
        <v>57.7</v>
      </c>
      <c r="W97" s="112">
        <v>60.4</v>
      </c>
      <c r="X97" s="112">
        <v>61.2</v>
      </c>
      <c r="Y97" s="112">
        <v>59.4</v>
      </c>
      <c r="Z97" s="112">
        <v>64.599999999999994</v>
      </c>
      <c r="AA97" s="112">
        <v>87.6</v>
      </c>
      <c r="AB97" s="112">
        <v>64.3</v>
      </c>
      <c r="AC97" s="112">
        <v>72.099999999999994</v>
      </c>
      <c r="AD97" s="112">
        <v>71.5</v>
      </c>
      <c r="AE97" s="112">
        <v>58.4</v>
      </c>
      <c r="AF97" s="112">
        <v>29.7</v>
      </c>
      <c r="AG97" s="113">
        <v>120</v>
      </c>
      <c r="AH97" s="54">
        <f t="shared" si="16"/>
        <v>87.6</v>
      </c>
      <c r="AI97" s="108">
        <f t="shared" si="17"/>
        <v>0.8125</v>
      </c>
    </row>
    <row r="98" spans="1:37" x14ac:dyDescent="0.25">
      <c r="A98" s="111" t="s">
        <v>103</v>
      </c>
      <c r="B98" s="112">
        <v>1</v>
      </c>
      <c r="C98" s="112">
        <v>7</v>
      </c>
      <c r="D98" s="112">
        <v>17</v>
      </c>
      <c r="E98" s="112">
        <v>48</v>
      </c>
      <c r="F98" s="112">
        <v>37</v>
      </c>
      <c r="G98" s="112">
        <v>43</v>
      </c>
      <c r="H98" s="112">
        <v>36</v>
      </c>
      <c r="I98" s="112">
        <v>44</v>
      </c>
      <c r="J98" s="112">
        <v>49</v>
      </c>
      <c r="K98" s="112">
        <v>56</v>
      </c>
      <c r="L98" s="112">
        <v>64</v>
      </c>
      <c r="M98" s="112">
        <v>70</v>
      </c>
      <c r="N98" s="112">
        <v>77</v>
      </c>
      <c r="O98" s="112">
        <v>74</v>
      </c>
      <c r="P98" s="112">
        <v>76.400000000000006</v>
      </c>
      <c r="Q98" s="112">
        <v>80</v>
      </c>
      <c r="R98" s="112">
        <v>79</v>
      </c>
      <c r="S98" s="112">
        <v>87.3</v>
      </c>
      <c r="T98" s="112">
        <v>70.099999999999994</v>
      </c>
      <c r="U98" s="112">
        <v>62.8</v>
      </c>
      <c r="V98" s="112">
        <v>65.3</v>
      </c>
      <c r="W98" s="112">
        <v>65.8</v>
      </c>
      <c r="X98" s="112">
        <v>65.599999999999994</v>
      </c>
      <c r="Y98" s="112">
        <v>56.8</v>
      </c>
      <c r="Z98" s="112">
        <v>59.5</v>
      </c>
      <c r="AA98" s="112">
        <v>79.5</v>
      </c>
      <c r="AB98" s="112">
        <v>62.2</v>
      </c>
      <c r="AC98" s="112">
        <v>68.5</v>
      </c>
      <c r="AD98" s="112">
        <v>74</v>
      </c>
      <c r="AE98" s="112">
        <v>52.8</v>
      </c>
      <c r="AF98" s="112">
        <v>53.8</v>
      </c>
      <c r="AG98" s="113"/>
      <c r="AH98" s="54">
        <f t="shared" si="16"/>
        <v>87.3</v>
      </c>
      <c r="AI98" s="108">
        <f t="shared" si="17"/>
        <v>0.58333333333333304</v>
      </c>
    </row>
    <row r="99" spans="1:37" x14ac:dyDescent="0.25">
      <c r="A99" s="111" t="s">
        <v>104</v>
      </c>
      <c r="B99" s="112">
        <v>75</v>
      </c>
      <c r="C99" s="112">
        <v>82</v>
      </c>
      <c r="D99" s="112">
        <v>76</v>
      </c>
      <c r="E99" s="112">
        <v>72</v>
      </c>
      <c r="F99" s="112">
        <v>68</v>
      </c>
      <c r="G99" s="112">
        <v>72</v>
      </c>
      <c r="H99" s="112">
        <v>42</v>
      </c>
      <c r="I99" s="112">
        <v>46</v>
      </c>
      <c r="J99" s="112">
        <v>61</v>
      </c>
      <c r="K99" s="112">
        <v>67</v>
      </c>
      <c r="L99" s="112">
        <v>60</v>
      </c>
      <c r="M99" s="112">
        <v>60.1</v>
      </c>
      <c r="N99" s="112">
        <v>67.5</v>
      </c>
      <c r="O99" s="112">
        <v>71</v>
      </c>
      <c r="P99" s="112">
        <v>71.8</v>
      </c>
      <c r="Q99" s="112">
        <v>69</v>
      </c>
      <c r="R99" s="112">
        <v>83</v>
      </c>
      <c r="S99" s="112">
        <v>75.599999999999994</v>
      </c>
      <c r="T99" s="112">
        <v>78.8</v>
      </c>
      <c r="U99" s="112">
        <v>75.7</v>
      </c>
      <c r="V99" s="112">
        <v>76</v>
      </c>
      <c r="W99" s="112">
        <v>74.5</v>
      </c>
      <c r="X99" s="112">
        <v>62.6</v>
      </c>
      <c r="Y99" s="112">
        <v>55</v>
      </c>
      <c r="Z99" s="112">
        <v>57.6</v>
      </c>
      <c r="AA99" s="112">
        <v>76.900000000000006</v>
      </c>
      <c r="AB99" s="112">
        <v>57.9</v>
      </c>
      <c r="AC99" s="112">
        <v>67.400000000000006</v>
      </c>
      <c r="AD99" s="112">
        <v>70.3</v>
      </c>
      <c r="AE99" s="112">
        <v>79.8</v>
      </c>
      <c r="AF99" s="112">
        <v>78.3</v>
      </c>
      <c r="AG99" s="114"/>
      <c r="AH99" s="54">
        <f t="shared" si="16"/>
        <v>83</v>
      </c>
      <c r="AI99" s="108">
        <f t="shared" si="17"/>
        <v>0.54166666666666696</v>
      </c>
    </row>
    <row r="100" spans="1:37" ht="15.75" thickBot="1" x14ac:dyDescent="0.3">
      <c r="A100" s="115" t="s">
        <v>105</v>
      </c>
      <c r="B100" s="95">
        <v>53</v>
      </c>
      <c r="C100" s="95">
        <v>38</v>
      </c>
      <c r="D100" s="95">
        <v>38</v>
      </c>
      <c r="E100" s="95">
        <v>39</v>
      </c>
      <c r="F100" s="95">
        <v>39</v>
      </c>
      <c r="G100" s="95">
        <v>25</v>
      </c>
      <c r="H100" s="95">
        <v>23</v>
      </c>
      <c r="I100" s="95">
        <v>50</v>
      </c>
      <c r="J100" s="95">
        <v>34</v>
      </c>
      <c r="K100" s="95">
        <v>20</v>
      </c>
      <c r="L100" s="95">
        <v>18</v>
      </c>
      <c r="M100" s="95">
        <v>33</v>
      </c>
      <c r="N100" s="95">
        <v>30.1</v>
      </c>
      <c r="O100" s="95">
        <v>27</v>
      </c>
      <c r="P100" s="95">
        <v>20.8</v>
      </c>
      <c r="Q100" s="95">
        <v>22</v>
      </c>
      <c r="R100" s="95">
        <v>19</v>
      </c>
      <c r="S100" s="95">
        <v>25.8</v>
      </c>
      <c r="T100" s="95">
        <v>31.7</v>
      </c>
      <c r="U100" s="95">
        <v>18.3</v>
      </c>
      <c r="V100" s="95">
        <v>28.1</v>
      </c>
      <c r="W100" s="95">
        <v>14.3</v>
      </c>
      <c r="X100" s="95">
        <v>16.5</v>
      </c>
      <c r="Y100" s="95">
        <v>26</v>
      </c>
      <c r="Z100" s="95">
        <v>47.6</v>
      </c>
      <c r="AA100" s="95">
        <v>54.3</v>
      </c>
      <c r="AB100" s="95">
        <v>63.1</v>
      </c>
      <c r="AC100" s="95">
        <v>62</v>
      </c>
      <c r="AD100" s="95">
        <v>61</v>
      </c>
      <c r="AE100" s="95">
        <v>56.1</v>
      </c>
      <c r="AF100" s="95">
        <v>53.1</v>
      </c>
      <c r="AG100" s="114"/>
      <c r="AH100" s="54">
        <f t="shared" si="16"/>
        <v>63.1</v>
      </c>
      <c r="AI100" s="108">
        <f t="shared" si="17"/>
        <v>0.83333333333333337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1255.1400000000001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21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2079/02/21)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2079/02/21)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1230.5400000000002</v>
      </c>
      <c r="U214" s="161">
        <f t="shared" si="54"/>
        <v>1185.5400000000002</v>
      </c>
      <c r="V214" s="161">
        <f t="shared" si="54"/>
        <v>1211.94</v>
      </c>
      <c r="W214" s="161">
        <f t="shared" si="54"/>
        <v>1173.8400000000001</v>
      </c>
      <c r="X214" s="161">
        <f t="shared" si="54"/>
        <v>1128.8400000000001</v>
      </c>
      <c r="Y214" s="161">
        <f t="shared" si="54"/>
        <v>1140.8400000000001</v>
      </c>
      <c r="Z214" s="161">
        <f t="shared" si="54"/>
        <v>1105.8400000000001</v>
      </c>
      <c r="AA214" s="161">
        <f t="shared" si="54"/>
        <v>1098.8400000000001</v>
      </c>
      <c r="AB214" s="161">
        <f t="shared" si="54"/>
        <v>1145.8400000000001</v>
      </c>
      <c r="AC214" s="161">
        <f t="shared" si="54"/>
        <v>1198.8400000000001</v>
      </c>
      <c r="AD214" s="161">
        <f t="shared" si="54"/>
        <v>1218.8400000000001</v>
      </c>
      <c r="AE214" s="161">
        <f t="shared" si="54"/>
        <v>1255.1400000000001</v>
      </c>
      <c r="AF214" s="161">
        <f t="shared" si="54"/>
        <v>1223.24</v>
      </c>
      <c r="AG214" s="161">
        <f t="shared" si="54"/>
        <v>1247.3400000000001</v>
      </c>
      <c r="AH214" s="161">
        <f t="shared" si="54"/>
        <v>1216.8400000000001</v>
      </c>
      <c r="AI214" s="161">
        <f t="shared" si="54"/>
        <v>1191.24</v>
      </c>
      <c r="AJ214" s="161">
        <f t="shared" si="54"/>
        <v>1229.54</v>
      </c>
      <c r="AK214" s="161">
        <f t="shared" si="54"/>
        <v>1298.6399999999999</v>
      </c>
      <c r="AL214" s="161">
        <f t="shared" si="54"/>
        <v>1216.74</v>
      </c>
      <c r="AM214" s="161">
        <f t="shared" si="54"/>
        <v>1141.74</v>
      </c>
      <c r="AN214" s="161">
        <f t="shared" si="54"/>
        <v>1175.24</v>
      </c>
      <c r="AO214" s="161">
        <f t="shared" si="54"/>
        <v>1163.5400000000002</v>
      </c>
      <c r="AP214" s="161">
        <f t="shared" si="54"/>
        <v>1198.7400000000002</v>
      </c>
      <c r="AQ214" s="161">
        <f t="shared" si="54"/>
        <v>1254.04</v>
      </c>
      <c r="AR214" s="161">
        <f t="shared" si="54"/>
        <v>1301.3</v>
      </c>
      <c r="AS214" s="161">
        <f t="shared" si="54"/>
        <v>1441.6</v>
      </c>
      <c r="AT214" s="161">
        <f t="shared" si="54"/>
        <v>1459.1399999999999</v>
      </c>
      <c r="AU214" s="161">
        <f t="shared" si="54"/>
        <v>1415.2399999999998</v>
      </c>
      <c r="AV214" s="161">
        <f t="shared" si="54"/>
        <v>1404.14</v>
      </c>
      <c r="AW214" s="161">
        <f t="shared" si="54"/>
        <v>1317.24</v>
      </c>
      <c r="AX214" s="161">
        <f t="shared" si="54"/>
        <v>1321.04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AA11:AF11">
    <cfRule type="expression" dxfId="2189" priority="202">
      <formula>B$9&gt;=20/24</formula>
    </cfRule>
    <cfRule type="expression" dxfId="2188" priority="203">
      <formula>AND(B$9&gt;=14/24,B$9&lt;20/24)</formula>
    </cfRule>
    <cfRule type="expression" dxfId="2187" priority="204">
      <formula>AND(B$9&gt;=8/24,B$9&lt;14/24)</formula>
    </cfRule>
    <cfRule type="expression" dxfId="2186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2185" priority="197">
      <formula>AA$9&gt;=20/24</formula>
    </cfRule>
    <cfRule type="expression" dxfId="2184" priority="198">
      <formula>AND(AA$9&gt;=14/24,AA$9&lt;20/24)</formula>
    </cfRule>
    <cfRule type="expression" dxfId="2183" priority="199">
      <formula>AND(AA$9&gt;=8/24,AA$9&lt;14/24)</formula>
    </cfRule>
    <cfRule type="expression" dxfId="2182" priority="200">
      <formula>AA$9&lt;8/24</formula>
    </cfRule>
  </conditionalFormatting>
  <conditionalFormatting sqref="AG51 J11:AF11 AA37:AF37">
    <cfRule type="expression" dxfId="2181" priority="196">
      <formula>J11&gt;$AG11</formula>
    </cfRule>
  </conditionalFormatting>
  <conditionalFormatting sqref="A101:A157 A84:A97 A11:A14 A16:A32 A45:A72 A80:A82 A74:A78 A35:A43 A170:A200">
    <cfRule type="expression" dxfId="2180" priority="195">
      <formula>$AH11=0</formula>
    </cfRule>
  </conditionalFormatting>
  <conditionalFormatting sqref="A98">
    <cfRule type="expression" dxfId="2179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178" priority="192">
      <formula>$AH34=0</formula>
    </cfRule>
  </conditionalFormatting>
  <conditionalFormatting sqref="A83">
    <cfRule type="expression" dxfId="2177" priority="191">
      <formula>$AH83=0</formula>
    </cfRule>
  </conditionalFormatting>
  <conditionalFormatting sqref="A15">
    <cfRule type="expression" dxfId="2176" priority="190">
      <formula>$AH15=0</formula>
    </cfRule>
  </conditionalFormatting>
  <conditionalFormatting sqref="A164:A169">
    <cfRule type="expression" dxfId="2175" priority="189">
      <formula>$AH164=0</formula>
    </cfRule>
  </conditionalFormatting>
  <conditionalFormatting sqref="A158:A163">
    <cfRule type="expression" dxfId="2174" priority="188">
      <formula>$AH158=0</formula>
    </cfRule>
  </conditionalFormatting>
  <conditionalFormatting sqref="A44">
    <cfRule type="expression" dxfId="2173" priority="187">
      <formula>$AH44=0</formula>
    </cfRule>
  </conditionalFormatting>
  <conditionalFormatting sqref="A79">
    <cfRule type="expression" dxfId="2172" priority="186">
      <formula>$AH79=0</formula>
    </cfRule>
  </conditionalFormatting>
  <conditionalFormatting sqref="A73">
    <cfRule type="expression" dxfId="2171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170" priority="181">
      <formula>C$9&gt;=20/24</formula>
    </cfRule>
    <cfRule type="expression" dxfId="2169" priority="182">
      <formula>AND(C$9&gt;=14/24,C$9&lt;20/24)</formula>
    </cfRule>
    <cfRule type="expression" dxfId="2168" priority="183">
      <formula>AND(C$9&gt;=8/24,C$9&lt;14/24)</formula>
    </cfRule>
    <cfRule type="expression" dxfId="2167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166" priority="209">
      <formula>C$9&gt;=20/24</formula>
    </cfRule>
    <cfRule type="expression" dxfId="2165" priority="210">
      <formula>AND(C$9&gt;=14/24,C$9&lt;20/24)</formula>
    </cfRule>
    <cfRule type="expression" dxfId="2164" priority="211">
      <formula>AND(C$9&gt;=8/24,C$9&lt;14/24)</formula>
    </cfRule>
    <cfRule type="expression" dxfId="2163" priority="212">
      <formula>C$9&lt;8/24</formula>
    </cfRule>
  </conditionalFormatting>
  <conditionalFormatting sqref="A201">
    <cfRule type="expression" dxfId="2162" priority="213">
      <formula>$AH201=0</formula>
    </cfRule>
  </conditionalFormatting>
  <conditionalFormatting sqref="AG213">
    <cfRule type="expression" dxfId="2161" priority="214">
      <formula>B$9&gt;=20/24</formula>
    </cfRule>
    <cfRule type="expression" dxfId="2160" priority="215">
      <formula>AND(B$9&gt;=14/24,B$9&lt;20/24)</formula>
    </cfRule>
    <cfRule type="expression" dxfId="2159" priority="216">
      <formula>AND(B$9&gt;=8/24,B$9&lt;14/24)</formula>
    </cfRule>
    <cfRule type="expression" dxfId="2158" priority="217">
      <formula>B$9&lt;8/24</formula>
    </cfRule>
  </conditionalFormatting>
  <conditionalFormatting sqref="S8">
    <cfRule type="expression" dxfId="2157" priority="175">
      <formula>U$9&gt;=20/24</formula>
    </cfRule>
    <cfRule type="expression" dxfId="2156" priority="176">
      <formula>AND(U$9&gt;=14/24,U$9&lt;20/24)</formula>
    </cfRule>
    <cfRule type="expression" dxfId="2155" priority="177">
      <formula>AND(U$9&gt;=8/24,U$9&lt;14/24)</formula>
    </cfRule>
    <cfRule type="expression" dxfId="2154" priority="178">
      <formula>U$9&lt;8/24</formula>
    </cfRule>
  </conditionalFormatting>
  <conditionalFormatting sqref="AB8">
    <cfRule type="expression" dxfId="2153" priority="171">
      <formula>AD$9&gt;=20/24</formula>
    </cfRule>
    <cfRule type="expression" dxfId="2152" priority="172">
      <formula>AND(AD$9&gt;=14/24,AD$9&lt;20/24)</formula>
    </cfRule>
    <cfRule type="expression" dxfId="2151" priority="173">
      <formula>AND(AD$9&gt;=8/24,AD$9&lt;14/24)</formula>
    </cfRule>
    <cfRule type="expression" dxfId="2150" priority="174">
      <formula>AD$9&lt;8/24</formula>
    </cfRule>
  </conditionalFormatting>
  <conditionalFormatting sqref="AH213:AX213">
    <cfRule type="expression" dxfId="2149" priority="218">
      <formula>AG$9&gt;=20/24</formula>
    </cfRule>
    <cfRule type="expression" dxfId="2148" priority="219">
      <formula>AND(AG$9&gt;=14/24,AG$9&lt;20/24)</formula>
    </cfRule>
    <cfRule type="expression" dxfId="2147" priority="220">
      <formula>AND(AG$9&gt;=8/24,AG$9&lt;14/24)</formula>
    </cfRule>
    <cfRule type="expression" dxfId="2146" priority="221">
      <formula>AG$9&lt;8/24</formula>
    </cfRule>
  </conditionalFormatting>
  <conditionalFormatting sqref="T213">
    <cfRule type="expression" dxfId="2145" priority="222">
      <formula>AX$9&gt;=20/24</formula>
    </cfRule>
    <cfRule type="expression" dxfId="2144" priority="223">
      <formula>AND(AX$9&gt;=14/24,AX$9&lt;20/24)</formula>
    </cfRule>
    <cfRule type="expression" dxfId="2143" priority="224">
      <formula>AND(AX$9&gt;=8/24,AX$9&lt;14/24)</formula>
    </cfRule>
    <cfRule type="expression" dxfId="2142" priority="225">
      <formula>AX$9&lt;8/24</formula>
    </cfRule>
  </conditionalFormatting>
  <conditionalFormatting sqref="A99:A100">
    <cfRule type="expression" dxfId="2141" priority="170">
      <formula>$AH99=0</formula>
    </cfRule>
  </conditionalFormatting>
  <conditionalFormatting sqref="E11:I11 E40:O41 S40:W41 AA36:AF36 Z40:AF41 C57:AF57">
    <cfRule type="expression" dxfId="2140" priority="166">
      <formula>C$9&gt;=20/24</formula>
    </cfRule>
    <cfRule type="expression" dxfId="2139" priority="167">
      <formula>AND(C$9&gt;=14/24,C$9&lt;20/24)</formula>
    </cfRule>
    <cfRule type="expression" dxfId="2138" priority="168">
      <formula>AND(C$9&gt;=8/24,C$9&lt;14/24)</formula>
    </cfRule>
    <cfRule type="expression" dxfId="2137" priority="169">
      <formula>C$9&lt;8/24</formula>
    </cfRule>
  </conditionalFormatting>
  <conditionalFormatting sqref="E39:O39 S39:W39 Z39:AF39">
    <cfRule type="expression" dxfId="2136" priority="162">
      <formula>E$9&gt;=20/24</formula>
    </cfRule>
    <cfRule type="expression" dxfId="2135" priority="163">
      <formula>AND(E$9&gt;=14/24,E$9&lt;20/24)</formula>
    </cfRule>
    <cfRule type="expression" dxfId="2134" priority="164">
      <formula>AND(E$9&gt;=8/24,E$9&lt;14/24)</formula>
    </cfRule>
    <cfRule type="expression" dxfId="2133" priority="165">
      <formula>E$9&lt;8/24</formula>
    </cfRule>
  </conditionalFormatting>
  <conditionalFormatting sqref="E11:I11 E39:O41 S39:W41 AA36:AF36 Z39:AF41">
    <cfRule type="expression" dxfId="2132" priority="161">
      <formula>E11&gt;$AG11</formula>
    </cfRule>
  </conditionalFormatting>
  <conditionalFormatting sqref="P11:Q11 C83:AF83 C75:AF81 C58:F59 C68:AF73 D62:D63 C61:D61 C60:E60 C56:AF56 E61:E63 F60:F63 E12:Q14 G58:R63 R11:Z14 AA12:AF14 D85:AF91 AA18:AF22 D53:AF55 S58:AF67 AA28:AF31 AA24:AF26 AA16:AF16">
    <cfRule type="expression" dxfId="2131" priority="157">
      <formula>C$9&gt;=20/24</formula>
    </cfRule>
    <cfRule type="expression" dxfId="2130" priority="158">
      <formula>AND(C$9&gt;=14/24,C$9&lt;20/24)</formula>
    </cfRule>
    <cfRule type="expression" dxfId="2129" priority="159">
      <formula>AND(C$9&gt;=8/24,C$9&lt;14/24)</formula>
    </cfRule>
    <cfRule type="expression" dxfId="2128" priority="160">
      <formula>C$9&lt;8/24</formula>
    </cfRule>
  </conditionalFormatting>
  <conditionalFormatting sqref="AA32:AF32">
    <cfRule type="expression" dxfId="2127" priority="153">
      <formula>AA$9&gt;=20/24</formula>
    </cfRule>
    <cfRule type="expression" dxfId="2126" priority="154">
      <formula>AND(AA$9&gt;=14/24,AA$9&lt;20/24)</formula>
    </cfRule>
    <cfRule type="expression" dxfId="2125" priority="155">
      <formula>AND(AA$9&gt;=8/24,AA$9&lt;14/24)</formula>
    </cfRule>
    <cfRule type="expression" dxfId="2124" priority="156">
      <formula>AA$9&lt;8/24</formula>
    </cfRule>
  </conditionalFormatting>
  <conditionalFormatting sqref="AA35:AF35">
    <cfRule type="expression" dxfId="2123" priority="149">
      <formula>AA$9&gt;=20/24</formula>
    </cfRule>
    <cfRule type="expression" dxfId="2122" priority="150">
      <formula>AND(AA$9&gt;=14/24,AA$9&lt;20/24)</formula>
    </cfRule>
    <cfRule type="expression" dxfId="2121" priority="151">
      <formula>AND(AA$9&gt;=8/24,AA$9&lt;14/24)</formula>
    </cfRule>
    <cfRule type="expression" dxfId="2120" priority="152">
      <formula>AA$9&lt;8/24</formula>
    </cfRule>
  </conditionalFormatting>
  <conditionalFormatting sqref="P11:Q11 C38:AF38 C56:AF56 E42:O42 E12:Q15 M37:Z37 R11:Z15 C51:AF52 AA34:AF35 AA18:AF22 D53:AF55 AA24:AF32 AA12:AF16">
    <cfRule type="expression" dxfId="2119" priority="148">
      <formula>C11&gt;$AG11</formula>
    </cfRule>
  </conditionalFormatting>
  <conditionalFormatting sqref="AA34:AF34">
    <cfRule type="expression" dxfId="2118" priority="144">
      <formula>AA$9&gt;=20/24</formula>
    </cfRule>
    <cfRule type="expression" dxfId="2117" priority="145">
      <formula>AND(AA$9&gt;=14/24,AA$9&lt;20/24)</formula>
    </cfRule>
    <cfRule type="expression" dxfId="2116" priority="146">
      <formula>AND(AA$9&gt;=8/24,AA$9&lt;14/24)</formula>
    </cfRule>
    <cfRule type="expression" dxfId="2115" priority="147">
      <formula>AA$9&lt;8/24</formula>
    </cfRule>
  </conditionalFormatting>
  <conditionalFormatting sqref="E15:AF15">
    <cfRule type="expression" dxfId="2114" priority="140">
      <formula>E$9&gt;=20/24</formula>
    </cfRule>
    <cfRule type="expression" dxfId="2113" priority="141">
      <formula>AND(E$9&gt;=14/24,E$9&lt;20/24)</formula>
    </cfRule>
    <cfRule type="expression" dxfId="2112" priority="142">
      <formula>AND(E$9&gt;=8/24,E$9&lt;14/24)</formula>
    </cfRule>
    <cfRule type="expression" dxfId="2111" priority="143">
      <formula>E$9&lt;8/24</formula>
    </cfRule>
  </conditionalFormatting>
  <conditionalFormatting sqref="AA33:AF33">
    <cfRule type="expression" dxfId="2110" priority="136">
      <formula>AA$9&gt;=20/24</formula>
    </cfRule>
    <cfRule type="expression" dxfId="2109" priority="137">
      <formula>AND(AA$9&gt;=14/24,AA$9&lt;20/24)</formula>
    </cfRule>
    <cfRule type="expression" dxfId="2108" priority="138">
      <formula>AND(AA$9&gt;=8/24,AA$9&lt;14/24)</formula>
    </cfRule>
    <cfRule type="expression" dxfId="2107" priority="139">
      <formula>AA$9&lt;8/24</formula>
    </cfRule>
  </conditionalFormatting>
  <conditionalFormatting sqref="AA33:AF33">
    <cfRule type="expression" dxfId="2106" priority="135">
      <formula>AA33&gt;$AG33</formula>
    </cfRule>
  </conditionalFormatting>
  <conditionalFormatting sqref="V42:AF43">
    <cfRule type="expression" dxfId="2105" priority="127">
      <formula>V$9&gt;=20/24</formula>
    </cfRule>
    <cfRule type="expression" dxfId="2104" priority="128">
      <formula>AND(V$9&gt;=14/24,V$9&lt;20/24)</formula>
    </cfRule>
    <cfRule type="expression" dxfId="2103" priority="129">
      <formula>AND(V$9&gt;=8/24,V$9&lt;14/24)</formula>
    </cfRule>
    <cfRule type="expression" dxfId="2102" priority="130">
      <formula>V$9&lt;8/24</formula>
    </cfRule>
  </conditionalFormatting>
  <conditionalFormatting sqref="V42:AF43">
    <cfRule type="expression" dxfId="2101" priority="126">
      <formula>V42&gt;$AG42</formula>
    </cfRule>
  </conditionalFormatting>
  <conditionalFormatting sqref="P39:R44 S42:U50 V44:AF50">
    <cfRule type="expression" dxfId="2100" priority="122">
      <formula>P$9&gt;=20/24</formula>
    </cfRule>
    <cfRule type="expression" dxfId="2099" priority="123">
      <formula>AND(P$9&gt;=14/24,P$9&lt;20/24)</formula>
    </cfRule>
    <cfRule type="expression" dxfId="2098" priority="124">
      <formula>AND(P$9&gt;=8/24,P$9&lt;14/24)</formula>
    </cfRule>
    <cfRule type="expression" dxfId="2097" priority="125">
      <formula>P$9&lt;8/24</formula>
    </cfRule>
  </conditionalFormatting>
  <conditionalFormatting sqref="P39:R44 S42:U50 V44:AF50">
    <cfRule type="expression" dxfId="2096" priority="121">
      <formula>P39&gt;$AG39</formula>
    </cfRule>
  </conditionalFormatting>
  <conditionalFormatting sqref="AA27:AF27">
    <cfRule type="expression" dxfId="2095" priority="117">
      <formula>AA$9&gt;=20/24</formula>
    </cfRule>
    <cfRule type="expression" dxfId="2094" priority="118">
      <formula>AND(AA$9&gt;=14/24,AA$9&lt;20/24)</formula>
    </cfRule>
    <cfRule type="expression" dxfId="2093" priority="119">
      <formula>AND(AA$9&gt;=8/24,AA$9&lt;14/24)</formula>
    </cfRule>
    <cfRule type="expression" dxfId="2092" priority="120">
      <formula>AA$9&lt;8/24</formula>
    </cfRule>
  </conditionalFormatting>
  <conditionalFormatting sqref="C11:D11 C74:I74 E16:Z16 AA17:AF17 AA23:AF23">
    <cfRule type="expression" dxfId="2091" priority="113">
      <formula>C$9&gt;=20/24</formula>
    </cfRule>
    <cfRule type="expression" dxfId="2090" priority="114">
      <formula>AND(C$9&gt;=14/24,C$9&lt;20/24)</formula>
    </cfRule>
    <cfRule type="expression" dxfId="2089" priority="115">
      <formula>AND(C$9&gt;=8/24,C$9&lt;14/24)</formula>
    </cfRule>
    <cfRule type="expression" dxfId="2088" priority="116">
      <formula>C$9&lt;8/24</formula>
    </cfRule>
  </conditionalFormatting>
  <conditionalFormatting sqref="C11:D11 E16:Z16 AA17:AF17 AA23:AF23">
    <cfRule type="expression" dxfId="2087" priority="104">
      <formula>C11&gt;$AG11</formula>
    </cfRule>
  </conditionalFormatting>
  <conditionalFormatting sqref="X40:Y41">
    <cfRule type="expression" dxfId="2086" priority="68">
      <formula>X$9&gt;=20/24</formula>
    </cfRule>
    <cfRule type="expression" dxfId="2085" priority="69">
      <formula>AND(X$9&gt;=14/24,X$9&lt;20/24)</formula>
    </cfRule>
    <cfRule type="expression" dxfId="2084" priority="70">
      <formula>AND(X$9&gt;=8/24,X$9&lt;14/24)</formula>
    </cfRule>
    <cfRule type="expression" dxfId="2083" priority="71">
      <formula>X$9&lt;8/24</formula>
    </cfRule>
  </conditionalFormatting>
  <conditionalFormatting sqref="X39:Y39">
    <cfRule type="expression" dxfId="2082" priority="64">
      <formula>X$9&gt;=20/24</formula>
    </cfRule>
    <cfRule type="expression" dxfId="2081" priority="65">
      <formula>AND(X$9&gt;=14/24,X$9&lt;20/24)</formula>
    </cfRule>
    <cfRule type="expression" dxfId="2080" priority="66">
      <formula>AND(X$9&gt;=8/24,X$9&lt;14/24)</formula>
    </cfRule>
    <cfRule type="expression" dxfId="2079" priority="67">
      <formula>X$9&lt;8/24</formula>
    </cfRule>
  </conditionalFormatting>
  <conditionalFormatting sqref="X39:Y41">
    <cfRule type="expression" dxfId="2078" priority="63">
      <formula>X39&gt;$AG39</formula>
    </cfRule>
  </conditionalFormatting>
  <conditionalFormatting sqref="B82 B74 B94:B100 B11">
    <cfRule type="expression" dxfId="2077" priority="59">
      <formula>B$9&gt;=20/24</formula>
    </cfRule>
    <cfRule type="expression" dxfId="2076" priority="60">
      <formula>AND(B$9&gt;=14/24,B$9&lt;20/24)</formula>
    </cfRule>
    <cfRule type="expression" dxfId="2075" priority="61">
      <formula>AND(B$9&gt;=8/24,B$9&lt;14/24)</formula>
    </cfRule>
    <cfRule type="expression" dxfId="2074" priority="62">
      <formula>B$9&lt;8/24</formula>
    </cfRule>
  </conditionalFormatting>
  <conditionalFormatting sqref="B37:L37">
    <cfRule type="expression" dxfId="2073" priority="55">
      <formula>B$9&gt;=20/24</formula>
    </cfRule>
    <cfRule type="expression" dxfId="2072" priority="56">
      <formula>AND(B$9&gt;=14/24,B$9&lt;20/24)</formula>
    </cfRule>
    <cfRule type="expression" dxfId="2071" priority="57">
      <formula>AND(B$9&gt;=8/24,B$9&lt;14/24)</formula>
    </cfRule>
    <cfRule type="expression" dxfId="2070" priority="58">
      <formula>B$9&lt;8/24</formula>
    </cfRule>
  </conditionalFormatting>
  <conditionalFormatting sqref="B11 B37:L37">
    <cfRule type="expression" dxfId="2069" priority="54">
      <formula>B11&gt;$AG11</formula>
    </cfRule>
  </conditionalFormatting>
  <conditionalFormatting sqref="B84">
    <cfRule type="expression" dxfId="2068" priority="50">
      <formula>B$9&gt;=20/24</formula>
    </cfRule>
    <cfRule type="expression" dxfId="2067" priority="51">
      <formula>AND(B$9&gt;=14/24,B$9&lt;20/24)</formula>
    </cfRule>
    <cfRule type="expression" dxfId="2066" priority="52">
      <formula>AND(B$9&gt;=8/24,B$9&lt;14/24)</formula>
    </cfRule>
    <cfRule type="expression" dxfId="2065" priority="53">
      <formula>B$9&lt;8/24</formula>
    </cfRule>
  </conditionalFormatting>
  <conditionalFormatting sqref="B57 B40:D41 B36:Z36">
    <cfRule type="expression" dxfId="2064" priority="46">
      <formula>B$9&gt;=20/24</formula>
    </cfRule>
    <cfRule type="expression" dxfId="2063" priority="47">
      <formula>AND(B$9&gt;=14/24,B$9&lt;20/24)</formula>
    </cfRule>
    <cfRule type="expression" dxfId="2062" priority="48">
      <formula>AND(B$9&gt;=8/24,B$9&lt;14/24)</formula>
    </cfRule>
    <cfRule type="expression" dxfId="2061" priority="49">
      <formula>B$9&lt;8/24</formula>
    </cfRule>
  </conditionalFormatting>
  <conditionalFormatting sqref="B39:D39">
    <cfRule type="expression" dxfId="2060" priority="42">
      <formula>B$9&gt;=20/24</formula>
    </cfRule>
    <cfRule type="expression" dxfId="2059" priority="43">
      <formula>AND(B$9&gt;=14/24,B$9&lt;20/24)</formula>
    </cfRule>
    <cfRule type="expression" dxfId="2058" priority="44">
      <formula>AND(B$9&gt;=8/24,B$9&lt;14/24)</formula>
    </cfRule>
    <cfRule type="expression" dxfId="2057" priority="45">
      <formula>B$9&lt;8/24</formula>
    </cfRule>
  </conditionalFormatting>
  <conditionalFormatting sqref="B39:D41 B36:Z36">
    <cfRule type="expression" dxfId="2056" priority="41">
      <formula>B36&gt;$AG36</formula>
    </cfRule>
  </conditionalFormatting>
  <conditionalFormatting sqref="B83 B75:B81 B53:B56 B58:B73 C53:C55 C62:C67 B85:C91 B12:D14 B16:D16 D64:R67 B18:Z22 B24:Z26 B28:Z31">
    <cfRule type="expression" dxfId="2055" priority="37">
      <formula>B$9&gt;=20/24</formula>
    </cfRule>
    <cfRule type="expression" dxfId="2054" priority="38">
      <formula>AND(B$9&gt;=14/24,B$9&lt;20/24)</formula>
    </cfRule>
    <cfRule type="expression" dxfId="2053" priority="39">
      <formula>AND(B$9&gt;=8/24,B$9&lt;14/24)</formula>
    </cfRule>
    <cfRule type="expression" dxfId="2052" priority="40">
      <formula>B$9&lt;8/24</formula>
    </cfRule>
  </conditionalFormatting>
  <conditionalFormatting sqref="B32:Z32">
    <cfRule type="expression" dxfId="2051" priority="33">
      <formula>B$9&gt;=20/24</formula>
    </cfRule>
    <cfRule type="expression" dxfId="2050" priority="34">
      <formula>AND(B$9&gt;=14/24,B$9&lt;20/24)</formula>
    </cfRule>
    <cfRule type="expression" dxfId="2049" priority="35">
      <formula>AND(B$9&gt;=8/24,B$9&lt;14/24)</formula>
    </cfRule>
    <cfRule type="expression" dxfId="2048" priority="36">
      <formula>B$9&lt;8/24</formula>
    </cfRule>
  </conditionalFormatting>
  <conditionalFormatting sqref="B35:Z35">
    <cfRule type="expression" dxfId="2047" priority="29">
      <formula>B$9&gt;=20/24</formula>
    </cfRule>
    <cfRule type="expression" dxfId="2046" priority="30">
      <formula>AND(B$9&gt;=14/24,B$9&lt;20/24)</formula>
    </cfRule>
    <cfRule type="expression" dxfId="2045" priority="31">
      <formula>AND(B$9&gt;=8/24,B$9&lt;14/24)</formula>
    </cfRule>
    <cfRule type="expression" dxfId="2044" priority="32">
      <formula>B$9&lt;8/24</formula>
    </cfRule>
  </conditionalFormatting>
  <conditionalFormatting sqref="B38 B51:B56 C53:C55 B12:D16 B42:D43 E43:O43 B34:Z35 B18:Z22 B24:Z32">
    <cfRule type="expression" dxfId="2043" priority="28">
      <formula>B12&gt;$AG12</formula>
    </cfRule>
  </conditionalFormatting>
  <conditionalFormatting sqref="B34:Z34">
    <cfRule type="expression" dxfId="2042" priority="24">
      <formula>B$9&gt;=20/24</formula>
    </cfRule>
    <cfRule type="expression" dxfId="2041" priority="25">
      <formula>AND(B$9&gt;=14/24,B$9&lt;20/24)</formula>
    </cfRule>
    <cfRule type="expression" dxfId="2040" priority="26">
      <formula>AND(B$9&gt;=8/24,B$9&lt;14/24)</formula>
    </cfRule>
    <cfRule type="expression" dxfId="2039" priority="27">
      <formula>B$9&lt;8/24</formula>
    </cfRule>
  </conditionalFormatting>
  <conditionalFormatting sqref="B15:D15">
    <cfRule type="expression" dxfId="2038" priority="20">
      <formula>B$9&gt;=20/24</formula>
    </cfRule>
    <cfRule type="expression" dxfId="2037" priority="21">
      <formula>AND(B$9&gt;=14/24,B$9&lt;20/24)</formula>
    </cfRule>
    <cfRule type="expression" dxfId="2036" priority="22">
      <formula>AND(B$9&gt;=8/24,B$9&lt;14/24)</formula>
    </cfRule>
    <cfRule type="expression" dxfId="2035" priority="23">
      <formula>B$9&lt;8/24</formula>
    </cfRule>
  </conditionalFormatting>
  <conditionalFormatting sqref="B33:Z33">
    <cfRule type="expression" dxfId="2034" priority="16">
      <formula>B$9&gt;=20/24</formula>
    </cfRule>
    <cfRule type="expression" dxfId="2033" priority="17">
      <formula>AND(B$9&gt;=14/24,B$9&lt;20/24)</formula>
    </cfRule>
    <cfRule type="expression" dxfId="2032" priority="18">
      <formula>AND(B$9&gt;=8/24,B$9&lt;14/24)</formula>
    </cfRule>
    <cfRule type="expression" dxfId="2031" priority="19">
      <formula>B$9&lt;8/24</formula>
    </cfRule>
  </conditionalFormatting>
  <conditionalFormatting sqref="B33:Z33">
    <cfRule type="expression" dxfId="2030" priority="15">
      <formula>B33&gt;$AG33</formula>
    </cfRule>
  </conditionalFormatting>
  <conditionalFormatting sqref="B44:O45 P45:R45 B46:R50">
    <cfRule type="expression" dxfId="2029" priority="11">
      <formula>B$9&gt;=20/24</formula>
    </cfRule>
    <cfRule type="expression" dxfId="2028" priority="12">
      <formula>AND(B$9&gt;=14/24,B$9&lt;20/24)</formula>
    </cfRule>
    <cfRule type="expression" dxfId="2027" priority="13">
      <formula>AND(B$9&gt;=8/24,B$9&lt;14/24)</formula>
    </cfRule>
    <cfRule type="expression" dxfId="2026" priority="14">
      <formula>B$9&lt;8/24</formula>
    </cfRule>
  </conditionalFormatting>
  <conditionalFormatting sqref="B44:O45 P45:R45 B46:R50">
    <cfRule type="expression" dxfId="2025" priority="10">
      <formula>B44&gt;$AG44</formula>
    </cfRule>
  </conditionalFormatting>
  <conditionalFormatting sqref="B27:Z27">
    <cfRule type="expression" dxfId="2024" priority="6">
      <formula>B$9&gt;=20/24</formula>
    </cfRule>
    <cfRule type="expression" dxfId="2023" priority="7">
      <formula>AND(B$9&gt;=14/24,B$9&lt;20/24)</formula>
    </cfRule>
    <cfRule type="expression" dxfId="2022" priority="8">
      <formula>AND(B$9&gt;=8/24,B$9&lt;14/24)</formula>
    </cfRule>
    <cfRule type="expression" dxfId="2021" priority="9">
      <formula>B$9&lt;8/24</formula>
    </cfRule>
  </conditionalFormatting>
  <conditionalFormatting sqref="B17:Z17 B23:Z23">
    <cfRule type="expression" dxfId="2020" priority="2">
      <formula>B$9&gt;=20/24</formula>
    </cfRule>
    <cfRule type="expression" dxfId="2019" priority="3">
      <formula>AND(B$9&gt;=14/24,B$9&lt;20/24)</formula>
    </cfRule>
    <cfRule type="expression" dxfId="2018" priority="4">
      <formula>AND(B$9&gt;=8/24,B$9&lt;14/24)</formula>
    </cfRule>
    <cfRule type="expression" dxfId="2017" priority="5">
      <formula>B$9&lt;8/24</formula>
    </cfRule>
  </conditionalFormatting>
  <conditionalFormatting sqref="B17:Z17 B23:Z23">
    <cfRule type="expression" dxfId="2016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0580BF99-7AE1-44BB-80B9-FB9D5EA75DE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C55" sqref="C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2079/02/22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-169.1</v>
      </c>
      <c r="C5" s="32">
        <f t="shared" si="0"/>
        <v>-140.5</v>
      </c>
      <c r="D5" s="32">
        <f t="shared" si="0"/>
        <v>-185.6</v>
      </c>
      <c r="E5" s="32">
        <f t="shared" si="0"/>
        <v>-198.8</v>
      </c>
      <c r="F5" s="32">
        <f t="shared" si="0"/>
        <v>-228.3</v>
      </c>
      <c r="G5" s="32">
        <f t="shared" si="0"/>
        <v>-235.4</v>
      </c>
      <c r="H5" s="32">
        <f t="shared" si="0"/>
        <v>-210.3</v>
      </c>
      <c r="I5" s="32">
        <f t="shared" si="0"/>
        <v>-137.1</v>
      </c>
      <c r="J5" s="32">
        <f t="shared" si="0"/>
        <v>-141.1</v>
      </c>
      <c r="K5" s="32">
        <f t="shared" si="0"/>
        <v>-137.6</v>
      </c>
      <c r="L5" s="32">
        <f t="shared" si="0"/>
        <v>-107.7</v>
      </c>
      <c r="M5" s="32">
        <f t="shared" si="0"/>
        <v>-129.6</v>
      </c>
      <c r="N5" s="32">
        <f t="shared" si="0"/>
        <v>-137.6</v>
      </c>
      <c r="O5" s="32">
        <f t="shared" si="0"/>
        <v>-128</v>
      </c>
      <c r="P5" s="32">
        <f t="shared" si="0"/>
        <v>-101.9</v>
      </c>
      <c r="Q5" s="32">
        <f t="shared" si="0"/>
        <v>-106.8</v>
      </c>
      <c r="R5" s="32">
        <f t="shared" si="0"/>
        <v>-101.2</v>
      </c>
      <c r="S5" s="32">
        <f t="shared" si="0"/>
        <v>-115.80000000000001</v>
      </c>
      <c r="T5" s="32">
        <f t="shared" si="0"/>
        <v>-98</v>
      </c>
      <c r="U5" s="32">
        <f t="shared" si="0"/>
        <v>-101</v>
      </c>
      <c r="V5" s="32">
        <f t="shared" si="0"/>
        <v>-92</v>
      </c>
      <c r="W5" s="32">
        <f t="shared" si="0"/>
        <v>-92.199999999999989</v>
      </c>
      <c r="X5" s="32">
        <f t="shared" si="0"/>
        <v>-105.19999999999999</v>
      </c>
      <c r="Y5" s="32">
        <f t="shared" si="0"/>
        <v>-85.53</v>
      </c>
      <c r="Z5" s="32">
        <f t="shared" si="0"/>
        <v>-77.3</v>
      </c>
      <c r="AA5" s="32">
        <f t="shared" si="0"/>
        <v>-102.4</v>
      </c>
      <c r="AB5" s="32">
        <f t="shared" si="0"/>
        <v>-105.36000000000001</v>
      </c>
      <c r="AC5" s="32">
        <f t="shared" si="0"/>
        <v>-103</v>
      </c>
      <c r="AD5" s="32">
        <f t="shared" si="0"/>
        <v>-83</v>
      </c>
      <c r="AE5" s="32">
        <f t="shared" si="0"/>
        <v>-89.200000000000017</v>
      </c>
      <c r="AF5" s="32">
        <f>B68</f>
        <v>-57.3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1366MW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Load=1194</v>
      </c>
      <c r="B7" s="37">
        <f>B75</f>
        <v>1308.1400000000001</v>
      </c>
      <c r="C7" s="37">
        <f t="shared" ref="C7:AF7" si="1">C75</f>
        <v>1310.74</v>
      </c>
      <c r="D7" s="37">
        <f t="shared" si="1"/>
        <v>1270.04</v>
      </c>
      <c r="E7" s="37">
        <f t="shared" si="1"/>
        <v>1233.94</v>
      </c>
      <c r="F7" s="37">
        <f t="shared" si="1"/>
        <v>1220.74</v>
      </c>
      <c r="G7" s="37">
        <f t="shared" si="1"/>
        <v>1201.24</v>
      </c>
      <c r="H7" s="37">
        <f t="shared" si="1"/>
        <v>1194.1400000000001</v>
      </c>
      <c r="I7" s="37">
        <f t="shared" si="1"/>
        <v>1202.24</v>
      </c>
      <c r="J7" s="37">
        <f t="shared" si="1"/>
        <v>1255.44</v>
      </c>
      <c r="K7" s="37">
        <f t="shared" si="1"/>
        <v>1275.44</v>
      </c>
      <c r="L7" s="37">
        <f t="shared" si="1"/>
        <v>1334.54</v>
      </c>
      <c r="M7" s="37">
        <f t="shared" si="1"/>
        <v>1364.44</v>
      </c>
      <c r="N7" s="37">
        <f t="shared" si="1"/>
        <v>1365.7400000000002</v>
      </c>
      <c r="O7" s="37">
        <f t="shared" si="1"/>
        <v>1332.64</v>
      </c>
      <c r="P7" s="37">
        <f t="shared" si="1"/>
        <v>1387.6399999999999</v>
      </c>
      <c r="Q7" s="37">
        <f t="shared" si="1"/>
        <v>1415.04</v>
      </c>
      <c r="R7" s="37">
        <f t="shared" si="1"/>
        <v>1386.94</v>
      </c>
      <c r="S7" s="37">
        <f t="shared" si="1"/>
        <v>1391.04</v>
      </c>
      <c r="T7" s="37">
        <f t="shared" si="1"/>
        <v>1393.44</v>
      </c>
      <c r="U7" s="37">
        <f t="shared" si="1"/>
        <v>1386.74</v>
      </c>
      <c r="V7" s="37">
        <f t="shared" si="1"/>
        <v>1365.24</v>
      </c>
      <c r="W7" s="37">
        <f t="shared" si="1"/>
        <v>1383.8400000000001</v>
      </c>
      <c r="X7" s="37">
        <f t="shared" si="1"/>
        <v>1364.8400000000001</v>
      </c>
      <c r="Y7" s="37">
        <f t="shared" si="1"/>
        <v>1385.3400000000001</v>
      </c>
      <c r="Z7" s="37">
        <f t="shared" si="1"/>
        <v>1504.9099999999999</v>
      </c>
      <c r="AA7" s="37">
        <f t="shared" si="1"/>
        <v>1581.84</v>
      </c>
      <c r="AB7" s="37">
        <f t="shared" si="1"/>
        <v>1511.54</v>
      </c>
      <c r="AC7" s="37">
        <f t="shared" si="1"/>
        <v>1512.58</v>
      </c>
      <c r="AD7" s="37">
        <f t="shared" si="1"/>
        <v>1514.9399999999998</v>
      </c>
      <c r="AE7" s="37">
        <f t="shared" si="1"/>
        <v>1444.2399999999998</v>
      </c>
      <c r="AF7" s="37">
        <f t="shared" si="1"/>
        <v>1370.3400000000001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330</v>
      </c>
      <c r="C11" s="49">
        <v>456</v>
      </c>
      <c r="D11" s="49">
        <v>390</v>
      </c>
      <c r="E11" s="51">
        <v>390</v>
      </c>
      <c r="F11" s="51">
        <v>390</v>
      </c>
      <c r="G11" s="51">
        <v>400</v>
      </c>
      <c r="H11" s="51">
        <v>400</v>
      </c>
      <c r="I11" s="51">
        <v>380</v>
      </c>
      <c r="J11" s="52">
        <v>360</v>
      </c>
      <c r="K11" s="52">
        <v>380</v>
      </c>
      <c r="L11" s="52">
        <v>420</v>
      </c>
      <c r="M11" s="52">
        <v>420</v>
      </c>
      <c r="N11" s="52">
        <v>420</v>
      </c>
      <c r="O11" s="52">
        <v>400</v>
      </c>
      <c r="P11" s="52">
        <v>410</v>
      </c>
      <c r="Q11" s="52">
        <v>430</v>
      </c>
      <c r="R11" s="52">
        <v>420</v>
      </c>
      <c r="S11" s="49">
        <v>385</v>
      </c>
      <c r="T11" s="49">
        <v>400</v>
      </c>
      <c r="U11" s="49">
        <v>380</v>
      </c>
      <c r="V11" s="49">
        <v>395</v>
      </c>
      <c r="W11" s="49">
        <v>410</v>
      </c>
      <c r="X11" s="49">
        <v>390</v>
      </c>
      <c r="Y11" s="49">
        <v>380</v>
      </c>
      <c r="Z11" s="49">
        <v>410</v>
      </c>
      <c r="AA11" s="49">
        <v>456</v>
      </c>
      <c r="AB11" s="49">
        <v>456</v>
      </c>
      <c r="AC11" s="49">
        <v>450</v>
      </c>
      <c r="AD11" s="49">
        <v>450</v>
      </c>
      <c r="AE11" s="49">
        <v>390</v>
      </c>
      <c r="AF11" s="49">
        <v>340</v>
      </c>
      <c r="AG11" s="53">
        <v>456</v>
      </c>
      <c r="AH11" s="54">
        <f>MAX(B11:AF11)</f>
        <v>456</v>
      </c>
      <c r="AI11" s="55">
        <f>MIN(B11:AF11)</f>
        <v>330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50</v>
      </c>
      <c r="D12" s="51">
        <v>50</v>
      </c>
      <c r="E12" s="51">
        <v>50</v>
      </c>
      <c r="F12" s="51">
        <v>50</v>
      </c>
      <c r="G12" s="51">
        <v>50</v>
      </c>
      <c r="H12" s="51">
        <v>50</v>
      </c>
      <c r="I12" s="51">
        <v>50</v>
      </c>
      <c r="J12" s="51">
        <v>50</v>
      </c>
      <c r="K12" s="51">
        <v>50</v>
      </c>
      <c r="L12" s="51">
        <v>50</v>
      </c>
      <c r="M12" s="51">
        <v>50</v>
      </c>
      <c r="N12" s="51">
        <v>50</v>
      </c>
      <c r="O12" s="51">
        <v>50</v>
      </c>
      <c r="P12" s="51">
        <v>50</v>
      </c>
      <c r="Q12" s="51">
        <v>50</v>
      </c>
      <c r="R12" s="51">
        <v>50</v>
      </c>
      <c r="S12" s="51">
        <v>50</v>
      </c>
      <c r="T12" s="51">
        <v>50</v>
      </c>
      <c r="U12" s="51">
        <v>50</v>
      </c>
      <c r="V12" s="51">
        <v>50</v>
      </c>
      <c r="W12" s="51">
        <v>50</v>
      </c>
      <c r="X12" s="51">
        <v>50</v>
      </c>
      <c r="Y12" s="51">
        <v>50</v>
      </c>
      <c r="Z12" s="51">
        <v>50</v>
      </c>
      <c r="AA12" s="51">
        <v>50</v>
      </c>
      <c r="AB12" s="51">
        <v>50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26</v>
      </c>
      <c r="C13" s="51">
        <v>24.9</v>
      </c>
      <c r="D13" s="51">
        <v>25.1</v>
      </c>
      <c r="E13" s="51">
        <v>25.1</v>
      </c>
      <c r="F13" s="51">
        <v>25.1</v>
      </c>
      <c r="G13" s="51">
        <v>25.1</v>
      </c>
      <c r="H13" s="51">
        <v>25.1</v>
      </c>
      <c r="I13" s="51">
        <v>25.1</v>
      </c>
      <c r="J13" s="51">
        <v>25.1</v>
      </c>
      <c r="K13" s="51">
        <v>25.1</v>
      </c>
      <c r="L13" s="51">
        <v>25.1</v>
      </c>
      <c r="M13" s="51">
        <v>25.1</v>
      </c>
      <c r="N13" s="51">
        <v>25.1</v>
      </c>
      <c r="O13" s="51">
        <v>25.1</v>
      </c>
      <c r="P13" s="51">
        <v>25.1</v>
      </c>
      <c r="Q13" s="51">
        <v>25.1</v>
      </c>
      <c r="R13" s="51">
        <v>24.7</v>
      </c>
      <c r="S13" s="51">
        <v>25.1</v>
      </c>
      <c r="T13" s="51">
        <v>22.6</v>
      </c>
      <c r="U13" s="51">
        <v>25.4</v>
      </c>
      <c r="V13" s="51">
        <v>13.2</v>
      </c>
      <c r="W13" s="51">
        <v>7.8</v>
      </c>
      <c r="X13" s="51">
        <v>7.9</v>
      </c>
      <c r="Y13" s="51">
        <v>27.2</v>
      </c>
      <c r="Z13" s="51">
        <v>27.2</v>
      </c>
      <c r="AA13" s="51">
        <v>37.799999999999997</v>
      </c>
      <c r="AB13" s="51">
        <v>37.799999999999997</v>
      </c>
      <c r="AC13" s="51">
        <v>37.799999999999997</v>
      </c>
      <c r="AD13" s="51">
        <v>37.799999999999997</v>
      </c>
      <c r="AE13" s="51">
        <v>37.799999999999997</v>
      </c>
      <c r="AF13" s="51">
        <v>37.799999999999997</v>
      </c>
      <c r="AG13" s="58">
        <v>52.4</v>
      </c>
      <c r="AH13" s="54">
        <f t="shared" si="2"/>
        <v>37.799999999999997</v>
      </c>
      <c r="AI13" s="55">
        <f t="shared" si="3"/>
        <v>7.8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50.4</v>
      </c>
      <c r="C14" s="51">
        <v>50.4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50.3</v>
      </c>
      <c r="M14" s="51">
        <v>50.3</v>
      </c>
      <c r="N14" s="51">
        <v>50.3</v>
      </c>
      <c r="O14" s="51">
        <v>50.3</v>
      </c>
      <c r="P14" s="51">
        <v>50.3</v>
      </c>
      <c r="Q14" s="51">
        <v>50.3</v>
      </c>
      <c r="R14" s="51">
        <v>50.4</v>
      </c>
      <c r="S14" s="51">
        <v>50.2</v>
      </c>
      <c r="T14" s="51">
        <v>50.6</v>
      </c>
      <c r="U14" s="51">
        <v>50.7</v>
      </c>
      <c r="V14" s="51">
        <v>50.3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50.1</v>
      </c>
      <c r="AB14" s="51">
        <v>50.1</v>
      </c>
      <c r="AC14" s="51">
        <v>50.1</v>
      </c>
      <c r="AD14" s="51">
        <v>50.1</v>
      </c>
      <c r="AE14" s="51">
        <v>50.1</v>
      </c>
      <c r="AF14" s="51">
        <v>50.1</v>
      </c>
      <c r="AG14" s="58">
        <v>50</v>
      </c>
      <c r="AH14" s="54">
        <f t="shared" si="2"/>
        <v>50.7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43.1</v>
      </c>
      <c r="C15" s="51">
        <v>43.1</v>
      </c>
      <c r="D15" s="51">
        <v>43.1</v>
      </c>
      <c r="E15" s="51">
        <v>43.1</v>
      </c>
      <c r="F15" s="51">
        <v>43.1</v>
      </c>
      <c r="G15" s="51">
        <v>43.1</v>
      </c>
      <c r="H15" s="51">
        <v>43.1</v>
      </c>
      <c r="I15" s="51">
        <v>43.1</v>
      </c>
      <c r="J15" s="51">
        <v>43.1</v>
      </c>
      <c r="K15" s="51">
        <v>43.1</v>
      </c>
      <c r="L15" s="51">
        <v>43.1</v>
      </c>
      <c r="M15" s="51">
        <v>43.1</v>
      </c>
      <c r="N15" s="51">
        <v>43.1</v>
      </c>
      <c r="O15" s="51">
        <v>43.1</v>
      </c>
      <c r="P15" s="51">
        <v>43.1</v>
      </c>
      <c r="Q15" s="51">
        <v>43.1</v>
      </c>
      <c r="R15" s="51">
        <v>43.1</v>
      </c>
      <c r="S15" s="51">
        <v>45.5</v>
      </c>
      <c r="T15" s="51">
        <v>45.3</v>
      </c>
      <c r="U15" s="51">
        <v>45.2</v>
      </c>
      <c r="V15" s="51">
        <v>44.4</v>
      </c>
      <c r="W15" s="51">
        <v>44.4</v>
      </c>
      <c r="X15" s="51">
        <v>44.4</v>
      </c>
      <c r="Y15" s="51">
        <v>44.4</v>
      </c>
      <c r="Z15" s="51">
        <v>44.4</v>
      </c>
      <c r="AA15" s="51">
        <v>45.3</v>
      </c>
      <c r="AB15" s="51">
        <v>45.3</v>
      </c>
      <c r="AC15" s="51">
        <v>45.3</v>
      </c>
      <c r="AD15" s="51">
        <v>45.3</v>
      </c>
      <c r="AE15" s="51">
        <v>45.3</v>
      </c>
      <c r="AF15" s="51">
        <v>45.3</v>
      </c>
      <c r="AG15" s="59">
        <v>45</v>
      </c>
      <c r="AH15" s="54">
        <f t="shared" si="2"/>
        <v>45.5</v>
      </c>
      <c r="AI15" s="55">
        <f t="shared" si="3"/>
        <v>43.1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36</v>
      </c>
      <c r="C16" s="51">
        <v>36</v>
      </c>
      <c r="D16" s="51">
        <v>36</v>
      </c>
      <c r="E16" s="51">
        <v>34</v>
      </c>
      <c r="F16" s="51">
        <v>34</v>
      </c>
      <c r="G16" s="51">
        <v>34</v>
      </c>
      <c r="H16" s="51">
        <v>34</v>
      </c>
      <c r="I16" s="51">
        <v>34</v>
      </c>
      <c r="J16" s="51">
        <v>34</v>
      </c>
      <c r="K16" s="51">
        <v>34</v>
      </c>
      <c r="L16" s="51">
        <v>34</v>
      </c>
      <c r="M16" s="51">
        <v>34</v>
      </c>
      <c r="N16" s="51">
        <v>34</v>
      </c>
      <c r="O16" s="51">
        <v>34</v>
      </c>
      <c r="P16" s="51">
        <v>34</v>
      </c>
      <c r="Q16" s="51">
        <v>34</v>
      </c>
      <c r="R16" s="51">
        <v>34</v>
      </c>
      <c r="S16" s="51">
        <v>34</v>
      </c>
      <c r="T16" s="51">
        <v>34</v>
      </c>
      <c r="U16" s="51">
        <v>34</v>
      </c>
      <c r="V16" s="51">
        <v>34</v>
      </c>
      <c r="W16" s="51">
        <v>34</v>
      </c>
      <c r="X16" s="51">
        <v>34</v>
      </c>
      <c r="Y16" s="51">
        <v>34</v>
      </c>
      <c r="Z16" s="51">
        <v>32</v>
      </c>
      <c r="AA16" s="51">
        <v>32</v>
      </c>
      <c r="AB16" s="51">
        <v>32</v>
      </c>
      <c r="AC16" s="51">
        <v>32</v>
      </c>
      <c r="AD16" s="51">
        <v>32</v>
      </c>
      <c r="AE16" s="51">
        <v>32</v>
      </c>
      <c r="AF16" s="51">
        <v>32</v>
      </c>
      <c r="AG16" s="58">
        <v>45</v>
      </c>
      <c r="AH16" s="54">
        <f t="shared" si="2"/>
        <v>36</v>
      </c>
      <c r="AI16" s="55">
        <f t="shared" si="3"/>
        <v>32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25.2</v>
      </c>
      <c r="C19" s="51">
        <v>26</v>
      </c>
      <c r="D19" s="51">
        <v>23.6</v>
      </c>
      <c r="E19" s="51">
        <v>23.6</v>
      </c>
      <c r="F19" s="51">
        <v>23.6</v>
      </c>
      <c r="G19" s="51">
        <v>23.6</v>
      </c>
      <c r="H19" s="51">
        <v>23.6</v>
      </c>
      <c r="I19" s="51">
        <v>23.6</v>
      </c>
      <c r="J19" s="51">
        <v>23.6</v>
      </c>
      <c r="K19" s="51">
        <v>23.6</v>
      </c>
      <c r="L19" s="51">
        <v>23.6</v>
      </c>
      <c r="M19" s="51">
        <v>23.6</v>
      </c>
      <c r="N19" s="51">
        <v>23.6</v>
      </c>
      <c r="O19" s="51">
        <v>23.6</v>
      </c>
      <c r="P19" s="51">
        <v>23.6</v>
      </c>
      <c r="Q19" s="51">
        <v>23.6</v>
      </c>
      <c r="R19" s="51">
        <v>23.6</v>
      </c>
      <c r="S19" s="51">
        <v>23.6</v>
      </c>
      <c r="T19" s="51">
        <v>23.6</v>
      </c>
      <c r="U19" s="51">
        <v>23.6</v>
      </c>
      <c r="V19" s="51">
        <v>23.6</v>
      </c>
      <c r="W19" s="51">
        <v>23.6</v>
      </c>
      <c r="X19" s="51">
        <v>23.6</v>
      </c>
      <c r="Y19" s="51">
        <v>23.6</v>
      </c>
      <c r="Z19" s="51">
        <v>23.6</v>
      </c>
      <c r="AA19" s="51">
        <v>23.6</v>
      </c>
      <c r="AB19" s="51">
        <v>23.6</v>
      </c>
      <c r="AC19" s="51">
        <v>23.6</v>
      </c>
      <c r="AD19" s="51">
        <v>23.6</v>
      </c>
      <c r="AE19" s="51">
        <v>23.6</v>
      </c>
      <c r="AF19" s="51">
        <v>23.6</v>
      </c>
      <c r="AG19" s="58">
        <v>30</v>
      </c>
      <c r="AH19" s="54">
        <f t="shared" si="2"/>
        <v>26</v>
      </c>
      <c r="AI19" s="55">
        <f t="shared" si="3"/>
        <v>23.6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23.4</v>
      </c>
      <c r="C22" s="51">
        <v>23.7</v>
      </c>
      <c r="D22" s="51">
        <v>23.4</v>
      </c>
      <c r="E22" s="51">
        <v>23.4</v>
      </c>
      <c r="F22" s="51">
        <v>23.4</v>
      </c>
      <c r="G22" s="51">
        <v>23.4</v>
      </c>
      <c r="H22" s="51">
        <v>23.4</v>
      </c>
      <c r="I22" s="51">
        <v>23.4</v>
      </c>
      <c r="J22" s="51">
        <v>23.4</v>
      </c>
      <c r="K22" s="51">
        <v>23.4</v>
      </c>
      <c r="L22" s="51">
        <v>23.4</v>
      </c>
      <c r="M22" s="51">
        <v>23.4</v>
      </c>
      <c r="N22" s="51">
        <v>23.4</v>
      </c>
      <c r="O22" s="51">
        <v>23.4</v>
      </c>
      <c r="P22" s="51">
        <v>23.4</v>
      </c>
      <c r="Q22" s="51">
        <v>23.4</v>
      </c>
      <c r="R22" s="51">
        <v>23.4</v>
      </c>
      <c r="S22" s="51">
        <v>23.4</v>
      </c>
      <c r="T22" s="51">
        <v>23.4</v>
      </c>
      <c r="U22" s="51">
        <v>23.4</v>
      </c>
      <c r="V22" s="51">
        <v>23.4</v>
      </c>
      <c r="W22" s="51">
        <v>23.4</v>
      </c>
      <c r="X22" s="51">
        <v>23.4</v>
      </c>
      <c r="Y22" s="51">
        <v>23.4</v>
      </c>
      <c r="Z22" s="51">
        <v>23.4</v>
      </c>
      <c r="AA22" s="51">
        <v>23.4</v>
      </c>
      <c r="AB22" s="51">
        <v>23.4</v>
      </c>
      <c r="AC22" s="51">
        <v>23.4</v>
      </c>
      <c r="AD22" s="51">
        <v>23.4</v>
      </c>
      <c r="AE22" s="51">
        <v>23.4</v>
      </c>
      <c r="AF22" s="51">
        <v>23.4</v>
      </c>
      <c r="AG22" s="58">
        <v>25</v>
      </c>
      <c r="AH22" s="54">
        <f t="shared" si="2"/>
        <v>23.7</v>
      </c>
      <c r="AI22" s="55">
        <f t="shared" si="3"/>
        <v>23.4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23</v>
      </c>
      <c r="C24" s="51">
        <v>23</v>
      </c>
      <c r="D24" s="51">
        <v>22.5</v>
      </c>
      <c r="E24" s="51">
        <v>22.5</v>
      </c>
      <c r="F24" s="51">
        <v>22.5</v>
      </c>
      <c r="G24" s="51">
        <v>22.5</v>
      </c>
      <c r="H24" s="51">
        <v>22.5</v>
      </c>
      <c r="I24" s="51">
        <v>22.5</v>
      </c>
      <c r="J24" s="51">
        <v>22.5</v>
      </c>
      <c r="K24" s="51">
        <v>22.5</v>
      </c>
      <c r="L24" s="51">
        <v>22.5</v>
      </c>
      <c r="M24" s="51">
        <v>22.5</v>
      </c>
      <c r="N24" s="51">
        <v>22.5</v>
      </c>
      <c r="O24" s="51">
        <v>22.5</v>
      </c>
      <c r="P24" s="51">
        <v>22.5</v>
      </c>
      <c r="Q24" s="51">
        <v>22.5</v>
      </c>
      <c r="R24" s="51">
        <v>22.5</v>
      </c>
      <c r="S24" s="51">
        <v>22.5</v>
      </c>
      <c r="T24" s="51">
        <v>22.5</v>
      </c>
      <c r="U24" s="51">
        <v>22.5</v>
      </c>
      <c r="V24" s="51">
        <v>22.5</v>
      </c>
      <c r="W24" s="51">
        <v>22.5</v>
      </c>
      <c r="X24" s="51">
        <v>22.5</v>
      </c>
      <c r="Y24" s="51">
        <v>22.5</v>
      </c>
      <c r="Z24" s="51">
        <v>22.5</v>
      </c>
      <c r="AA24" s="51">
        <v>22.5</v>
      </c>
      <c r="AB24" s="51">
        <v>22.5</v>
      </c>
      <c r="AC24" s="51">
        <v>22.5</v>
      </c>
      <c r="AD24" s="51">
        <v>22.5</v>
      </c>
      <c r="AE24" s="51">
        <v>22.5</v>
      </c>
      <c r="AF24" s="51">
        <v>22.5</v>
      </c>
      <c r="AG24" s="58">
        <v>25</v>
      </c>
      <c r="AH24" s="54">
        <f t="shared" si="2"/>
        <v>23</v>
      </c>
      <c r="AI24" s="55">
        <f t="shared" si="3"/>
        <v>22.5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5</v>
      </c>
      <c r="C26" s="51">
        <v>5</v>
      </c>
      <c r="D26" s="51">
        <v>5</v>
      </c>
      <c r="E26" s="51">
        <v>4</v>
      </c>
      <c r="F26" s="51">
        <v>4</v>
      </c>
      <c r="G26" s="51">
        <v>4</v>
      </c>
      <c r="H26" s="51">
        <v>4</v>
      </c>
      <c r="I26" s="51">
        <v>4</v>
      </c>
      <c r="J26" s="51">
        <v>4</v>
      </c>
      <c r="K26" s="51">
        <v>8</v>
      </c>
      <c r="L26" s="51">
        <v>8</v>
      </c>
      <c r="M26" s="51">
        <v>8</v>
      </c>
      <c r="N26" s="51">
        <v>8</v>
      </c>
      <c r="O26" s="51">
        <v>8</v>
      </c>
      <c r="P26" s="51">
        <v>8</v>
      </c>
      <c r="Q26" s="51">
        <v>8</v>
      </c>
      <c r="R26" s="51">
        <v>8</v>
      </c>
      <c r="S26" s="51">
        <v>8</v>
      </c>
      <c r="T26" s="51">
        <v>8</v>
      </c>
      <c r="U26" s="51">
        <v>8</v>
      </c>
      <c r="V26" s="51">
        <v>8</v>
      </c>
      <c r="W26" s="51">
        <v>8</v>
      </c>
      <c r="X26" s="51">
        <v>8</v>
      </c>
      <c r="Y26" s="51">
        <v>8</v>
      </c>
      <c r="Z26" s="51">
        <v>8</v>
      </c>
      <c r="AA26" s="51">
        <v>8</v>
      </c>
      <c r="AB26" s="51">
        <v>8</v>
      </c>
      <c r="AC26" s="51">
        <v>8</v>
      </c>
      <c r="AD26" s="51">
        <v>8</v>
      </c>
      <c r="AE26" s="51">
        <v>8</v>
      </c>
      <c r="AF26" s="51">
        <v>8</v>
      </c>
      <c r="AG26" s="58">
        <v>20</v>
      </c>
      <c r="AH26" s="54">
        <f t="shared" si="2"/>
        <v>8</v>
      </c>
      <c r="AI26" s="55">
        <f t="shared" si="3"/>
        <v>4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9.5</v>
      </c>
      <c r="C28" s="51">
        <v>9.5</v>
      </c>
      <c r="D28" s="51">
        <v>9.5</v>
      </c>
      <c r="E28" s="51">
        <v>9.5</v>
      </c>
      <c r="F28" s="51">
        <v>9.5</v>
      </c>
      <c r="G28" s="51">
        <v>9.5</v>
      </c>
      <c r="H28" s="51">
        <v>9.5</v>
      </c>
      <c r="I28" s="51">
        <v>9.5</v>
      </c>
      <c r="J28" s="51">
        <v>9.5</v>
      </c>
      <c r="K28" s="51">
        <v>9.5</v>
      </c>
      <c r="L28" s="51">
        <v>9.5</v>
      </c>
      <c r="M28" s="51">
        <v>9.5</v>
      </c>
      <c r="N28" s="51">
        <v>9.5</v>
      </c>
      <c r="O28" s="51">
        <v>9.5</v>
      </c>
      <c r="P28" s="51">
        <v>9.5</v>
      </c>
      <c r="Q28" s="51">
        <v>9.5</v>
      </c>
      <c r="R28" s="51">
        <v>9.5</v>
      </c>
      <c r="S28" s="51">
        <v>9.5</v>
      </c>
      <c r="T28" s="51">
        <v>9.5</v>
      </c>
      <c r="U28" s="51">
        <v>9.5</v>
      </c>
      <c r="V28" s="51">
        <v>9.5</v>
      </c>
      <c r="W28" s="51">
        <v>9.5</v>
      </c>
      <c r="X28" s="51">
        <v>9.5</v>
      </c>
      <c r="Y28" s="51">
        <v>9.5</v>
      </c>
      <c r="Z28" s="51">
        <v>9.5</v>
      </c>
      <c r="AA28" s="51">
        <v>9.5</v>
      </c>
      <c r="AB28" s="51">
        <v>9.5</v>
      </c>
      <c r="AC28" s="51">
        <v>9.5</v>
      </c>
      <c r="AD28" s="51">
        <v>9.5</v>
      </c>
      <c r="AE28" s="51">
        <v>9.5</v>
      </c>
      <c r="AF28" s="51">
        <v>9.5</v>
      </c>
      <c r="AG28" s="58">
        <v>22.2</v>
      </c>
      <c r="AH28" s="54">
        <f t="shared" si="2"/>
        <v>9.5</v>
      </c>
      <c r="AI28" s="55">
        <f t="shared" si="3"/>
        <v>9.5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0</v>
      </c>
      <c r="C30" s="51">
        <v>0</v>
      </c>
      <c r="D30" s="51">
        <v>0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4</v>
      </c>
      <c r="C34" s="51">
        <v>4</v>
      </c>
      <c r="D34" s="51">
        <v>4</v>
      </c>
      <c r="E34" s="51">
        <v>4</v>
      </c>
      <c r="F34" s="51">
        <v>4</v>
      </c>
      <c r="G34" s="51">
        <v>4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4</v>
      </c>
      <c r="N34" s="51">
        <v>4</v>
      </c>
      <c r="O34" s="51">
        <v>4</v>
      </c>
      <c r="P34" s="51">
        <v>4</v>
      </c>
      <c r="Q34" s="51">
        <v>4</v>
      </c>
      <c r="R34" s="51">
        <v>4</v>
      </c>
      <c r="S34" s="51">
        <v>4</v>
      </c>
      <c r="T34" s="51">
        <v>4</v>
      </c>
      <c r="U34" s="51">
        <v>4</v>
      </c>
      <c r="V34" s="51">
        <v>4</v>
      </c>
      <c r="W34" s="51">
        <v>4</v>
      </c>
      <c r="X34" s="51">
        <v>4</v>
      </c>
      <c r="Y34" s="51">
        <v>4</v>
      </c>
      <c r="Z34" s="51">
        <v>4</v>
      </c>
      <c r="AA34" s="51">
        <v>4</v>
      </c>
      <c r="AB34" s="51">
        <v>4</v>
      </c>
      <c r="AC34" s="51">
        <v>4</v>
      </c>
      <c r="AD34" s="51">
        <v>4</v>
      </c>
      <c r="AE34" s="51">
        <v>4</v>
      </c>
      <c r="AF34" s="51">
        <v>4</v>
      </c>
      <c r="AG34" s="63">
        <v>20</v>
      </c>
      <c r="AH34" s="54">
        <f t="shared" si="2"/>
        <v>4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f>65.1+67.9</f>
        <v>133</v>
      </c>
      <c r="C37" s="67">
        <f>61.9+69.4</f>
        <v>131.30000000000001</v>
      </c>
      <c r="D37" s="67">
        <f>67.2+70.9</f>
        <v>138.10000000000002</v>
      </c>
      <c r="E37" s="65">
        <f>67.3+71.6</f>
        <v>138.89999999999998</v>
      </c>
      <c r="F37" s="65">
        <f>65.2+74.2</f>
        <v>139.4</v>
      </c>
      <c r="G37" s="65">
        <f>65.2+74.2</f>
        <v>139.4</v>
      </c>
      <c r="H37" s="65">
        <f>65+69</f>
        <v>134</v>
      </c>
      <c r="I37" s="65">
        <f>63.8+68</f>
        <v>131.80000000000001</v>
      </c>
      <c r="J37" s="65">
        <f>64+65</f>
        <v>129</v>
      </c>
      <c r="K37" s="65">
        <f>64+64</f>
        <v>128</v>
      </c>
      <c r="L37" s="65">
        <f>63.1+64.1</f>
        <v>127.19999999999999</v>
      </c>
      <c r="M37" s="65">
        <f t="shared" ref="M37:N37" si="4">63.1+64.1</f>
        <v>127.19999999999999</v>
      </c>
      <c r="N37" s="65">
        <f t="shared" si="4"/>
        <v>127.19999999999999</v>
      </c>
      <c r="O37" s="65">
        <f>62.7+62.7</f>
        <v>125.4</v>
      </c>
      <c r="P37" s="65">
        <f>62.8+63.1</f>
        <v>125.9</v>
      </c>
      <c r="Q37" s="65">
        <f>62.7+61.7</f>
        <v>124.4</v>
      </c>
      <c r="R37" s="65">
        <f>61.4+59.4</f>
        <v>120.8</v>
      </c>
      <c r="S37" s="67">
        <f>59.6+60</f>
        <v>119.6</v>
      </c>
      <c r="T37" s="67">
        <f>59+60.2</f>
        <v>119.2</v>
      </c>
      <c r="U37" s="67">
        <v>121.5</v>
      </c>
      <c r="V37" s="67">
        <f>60.8+58.1</f>
        <v>118.9</v>
      </c>
      <c r="W37" s="67">
        <f>57.8+60.9</f>
        <v>118.69999999999999</v>
      </c>
      <c r="X37" s="67">
        <f>57.8+60.6</f>
        <v>118.4</v>
      </c>
      <c r="Y37" s="67">
        <f>59.9+61.6</f>
        <v>121.5</v>
      </c>
      <c r="Z37" s="67">
        <f>61.5+62.3</f>
        <v>123.8</v>
      </c>
      <c r="AA37" s="67">
        <f>61.9+62.4</f>
        <v>124.3</v>
      </c>
      <c r="AB37" s="67">
        <f>61.6+62.8</f>
        <v>124.4</v>
      </c>
      <c r="AC37" s="67">
        <f>62+65</f>
        <v>127</v>
      </c>
      <c r="AD37" s="67">
        <f>62+65</f>
        <v>127</v>
      </c>
      <c r="AE37" s="67">
        <f>70.1+65.1</f>
        <v>135.19999999999999</v>
      </c>
      <c r="AF37" s="67">
        <f>77+67</f>
        <v>144</v>
      </c>
      <c r="AG37" s="63">
        <v>240</v>
      </c>
      <c r="AH37" s="54">
        <f t="shared" si="2"/>
        <v>144</v>
      </c>
      <c r="AI37" s="55">
        <f t="shared" si="3"/>
        <v>118.4</v>
      </c>
      <c r="AK37" s="56"/>
    </row>
    <row r="38" spans="1:88" ht="15.75" thickBot="1" x14ac:dyDescent="0.3">
      <c r="A38" s="68" t="s">
        <v>46</v>
      </c>
      <c r="B38" s="69">
        <f t="shared" ref="B38" si="5">SUM(B11:B36)</f>
        <v>945.1</v>
      </c>
      <c r="C38" s="69">
        <f t="shared" ref="C38:AF38" si="6">SUM(C11:C36)</f>
        <v>1061.0999999999999</v>
      </c>
      <c r="D38" s="69">
        <f t="shared" si="6"/>
        <v>992</v>
      </c>
      <c r="E38" s="69">
        <f t="shared" si="6"/>
        <v>1001</v>
      </c>
      <c r="F38" s="69">
        <f t="shared" si="6"/>
        <v>1001</v>
      </c>
      <c r="G38" s="69">
        <f t="shared" si="6"/>
        <v>1011</v>
      </c>
      <c r="H38" s="69">
        <f t="shared" si="6"/>
        <v>1011</v>
      </c>
      <c r="I38" s="69">
        <f t="shared" si="6"/>
        <v>991</v>
      </c>
      <c r="J38" s="69">
        <f t="shared" si="6"/>
        <v>971</v>
      </c>
      <c r="K38" s="69">
        <f t="shared" si="6"/>
        <v>995</v>
      </c>
      <c r="L38" s="69">
        <f t="shared" si="6"/>
        <v>1035</v>
      </c>
      <c r="M38" s="69">
        <f t="shared" si="6"/>
        <v>1035</v>
      </c>
      <c r="N38" s="69">
        <f t="shared" si="6"/>
        <v>1035</v>
      </c>
      <c r="O38" s="69">
        <f t="shared" si="6"/>
        <v>1015</v>
      </c>
      <c r="P38" s="69">
        <f t="shared" si="6"/>
        <v>1025</v>
      </c>
      <c r="Q38" s="69">
        <f t="shared" si="6"/>
        <v>1045</v>
      </c>
      <c r="R38" s="69">
        <f t="shared" si="6"/>
        <v>1034.7</v>
      </c>
      <c r="S38" s="69">
        <f t="shared" si="6"/>
        <v>1002.3</v>
      </c>
      <c r="T38" s="69">
        <f t="shared" si="6"/>
        <v>1015</v>
      </c>
      <c r="U38" s="69">
        <f t="shared" si="6"/>
        <v>997.8</v>
      </c>
      <c r="V38" s="69">
        <f t="shared" si="6"/>
        <v>999.4</v>
      </c>
      <c r="W38" s="69">
        <f t="shared" si="6"/>
        <v>1009.1999999999999</v>
      </c>
      <c r="X38" s="69">
        <f t="shared" si="6"/>
        <v>989.3</v>
      </c>
      <c r="Y38" s="69">
        <f t="shared" si="6"/>
        <v>998.6</v>
      </c>
      <c r="Z38" s="69">
        <f t="shared" si="6"/>
        <v>1026.5999999999999</v>
      </c>
      <c r="AA38" s="69">
        <f t="shared" si="6"/>
        <v>1083.6999999999998</v>
      </c>
      <c r="AB38" s="69">
        <f t="shared" si="6"/>
        <v>1083.6999999999998</v>
      </c>
      <c r="AC38" s="69">
        <f t="shared" si="6"/>
        <v>1087.6999999999998</v>
      </c>
      <c r="AD38" s="69">
        <f t="shared" si="6"/>
        <v>1087.6999999999998</v>
      </c>
      <c r="AE38" s="69">
        <f t="shared" si="6"/>
        <v>1027.6999999999998</v>
      </c>
      <c r="AF38" s="69">
        <f t="shared" si="6"/>
        <v>977.7</v>
      </c>
      <c r="AG38" s="63">
        <f>SUM(AG11:AG37)</f>
        <v>1492.8299999999997</v>
      </c>
      <c r="AH38" s="54">
        <f t="shared" si="2"/>
        <v>1087.6999999999998</v>
      </c>
      <c r="AI38" s="55">
        <f t="shared" si="3"/>
        <v>945.1</v>
      </c>
      <c r="AK38" s="56"/>
    </row>
    <row r="39" spans="1:88" x14ac:dyDescent="0.25">
      <c r="A39" s="57" t="s">
        <v>47</v>
      </c>
      <c r="B39" s="51">
        <v>145.9</v>
      </c>
      <c r="C39" s="51">
        <v>145.6</v>
      </c>
      <c r="D39" s="51">
        <v>145.4</v>
      </c>
      <c r="E39" s="51">
        <v>145.4</v>
      </c>
      <c r="F39" s="51">
        <v>145.4</v>
      </c>
      <c r="G39" s="51">
        <v>145.4</v>
      </c>
      <c r="H39" s="51">
        <v>145.4</v>
      </c>
      <c r="I39" s="51">
        <v>147.4</v>
      </c>
      <c r="J39" s="51">
        <v>147.4</v>
      </c>
      <c r="K39" s="51">
        <v>147.4</v>
      </c>
      <c r="L39" s="51">
        <v>147.4</v>
      </c>
      <c r="M39" s="51">
        <v>147.4</v>
      </c>
      <c r="N39" s="51">
        <v>147.4</v>
      </c>
      <c r="O39" s="51">
        <v>147.4</v>
      </c>
      <c r="P39" s="51">
        <v>145.69999999999999</v>
      </c>
      <c r="Q39" s="51">
        <v>145.5</v>
      </c>
      <c r="R39" s="51">
        <v>147.19999999999999</v>
      </c>
      <c r="S39" s="51">
        <v>145.19999999999999</v>
      </c>
      <c r="T39" s="51">
        <v>145.6</v>
      </c>
      <c r="U39" s="51">
        <v>150.6</v>
      </c>
      <c r="V39" s="51">
        <v>145.30000000000001</v>
      </c>
      <c r="W39" s="51">
        <v>145.5</v>
      </c>
      <c r="X39" s="51">
        <v>145.30000000000001</v>
      </c>
      <c r="Y39" s="51">
        <v>145.30000000000001</v>
      </c>
      <c r="Z39" s="51">
        <v>145.9</v>
      </c>
      <c r="AA39" s="51">
        <v>146.9</v>
      </c>
      <c r="AB39" s="51">
        <v>146.9</v>
      </c>
      <c r="AC39" s="51">
        <v>146.9</v>
      </c>
      <c r="AD39" s="51">
        <v>146.9</v>
      </c>
      <c r="AE39" s="51">
        <v>146.9</v>
      </c>
      <c r="AF39" s="51">
        <v>145.80000000000001</v>
      </c>
      <c r="AG39" s="59">
        <v>144</v>
      </c>
      <c r="AH39" s="54">
        <f t="shared" si="2"/>
        <v>150.6</v>
      </c>
      <c r="AI39" s="55">
        <f t="shared" si="3"/>
        <v>145.19999999999999</v>
      </c>
      <c r="AK39" s="56"/>
    </row>
    <row r="40" spans="1:88" x14ac:dyDescent="0.25">
      <c r="A40" s="62" t="s">
        <v>48</v>
      </c>
      <c r="B40" s="70">
        <v>72.099999999999994</v>
      </c>
      <c r="C40" s="70">
        <v>71.2</v>
      </c>
      <c r="D40" s="70">
        <v>71.599999999999994</v>
      </c>
      <c r="E40" s="70">
        <v>71.599999999999994</v>
      </c>
      <c r="F40" s="70">
        <v>71.599999999999994</v>
      </c>
      <c r="G40" s="70">
        <v>71.599999999999994</v>
      </c>
      <c r="H40" s="70">
        <v>71.599999999999994</v>
      </c>
      <c r="I40" s="70">
        <v>72.599999999999994</v>
      </c>
      <c r="J40" s="70">
        <v>72.599999999999994</v>
      </c>
      <c r="K40" s="70">
        <v>72.599999999999994</v>
      </c>
      <c r="L40" s="70">
        <v>72.599999999999994</v>
      </c>
      <c r="M40" s="70">
        <v>72.599999999999994</v>
      </c>
      <c r="N40" s="70">
        <v>72.599999999999994</v>
      </c>
      <c r="O40" s="70">
        <v>72.599999999999994</v>
      </c>
      <c r="P40" s="51">
        <v>72.7</v>
      </c>
      <c r="Q40" s="51">
        <v>72.900000000000006</v>
      </c>
      <c r="R40" s="51">
        <v>72.599999999999994</v>
      </c>
      <c r="S40" s="70">
        <v>71.099999999999994</v>
      </c>
      <c r="T40" s="70">
        <v>72.3</v>
      </c>
      <c r="U40" s="70">
        <v>72</v>
      </c>
      <c r="V40" s="70">
        <v>71</v>
      </c>
      <c r="W40" s="70">
        <v>72.5</v>
      </c>
      <c r="X40" s="70">
        <v>72.3</v>
      </c>
      <c r="Y40" s="70">
        <v>72.400000000000006</v>
      </c>
      <c r="Z40" s="70">
        <v>72.400000000000006</v>
      </c>
      <c r="AA40" s="70">
        <v>35.5</v>
      </c>
      <c r="AB40" s="70">
        <v>71.3</v>
      </c>
      <c r="AC40" s="70">
        <v>71.3</v>
      </c>
      <c r="AD40" s="70">
        <v>71.3</v>
      </c>
      <c r="AE40" s="70">
        <v>71.3</v>
      </c>
      <c r="AF40" s="70">
        <v>72.099999999999994</v>
      </c>
      <c r="AG40" s="63">
        <v>70</v>
      </c>
      <c r="AH40" s="54">
        <f t="shared" si="2"/>
        <v>72.900000000000006</v>
      </c>
      <c r="AI40" s="55">
        <f t="shared" si="3"/>
        <v>35.5</v>
      </c>
      <c r="AK40" s="56"/>
    </row>
    <row r="41" spans="1:88" x14ac:dyDescent="0.25">
      <c r="A41" s="62" t="s">
        <v>49</v>
      </c>
      <c r="B41" s="70">
        <v>68.400000000000006</v>
      </c>
      <c r="C41" s="70">
        <v>68.400000000000006</v>
      </c>
      <c r="D41" s="70">
        <v>68</v>
      </c>
      <c r="E41" s="70">
        <v>68</v>
      </c>
      <c r="F41" s="70">
        <v>68</v>
      </c>
      <c r="G41" s="70">
        <v>68</v>
      </c>
      <c r="H41" s="70">
        <v>68</v>
      </c>
      <c r="I41" s="70">
        <v>68</v>
      </c>
      <c r="J41" s="70">
        <v>68</v>
      </c>
      <c r="K41" s="70">
        <v>68</v>
      </c>
      <c r="L41" s="70">
        <v>68</v>
      </c>
      <c r="M41" s="70">
        <v>68</v>
      </c>
      <c r="N41" s="70">
        <v>68</v>
      </c>
      <c r="O41" s="70">
        <v>68</v>
      </c>
      <c r="P41" s="51">
        <v>67</v>
      </c>
      <c r="Q41" s="51">
        <v>67.7</v>
      </c>
      <c r="R41" s="51">
        <v>67.7</v>
      </c>
      <c r="S41" s="70">
        <v>68.7</v>
      </c>
      <c r="T41" s="70">
        <v>68</v>
      </c>
      <c r="U41" s="70">
        <v>68</v>
      </c>
      <c r="V41" s="70">
        <v>67.3</v>
      </c>
      <c r="W41" s="70">
        <v>67.3</v>
      </c>
      <c r="X41" s="70">
        <v>67.2</v>
      </c>
      <c r="Y41" s="70">
        <v>67.2</v>
      </c>
      <c r="Z41" s="70">
        <v>67.2</v>
      </c>
      <c r="AA41" s="70">
        <v>67.900000000000006</v>
      </c>
      <c r="AB41" s="70">
        <v>67.900000000000006</v>
      </c>
      <c r="AC41" s="70">
        <v>67.900000000000006</v>
      </c>
      <c r="AD41" s="70">
        <v>67.900000000000006</v>
      </c>
      <c r="AE41" s="70">
        <v>67.900000000000006</v>
      </c>
      <c r="AF41" s="70">
        <v>67.900000000000006</v>
      </c>
      <c r="AG41" s="63">
        <v>69</v>
      </c>
      <c r="AH41" s="54">
        <f t="shared" si="2"/>
        <v>68.7</v>
      </c>
      <c r="AI41" s="55">
        <f t="shared" si="3"/>
        <v>67</v>
      </c>
      <c r="AK41" s="56"/>
    </row>
    <row r="42" spans="1:88" x14ac:dyDescent="0.25">
      <c r="A42" s="62" t="s">
        <v>50</v>
      </c>
      <c r="B42" s="70">
        <v>60.5</v>
      </c>
      <c r="C42" s="65">
        <v>60.1</v>
      </c>
      <c r="D42" s="65">
        <v>60.1</v>
      </c>
      <c r="E42" s="65">
        <v>60.1</v>
      </c>
      <c r="F42" s="65">
        <v>60.1</v>
      </c>
      <c r="G42" s="65">
        <v>60.1</v>
      </c>
      <c r="H42" s="65">
        <v>60.1</v>
      </c>
      <c r="I42" s="65">
        <v>60.1</v>
      </c>
      <c r="J42" s="65">
        <v>60.1</v>
      </c>
      <c r="K42" s="65">
        <v>60.1</v>
      </c>
      <c r="L42" s="65">
        <v>60.1</v>
      </c>
      <c r="M42" s="65">
        <v>60.1</v>
      </c>
      <c r="N42" s="65">
        <v>60.1</v>
      </c>
      <c r="O42" s="65">
        <v>60.1</v>
      </c>
      <c r="P42" s="51">
        <v>60</v>
      </c>
      <c r="Q42" s="51">
        <v>60.9</v>
      </c>
      <c r="R42" s="51">
        <v>60.9</v>
      </c>
      <c r="S42" s="51">
        <v>60.9</v>
      </c>
      <c r="T42" s="51">
        <v>60.9</v>
      </c>
      <c r="U42" s="51">
        <v>60.9</v>
      </c>
      <c r="V42" s="70">
        <v>60.9</v>
      </c>
      <c r="W42" s="70">
        <v>60.9</v>
      </c>
      <c r="X42" s="70">
        <v>60.9</v>
      </c>
      <c r="Y42" s="70">
        <v>60.9</v>
      </c>
      <c r="Z42" s="70">
        <v>60.9</v>
      </c>
      <c r="AA42" s="70">
        <v>60.9</v>
      </c>
      <c r="AB42" s="70">
        <v>60.9</v>
      </c>
      <c r="AC42" s="70">
        <v>60.9</v>
      </c>
      <c r="AD42" s="70">
        <v>60.9</v>
      </c>
      <c r="AE42" s="70">
        <v>60.9</v>
      </c>
      <c r="AF42" s="70">
        <v>60.9</v>
      </c>
      <c r="AG42" s="63">
        <v>60</v>
      </c>
      <c r="AH42" s="54">
        <f t="shared" si="2"/>
        <v>60.9</v>
      </c>
      <c r="AI42" s="55">
        <f t="shared" si="3"/>
        <v>60</v>
      </c>
      <c r="AK42" s="56"/>
    </row>
    <row r="43" spans="1:88" x14ac:dyDescent="0.25">
      <c r="A43" s="62" t="s">
        <v>51</v>
      </c>
      <c r="B43" s="70">
        <v>15</v>
      </c>
      <c r="C43" s="65">
        <v>15</v>
      </c>
      <c r="D43" s="65">
        <v>15</v>
      </c>
      <c r="E43" s="65">
        <v>15</v>
      </c>
      <c r="F43" s="65">
        <v>15</v>
      </c>
      <c r="G43" s="65">
        <v>15</v>
      </c>
      <c r="H43" s="65">
        <v>15</v>
      </c>
      <c r="I43" s="65">
        <v>15</v>
      </c>
      <c r="J43" s="65">
        <v>15</v>
      </c>
      <c r="K43" s="65">
        <v>15</v>
      </c>
      <c r="L43" s="65">
        <v>15</v>
      </c>
      <c r="M43" s="65">
        <v>15</v>
      </c>
      <c r="N43" s="65">
        <v>15</v>
      </c>
      <c r="O43" s="65">
        <v>15</v>
      </c>
      <c r="P43" s="51">
        <v>28.4</v>
      </c>
      <c r="Q43" s="51">
        <v>23.2</v>
      </c>
      <c r="R43" s="51">
        <v>23.2</v>
      </c>
      <c r="S43" s="51">
        <v>22</v>
      </c>
      <c r="T43" s="51">
        <v>22</v>
      </c>
      <c r="U43" s="51">
        <v>15</v>
      </c>
      <c r="V43" s="70">
        <v>0</v>
      </c>
      <c r="W43" s="70">
        <v>0</v>
      </c>
      <c r="X43" s="70">
        <v>0</v>
      </c>
      <c r="Y43" s="70">
        <v>15</v>
      </c>
      <c r="Z43" s="70">
        <v>30</v>
      </c>
      <c r="AA43" s="70">
        <v>30</v>
      </c>
      <c r="AB43" s="70">
        <v>30</v>
      </c>
      <c r="AC43" s="70">
        <v>30</v>
      </c>
      <c r="AD43" s="70">
        <v>30</v>
      </c>
      <c r="AE43" s="70">
        <v>16</v>
      </c>
      <c r="AF43" s="70">
        <v>15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51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2" t="s">
        <v>53</v>
      </c>
      <c r="B45" s="51">
        <v>17.600000000000001</v>
      </c>
      <c r="C45" s="51">
        <v>17.600000000000001</v>
      </c>
      <c r="D45" s="51">
        <v>17.600000000000001</v>
      </c>
      <c r="E45" s="51">
        <v>17.600000000000001</v>
      </c>
      <c r="F45" s="51">
        <v>17.600000000000001</v>
      </c>
      <c r="G45" s="51">
        <v>17.600000000000001</v>
      </c>
      <c r="H45" s="51">
        <v>17.600000000000001</v>
      </c>
      <c r="I45" s="51">
        <v>17.600000000000001</v>
      </c>
      <c r="J45" s="51">
        <v>17.600000000000001</v>
      </c>
      <c r="K45" s="51">
        <v>17.600000000000001</v>
      </c>
      <c r="L45" s="51">
        <v>17.600000000000001</v>
      </c>
      <c r="M45" s="51">
        <v>17.600000000000001</v>
      </c>
      <c r="N45" s="51">
        <v>17.600000000000001</v>
      </c>
      <c r="O45" s="51">
        <v>17.600000000000001</v>
      </c>
      <c r="P45" s="51">
        <v>17.7</v>
      </c>
      <c r="Q45" s="51">
        <v>17.600000000000001</v>
      </c>
      <c r="R45" s="51">
        <v>17.600000000000001</v>
      </c>
      <c r="S45" s="51">
        <v>17.600000000000001</v>
      </c>
      <c r="T45" s="51">
        <v>17.600000000000001</v>
      </c>
      <c r="U45" s="51">
        <v>17.600000000000001</v>
      </c>
      <c r="V45" s="51">
        <v>17.600000000000001</v>
      </c>
      <c r="W45" s="51">
        <v>17.600000000000001</v>
      </c>
      <c r="X45" s="51">
        <v>17.600000000000001</v>
      </c>
      <c r="Y45" s="51">
        <v>17.600000000000001</v>
      </c>
      <c r="Z45" s="51">
        <v>17.600000000000001</v>
      </c>
      <c r="AA45" s="51">
        <v>17.600000000000001</v>
      </c>
      <c r="AB45" s="51">
        <v>17.600000000000001</v>
      </c>
      <c r="AC45" s="51">
        <v>17.600000000000001</v>
      </c>
      <c r="AD45" s="51">
        <v>17.600000000000001</v>
      </c>
      <c r="AE45" s="51">
        <v>17.600000000000001</v>
      </c>
      <c r="AF45" s="51">
        <v>17.600000000000001</v>
      </c>
      <c r="AG45" s="63">
        <v>24</v>
      </c>
      <c r="AH45" s="54">
        <f t="shared" si="2"/>
        <v>17.7</v>
      </c>
      <c r="AI45" s="55">
        <f t="shared" si="3"/>
        <v>17.600000000000001</v>
      </c>
      <c r="AK45" s="56"/>
    </row>
    <row r="46" spans="1:88" x14ac:dyDescent="0.25">
      <c r="A46" s="62" t="s">
        <v>54</v>
      </c>
      <c r="B46" s="51">
        <v>3</v>
      </c>
      <c r="C46" s="51">
        <v>3</v>
      </c>
      <c r="D46" s="51">
        <v>3</v>
      </c>
      <c r="E46" s="51">
        <v>3</v>
      </c>
      <c r="F46" s="51">
        <v>3</v>
      </c>
      <c r="G46" s="51">
        <v>3</v>
      </c>
      <c r="H46" s="51">
        <v>3</v>
      </c>
      <c r="I46" s="51">
        <v>3</v>
      </c>
      <c r="J46" s="51">
        <v>3</v>
      </c>
      <c r="K46" s="51">
        <v>3</v>
      </c>
      <c r="L46" s="51">
        <v>3</v>
      </c>
      <c r="M46" s="51">
        <v>3</v>
      </c>
      <c r="N46" s="51">
        <v>3</v>
      </c>
      <c r="O46" s="51">
        <v>3</v>
      </c>
      <c r="P46" s="51">
        <v>3</v>
      </c>
      <c r="Q46" s="51">
        <v>3</v>
      </c>
      <c r="R46" s="51">
        <v>3</v>
      </c>
      <c r="S46" s="51">
        <v>3</v>
      </c>
      <c r="T46" s="51">
        <v>3</v>
      </c>
      <c r="U46" s="51">
        <v>3</v>
      </c>
      <c r="V46" s="51">
        <v>3</v>
      </c>
      <c r="W46" s="51">
        <v>3</v>
      </c>
      <c r="X46" s="51">
        <v>3</v>
      </c>
      <c r="Y46" s="51">
        <v>3</v>
      </c>
      <c r="Z46" s="51">
        <v>3</v>
      </c>
      <c r="AA46" s="51">
        <v>3</v>
      </c>
      <c r="AB46" s="51">
        <v>2</v>
      </c>
      <c r="AC46" s="51">
        <v>2</v>
      </c>
      <c r="AD46" s="51">
        <v>2</v>
      </c>
      <c r="AE46" s="51">
        <v>2</v>
      </c>
      <c r="AF46" s="51">
        <v>2</v>
      </c>
      <c r="AG46" s="63">
        <v>15</v>
      </c>
      <c r="AH46" s="54">
        <f t="shared" si="2"/>
        <v>3</v>
      </c>
      <c r="AI46" s="55">
        <f t="shared" si="3"/>
        <v>2</v>
      </c>
      <c r="AK46" s="56"/>
      <c r="AL46" s="71"/>
      <c r="AO46" s="71"/>
    </row>
    <row r="47" spans="1:88" s="71" customFormat="1" x14ac:dyDescent="0.25">
      <c r="A47" s="62" t="s">
        <v>55</v>
      </c>
      <c r="B47" s="51">
        <v>13.3</v>
      </c>
      <c r="C47" s="51">
        <v>13.3</v>
      </c>
      <c r="D47" s="51">
        <v>13.3</v>
      </c>
      <c r="E47" s="51">
        <v>13.3</v>
      </c>
      <c r="F47" s="51">
        <v>13.3</v>
      </c>
      <c r="G47" s="51">
        <v>13.3</v>
      </c>
      <c r="H47" s="51">
        <v>13.3</v>
      </c>
      <c r="I47" s="51">
        <v>13.3</v>
      </c>
      <c r="J47" s="51">
        <v>13.3</v>
      </c>
      <c r="K47" s="51">
        <v>13.3</v>
      </c>
      <c r="L47" s="51">
        <v>13.3</v>
      </c>
      <c r="M47" s="51">
        <v>13.3</v>
      </c>
      <c r="N47" s="51">
        <v>13.3</v>
      </c>
      <c r="O47" s="51">
        <v>13.3</v>
      </c>
      <c r="P47" s="51">
        <v>13.8</v>
      </c>
      <c r="Q47" s="51">
        <v>13.8</v>
      </c>
      <c r="R47" s="51">
        <v>13.8</v>
      </c>
      <c r="S47" s="51">
        <v>13.8</v>
      </c>
      <c r="T47" s="51">
        <v>13.8</v>
      </c>
      <c r="U47" s="51">
        <v>13.8</v>
      </c>
      <c r="V47" s="51">
        <v>13.8</v>
      </c>
      <c r="W47" s="51">
        <v>13.8</v>
      </c>
      <c r="X47" s="51">
        <v>13.8</v>
      </c>
      <c r="Y47" s="51">
        <v>13.8</v>
      </c>
      <c r="Z47" s="51">
        <v>13.8</v>
      </c>
      <c r="AA47" s="51">
        <v>13.8</v>
      </c>
      <c r="AB47" s="51">
        <v>13.8</v>
      </c>
      <c r="AC47" s="51">
        <v>13.8</v>
      </c>
      <c r="AD47" s="51">
        <v>13.8</v>
      </c>
      <c r="AE47" s="51">
        <v>13.8</v>
      </c>
      <c r="AF47" s="51">
        <v>13.8</v>
      </c>
      <c r="AG47" s="63">
        <v>14.1</v>
      </c>
      <c r="AH47" s="54">
        <f t="shared" si="2"/>
        <v>13.8</v>
      </c>
      <c r="AI47" s="55">
        <f t="shared" si="3"/>
        <v>13.3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51">
        <v>10.4</v>
      </c>
      <c r="C48" s="51">
        <v>10.4</v>
      </c>
      <c r="D48" s="51">
        <v>10.4</v>
      </c>
      <c r="E48" s="51">
        <v>10.4</v>
      </c>
      <c r="F48" s="51">
        <v>10.4</v>
      </c>
      <c r="G48" s="51">
        <v>10.4</v>
      </c>
      <c r="H48" s="51">
        <v>10.4</v>
      </c>
      <c r="I48" s="51">
        <v>10.4</v>
      </c>
      <c r="J48" s="51">
        <v>10.4</v>
      </c>
      <c r="K48" s="51">
        <v>10.4</v>
      </c>
      <c r="L48" s="51">
        <v>10.4</v>
      </c>
      <c r="M48" s="51">
        <v>10.4</v>
      </c>
      <c r="N48" s="51">
        <v>10.4</v>
      </c>
      <c r="O48" s="51">
        <v>10.4</v>
      </c>
      <c r="P48" s="51">
        <v>12.8</v>
      </c>
      <c r="Q48" s="51">
        <v>12.8</v>
      </c>
      <c r="R48" s="51">
        <v>12.8</v>
      </c>
      <c r="S48" s="51">
        <v>12.8</v>
      </c>
      <c r="T48" s="51">
        <v>12.8</v>
      </c>
      <c r="U48" s="51">
        <v>12.8</v>
      </c>
      <c r="V48" s="51">
        <v>12.8</v>
      </c>
      <c r="W48" s="51">
        <v>12.8</v>
      </c>
      <c r="X48" s="51">
        <v>12.8</v>
      </c>
      <c r="Y48" s="51">
        <v>12.8</v>
      </c>
      <c r="Z48" s="51">
        <v>12.8</v>
      </c>
      <c r="AA48" s="51">
        <v>12.8</v>
      </c>
      <c r="AB48" s="51">
        <v>12.8</v>
      </c>
      <c r="AC48" s="51">
        <v>12.8</v>
      </c>
      <c r="AD48" s="51">
        <v>12.8</v>
      </c>
      <c r="AE48" s="51">
        <v>12.8</v>
      </c>
      <c r="AF48" s="51">
        <v>12.8</v>
      </c>
      <c r="AG48" s="63">
        <v>14</v>
      </c>
      <c r="AH48" s="54">
        <f t="shared" si="2"/>
        <v>12.8</v>
      </c>
      <c r="AI48" s="55">
        <f t="shared" si="3"/>
        <v>10.4</v>
      </c>
      <c r="AK48" s="56"/>
    </row>
    <row r="49" spans="1:37" x14ac:dyDescent="0.25">
      <c r="A49" s="62" t="s">
        <v>57</v>
      </c>
      <c r="B49" s="51">
        <v>7.5</v>
      </c>
      <c r="C49" s="51">
        <v>7.5</v>
      </c>
      <c r="D49" s="51">
        <v>7.5</v>
      </c>
      <c r="E49" s="51">
        <v>7.5</v>
      </c>
      <c r="F49" s="51">
        <v>7.5</v>
      </c>
      <c r="G49" s="51">
        <v>7.5</v>
      </c>
      <c r="H49" s="51">
        <v>7.5</v>
      </c>
      <c r="I49" s="51">
        <v>7.5</v>
      </c>
      <c r="J49" s="51">
        <v>7.5</v>
      </c>
      <c r="K49" s="51">
        <v>7.5</v>
      </c>
      <c r="L49" s="51">
        <v>7.5</v>
      </c>
      <c r="M49" s="51">
        <v>7.5</v>
      </c>
      <c r="N49" s="51">
        <v>7.5</v>
      </c>
      <c r="O49" s="51">
        <v>7.5</v>
      </c>
      <c r="P49" s="51">
        <v>1.2</v>
      </c>
      <c r="Q49" s="51">
        <v>1.2</v>
      </c>
      <c r="R49" s="51">
        <v>1.2</v>
      </c>
      <c r="S49" s="51">
        <v>1.2</v>
      </c>
      <c r="T49" s="51">
        <v>1.2</v>
      </c>
      <c r="U49" s="51">
        <v>1.2</v>
      </c>
      <c r="V49" s="51">
        <v>1.2</v>
      </c>
      <c r="W49" s="51">
        <v>1.2</v>
      </c>
      <c r="X49" s="51">
        <v>1.2</v>
      </c>
      <c r="Y49" s="51">
        <v>1.2</v>
      </c>
      <c r="Z49" s="51">
        <v>1.2</v>
      </c>
      <c r="AA49" s="51">
        <v>1.2</v>
      </c>
      <c r="AB49" s="51">
        <v>1.2</v>
      </c>
      <c r="AC49" s="51">
        <v>1.2</v>
      </c>
      <c r="AD49" s="51">
        <v>1.2</v>
      </c>
      <c r="AE49" s="51">
        <v>1.2</v>
      </c>
      <c r="AF49" s="51">
        <v>1.2</v>
      </c>
      <c r="AG49" s="63">
        <v>10.050000000000001</v>
      </c>
      <c r="AH49" s="54">
        <f t="shared" si="2"/>
        <v>7.5</v>
      </c>
      <c r="AI49" s="55">
        <f t="shared" si="3"/>
        <v>1.2</v>
      </c>
      <c r="AK49" s="56"/>
    </row>
    <row r="50" spans="1:37" x14ac:dyDescent="0.25">
      <c r="A50" s="62" t="s">
        <v>58</v>
      </c>
      <c r="B50" s="51">
        <v>3.1</v>
      </c>
      <c r="C50" s="51">
        <v>3.1</v>
      </c>
      <c r="D50" s="51">
        <v>3.1</v>
      </c>
      <c r="E50" s="51">
        <v>3.1</v>
      </c>
      <c r="F50" s="51">
        <v>3.1</v>
      </c>
      <c r="G50" s="51">
        <v>3.1</v>
      </c>
      <c r="H50" s="51">
        <v>3.1</v>
      </c>
      <c r="I50" s="51">
        <v>3.1</v>
      </c>
      <c r="J50" s="51">
        <v>3.1</v>
      </c>
      <c r="K50" s="51">
        <v>3.1</v>
      </c>
      <c r="L50" s="51">
        <v>3.1</v>
      </c>
      <c r="M50" s="51">
        <v>3.1</v>
      </c>
      <c r="N50" s="51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8">SUM(B39:B51)</f>
        <v>420.34000000000003</v>
      </c>
      <c r="C52" s="69">
        <f t="shared" ref="C52:AF52" si="9">SUM(C39:C51)</f>
        <v>418.74000000000012</v>
      </c>
      <c r="D52" s="69">
        <f t="shared" si="9"/>
        <v>418.54000000000008</v>
      </c>
      <c r="E52" s="69">
        <f t="shared" si="9"/>
        <v>418.54000000000008</v>
      </c>
      <c r="F52" s="69">
        <f t="shared" si="9"/>
        <v>418.54000000000008</v>
      </c>
      <c r="G52" s="69">
        <f t="shared" si="9"/>
        <v>418.54000000000008</v>
      </c>
      <c r="H52" s="69">
        <f t="shared" si="9"/>
        <v>418.54000000000008</v>
      </c>
      <c r="I52" s="69">
        <f t="shared" si="9"/>
        <v>421.54000000000008</v>
      </c>
      <c r="J52" s="69">
        <f t="shared" si="9"/>
        <v>421.54000000000008</v>
      </c>
      <c r="K52" s="69">
        <f t="shared" si="9"/>
        <v>421.54000000000008</v>
      </c>
      <c r="L52" s="69">
        <f t="shared" si="9"/>
        <v>421.54000000000008</v>
      </c>
      <c r="M52" s="69">
        <f t="shared" si="9"/>
        <v>421.54000000000008</v>
      </c>
      <c r="N52" s="69">
        <f t="shared" si="9"/>
        <v>421.54000000000008</v>
      </c>
      <c r="O52" s="69">
        <f t="shared" si="9"/>
        <v>421.54000000000008</v>
      </c>
      <c r="P52" s="69">
        <f t="shared" si="9"/>
        <v>428.94</v>
      </c>
      <c r="Q52" s="69">
        <f t="shared" si="9"/>
        <v>425.24000000000007</v>
      </c>
      <c r="R52" s="69">
        <f t="shared" si="9"/>
        <v>426.64000000000004</v>
      </c>
      <c r="S52" s="69">
        <f t="shared" si="9"/>
        <v>422.94000000000005</v>
      </c>
      <c r="T52" s="69">
        <f t="shared" si="9"/>
        <v>423.84000000000003</v>
      </c>
      <c r="U52" s="69">
        <f t="shared" si="9"/>
        <v>421.54000000000008</v>
      </c>
      <c r="V52" s="69">
        <f t="shared" si="9"/>
        <v>399.54000000000008</v>
      </c>
      <c r="W52" s="69">
        <f t="shared" si="9"/>
        <v>401.24000000000007</v>
      </c>
      <c r="X52" s="69">
        <f>SUM(X39:X51)</f>
        <v>400.74000000000007</v>
      </c>
      <c r="Y52" s="69">
        <f t="shared" si="9"/>
        <v>415.84000000000009</v>
      </c>
      <c r="Z52" s="69">
        <f t="shared" si="9"/>
        <v>431.44000000000005</v>
      </c>
      <c r="AA52" s="69">
        <f t="shared" si="9"/>
        <v>396.24000000000007</v>
      </c>
      <c r="AB52" s="69">
        <f t="shared" si="9"/>
        <v>431.04000000000008</v>
      </c>
      <c r="AC52" s="69">
        <f t="shared" si="9"/>
        <v>431.04000000000008</v>
      </c>
      <c r="AD52" s="69">
        <f t="shared" si="9"/>
        <v>431.04000000000008</v>
      </c>
      <c r="AE52" s="69">
        <f t="shared" si="9"/>
        <v>417.04000000000008</v>
      </c>
      <c r="AF52" s="69">
        <f t="shared" si="9"/>
        <v>415.74000000000007</v>
      </c>
      <c r="AG52" s="74">
        <f>SUM(AG39:AG51)</f>
        <v>489.91</v>
      </c>
      <c r="AH52" s="54">
        <f t="shared" si="2"/>
        <v>431.44000000000005</v>
      </c>
      <c r="AI52" s="55">
        <f t="shared" si="3"/>
        <v>396.24000000000007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10</v>
      </c>
      <c r="M53" s="51">
        <v>10</v>
      </c>
      <c r="N53" s="51">
        <v>24</v>
      </c>
      <c r="O53" s="51">
        <v>24</v>
      </c>
      <c r="P53" s="51">
        <v>45</v>
      </c>
      <c r="Q53" s="51">
        <v>30</v>
      </c>
      <c r="R53" s="51">
        <v>19.3</v>
      </c>
      <c r="S53" s="51">
        <v>45</v>
      </c>
      <c r="T53" s="51">
        <v>40</v>
      </c>
      <c r="U53" s="51">
        <v>40</v>
      </c>
      <c r="V53" s="51">
        <v>40</v>
      </c>
      <c r="W53" s="51">
        <v>40</v>
      </c>
      <c r="X53" s="51">
        <v>45</v>
      </c>
      <c r="Y53" s="51">
        <v>45.1</v>
      </c>
      <c r="Z53" s="51">
        <v>50</v>
      </c>
      <c r="AA53" s="51">
        <v>60</v>
      </c>
      <c r="AB53" s="51">
        <v>60</v>
      </c>
      <c r="AC53" s="51">
        <v>60</v>
      </c>
      <c r="AD53" s="51">
        <v>60</v>
      </c>
      <c r="AE53" s="51">
        <v>50</v>
      </c>
      <c r="AF53" s="51">
        <v>39.700000000000003</v>
      </c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4.0999999999999996</v>
      </c>
      <c r="M54" s="70">
        <v>4.0999999999999996</v>
      </c>
      <c r="N54" s="70">
        <v>10.199999999999999</v>
      </c>
      <c r="O54" s="70">
        <v>7.1</v>
      </c>
      <c r="P54" s="70">
        <v>12.2</v>
      </c>
      <c r="Q54" s="70">
        <v>12.2</v>
      </c>
      <c r="R54" s="70">
        <v>9.6</v>
      </c>
      <c r="S54" s="70">
        <v>16.100000000000001</v>
      </c>
      <c r="T54" s="70">
        <v>22.3</v>
      </c>
      <c r="U54" s="70">
        <v>18.600000000000001</v>
      </c>
      <c r="V54" s="70">
        <v>20</v>
      </c>
      <c r="W54" s="70">
        <v>18.600000000000001</v>
      </c>
      <c r="X54" s="70">
        <v>16.100000000000001</v>
      </c>
      <c r="Y54" s="70">
        <v>22.7</v>
      </c>
      <c r="Z54" s="70">
        <v>22.9</v>
      </c>
      <c r="AA54" s="70">
        <v>28.7</v>
      </c>
      <c r="AB54" s="70">
        <v>28.7</v>
      </c>
      <c r="AC54" s="70">
        <v>28.7</v>
      </c>
      <c r="AD54" s="70">
        <v>28.7</v>
      </c>
      <c r="AE54" s="70">
        <v>23.8</v>
      </c>
      <c r="AF54" s="70">
        <v>19.3</v>
      </c>
      <c r="AG54" s="63">
        <v>32</v>
      </c>
      <c r="AH54" s="54">
        <f t="shared" si="2"/>
        <v>28.7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1.5</v>
      </c>
      <c r="M55" s="75">
        <v>1.5</v>
      </c>
      <c r="N55" s="75">
        <v>4.5999999999999996</v>
      </c>
      <c r="O55" s="75">
        <v>2.6</v>
      </c>
      <c r="P55" s="75">
        <v>4.5</v>
      </c>
      <c r="Q55" s="75">
        <v>4.5</v>
      </c>
      <c r="R55" s="75">
        <v>3.5</v>
      </c>
      <c r="S55" s="75">
        <v>5.9</v>
      </c>
      <c r="T55" s="75">
        <v>8.1</v>
      </c>
      <c r="U55" s="75">
        <v>6.8</v>
      </c>
      <c r="V55" s="75">
        <v>7.3</v>
      </c>
      <c r="W55" s="75">
        <v>6.8</v>
      </c>
      <c r="X55" s="75">
        <v>5.9</v>
      </c>
      <c r="Y55" s="75">
        <v>8.3000000000000007</v>
      </c>
      <c r="Z55" s="75">
        <v>9.5</v>
      </c>
      <c r="AA55" s="75">
        <v>10.5</v>
      </c>
      <c r="AB55" s="75">
        <v>10.5</v>
      </c>
      <c r="AC55" s="75">
        <v>10.5</v>
      </c>
      <c r="AD55" s="75">
        <v>10.5</v>
      </c>
      <c r="AE55" s="75">
        <v>8.6999999999999993</v>
      </c>
      <c r="AF55" s="75">
        <v>7.1</v>
      </c>
      <c r="AG55" s="76">
        <v>14</v>
      </c>
      <c r="AH55" s="54">
        <f t="shared" si="2"/>
        <v>10.5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10">SUM(B53:B55)</f>
        <v>0</v>
      </c>
      <c r="C56" s="69">
        <f t="shared" ref="C56:AF56" si="11">SUM(C53:C55)</f>
        <v>0</v>
      </c>
      <c r="D56" s="69">
        <f t="shared" si="11"/>
        <v>0</v>
      </c>
      <c r="E56" s="69">
        <f t="shared" si="11"/>
        <v>0</v>
      </c>
      <c r="F56" s="69">
        <f t="shared" si="11"/>
        <v>0</v>
      </c>
      <c r="G56" s="69">
        <f t="shared" si="11"/>
        <v>0</v>
      </c>
      <c r="H56" s="69">
        <f t="shared" si="11"/>
        <v>0</v>
      </c>
      <c r="I56" s="69">
        <f t="shared" si="11"/>
        <v>0</v>
      </c>
      <c r="J56" s="69">
        <f t="shared" si="11"/>
        <v>0</v>
      </c>
      <c r="K56" s="69">
        <f t="shared" si="11"/>
        <v>0</v>
      </c>
      <c r="L56" s="69">
        <f t="shared" si="11"/>
        <v>15.6</v>
      </c>
      <c r="M56" s="69">
        <f t="shared" si="11"/>
        <v>15.6</v>
      </c>
      <c r="N56" s="69">
        <f t="shared" si="11"/>
        <v>38.800000000000004</v>
      </c>
      <c r="O56" s="69">
        <f t="shared" si="11"/>
        <v>33.700000000000003</v>
      </c>
      <c r="P56" s="69">
        <f t="shared" si="11"/>
        <v>61.7</v>
      </c>
      <c r="Q56" s="69">
        <f t="shared" si="11"/>
        <v>46.7</v>
      </c>
      <c r="R56" s="69">
        <f t="shared" si="11"/>
        <v>32.4</v>
      </c>
      <c r="S56" s="69">
        <f t="shared" si="11"/>
        <v>67</v>
      </c>
      <c r="T56" s="69">
        <f t="shared" si="11"/>
        <v>70.399999999999991</v>
      </c>
      <c r="U56" s="69">
        <f t="shared" si="11"/>
        <v>65.400000000000006</v>
      </c>
      <c r="V56" s="69">
        <f t="shared" si="11"/>
        <v>67.3</v>
      </c>
      <c r="W56" s="69">
        <f t="shared" si="11"/>
        <v>65.400000000000006</v>
      </c>
      <c r="X56" s="69">
        <f t="shared" si="11"/>
        <v>67</v>
      </c>
      <c r="Y56" s="69">
        <f t="shared" si="11"/>
        <v>76.099999999999994</v>
      </c>
      <c r="Z56" s="69">
        <f t="shared" si="11"/>
        <v>82.4</v>
      </c>
      <c r="AA56" s="69">
        <f t="shared" si="11"/>
        <v>99.2</v>
      </c>
      <c r="AB56" s="69">
        <f t="shared" si="11"/>
        <v>99.2</v>
      </c>
      <c r="AC56" s="69">
        <f t="shared" si="11"/>
        <v>99.2</v>
      </c>
      <c r="AD56" s="69">
        <f t="shared" si="11"/>
        <v>99.2</v>
      </c>
      <c r="AE56" s="69">
        <f t="shared" si="11"/>
        <v>82.5</v>
      </c>
      <c r="AF56" s="69">
        <f t="shared" si="11"/>
        <v>66.099999999999994</v>
      </c>
      <c r="AG56" s="74">
        <f>SUM(AG53:AG55)</f>
        <v>106</v>
      </c>
      <c r="AH56" s="54">
        <f t="shared" si="2"/>
        <v>99.2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58.7</v>
      </c>
      <c r="C57" s="51">
        <v>56.9</v>
      </c>
      <c r="D57" s="51">
        <v>51.8</v>
      </c>
      <c r="E57" s="51">
        <v>50.4</v>
      </c>
      <c r="F57" s="51">
        <v>49.2</v>
      </c>
      <c r="G57" s="51">
        <v>46.7</v>
      </c>
      <c r="H57" s="51">
        <v>44.6</v>
      </c>
      <c r="I57" s="51">
        <v>42.7</v>
      </c>
      <c r="J57" s="51">
        <v>40.9</v>
      </c>
      <c r="K57" s="51">
        <v>40.9</v>
      </c>
      <c r="L57" s="51">
        <v>42.4</v>
      </c>
      <c r="M57" s="51">
        <v>68.3</v>
      </c>
      <c r="N57" s="51">
        <v>42.4</v>
      </c>
      <c r="O57" s="51">
        <v>42.4</v>
      </c>
      <c r="P57" s="51">
        <v>58</v>
      </c>
      <c r="Q57" s="51">
        <v>68.099999999999994</v>
      </c>
      <c r="R57" s="51">
        <v>69.2</v>
      </c>
      <c r="S57" s="51">
        <v>72.8</v>
      </c>
      <c r="T57" s="51">
        <v>71.099999999999994</v>
      </c>
      <c r="U57" s="51">
        <v>69</v>
      </c>
      <c r="V57" s="51">
        <v>50</v>
      </c>
      <c r="W57" s="51">
        <v>60.5</v>
      </c>
      <c r="X57" s="51">
        <v>65</v>
      </c>
      <c r="Y57" s="51">
        <v>53</v>
      </c>
      <c r="Z57" s="51">
        <v>71.47</v>
      </c>
      <c r="AA57" s="51">
        <v>73.2</v>
      </c>
      <c r="AB57" s="51">
        <v>68.599999999999994</v>
      </c>
      <c r="AC57" s="51">
        <v>58.64</v>
      </c>
      <c r="AD57" s="51">
        <v>68</v>
      </c>
      <c r="AE57" s="51">
        <v>68</v>
      </c>
      <c r="AF57" s="51">
        <v>67.099999999999994</v>
      </c>
      <c r="AG57" s="59"/>
      <c r="AH57" s="54">
        <f t="shared" si="2"/>
        <v>73.2</v>
      </c>
      <c r="AI57" s="55">
        <f t="shared" si="3"/>
        <v>40.9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-120</v>
      </c>
      <c r="C59" s="70">
        <v>-230</v>
      </c>
      <c r="D59" s="70">
        <v>-196.3</v>
      </c>
      <c r="E59" s="70">
        <v>-240</v>
      </c>
      <c r="F59" s="70">
        <v>-252</v>
      </c>
      <c r="G59" s="70">
        <v>-279</v>
      </c>
      <c r="H59" s="70">
        <v>-284</v>
      </c>
      <c r="I59" s="70">
        <v>-257</v>
      </c>
      <c r="J59" s="70">
        <v>-182</v>
      </c>
      <c r="K59" s="70">
        <v>-186</v>
      </c>
      <c r="L59" s="70">
        <v>-184</v>
      </c>
      <c r="M59" s="70">
        <v>-180</v>
      </c>
      <c r="N59" s="70">
        <v>-176</v>
      </c>
      <c r="O59" s="70">
        <v>-184</v>
      </c>
      <c r="P59" s="70">
        <v>-190</v>
      </c>
      <c r="Q59" s="70">
        <f>-174</f>
        <v>-174</v>
      </c>
      <c r="R59" s="70">
        <f>-180</f>
        <v>-180</v>
      </c>
      <c r="S59" s="70">
        <v>-178</v>
      </c>
      <c r="T59" s="70">
        <v>-190.9</v>
      </c>
      <c r="U59" s="70">
        <v>-186</v>
      </c>
      <c r="V59" s="70">
        <v>-180</v>
      </c>
      <c r="W59" s="70">
        <v>-178.5</v>
      </c>
      <c r="X59" s="70">
        <v>-185.2</v>
      </c>
      <c r="Y59" s="70">
        <v>-188.2</v>
      </c>
      <c r="Z59" s="70">
        <v>-185</v>
      </c>
      <c r="AA59" s="70">
        <v>-178.5</v>
      </c>
      <c r="AB59" s="70">
        <v>-195</v>
      </c>
      <c r="AC59" s="70">
        <v>-191</v>
      </c>
      <c r="AD59" s="70">
        <v>-199</v>
      </c>
      <c r="AE59" s="70">
        <v>-179</v>
      </c>
      <c r="AF59" s="70">
        <v>-186.3</v>
      </c>
      <c r="AG59" s="77"/>
      <c r="AH59" s="54">
        <f t="shared" si="2"/>
        <v>-120</v>
      </c>
      <c r="AI59" s="55">
        <f t="shared" si="3"/>
        <v>-284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15</v>
      </c>
      <c r="V60" s="78">
        <v>25</v>
      </c>
      <c r="W60" s="78">
        <v>22</v>
      </c>
      <c r="X60" s="78">
        <v>24</v>
      </c>
      <c r="Y60" s="78">
        <v>26</v>
      </c>
      <c r="Z60" s="78">
        <v>24</v>
      </c>
      <c r="AA60" s="78">
        <v>24</v>
      </c>
      <c r="AB60" s="78">
        <v>20</v>
      </c>
      <c r="AC60" s="78">
        <v>23</v>
      </c>
      <c r="AD60" s="78">
        <v>20</v>
      </c>
      <c r="AE60" s="78">
        <v>20</v>
      </c>
      <c r="AF60" s="78">
        <v>22</v>
      </c>
      <c r="AG60" s="77"/>
      <c r="AH60" s="54">
        <f t="shared" si="2"/>
        <v>26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4</v>
      </c>
      <c r="C62" s="79">
        <v>4</v>
      </c>
      <c r="D62" s="79">
        <v>4</v>
      </c>
      <c r="E62" s="79">
        <v>4</v>
      </c>
      <c r="F62" s="79">
        <v>4</v>
      </c>
      <c r="G62" s="79">
        <v>4</v>
      </c>
      <c r="H62" s="79">
        <v>4</v>
      </c>
      <c r="I62" s="79">
        <v>4</v>
      </c>
      <c r="J62" s="79">
        <v>4</v>
      </c>
      <c r="K62" s="79">
        <v>4</v>
      </c>
      <c r="L62" s="79">
        <v>4</v>
      </c>
      <c r="M62" s="79">
        <v>4</v>
      </c>
      <c r="N62" s="79">
        <v>4</v>
      </c>
      <c r="O62" s="79">
        <v>4</v>
      </c>
      <c r="P62" s="79">
        <v>4</v>
      </c>
      <c r="Q62" s="79">
        <v>4</v>
      </c>
      <c r="R62" s="79">
        <v>4</v>
      </c>
      <c r="S62" s="79">
        <v>4</v>
      </c>
      <c r="T62" s="79">
        <v>4</v>
      </c>
      <c r="U62" s="79">
        <v>4</v>
      </c>
      <c r="V62" s="79">
        <v>4</v>
      </c>
      <c r="W62" s="79">
        <v>4</v>
      </c>
      <c r="X62" s="79">
        <v>4</v>
      </c>
      <c r="Y62" s="79">
        <v>4</v>
      </c>
      <c r="Z62" s="79">
        <v>4</v>
      </c>
      <c r="AA62" s="79">
        <v>4</v>
      </c>
      <c r="AB62" s="79">
        <v>4</v>
      </c>
      <c r="AC62" s="79">
        <v>4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4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2">SUM(B57:B67)</f>
        <v>-57.3</v>
      </c>
      <c r="C68" s="69">
        <f t="shared" ref="C68:AF68" si="13">SUM(C57:C67)</f>
        <v>-169.1</v>
      </c>
      <c r="D68" s="69">
        <f t="shared" si="13"/>
        <v>-140.5</v>
      </c>
      <c r="E68" s="69">
        <f t="shared" si="13"/>
        <v>-185.6</v>
      </c>
      <c r="F68" s="69">
        <f t="shared" si="13"/>
        <v>-198.8</v>
      </c>
      <c r="G68" s="69">
        <f t="shared" si="13"/>
        <v>-228.3</v>
      </c>
      <c r="H68" s="69">
        <f t="shared" si="13"/>
        <v>-235.4</v>
      </c>
      <c r="I68" s="69">
        <f t="shared" si="13"/>
        <v>-210.3</v>
      </c>
      <c r="J68" s="69">
        <f t="shared" si="13"/>
        <v>-137.1</v>
      </c>
      <c r="K68" s="69">
        <f t="shared" si="13"/>
        <v>-141.1</v>
      </c>
      <c r="L68" s="69">
        <f t="shared" si="13"/>
        <v>-137.6</v>
      </c>
      <c r="M68" s="69">
        <f t="shared" si="13"/>
        <v>-107.7</v>
      </c>
      <c r="N68" s="69">
        <f t="shared" si="13"/>
        <v>-129.6</v>
      </c>
      <c r="O68" s="69">
        <f t="shared" si="13"/>
        <v>-137.6</v>
      </c>
      <c r="P68" s="69">
        <f t="shared" si="13"/>
        <v>-128</v>
      </c>
      <c r="Q68" s="69">
        <f t="shared" si="13"/>
        <v>-101.9</v>
      </c>
      <c r="R68" s="69">
        <f t="shared" si="13"/>
        <v>-106.8</v>
      </c>
      <c r="S68" s="69">
        <f t="shared" si="13"/>
        <v>-101.2</v>
      </c>
      <c r="T68" s="69">
        <f t="shared" si="13"/>
        <v>-115.80000000000001</v>
      </c>
      <c r="U68" s="69">
        <f t="shared" si="13"/>
        <v>-98</v>
      </c>
      <c r="V68" s="69">
        <f>SUM(V57:V67)</f>
        <v>-101</v>
      </c>
      <c r="W68" s="69">
        <f t="shared" si="13"/>
        <v>-92</v>
      </c>
      <c r="X68" s="69">
        <f t="shared" si="13"/>
        <v>-92.199999999999989</v>
      </c>
      <c r="Y68" s="69">
        <f t="shared" si="13"/>
        <v>-105.19999999999999</v>
      </c>
      <c r="Z68" s="69">
        <f t="shared" si="13"/>
        <v>-85.53</v>
      </c>
      <c r="AA68" s="69">
        <f t="shared" si="13"/>
        <v>-77.3</v>
      </c>
      <c r="AB68" s="69">
        <f t="shared" si="13"/>
        <v>-102.4</v>
      </c>
      <c r="AC68" s="69">
        <f t="shared" si="13"/>
        <v>-105.36000000000001</v>
      </c>
      <c r="AD68" s="69">
        <f t="shared" si="13"/>
        <v>-103</v>
      </c>
      <c r="AE68" s="69">
        <f t="shared" si="13"/>
        <v>-83</v>
      </c>
      <c r="AF68" s="69">
        <f t="shared" si="13"/>
        <v>-89.200000000000017</v>
      </c>
      <c r="AG68" s="74">
        <f>SUM(AG57:AG67)</f>
        <v>0</v>
      </c>
      <c r="AH68" s="54">
        <f t="shared" si="2"/>
        <v>-57.3</v>
      </c>
      <c r="AI68" s="55">
        <f t="shared" si="3"/>
        <v>-235.4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4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>
        <v>50</v>
      </c>
      <c r="AA74" s="86">
        <v>80</v>
      </c>
      <c r="AB74" s="86"/>
      <c r="AC74" s="86"/>
      <c r="AD74" s="86"/>
      <c r="AE74" s="86"/>
      <c r="AF74" s="86"/>
      <c r="AG74" s="74"/>
      <c r="AH74" s="54">
        <f t="shared" si="2"/>
        <v>80</v>
      </c>
      <c r="AI74" s="55">
        <f t="shared" si="3"/>
        <v>50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5">B72+B68+B56+B52+B38+B74</f>
        <v>1308.1400000000001</v>
      </c>
      <c r="C75" s="84">
        <f t="shared" ref="C75:AF75" si="16">C72+C68+C56+C52+C38+C74</f>
        <v>1310.74</v>
      </c>
      <c r="D75" s="84">
        <f t="shared" si="16"/>
        <v>1270.04</v>
      </c>
      <c r="E75" s="84">
        <f t="shared" si="16"/>
        <v>1233.94</v>
      </c>
      <c r="F75" s="84">
        <f t="shared" si="16"/>
        <v>1220.74</v>
      </c>
      <c r="G75" s="84">
        <f t="shared" si="16"/>
        <v>1201.24</v>
      </c>
      <c r="H75" s="84">
        <f t="shared" si="16"/>
        <v>1194.1400000000001</v>
      </c>
      <c r="I75" s="84">
        <f t="shared" si="16"/>
        <v>1202.24</v>
      </c>
      <c r="J75" s="84">
        <f t="shared" si="16"/>
        <v>1255.44</v>
      </c>
      <c r="K75" s="84">
        <f t="shared" si="16"/>
        <v>1275.44</v>
      </c>
      <c r="L75" s="84">
        <f t="shared" si="16"/>
        <v>1334.54</v>
      </c>
      <c r="M75" s="84">
        <f t="shared" si="16"/>
        <v>1364.44</v>
      </c>
      <c r="N75" s="84">
        <f t="shared" si="16"/>
        <v>1365.7400000000002</v>
      </c>
      <c r="O75" s="84">
        <f t="shared" si="16"/>
        <v>1332.64</v>
      </c>
      <c r="P75" s="84">
        <f t="shared" si="16"/>
        <v>1387.6399999999999</v>
      </c>
      <c r="Q75" s="84">
        <f t="shared" si="16"/>
        <v>1415.04</v>
      </c>
      <c r="R75" s="84">
        <f t="shared" si="16"/>
        <v>1386.94</v>
      </c>
      <c r="S75" s="84">
        <f t="shared" si="16"/>
        <v>1391.04</v>
      </c>
      <c r="T75" s="84">
        <f t="shared" si="16"/>
        <v>1393.44</v>
      </c>
      <c r="U75" s="84">
        <f t="shared" si="16"/>
        <v>1386.74</v>
      </c>
      <c r="V75" s="84">
        <f t="shared" si="16"/>
        <v>1365.24</v>
      </c>
      <c r="W75" s="84">
        <f t="shared" si="16"/>
        <v>1383.8400000000001</v>
      </c>
      <c r="X75" s="84">
        <f t="shared" si="16"/>
        <v>1364.8400000000001</v>
      </c>
      <c r="Y75" s="84">
        <f t="shared" si="16"/>
        <v>1385.3400000000001</v>
      </c>
      <c r="Z75" s="84">
        <f t="shared" si="16"/>
        <v>1504.9099999999999</v>
      </c>
      <c r="AA75" s="84">
        <f t="shared" si="16"/>
        <v>1581.84</v>
      </c>
      <c r="AB75" s="84">
        <f t="shared" si="16"/>
        <v>1511.54</v>
      </c>
      <c r="AC75" s="84">
        <f t="shared" si="16"/>
        <v>1512.58</v>
      </c>
      <c r="AD75" s="84">
        <f t="shared" si="16"/>
        <v>1514.9399999999998</v>
      </c>
      <c r="AE75" s="84">
        <f t="shared" si="16"/>
        <v>1444.2399999999998</v>
      </c>
      <c r="AF75" s="84">
        <f t="shared" si="16"/>
        <v>1370.3400000000001</v>
      </c>
      <c r="AG75" s="74">
        <f>AG72+AG68+AG56+AG52+AG38+AG74</f>
        <v>2144.14</v>
      </c>
      <c r="AH75" s="54">
        <f t="shared" si="2"/>
        <v>1581.84</v>
      </c>
      <c r="AI75" s="55">
        <f t="shared" si="3"/>
        <v>1194.1400000000001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7">MAX(B76:AF76)</f>
        <v>0</v>
      </c>
      <c r="AI76" s="55">
        <f t="shared" ref="AI76:AI91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7"/>
        <v>0</v>
      </c>
      <c r="AI77" s="55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7"/>
        <v>0</v>
      </c>
      <c r="AI78" s="55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7"/>
        <v>0</v>
      </c>
      <c r="AI79" s="55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7"/>
        <v>0</v>
      </c>
      <c r="AI80" s="55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7"/>
        <v>0</v>
      </c>
      <c r="AI81" s="55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9">SUM(AG76:AG81)</f>
        <v>0</v>
      </c>
      <c r="AH82" s="54">
        <f t="shared" si="17"/>
        <v>0</v>
      </c>
      <c r="AI82" s="55">
        <f t="shared" si="18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20">SUM(B70:B82)</f>
        <v>2510.0299999999997</v>
      </c>
      <c r="C83" s="69">
        <f t="shared" ref="C83:AG83" si="21">SUM(C70:C82)</f>
        <v>2512.63</v>
      </c>
      <c r="D83" s="69">
        <f t="shared" si="21"/>
        <v>2471.9299999999998</v>
      </c>
      <c r="E83" s="69">
        <f t="shared" si="21"/>
        <v>2435.83</v>
      </c>
      <c r="F83" s="69">
        <f t="shared" si="21"/>
        <v>2422.63</v>
      </c>
      <c r="G83" s="69">
        <f t="shared" si="21"/>
        <v>2403.13</v>
      </c>
      <c r="H83" s="69">
        <f t="shared" si="21"/>
        <v>2396.0299999999997</v>
      </c>
      <c r="I83" s="69">
        <f t="shared" si="21"/>
        <v>2404.13</v>
      </c>
      <c r="J83" s="69">
        <f t="shared" si="21"/>
        <v>2457.33</v>
      </c>
      <c r="K83" s="69">
        <f t="shared" si="21"/>
        <v>2477.33</v>
      </c>
      <c r="L83" s="69">
        <f t="shared" si="21"/>
        <v>2536.4299999999998</v>
      </c>
      <c r="M83" s="69">
        <f t="shared" si="21"/>
        <v>2566.33</v>
      </c>
      <c r="N83" s="69">
        <f t="shared" si="21"/>
        <v>2567.63</v>
      </c>
      <c r="O83" s="69">
        <f t="shared" si="21"/>
        <v>2534.5299999999997</v>
      </c>
      <c r="P83" s="69">
        <f t="shared" si="21"/>
        <v>2589.5299999999997</v>
      </c>
      <c r="Q83" s="69">
        <f t="shared" si="21"/>
        <v>2616.9299999999998</v>
      </c>
      <c r="R83" s="69">
        <f t="shared" si="21"/>
        <v>2588.83</v>
      </c>
      <c r="S83" s="69">
        <f t="shared" si="21"/>
        <v>2592.9299999999998</v>
      </c>
      <c r="T83" s="69">
        <f t="shared" si="21"/>
        <v>2595.33</v>
      </c>
      <c r="U83" s="69">
        <f t="shared" si="21"/>
        <v>2588.63</v>
      </c>
      <c r="V83" s="69">
        <f t="shared" si="21"/>
        <v>2567.13</v>
      </c>
      <c r="W83" s="69">
        <f t="shared" si="21"/>
        <v>2585.73</v>
      </c>
      <c r="X83" s="69">
        <f t="shared" si="21"/>
        <v>2566.73</v>
      </c>
      <c r="Y83" s="69">
        <f t="shared" si="21"/>
        <v>2587.23</v>
      </c>
      <c r="Z83" s="69">
        <f t="shared" si="21"/>
        <v>2756.7999999999997</v>
      </c>
      <c r="AA83" s="69">
        <f t="shared" si="21"/>
        <v>2863.7299999999996</v>
      </c>
      <c r="AB83" s="69">
        <f t="shared" si="21"/>
        <v>2713.43</v>
      </c>
      <c r="AC83" s="69">
        <f t="shared" si="21"/>
        <v>2714.47</v>
      </c>
      <c r="AD83" s="69">
        <f t="shared" si="21"/>
        <v>2716.83</v>
      </c>
      <c r="AE83" s="69">
        <f t="shared" si="21"/>
        <v>2646.1299999999997</v>
      </c>
      <c r="AF83" s="69">
        <f t="shared" si="21"/>
        <v>2572.23</v>
      </c>
      <c r="AG83" s="74">
        <f t="shared" si="21"/>
        <v>4360.08</v>
      </c>
      <c r="AH83" s="54">
        <f t="shared" si="17"/>
        <v>2863.7299999999996</v>
      </c>
      <c r="AI83" s="55">
        <f t="shared" si="18"/>
        <v>2396.0299999999997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49.89</v>
      </c>
      <c r="C84" s="90">
        <v>49.88</v>
      </c>
      <c r="D84" s="90">
        <v>49.97</v>
      </c>
      <c r="E84" s="90">
        <v>49.945</v>
      </c>
      <c r="F84" s="90">
        <v>49.991999999999997</v>
      </c>
      <c r="G84" s="90">
        <v>49.917000000000002</v>
      </c>
      <c r="H84" s="90">
        <v>49.970999999999997</v>
      </c>
      <c r="I84" s="90">
        <v>49.898000000000003</v>
      </c>
      <c r="J84" s="90">
        <v>49.965000000000003</v>
      </c>
      <c r="K84" s="90">
        <v>50.036999999999999</v>
      </c>
      <c r="L84" s="90">
        <v>49.99</v>
      </c>
      <c r="M84" s="90">
        <v>50.036999999999999</v>
      </c>
      <c r="N84" s="90">
        <v>49.96</v>
      </c>
      <c r="O84" s="90">
        <v>50.04</v>
      </c>
      <c r="P84" s="90">
        <v>49.98</v>
      </c>
      <c r="Q84" s="90">
        <v>49.98</v>
      </c>
      <c r="R84" s="90">
        <v>50</v>
      </c>
      <c r="S84" s="90">
        <v>50.12</v>
      </c>
      <c r="T84" s="90">
        <v>49.87</v>
      </c>
      <c r="U84" s="90">
        <v>50.012999999999998</v>
      </c>
      <c r="V84" s="90">
        <v>50.036999999999999</v>
      </c>
      <c r="W84" s="90">
        <v>50.094000000000001</v>
      </c>
      <c r="X84" s="90">
        <v>49.97</v>
      </c>
      <c r="Y84" s="90">
        <v>50.039000000000001</v>
      </c>
      <c r="Z84" s="90">
        <v>50.042000000000002</v>
      </c>
      <c r="AA84" s="90">
        <v>50.043999999999997</v>
      </c>
      <c r="AB84" s="90">
        <v>49.841000000000001</v>
      </c>
      <c r="AC84" s="90">
        <v>49.98</v>
      </c>
      <c r="AD84" s="90">
        <v>50.026000000000003</v>
      </c>
      <c r="AE84" s="90">
        <v>49.889000000000003</v>
      </c>
      <c r="AF84" s="90">
        <v>49.945999999999998</v>
      </c>
      <c r="AG84" s="91"/>
      <c r="AH84" s="54">
        <f t="shared" si="17"/>
        <v>50.12</v>
      </c>
      <c r="AI84" s="55">
        <f t="shared" si="18"/>
        <v>49.841000000000001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123.4</v>
      </c>
      <c r="C85" s="70">
        <v>123.4</v>
      </c>
      <c r="D85" s="70">
        <v>123.2</v>
      </c>
      <c r="E85" s="70">
        <v>123</v>
      </c>
      <c r="F85" s="70">
        <v>123.2</v>
      </c>
      <c r="G85" s="70">
        <v>122.6</v>
      </c>
      <c r="H85" s="70">
        <v>123.7</v>
      </c>
      <c r="I85" s="70">
        <v>122.6</v>
      </c>
      <c r="J85" s="70">
        <v>122</v>
      </c>
      <c r="K85" s="70">
        <v>122</v>
      </c>
      <c r="L85" s="70">
        <v>123</v>
      </c>
      <c r="M85" s="70">
        <v>122</v>
      </c>
      <c r="N85" s="70">
        <v>120</v>
      </c>
      <c r="O85" s="70">
        <v>119.7</v>
      </c>
      <c r="P85" s="70">
        <v>119.5</v>
      </c>
      <c r="Q85" s="70">
        <v>119.2</v>
      </c>
      <c r="R85" s="70">
        <v>18.899999999999999</v>
      </c>
      <c r="S85" s="70">
        <v>122.9</v>
      </c>
      <c r="T85" s="70">
        <v>122.5</v>
      </c>
      <c r="U85" s="70">
        <v>122.9</v>
      </c>
      <c r="V85" s="70">
        <v>124.6</v>
      </c>
      <c r="W85" s="70">
        <v>124.7</v>
      </c>
      <c r="X85" s="70">
        <v>123.3</v>
      </c>
      <c r="Y85" s="70">
        <v>123.4</v>
      </c>
      <c r="Z85" s="70">
        <v>126.6</v>
      </c>
      <c r="AA85" s="70">
        <v>125.4</v>
      </c>
      <c r="AB85" s="70">
        <v>124.5</v>
      </c>
      <c r="AC85" s="70">
        <v>124.1</v>
      </c>
      <c r="AD85" s="70">
        <v>124.8</v>
      </c>
      <c r="AE85" s="70">
        <v>123.9</v>
      </c>
      <c r="AF85" s="70">
        <v>124.9</v>
      </c>
      <c r="AG85" s="93"/>
      <c r="AH85" s="54">
        <f t="shared" si="17"/>
        <v>126.6</v>
      </c>
      <c r="AI85" s="55">
        <f t="shared" si="18"/>
        <v>18.899999999999999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128.9</v>
      </c>
      <c r="C86" s="70">
        <v>128.80000000000001</v>
      </c>
      <c r="D86" s="70">
        <v>128.9</v>
      </c>
      <c r="E86" s="70">
        <v>128.69999999999999</v>
      </c>
      <c r="F86" s="70">
        <v>129.1</v>
      </c>
      <c r="G86" s="70">
        <v>128.30000000000001</v>
      </c>
      <c r="H86" s="70">
        <v>128.69999999999999</v>
      </c>
      <c r="I86" s="70">
        <v>127.8</v>
      </c>
      <c r="J86" s="70">
        <v>127</v>
      </c>
      <c r="K86" s="70">
        <v>126.7</v>
      </c>
      <c r="L86" s="70">
        <v>126.7</v>
      </c>
      <c r="M86" s="70">
        <v>126.7</v>
      </c>
      <c r="N86" s="70">
        <v>124.8</v>
      </c>
      <c r="O86" s="70">
        <v>124.9</v>
      </c>
      <c r="P86" s="70">
        <v>124.8</v>
      </c>
      <c r="Q86" s="70">
        <v>124.8</v>
      </c>
      <c r="R86" s="70">
        <v>124.3</v>
      </c>
      <c r="S86" s="70">
        <v>127.4</v>
      </c>
      <c r="T86" s="70">
        <v>127.8</v>
      </c>
      <c r="U86" s="70">
        <v>127.6</v>
      </c>
      <c r="V86" s="70">
        <v>128.80000000000001</v>
      </c>
      <c r="W86" s="70">
        <v>128.80000000000001</v>
      </c>
      <c r="X86" s="70">
        <v>128</v>
      </c>
      <c r="Y86" s="70">
        <v>128.19999999999999</v>
      </c>
      <c r="Z86" s="70">
        <v>129.69999999999999</v>
      </c>
      <c r="AA86" s="70">
        <v>128.80000000000001</v>
      </c>
      <c r="AB86" s="70">
        <v>128.69999999999999</v>
      </c>
      <c r="AC86" s="70">
        <v>129</v>
      </c>
      <c r="AD86" s="70">
        <v>129.19999999999999</v>
      </c>
      <c r="AE86" s="70">
        <v>129.19999999999999</v>
      </c>
      <c r="AF86" s="70">
        <v>129.80000000000001</v>
      </c>
      <c r="AG86" s="93"/>
      <c r="AH86" s="54">
        <f t="shared" si="17"/>
        <v>129.80000000000001</v>
      </c>
      <c r="AI86" s="55">
        <f t="shared" si="18"/>
        <v>124.3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127.2</v>
      </c>
      <c r="C87" s="70">
        <v>127.2</v>
      </c>
      <c r="D87" s="70">
        <v>129.6</v>
      </c>
      <c r="E87" s="70">
        <v>129.69999999999999</v>
      </c>
      <c r="F87" s="70">
        <v>131</v>
      </c>
      <c r="G87" s="70">
        <v>129</v>
      </c>
      <c r="H87" s="70">
        <v>130.6</v>
      </c>
      <c r="I87" s="70">
        <v>129.30000000000001</v>
      </c>
      <c r="J87" s="70">
        <v>128.6</v>
      </c>
      <c r="K87" s="70">
        <v>129</v>
      </c>
      <c r="L87" s="70">
        <v>129</v>
      </c>
      <c r="M87" s="70">
        <v>129</v>
      </c>
      <c r="N87" s="70">
        <v>125.8</v>
      </c>
      <c r="O87" s="70">
        <v>124.9</v>
      </c>
      <c r="P87" s="70">
        <v>128.19999999999999</v>
      </c>
      <c r="Q87" s="70">
        <v>128.19999999999999</v>
      </c>
      <c r="R87" s="70">
        <v>128.19999999999999</v>
      </c>
      <c r="S87" s="70">
        <v>126.6</v>
      </c>
      <c r="T87" s="70">
        <v>125.2</v>
      </c>
      <c r="U87" s="70">
        <v>125.7</v>
      </c>
      <c r="V87" s="70">
        <v>128.19999999999999</v>
      </c>
      <c r="W87" s="70">
        <v>126.6</v>
      </c>
      <c r="X87" s="70">
        <v>127.1</v>
      </c>
      <c r="Y87" s="70">
        <v>128</v>
      </c>
      <c r="Z87" s="70">
        <v>128.5</v>
      </c>
      <c r="AA87" s="70">
        <v>125.2</v>
      </c>
      <c r="AB87" s="70">
        <v>128</v>
      </c>
      <c r="AC87" s="70">
        <v>126.9</v>
      </c>
      <c r="AD87" s="70">
        <v>126.3</v>
      </c>
      <c r="AE87" s="70">
        <v>128.19999999999999</v>
      </c>
      <c r="AF87" s="70">
        <v>128</v>
      </c>
      <c r="AG87" s="93"/>
      <c r="AH87" s="54">
        <f t="shared" si="17"/>
        <v>131</v>
      </c>
      <c r="AI87" s="55">
        <f t="shared" si="18"/>
        <v>124.9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131.5</v>
      </c>
      <c r="C88" s="70">
        <v>132.4</v>
      </c>
      <c r="D88" s="70">
        <v>134.5</v>
      </c>
      <c r="E88" s="70">
        <v>134.1</v>
      </c>
      <c r="F88" s="70">
        <v>135.19999999999999</v>
      </c>
      <c r="G88" s="70">
        <v>133.6</v>
      </c>
      <c r="H88" s="70">
        <v>134.80000000000001</v>
      </c>
      <c r="I88" s="70">
        <v>134</v>
      </c>
      <c r="J88" s="70">
        <v>134</v>
      </c>
      <c r="K88" s="70">
        <v>133.1</v>
      </c>
      <c r="L88" s="70">
        <v>132.5</v>
      </c>
      <c r="M88" s="70">
        <v>133.1</v>
      </c>
      <c r="N88" s="70">
        <v>129.4</v>
      </c>
      <c r="O88" s="70">
        <v>129.4</v>
      </c>
      <c r="P88" s="70">
        <v>131.30000000000001</v>
      </c>
      <c r="Q88" s="70">
        <v>131.30000000000001</v>
      </c>
      <c r="R88" s="70">
        <v>130.19999999999999</v>
      </c>
      <c r="S88" s="70">
        <v>132</v>
      </c>
      <c r="T88" s="70">
        <v>129.9</v>
      </c>
      <c r="U88" s="70">
        <v>129.5</v>
      </c>
      <c r="V88" s="70">
        <v>131.30000000000001</v>
      </c>
      <c r="W88" s="70">
        <v>130.9</v>
      </c>
      <c r="X88" s="70">
        <v>131.19999999999999</v>
      </c>
      <c r="Y88" s="70">
        <v>132</v>
      </c>
      <c r="Z88" s="70">
        <v>131.5</v>
      </c>
      <c r="AA88" s="70">
        <v>128.6</v>
      </c>
      <c r="AB88" s="70">
        <v>131.6</v>
      </c>
      <c r="AC88" s="70">
        <v>130.69999999999999</v>
      </c>
      <c r="AD88" s="70">
        <v>130.69999999999999</v>
      </c>
      <c r="AE88" s="70">
        <v>132.80000000000001</v>
      </c>
      <c r="AF88" s="70">
        <v>132.80000000000001</v>
      </c>
      <c r="AG88" s="93"/>
      <c r="AH88" s="54">
        <f t="shared" si="17"/>
        <v>135.19999999999999</v>
      </c>
      <c r="AI88" s="55">
        <f t="shared" si="18"/>
        <v>128.6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132.19999999999999</v>
      </c>
      <c r="C89" s="95">
        <v>133.69999999999999</v>
      </c>
      <c r="D89" s="95">
        <v>133.6</v>
      </c>
      <c r="E89" s="95">
        <v>131.5</v>
      </c>
      <c r="F89" s="95">
        <v>130.69999999999999</v>
      </c>
      <c r="G89" s="95">
        <v>131.9</v>
      </c>
      <c r="H89" s="95">
        <v>130.4</v>
      </c>
      <c r="I89" s="95">
        <v>132.19999999999999</v>
      </c>
      <c r="J89" s="95">
        <v>131.1</v>
      </c>
      <c r="K89" s="95">
        <v>132</v>
      </c>
      <c r="L89" s="95">
        <v>132</v>
      </c>
      <c r="M89" s="95">
        <v>132</v>
      </c>
      <c r="N89" s="95">
        <v>135.19999999999999</v>
      </c>
      <c r="O89" s="95">
        <v>134.19999999999999</v>
      </c>
      <c r="P89" s="95">
        <v>134.6</v>
      </c>
      <c r="Q89" s="95">
        <v>134.6</v>
      </c>
      <c r="R89" s="95">
        <v>134.6</v>
      </c>
      <c r="S89" s="95">
        <v>132.9</v>
      </c>
      <c r="T89" s="95">
        <v>134.6</v>
      </c>
      <c r="U89" s="95">
        <v>131</v>
      </c>
      <c r="V89" s="95">
        <v>130.6</v>
      </c>
      <c r="W89" s="95">
        <v>130.80000000000001</v>
      </c>
      <c r="X89" s="95">
        <v>132.5</v>
      </c>
      <c r="Y89" s="95">
        <v>131.69999999999999</v>
      </c>
      <c r="Z89" s="95">
        <v>137.19999999999999</v>
      </c>
      <c r="AA89" s="95">
        <v>133.5</v>
      </c>
      <c r="AB89" s="95">
        <v>133.1</v>
      </c>
      <c r="AC89" s="95">
        <v>131.1</v>
      </c>
      <c r="AD89" s="95">
        <v>138</v>
      </c>
      <c r="AE89" s="95">
        <v>130.4</v>
      </c>
      <c r="AF89" s="95">
        <v>133.30000000000001</v>
      </c>
      <c r="AG89" s="96"/>
      <c r="AH89" s="54">
        <f t="shared" si="17"/>
        <v>138</v>
      </c>
      <c r="AI89" s="55">
        <f t="shared" si="18"/>
        <v>130.4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120.8</v>
      </c>
      <c r="C90" s="70">
        <v>121.4</v>
      </c>
      <c r="D90" s="70">
        <v>126.4</v>
      </c>
      <c r="E90" s="70">
        <v>123</v>
      </c>
      <c r="F90" s="70">
        <v>121.1</v>
      </c>
      <c r="G90" s="70">
        <v>119</v>
      </c>
      <c r="H90" s="70">
        <v>121.7</v>
      </c>
      <c r="I90" s="70">
        <v>122.5</v>
      </c>
      <c r="J90" s="70">
        <v>120</v>
      </c>
      <c r="K90" s="70">
        <v>123</v>
      </c>
      <c r="L90" s="70">
        <v>123</v>
      </c>
      <c r="M90" s="70">
        <v>123</v>
      </c>
      <c r="N90" s="70">
        <v>132.4</v>
      </c>
      <c r="O90" s="70">
        <v>123.3</v>
      </c>
      <c r="P90" s="70">
        <v>132.80000000000001</v>
      </c>
      <c r="Q90" s="70">
        <v>132.80000000000001</v>
      </c>
      <c r="R90" s="70">
        <v>132.80000000000001</v>
      </c>
      <c r="S90" s="70">
        <v>121.5</v>
      </c>
      <c r="T90" s="70">
        <v>122.7</v>
      </c>
      <c r="U90" s="70">
        <v>124.5</v>
      </c>
      <c r="V90" s="70">
        <v>126.2</v>
      </c>
      <c r="W90" s="70">
        <v>126</v>
      </c>
      <c r="X90" s="70">
        <v>126.4</v>
      </c>
      <c r="Y90" s="70">
        <v>121.6</v>
      </c>
      <c r="Z90" s="70">
        <v>125</v>
      </c>
      <c r="AA90" s="70">
        <v>122.5</v>
      </c>
      <c r="AB90" s="70">
        <v>128.9</v>
      </c>
      <c r="AC90" s="70">
        <v>117.4</v>
      </c>
      <c r="AD90" s="70">
        <v>129.4</v>
      </c>
      <c r="AE90" s="70">
        <v>118.5</v>
      </c>
      <c r="AF90" s="70">
        <v>124.3</v>
      </c>
      <c r="AG90" s="93"/>
      <c r="AH90" s="54">
        <f t="shared" si="17"/>
        <v>132.80000000000001</v>
      </c>
      <c r="AI90" s="55">
        <f t="shared" si="18"/>
        <v>117.4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65.2</v>
      </c>
      <c r="C91" s="97">
        <v>65.3</v>
      </c>
      <c r="D91" s="97">
        <v>65.2</v>
      </c>
      <c r="E91" s="97">
        <v>65.400000000000006</v>
      </c>
      <c r="F91" s="97">
        <v>65.5</v>
      </c>
      <c r="G91" s="97">
        <v>64.900000000000006</v>
      </c>
      <c r="H91" s="97">
        <v>65.099999999999994</v>
      </c>
      <c r="I91" s="97">
        <v>64.8</v>
      </c>
      <c r="J91" s="97">
        <v>64.3</v>
      </c>
      <c r="K91" s="97">
        <v>64.099999999999994</v>
      </c>
      <c r="L91" s="97">
        <v>63.4</v>
      </c>
      <c r="M91" s="97">
        <v>64.099999999999994</v>
      </c>
      <c r="N91" s="97">
        <v>62.8</v>
      </c>
      <c r="O91" s="97">
        <v>67.7</v>
      </c>
      <c r="P91" s="97">
        <v>62.9</v>
      </c>
      <c r="Q91" s="97">
        <v>62.9</v>
      </c>
      <c r="R91" s="97">
        <v>62.4</v>
      </c>
      <c r="S91" s="97">
        <v>64.400000000000006</v>
      </c>
      <c r="T91" s="97">
        <v>64.7</v>
      </c>
      <c r="U91" s="97">
        <v>64.8</v>
      </c>
      <c r="V91" s="97">
        <v>65.3</v>
      </c>
      <c r="W91" s="97">
        <v>65.2</v>
      </c>
      <c r="X91" s="97">
        <v>64.900000000000006</v>
      </c>
      <c r="Y91" s="97">
        <v>64.900000000000006</v>
      </c>
      <c r="Z91" s="97">
        <v>65.400000000000006</v>
      </c>
      <c r="AA91" s="97">
        <v>65.099999999999994</v>
      </c>
      <c r="AB91" s="97">
        <v>65.2</v>
      </c>
      <c r="AC91" s="97">
        <v>65.400000000000006</v>
      </c>
      <c r="AD91" s="97">
        <v>65.900000000000006</v>
      </c>
      <c r="AE91" s="97">
        <v>65.8</v>
      </c>
      <c r="AF91" s="97">
        <v>66.099999999999994</v>
      </c>
      <c r="AG91" s="98"/>
      <c r="AH91" s="54">
        <f t="shared" si="17"/>
        <v>67.7</v>
      </c>
      <c r="AI91" s="55">
        <f t="shared" si="18"/>
        <v>62.4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22">SUM(B15,B18,B21:B22,B42,B44:B45,B47,B49,B94:B97,B103,B109,B115,B124,B126,B138,B145,B148:B149,B156,B158,B160,B164:B166,B168:B170,B175,B181:B182,B184:B186,B194,B199)</f>
        <v>156.04000000000002</v>
      </c>
      <c r="C93" s="103">
        <f t="shared" ref="C93:AF93" si="23">SUM(C15,C18,C21:C22,C42,C44:C45,C47,C49,C94:C97,C103,C109,C115,C124,C126,C138,C145,C148:C149,C156,C158,C160,C164:C166,C168:C170,C175,C181:C182,C184:C186,C194,C199)</f>
        <v>152.13999999999999</v>
      </c>
      <c r="D93" s="103">
        <f t="shared" si="23"/>
        <v>141.33999999999997</v>
      </c>
      <c r="E93" s="103">
        <f t="shared" si="23"/>
        <v>136.54</v>
      </c>
      <c r="F93" s="103">
        <f t="shared" si="23"/>
        <v>141.83999999999997</v>
      </c>
      <c r="G93" s="103">
        <f t="shared" si="23"/>
        <v>156.63999999999999</v>
      </c>
      <c r="H93" s="103">
        <f t="shared" si="23"/>
        <v>178.43999999999997</v>
      </c>
      <c r="I93" s="103">
        <f t="shared" si="23"/>
        <v>207.33999999999995</v>
      </c>
      <c r="J93" s="103">
        <f t="shared" si="23"/>
        <v>227.93999999999997</v>
      </c>
      <c r="K93" s="103">
        <f t="shared" si="23"/>
        <v>259.04000000000008</v>
      </c>
      <c r="L93" s="103">
        <f t="shared" si="23"/>
        <v>260.04000000000008</v>
      </c>
      <c r="M93" s="103">
        <f t="shared" si="23"/>
        <v>261.04000000000002</v>
      </c>
      <c r="N93" s="103">
        <f t="shared" si="23"/>
        <v>262.04000000000002</v>
      </c>
      <c r="O93" s="103">
        <f t="shared" si="23"/>
        <v>266.74</v>
      </c>
      <c r="P93" s="103">
        <f t="shared" si="23"/>
        <v>277.64</v>
      </c>
      <c r="Q93" s="103">
        <f t="shared" si="23"/>
        <v>279.44</v>
      </c>
      <c r="R93" s="103">
        <f t="shared" si="23"/>
        <v>254.63999999999996</v>
      </c>
      <c r="S93" s="103">
        <f t="shared" si="23"/>
        <v>265.44</v>
      </c>
      <c r="T93" s="103">
        <f t="shared" si="23"/>
        <v>257.23999999999995</v>
      </c>
      <c r="U93" s="103">
        <f t="shared" si="23"/>
        <v>294.54000000000002</v>
      </c>
      <c r="V93" s="103">
        <f t="shared" si="23"/>
        <v>275.14000000000004</v>
      </c>
      <c r="W93" s="103">
        <f>SUM(W15,W18,W21:W22,W42,W44:W45,W47,W49,W94:W97,W103,W109,W115,W124,W126,W138,W145,W148:W149,W156,W158,W160,W164:W166,W168:W170,W175,W181:W182,W184:W186,W194,W199)</f>
        <v>283.64000000000004</v>
      </c>
      <c r="X93" s="103">
        <f>SUM(X15,X18,X21:X22,X42,X44:X45,X47,X49,X94:X97,X103,X109,X115,X124,X126,X138,X145,X148:X149,X156,X158,X160,X164:X166,X168:X170,X175,X181:X182,X184:X186,X194,X199)</f>
        <v>283.04000000000002</v>
      </c>
      <c r="Y93" s="103">
        <f t="shared" si="23"/>
        <v>290.74</v>
      </c>
      <c r="Z93" s="103">
        <f t="shared" si="23"/>
        <v>306.64000000000004</v>
      </c>
      <c r="AA93" s="103">
        <f t="shared" si="23"/>
        <v>325.64</v>
      </c>
      <c r="AB93" s="103">
        <f t="shared" si="23"/>
        <v>309.84000000000003</v>
      </c>
      <c r="AC93" s="103">
        <f t="shared" si="23"/>
        <v>293.34000000000003</v>
      </c>
      <c r="AD93" s="103">
        <f t="shared" si="23"/>
        <v>257.07</v>
      </c>
      <c r="AE93" s="103">
        <f t="shared" si="23"/>
        <v>204.73999999999998</v>
      </c>
      <c r="AF93" s="103">
        <f t="shared" si="23"/>
        <v>168.03999999999996</v>
      </c>
      <c r="AG93" s="104"/>
      <c r="AH93" s="54">
        <f>MAX(C93:AF93)</f>
        <v>325.64</v>
      </c>
      <c r="AI93" s="55">
        <f>MIN(C93:AF93)</f>
        <v>136.54</v>
      </c>
    </row>
    <row r="94" spans="1:88" x14ac:dyDescent="0.25">
      <c r="A94" s="105" t="s">
        <v>99</v>
      </c>
      <c r="B94" s="106">
        <v>24.8</v>
      </c>
      <c r="C94" s="106">
        <v>33.4</v>
      </c>
      <c r="D94" s="106">
        <v>27.7</v>
      </c>
      <c r="E94" s="106">
        <v>42.8</v>
      </c>
      <c r="F94" s="106">
        <v>45.4</v>
      </c>
      <c r="G94" s="106">
        <v>47.2</v>
      </c>
      <c r="H94" s="106">
        <v>48.1</v>
      </c>
      <c r="I94" s="106">
        <v>49.5</v>
      </c>
      <c r="J94" s="106">
        <v>45.5</v>
      </c>
      <c r="K94" s="106">
        <v>49.3</v>
      </c>
      <c r="L94" s="106">
        <v>50.3</v>
      </c>
      <c r="M94" s="106">
        <v>51.3</v>
      </c>
      <c r="N94" s="106">
        <v>52.3</v>
      </c>
      <c r="O94" s="106">
        <v>49.2</v>
      </c>
      <c r="P94" s="106">
        <v>46</v>
      </c>
      <c r="Q94" s="106">
        <v>47</v>
      </c>
      <c r="R94" s="106">
        <v>48.1</v>
      </c>
      <c r="S94" s="106">
        <v>52.8</v>
      </c>
      <c r="T94" s="106">
        <v>51.4</v>
      </c>
      <c r="U94" s="106">
        <v>45.3</v>
      </c>
      <c r="V94" s="106">
        <v>45.3</v>
      </c>
      <c r="W94" s="106">
        <v>45.4</v>
      </c>
      <c r="X94" s="106">
        <v>45.4</v>
      </c>
      <c r="Y94" s="106">
        <v>62.2</v>
      </c>
      <c r="Z94" s="106">
        <v>62.2</v>
      </c>
      <c r="AA94" s="106">
        <v>31.2</v>
      </c>
      <c r="AB94" s="106">
        <v>49.8</v>
      </c>
      <c r="AC94" s="106">
        <v>41.6</v>
      </c>
      <c r="AD94" s="106">
        <v>38</v>
      </c>
      <c r="AE94" s="106">
        <v>42</v>
      </c>
      <c r="AF94" s="106">
        <v>32.4</v>
      </c>
      <c r="AG94" s="107">
        <v>75</v>
      </c>
      <c r="AH94" s="54">
        <f t="shared" ref="AH94:AH100" si="24">IF(ABS(MAX(C94:AF94))&gt;ABS(MIN(C94:AF94)),MAX(C94:AF94),MIN(C94:AF94))</f>
        <v>62.2</v>
      </c>
      <c r="AI94" s="108">
        <f t="shared" ref="AI94:AI100" si="25">INDEX($C$9:$AF$9,1,MATCH(AH94,C94:AF94,0))</f>
        <v>0.77083333333333337</v>
      </c>
    </row>
    <row r="95" spans="1:88" x14ac:dyDescent="0.25">
      <c r="A95" s="109" t="s">
        <v>100</v>
      </c>
      <c r="B95" s="110">
        <f>-56.9-61.8</f>
        <v>-118.69999999999999</v>
      </c>
      <c r="C95" s="110">
        <f>-59-63.9</f>
        <v>-122.9</v>
      </c>
      <c r="D95" s="110">
        <f>-59.8-65.3</f>
        <v>-125.1</v>
      </c>
      <c r="E95" s="110">
        <f>-61-66</f>
        <v>-127</v>
      </c>
      <c r="F95" s="110">
        <f>-59.5-65</f>
        <v>-124.5</v>
      </c>
      <c r="G95" s="110">
        <f>-56.2-61.4</f>
        <v>-117.6</v>
      </c>
      <c r="H95" s="110">
        <f>-51-55</f>
        <v>-106</v>
      </c>
      <c r="I95" s="110">
        <f>-45-49.3</f>
        <v>-94.3</v>
      </c>
      <c r="J95" s="110">
        <f>-39.8-44</f>
        <v>-83.8</v>
      </c>
      <c r="K95" s="110">
        <f>-34-38</f>
        <v>-72</v>
      </c>
      <c r="L95" s="110">
        <f t="shared" ref="L95:N95" si="26">-34-38</f>
        <v>-72</v>
      </c>
      <c r="M95" s="110">
        <f t="shared" si="26"/>
        <v>-72</v>
      </c>
      <c r="N95" s="110">
        <f t="shared" si="26"/>
        <v>-72</v>
      </c>
      <c r="O95" s="110">
        <f>-35-40.6</f>
        <v>-75.599999999999994</v>
      </c>
      <c r="P95" s="110">
        <f>-32.4-40</f>
        <v>-72.400000000000006</v>
      </c>
      <c r="Q95" s="110">
        <f t="shared" ref="Q95" si="27">-32.4-40</f>
        <v>-72.400000000000006</v>
      </c>
      <c r="R95" s="110">
        <f>-36.2-42.2</f>
        <v>-78.400000000000006</v>
      </c>
      <c r="S95" s="110">
        <v>-73.099999999999994</v>
      </c>
      <c r="T95" s="110">
        <v>-79.099999999999994</v>
      </c>
      <c r="U95" s="110">
        <v>-38.5</v>
      </c>
      <c r="V95" s="110">
        <v>-57.5</v>
      </c>
      <c r="W95" s="110">
        <v>-61.7</v>
      </c>
      <c r="X95" s="110">
        <v>-66.900000000000006</v>
      </c>
      <c r="Y95" s="110">
        <v>-60.1</v>
      </c>
      <c r="Z95" s="110">
        <v>-60.1</v>
      </c>
      <c r="AA95" s="110">
        <v>-33.9</v>
      </c>
      <c r="AB95" s="110">
        <f>-19.8-30.9</f>
        <v>-50.7</v>
      </c>
      <c r="AC95" s="110">
        <f>-27.1-39.4</f>
        <v>-66.5</v>
      </c>
      <c r="AD95" s="110">
        <f>-34-47</f>
        <v>-81</v>
      </c>
      <c r="AE95" s="110">
        <f>-46.2-57.5</f>
        <v>-103.7</v>
      </c>
      <c r="AF95" s="110">
        <f>-48.8-59.2</f>
        <v>-108</v>
      </c>
      <c r="AG95" s="107">
        <v>240</v>
      </c>
      <c r="AH95" s="54">
        <f t="shared" si="24"/>
        <v>-127</v>
      </c>
      <c r="AI95" s="108">
        <f t="shared" si="25"/>
        <v>0.125</v>
      </c>
    </row>
    <row r="96" spans="1:88" x14ac:dyDescent="0.25">
      <c r="A96" s="109" t="s">
        <v>101</v>
      </c>
      <c r="B96" s="110">
        <v>-0.8</v>
      </c>
      <c r="C96" s="110">
        <v>-2.2999999999999998</v>
      </c>
      <c r="D96" s="110">
        <v>-4.0999999999999996</v>
      </c>
      <c r="E96" s="110">
        <v>-5.9</v>
      </c>
      <c r="F96" s="110">
        <v>-5.4</v>
      </c>
      <c r="G96" s="110">
        <v>-4.2</v>
      </c>
      <c r="H96" s="110">
        <v>-2</v>
      </c>
      <c r="I96" s="110">
        <v>0.2</v>
      </c>
      <c r="J96" s="110">
        <v>2.4</v>
      </c>
      <c r="K96" s="110">
        <v>5.0999999999999996</v>
      </c>
      <c r="L96" s="110">
        <v>5.0999999999999996</v>
      </c>
      <c r="M96" s="110">
        <v>5.0999999999999996</v>
      </c>
      <c r="N96" s="110">
        <v>5.0999999999999996</v>
      </c>
      <c r="O96" s="110">
        <v>13.2</v>
      </c>
      <c r="P96" s="110">
        <v>27.4</v>
      </c>
      <c r="Q96" s="110">
        <v>27.4</v>
      </c>
      <c r="R96" s="110">
        <v>14</v>
      </c>
      <c r="S96" s="110">
        <v>33</v>
      </c>
      <c r="T96" s="110">
        <v>32.6</v>
      </c>
      <c r="U96" s="110">
        <v>35.299999999999997</v>
      </c>
      <c r="V96" s="110">
        <v>37.200000000000003</v>
      </c>
      <c r="W96" s="110">
        <v>33</v>
      </c>
      <c r="X96" s="110">
        <v>35.200000000000003</v>
      </c>
      <c r="Y96" s="110">
        <v>38.1</v>
      </c>
      <c r="Z96" s="110">
        <v>35.200000000000003</v>
      </c>
      <c r="AA96" s="110">
        <v>53</v>
      </c>
      <c r="AB96" s="110">
        <v>47.1</v>
      </c>
      <c r="AC96" s="110">
        <v>45.2</v>
      </c>
      <c r="AD96" s="110">
        <v>42.03</v>
      </c>
      <c r="AE96" s="110">
        <v>31.5</v>
      </c>
      <c r="AF96" s="110">
        <v>26.6</v>
      </c>
      <c r="AG96" s="107">
        <v>60</v>
      </c>
      <c r="AH96" s="54">
        <f t="shared" si="24"/>
        <v>53</v>
      </c>
      <c r="AI96" s="108">
        <f t="shared" si="25"/>
        <v>0.8125</v>
      </c>
    </row>
    <row r="97" spans="1:37" x14ac:dyDescent="0.25">
      <c r="A97" s="111" t="s">
        <v>102</v>
      </c>
      <c r="B97" s="112">
        <v>30.5</v>
      </c>
      <c r="C97" s="112">
        <v>23.8</v>
      </c>
      <c r="D97" s="112">
        <v>23</v>
      </c>
      <c r="E97" s="112">
        <v>6.8</v>
      </c>
      <c r="F97" s="112">
        <v>6.5</v>
      </c>
      <c r="G97" s="112">
        <v>11.4</v>
      </c>
      <c r="H97" s="112">
        <v>18.5</v>
      </c>
      <c r="I97" s="112">
        <v>32.1</v>
      </c>
      <c r="J97" s="112">
        <v>44</v>
      </c>
      <c r="K97" s="112">
        <v>56.8</v>
      </c>
      <c r="L97" s="112">
        <v>56.8</v>
      </c>
      <c r="M97" s="112">
        <v>56.8</v>
      </c>
      <c r="N97" s="112">
        <v>56.8</v>
      </c>
      <c r="O97" s="112">
        <v>60.1</v>
      </c>
      <c r="P97" s="112">
        <v>62.6</v>
      </c>
      <c r="Q97" s="112">
        <v>62.6</v>
      </c>
      <c r="R97" s="112">
        <v>56.1</v>
      </c>
      <c r="S97" s="112">
        <v>35.5</v>
      </c>
      <c r="T97" s="112">
        <v>35.299999999999997</v>
      </c>
      <c r="U97" s="112">
        <v>35.5</v>
      </c>
      <c r="V97" s="112">
        <v>34</v>
      </c>
      <c r="W97" s="112">
        <v>50.8</v>
      </c>
      <c r="X97" s="112">
        <v>53.2</v>
      </c>
      <c r="Y97" s="112">
        <v>34.4</v>
      </c>
      <c r="Z97" s="112">
        <v>53.2</v>
      </c>
      <c r="AA97" s="112">
        <v>58.3</v>
      </c>
      <c r="AB97" s="112">
        <v>46.6</v>
      </c>
      <c r="AC97" s="112">
        <v>56</v>
      </c>
      <c r="AD97" s="112">
        <v>41</v>
      </c>
      <c r="AE97" s="112">
        <v>17.899999999999999</v>
      </c>
      <c r="AF97" s="112">
        <v>0</v>
      </c>
      <c r="AG97" s="113">
        <v>120</v>
      </c>
      <c r="AH97" s="54">
        <f t="shared" si="24"/>
        <v>62.6</v>
      </c>
      <c r="AI97" s="108">
        <f t="shared" si="25"/>
        <v>0.45833333333333298</v>
      </c>
    </row>
    <row r="98" spans="1:37" x14ac:dyDescent="0.25">
      <c r="A98" s="111" t="s">
        <v>103</v>
      </c>
      <c r="B98" s="112">
        <v>48.4</v>
      </c>
      <c r="C98" s="112">
        <v>36.5</v>
      </c>
      <c r="D98" s="112">
        <v>44.2</v>
      </c>
      <c r="E98" s="112">
        <v>31.4</v>
      </c>
      <c r="F98" s="112">
        <v>29.7</v>
      </c>
      <c r="G98" s="112">
        <v>33.700000000000003</v>
      </c>
      <c r="H98" s="112">
        <v>37</v>
      </c>
      <c r="I98" s="112">
        <v>42.7</v>
      </c>
      <c r="J98" s="112">
        <v>57</v>
      </c>
      <c r="K98" s="112">
        <v>61</v>
      </c>
      <c r="L98" s="112">
        <v>61</v>
      </c>
      <c r="M98" s="112">
        <v>61</v>
      </c>
      <c r="N98" s="112">
        <v>61</v>
      </c>
      <c r="O98" s="112">
        <v>68.400000000000006</v>
      </c>
      <c r="P98" s="112">
        <v>71.3</v>
      </c>
      <c r="Q98" s="112">
        <v>71.3</v>
      </c>
      <c r="R98" s="112">
        <v>63.9</v>
      </c>
      <c r="S98" s="112">
        <v>43.5</v>
      </c>
      <c r="T98" s="112">
        <v>50.9</v>
      </c>
      <c r="U98" s="112">
        <v>50.2</v>
      </c>
      <c r="V98" s="112">
        <v>38.4</v>
      </c>
      <c r="W98" s="112">
        <v>48.8</v>
      </c>
      <c r="X98" s="112">
        <v>51.6</v>
      </c>
      <c r="Y98" s="112">
        <v>38.299999999999997</v>
      </c>
      <c r="Z98" s="112">
        <v>51.6</v>
      </c>
      <c r="AA98" s="112">
        <v>48</v>
      </c>
      <c r="AB98" s="112">
        <v>48</v>
      </c>
      <c r="AC98" s="112">
        <v>50</v>
      </c>
      <c r="AD98" s="112">
        <v>44</v>
      </c>
      <c r="AE98" s="112">
        <v>38.200000000000003</v>
      </c>
      <c r="AF98" s="112">
        <v>26.4</v>
      </c>
      <c r="AG98" s="113"/>
      <c r="AH98" s="54">
        <f t="shared" si="24"/>
        <v>71.3</v>
      </c>
      <c r="AI98" s="108">
        <f t="shared" si="25"/>
        <v>0.45833333333333298</v>
      </c>
    </row>
    <row r="99" spans="1:37" x14ac:dyDescent="0.25">
      <c r="A99" s="111" t="s">
        <v>104</v>
      </c>
      <c r="B99" s="112">
        <v>81</v>
      </c>
      <c r="C99" s="112">
        <v>78.900000000000006</v>
      </c>
      <c r="D99" s="112">
        <v>78.400000000000006</v>
      </c>
      <c r="E99" s="112">
        <v>39.6</v>
      </c>
      <c r="F99" s="112">
        <v>36.200000000000003</v>
      </c>
      <c r="G99" s="112">
        <v>36.5</v>
      </c>
      <c r="H99" s="112">
        <v>34.9</v>
      </c>
      <c r="I99" s="112">
        <v>34</v>
      </c>
      <c r="J99" s="112">
        <v>39</v>
      </c>
      <c r="K99" s="112">
        <v>34</v>
      </c>
      <c r="L99" s="112">
        <v>34</v>
      </c>
      <c r="M99" s="112">
        <v>34</v>
      </c>
      <c r="N99" s="112">
        <v>34</v>
      </c>
      <c r="O99" s="112">
        <v>61</v>
      </c>
      <c r="P99" s="112">
        <v>47</v>
      </c>
      <c r="Q99" s="112">
        <v>47</v>
      </c>
      <c r="R99" s="112">
        <v>42.1</v>
      </c>
      <c r="S99" s="112">
        <v>28.7</v>
      </c>
      <c r="T99" s="112">
        <v>39.5</v>
      </c>
      <c r="U99" s="112">
        <v>57.6</v>
      </c>
      <c r="V99" s="112">
        <v>67</v>
      </c>
      <c r="W99" s="112">
        <v>66.2</v>
      </c>
      <c r="X99" s="112">
        <v>70.2</v>
      </c>
      <c r="Y99" s="112">
        <v>24.4</v>
      </c>
      <c r="Z99" s="112">
        <v>70.2</v>
      </c>
      <c r="AA99" s="112">
        <v>41.6</v>
      </c>
      <c r="AB99" s="112">
        <v>39.700000000000003</v>
      </c>
      <c r="AC99" s="112">
        <v>68</v>
      </c>
      <c r="AD99" s="112">
        <v>71</v>
      </c>
      <c r="AE99" s="112">
        <v>61.2</v>
      </c>
      <c r="AF99" s="112">
        <v>59.2</v>
      </c>
      <c r="AG99" s="114"/>
      <c r="AH99" s="54">
        <f t="shared" si="24"/>
        <v>78.900000000000006</v>
      </c>
      <c r="AI99" s="108">
        <f t="shared" si="25"/>
        <v>4.1666666666666664E-2</v>
      </c>
    </row>
    <row r="100" spans="1:37" ht="15.75" thickBot="1" x14ac:dyDescent="0.3">
      <c r="A100" s="115" t="s">
        <v>105</v>
      </c>
      <c r="B100" s="95">
        <v>50.2</v>
      </c>
      <c r="C100" s="95">
        <v>56.5</v>
      </c>
      <c r="D100" s="95">
        <v>40.5</v>
      </c>
      <c r="E100" s="95">
        <v>34</v>
      </c>
      <c r="F100" s="95">
        <v>32</v>
      </c>
      <c r="G100" s="95">
        <v>22.2</v>
      </c>
      <c r="H100" s="95">
        <v>19.5</v>
      </c>
      <c r="I100" s="95">
        <v>19.2</v>
      </c>
      <c r="J100" s="95">
        <v>23</v>
      </c>
      <c r="K100" s="95">
        <v>28</v>
      </c>
      <c r="L100" s="95">
        <v>28</v>
      </c>
      <c r="M100" s="95">
        <v>29</v>
      </c>
      <c r="N100" s="95">
        <v>30.4</v>
      </c>
      <c r="O100" s="95">
        <v>34.6</v>
      </c>
      <c r="P100" s="95">
        <v>38.5</v>
      </c>
      <c r="Q100" s="95">
        <v>38.5</v>
      </c>
      <c r="R100" s="95">
        <v>35.799999999999997</v>
      </c>
      <c r="S100" s="95">
        <v>43.6</v>
      </c>
      <c r="T100" s="95">
        <v>37.9</v>
      </c>
      <c r="U100" s="95">
        <v>36.1</v>
      </c>
      <c r="V100" s="95">
        <v>41.5</v>
      </c>
      <c r="W100" s="95">
        <v>37.4</v>
      </c>
      <c r="X100" s="95">
        <v>59.6</v>
      </c>
      <c r="Y100" s="95">
        <v>35.299999999999997</v>
      </c>
      <c r="Z100" s="95">
        <v>59.6</v>
      </c>
      <c r="AA100" s="95">
        <v>55.6</v>
      </c>
      <c r="AB100" s="95">
        <v>57</v>
      </c>
      <c r="AC100" s="95">
        <v>59</v>
      </c>
      <c r="AD100" s="95">
        <v>62</v>
      </c>
      <c r="AE100" s="95">
        <v>59.1</v>
      </c>
      <c r="AF100" s="95">
        <v>52</v>
      </c>
      <c r="AG100" s="114"/>
      <c r="AH100" s="54">
        <f t="shared" si="24"/>
        <v>62</v>
      </c>
      <c r="AI100" s="108">
        <f t="shared" si="25"/>
        <v>0.875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8">AF102</f>
        <v>9.9</v>
      </c>
      <c r="C102" s="53">
        <v>9.9</v>
      </c>
      <c r="D102" s="121">
        <f t="shared" ref="D102:S107" si="29">C102</f>
        <v>9.9</v>
      </c>
      <c r="E102" s="121">
        <f t="shared" si="29"/>
        <v>9.9</v>
      </c>
      <c r="F102" s="121">
        <f t="shared" si="29"/>
        <v>9.9</v>
      </c>
      <c r="G102" s="121">
        <f t="shared" si="29"/>
        <v>9.9</v>
      </c>
      <c r="H102" s="121">
        <f t="shared" si="29"/>
        <v>9.9</v>
      </c>
      <c r="I102" s="121">
        <f t="shared" si="29"/>
        <v>9.9</v>
      </c>
      <c r="J102" s="121">
        <f t="shared" si="29"/>
        <v>9.9</v>
      </c>
      <c r="K102" s="121">
        <f t="shared" si="29"/>
        <v>9.9</v>
      </c>
      <c r="L102" s="121">
        <f t="shared" si="29"/>
        <v>9.9</v>
      </c>
      <c r="M102" s="121">
        <f t="shared" si="29"/>
        <v>9.9</v>
      </c>
      <c r="N102" s="121">
        <f t="shared" si="29"/>
        <v>9.9</v>
      </c>
      <c r="O102" s="121">
        <f t="shared" si="29"/>
        <v>9.9</v>
      </c>
      <c r="P102" s="121">
        <f t="shared" si="29"/>
        <v>9.9</v>
      </c>
      <c r="Q102" s="121">
        <f t="shared" si="29"/>
        <v>9.9</v>
      </c>
      <c r="R102" s="121">
        <f t="shared" si="29"/>
        <v>9.9</v>
      </c>
      <c r="S102" s="121">
        <f t="shared" si="29"/>
        <v>9.9</v>
      </c>
      <c r="T102" s="121">
        <f t="shared" ref="T102:AF107" si="30">S102</f>
        <v>9.9</v>
      </c>
      <c r="U102" s="121">
        <f t="shared" si="30"/>
        <v>9.9</v>
      </c>
      <c r="V102" s="121">
        <f t="shared" si="30"/>
        <v>9.9</v>
      </c>
      <c r="W102" s="121">
        <f t="shared" si="30"/>
        <v>9.9</v>
      </c>
      <c r="X102" s="121">
        <f t="shared" si="30"/>
        <v>9.9</v>
      </c>
      <c r="Y102" s="121">
        <f t="shared" si="30"/>
        <v>9.9</v>
      </c>
      <c r="Z102" s="121">
        <f t="shared" si="30"/>
        <v>9.9</v>
      </c>
      <c r="AA102" s="121">
        <f t="shared" si="30"/>
        <v>9.9</v>
      </c>
      <c r="AB102" s="121">
        <f t="shared" si="30"/>
        <v>9.9</v>
      </c>
      <c r="AC102" s="121">
        <f t="shared" si="30"/>
        <v>9.9</v>
      </c>
      <c r="AD102" s="121">
        <f t="shared" si="30"/>
        <v>9.9</v>
      </c>
      <c r="AE102" s="121">
        <f t="shared" si="30"/>
        <v>9.9</v>
      </c>
      <c r="AF102" s="121">
        <f t="shared" si="3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8"/>
        <v>9.6</v>
      </c>
      <c r="C103" s="124">
        <v>9.6</v>
      </c>
      <c r="D103" s="123">
        <f t="shared" si="29"/>
        <v>9.6</v>
      </c>
      <c r="E103" s="123">
        <f t="shared" si="29"/>
        <v>9.6</v>
      </c>
      <c r="F103" s="123">
        <f t="shared" si="29"/>
        <v>9.6</v>
      </c>
      <c r="G103" s="123">
        <f t="shared" si="29"/>
        <v>9.6</v>
      </c>
      <c r="H103" s="123">
        <f t="shared" si="29"/>
        <v>9.6</v>
      </c>
      <c r="I103" s="123">
        <f t="shared" si="29"/>
        <v>9.6</v>
      </c>
      <c r="J103" s="123">
        <f t="shared" si="29"/>
        <v>9.6</v>
      </c>
      <c r="K103" s="123">
        <f t="shared" si="29"/>
        <v>9.6</v>
      </c>
      <c r="L103" s="123">
        <f t="shared" si="29"/>
        <v>9.6</v>
      </c>
      <c r="M103" s="123">
        <f t="shared" si="29"/>
        <v>9.6</v>
      </c>
      <c r="N103" s="123">
        <f t="shared" si="29"/>
        <v>9.6</v>
      </c>
      <c r="O103" s="123">
        <f t="shared" si="29"/>
        <v>9.6</v>
      </c>
      <c r="P103" s="123">
        <f t="shared" si="29"/>
        <v>9.6</v>
      </c>
      <c r="Q103" s="123">
        <f t="shared" si="29"/>
        <v>9.6</v>
      </c>
      <c r="R103" s="123">
        <f t="shared" si="29"/>
        <v>9.6</v>
      </c>
      <c r="S103" s="123">
        <f t="shared" si="29"/>
        <v>9.6</v>
      </c>
      <c r="T103" s="123">
        <f t="shared" si="30"/>
        <v>9.6</v>
      </c>
      <c r="U103" s="123">
        <f t="shared" si="30"/>
        <v>9.6</v>
      </c>
      <c r="V103" s="123">
        <f t="shared" si="30"/>
        <v>9.6</v>
      </c>
      <c r="W103" s="123">
        <f t="shared" si="30"/>
        <v>9.6</v>
      </c>
      <c r="X103" s="123">
        <f t="shared" si="30"/>
        <v>9.6</v>
      </c>
      <c r="Y103" s="123">
        <f t="shared" si="30"/>
        <v>9.6</v>
      </c>
      <c r="Z103" s="123">
        <f t="shared" si="30"/>
        <v>9.6</v>
      </c>
      <c r="AA103" s="123">
        <f t="shared" si="30"/>
        <v>9.6</v>
      </c>
      <c r="AB103" s="123">
        <f t="shared" si="30"/>
        <v>9.6</v>
      </c>
      <c r="AC103" s="123">
        <f t="shared" si="30"/>
        <v>9.6</v>
      </c>
      <c r="AD103" s="123">
        <f t="shared" si="30"/>
        <v>9.6</v>
      </c>
      <c r="AE103" s="123">
        <f t="shared" si="30"/>
        <v>9.6</v>
      </c>
      <c r="AF103" s="123">
        <f t="shared" si="3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8"/>
        <v>9.98</v>
      </c>
      <c r="C104" s="124">
        <v>9.98</v>
      </c>
      <c r="D104" s="123">
        <f t="shared" si="29"/>
        <v>9.98</v>
      </c>
      <c r="E104" s="123">
        <f t="shared" si="29"/>
        <v>9.98</v>
      </c>
      <c r="F104" s="123">
        <f t="shared" si="29"/>
        <v>9.98</v>
      </c>
      <c r="G104" s="123">
        <f t="shared" si="29"/>
        <v>9.98</v>
      </c>
      <c r="H104" s="123">
        <f t="shared" si="29"/>
        <v>9.98</v>
      </c>
      <c r="I104" s="123">
        <f t="shared" si="29"/>
        <v>9.98</v>
      </c>
      <c r="J104" s="123">
        <f t="shared" si="29"/>
        <v>9.98</v>
      </c>
      <c r="K104" s="123">
        <f t="shared" si="29"/>
        <v>9.98</v>
      </c>
      <c r="L104" s="123">
        <f t="shared" si="29"/>
        <v>9.98</v>
      </c>
      <c r="M104" s="123">
        <f t="shared" si="29"/>
        <v>9.98</v>
      </c>
      <c r="N104" s="123">
        <f t="shared" si="29"/>
        <v>9.98</v>
      </c>
      <c r="O104" s="123">
        <f t="shared" si="29"/>
        <v>9.98</v>
      </c>
      <c r="P104" s="123">
        <f t="shared" si="29"/>
        <v>9.98</v>
      </c>
      <c r="Q104" s="123">
        <f t="shared" si="29"/>
        <v>9.98</v>
      </c>
      <c r="R104" s="123">
        <f t="shared" si="29"/>
        <v>9.98</v>
      </c>
      <c r="S104" s="123">
        <f t="shared" si="29"/>
        <v>9.98</v>
      </c>
      <c r="T104" s="123">
        <f t="shared" si="30"/>
        <v>9.98</v>
      </c>
      <c r="U104" s="123">
        <f t="shared" si="30"/>
        <v>9.98</v>
      </c>
      <c r="V104" s="123">
        <f t="shared" si="30"/>
        <v>9.98</v>
      </c>
      <c r="W104" s="123">
        <f t="shared" si="30"/>
        <v>9.98</v>
      </c>
      <c r="X104" s="123">
        <f t="shared" si="30"/>
        <v>9.98</v>
      </c>
      <c r="Y104" s="123">
        <f t="shared" si="30"/>
        <v>9.98</v>
      </c>
      <c r="Z104" s="123">
        <f t="shared" si="30"/>
        <v>9.98</v>
      </c>
      <c r="AA104" s="123">
        <f t="shared" si="30"/>
        <v>9.98</v>
      </c>
      <c r="AB104" s="123">
        <f t="shared" si="30"/>
        <v>9.98</v>
      </c>
      <c r="AC104" s="123">
        <f t="shared" si="30"/>
        <v>9.98</v>
      </c>
      <c r="AD104" s="123">
        <f t="shared" si="30"/>
        <v>9.98</v>
      </c>
      <c r="AE104" s="123">
        <f t="shared" si="30"/>
        <v>9.98</v>
      </c>
      <c r="AF104" s="123">
        <f t="shared" si="3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8"/>
        <v>9.1</v>
      </c>
      <c r="C105" s="124">
        <v>9.1</v>
      </c>
      <c r="D105" s="123">
        <f t="shared" si="29"/>
        <v>9.1</v>
      </c>
      <c r="E105" s="123">
        <f t="shared" si="29"/>
        <v>9.1</v>
      </c>
      <c r="F105" s="123">
        <f t="shared" si="29"/>
        <v>9.1</v>
      </c>
      <c r="G105" s="123">
        <f t="shared" si="29"/>
        <v>9.1</v>
      </c>
      <c r="H105" s="123">
        <f t="shared" si="29"/>
        <v>9.1</v>
      </c>
      <c r="I105" s="123">
        <f t="shared" si="29"/>
        <v>9.1</v>
      </c>
      <c r="J105" s="123">
        <f t="shared" si="29"/>
        <v>9.1</v>
      </c>
      <c r="K105" s="123">
        <f t="shared" si="29"/>
        <v>9.1</v>
      </c>
      <c r="L105" s="123">
        <f t="shared" si="29"/>
        <v>9.1</v>
      </c>
      <c r="M105" s="123">
        <f t="shared" si="29"/>
        <v>9.1</v>
      </c>
      <c r="N105" s="123">
        <f t="shared" si="29"/>
        <v>9.1</v>
      </c>
      <c r="O105" s="123">
        <f t="shared" si="29"/>
        <v>9.1</v>
      </c>
      <c r="P105" s="123">
        <f t="shared" si="29"/>
        <v>9.1</v>
      </c>
      <c r="Q105" s="123">
        <f t="shared" si="29"/>
        <v>9.1</v>
      </c>
      <c r="R105" s="123">
        <f t="shared" si="29"/>
        <v>9.1</v>
      </c>
      <c r="S105" s="123">
        <f t="shared" si="29"/>
        <v>9.1</v>
      </c>
      <c r="T105" s="123">
        <f t="shared" si="30"/>
        <v>9.1</v>
      </c>
      <c r="U105" s="123">
        <f t="shared" si="30"/>
        <v>9.1</v>
      </c>
      <c r="V105" s="123">
        <f t="shared" si="30"/>
        <v>9.1</v>
      </c>
      <c r="W105" s="123">
        <f t="shared" si="30"/>
        <v>9.1</v>
      </c>
      <c r="X105" s="123">
        <f t="shared" si="30"/>
        <v>9.1</v>
      </c>
      <c r="Y105" s="123">
        <f t="shared" si="30"/>
        <v>9.1</v>
      </c>
      <c r="Z105" s="123">
        <f t="shared" si="30"/>
        <v>9.1</v>
      </c>
      <c r="AA105" s="123">
        <f t="shared" si="30"/>
        <v>9.1</v>
      </c>
      <c r="AB105" s="123">
        <f t="shared" si="30"/>
        <v>9.1</v>
      </c>
      <c r="AC105" s="123">
        <f t="shared" si="30"/>
        <v>9.1</v>
      </c>
      <c r="AD105" s="123">
        <f t="shared" si="30"/>
        <v>9.1</v>
      </c>
      <c r="AE105" s="123">
        <f t="shared" si="30"/>
        <v>9.1</v>
      </c>
      <c r="AF105" s="123">
        <f t="shared" si="3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8"/>
        <v>9.18</v>
      </c>
      <c r="C106" s="124">
        <v>9.18</v>
      </c>
      <c r="D106" s="123">
        <f t="shared" si="29"/>
        <v>9.18</v>
      </c>
      <c r="E106" s="123">
        <f t="shared" si="29"/>
        <v>9.18</v>
      </c>
      <c r="F106" s="123">
        <f t="shared" si="29"/>
        <v>9.18</v>
      </c>
      <c r="G106" s="123">
        <f t="shared" si="29"/>
        <v>9.18</v>
      </c>
      <c r="H106" s="123">
        <f t="shared" si="29"/>
        <v>9.18</v>
      </c>
      <c r="I106" s="123">
        <f t="shared" si="29"/>
        <v>9.18</v>
      </c>
      <c r="J106" s="123">
        <f t="shared" si="29"/>
        <v>9.18</v>
      </c>
      <c r="K106" s="123">
        <f t="shared" si="29"/>
        <v>9.18</v>
      </c>
      <c r="L106" s="123">
        <f t="shared" si="29"/>
        <v>9.18</v>
      </c>
      <c r="M106" s="123">
        <f t="shared" si="29"/>
        <v>9.18</v>
      </c>
      <c r="N106" s="123">
        <f t="shared" si="29"/>
        <v>9.18</v>
      </c>
      <c r="O106" s="123">
        <f t="shared" si="29"/>
        <v>9.18</v>
      </c>
      <c r="P106" s="123">
        <f t="shared" si="29"/>
        <v>9.18</v>
      </c>
      <c r="Q106" s="123">
        <f t="shared" si="29"/>
        <v>9.18</v>
      </c>
      <c r="R106" s="123">
        <f t="shared" si="29"/>
        <v>9.18</v>
      </c>
      <c r="S106" s="123">
        <f t="shared" si="29"/>
        <v>9.18</v>
      </c>
      <c r="T106" s="123">
        <f t="shared" si="30"/>
        <v>9.18</v>
      </c>
      <c r="U106" s="123">
        <f t="shared" si="30"/>
        <v>9.18</v>
      </c>
      <c r="V106" s="123">
        <f t="shared" si="30"/>
        <v>9.18</v>
      </c>
      <c r="W106" s="123">
        <f t="shared" si="30"/>
        <v>9.18</v>
      </c>
      <c r="X106" s="123">
        <f t="shared" si="30"/>
        <v>9.18</v>
      </c>
      <c r="Y106" s="123">
        <f t="shared" si="30"/>
        <v>9.18</v>
      </c>
      <c r="Z106" s="123">
        <f t="shared" si="30"/>
        <v>9.18</v>
      </c>
      <c r="AA106" s="123">
        <f t="shared" si="30"/>
        <v>9.18</v>
      </c>
      <c r="AB106" s="123">
        <f t="shared" si="30"/>
        <v>9.18</v>
      </c>
      <c r="AC106" s="123">
        <f t="shared" si="30"/>
        <v>9.18</v>
      </c>
      <c r="AD106" s="123">
        <f t="shared" si="30"/>
        <v>9.18</v>
      </c>
      <c r="AE106" s="123">
        <f t="shared" si="30"/>
        <v>9.18</v>
      </c>
      <c r="AF106" s="123">
        <f t="shared" si="3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8"/>
        <v>7</v>
      </c>
      <c r="C107" s="124">
        <v>7</v>
      </c>
      <c r="D107" s="123">
        <f t="shared" si="29"/>
        <v>7</v>
      </c>
      <c r="E107" s="123">
        <f t="shared" si="29"/>
        <v>7</v>
      </c>
      <c r="F107" s="123">
        <f t="shared" si="29"/>
        <v>7</v>
      </c>
      <c r="G107" s="123">
        <f t="shared" si="29"/>
        <v>7</v>
      </c>
      <c r="H107" s="123">
        <f t="shared" si="29"/>
        <v>7</v>
      </c>
      <c r="I107" s="123">
        <f t="shared" si="29"/>
        <v>7</v>
      </c>
      <c r="J107" s="123">
        <f t="shared" si="29"/>
        <v>7</v>
      </c>
      <c r="K107" s="123">
        <f t="shared" si="29"/>
        <v>7</v>
      </c>
      <c r="L107" s="123">
        <f t="shared" si="29"/>
        <v>7</v>
      </c>
      <c r="M107" s="123">
        <f t="shared" si="29"/>
        <v>7</v>
      </c>
      <c r="N107" s="123">
        <f t="shared" si="29"/>
        <v>7</v>
      </c>
      <c r="O107" s="123">
        <f t="shared" si="29"/>
        <v>7</v>
      </c>
      <c r="P107" s="123">
        <f t="shared" si="29"/>
        <v>7</v>
      </c>
      <c r="Q107" s="123">
        <f t="shared" si="29"/>
        <v>7</v>
      </c>
      <c r="R107" s="123">
        <f t="shared" si="29"/>
        <v>7</v>
      </c>
      <c r="S107" s="123">
        <f t="shared" si="29"/>
        <v>7</v>
      </c>
      <c r="T107" s="123">
        <f t="shared" si="30"/>
        <v>7</v>
      </c>
      <c r="U107" s="123">
        <f t="shared" si="30"/>
        <v>7</v>
      </c>
      <c r="V107" s="123">
        <f t="shared" si="30"/>
        <v>7</v>
      </c>
      <c r="W107" s="123">
        <f t="shared" si="30"/>
        <v>7</v>
      </c>
      <c r="X107" s="123">
        <f t="shared" si="30"/>
        <v>7</v>
      </c>
      <c r="Y107" s="123">
        <f t="shared" si="30"/>
        <v>7</v>
      </c>
      <c r="Z107" s="123">
        <f t="shared" si="30"/>
        <v>7</v>
      </c>
      <c r="AA107" s="123">
        <f t="shared" si="30"/>
        <v>7</v>
      </c>
      <c r="AB107" s="123">
        <f t="shared" si="30"/>
        <v>7</v>
      </c>
      <c r="AC107" s="123">
        <f t="shared" si="30"/>
        <v>7</v>
      </c>
      <c r="AD107" s="123">
        <f t="shared" si="30"/>
        <v>7</v>
      </c>
      <c r="AE107" s="123">
        <f t="shared" si="30"/>
        <v>7</v>
      </c>
      <c r="AF107" s="123">
        <f t="shared" si="3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31">C109</f>
        <v>2.25</v>
      </c>
      <c r="E109" s="123">
        <f t="shared" si="31"/>
        <v>2.25</v>
      </c>
      <c r="F109" s="123">
        <f t="shared" si="31"/>
        <v>2.25</v>
      </c>
      <c r="G109" s="123">
        <f t="shared" si="31"/>
        <v>2.25</v>
      </c>
      <c r="H109" s="123">
        <f t="shared" si="31"/>
        <v>2.25</v>
      </c>
      <c r="I109" s="123">
        <f t="shared" si="31"/>
        <v>2.25</v>
      </c>
      <c r="J109" s="123">
        <f t="shared" si="31"/>
        <v>2.25</v>
      </c>
      <c r="K109" s="123">
        <f t="shared" si="31"/>
        <v>2.25</v>
      </c>
      <c r="L109" s="123">
        <f t="shared" si="31"/>
        <v>2.25</v>
      </c>
      <c r="M109" s="123">
        <f t="shared" si="31"/>
        <v>2.25</v>
      </c>
      <c r="N109" s="123">
        <f t="shared" si="31"/>
        <v>2.25</v>
      </c>
      <c r="O109" s="123">
        <f t="shared" si="31"/>
        <v>2.25</v>
      </c>
      <c r="P109" s="123">
        <f t="shared" si="31"/>
        <v>2.25</v>
      </c>
      <c r="Q109" s="123">
        <f t="shared" si="31"/>
        <v>2.25</v>
      </c>
      <c r="R109" s="123">
        <f t="shared" si="31"/>
        <v>2.25</v>
      </c>
      <c r="S109" s="123">
        <f t="shared" si="31"/>
        <v>2.25</v>
      </c>
      <c r="T109" s="123">
        <f t="shared" ref="T109:AF110" si="32">S109</f>
        <v>2.25</v>
      </c>
      <c r="U109" s="123">
        <f t="shared" si="32"/>
        <v>2.25</v>
      </c>
      <c r="V109" s="123">
        <f t="shared" si="32"/>
        <v>2.25</v>
      </c>
      <c r="W109" s="123">
        <f t="shared" si="32"/>
        <v>2.25</v>
      </c>
      <c r="X109" s="123">
        <f t="shared" si="32"/>
        <v>2.25</v>
      </c>
      <c r="Y109" s="123">
        <f t="shared" si="32"/>
        <v>2.25</v>
      </c>
      <c r="Z109" s="123">
        <f t="shared" si="32"/>
        <v>2.25</v>
      </c>
      <c r="AA109" s="123">
        <f t="shared" si="32"/>
        <v>2.25</v>
      </c>
      <c r="AB109" s="123">
        <f t="shared" si="32"/>
        <v>2.25</v>
      </c>
      <c r="AC109" s="123">
        <f t="shared" si="32"/>
        <v>2.25</v>
      </c>
      <c r="AD109" s="123">
        <f t="shared" si="32"/>
        <v>2.25</v>
      </c>
      <c r="AE109" s="123">
        <f t="shared" si="32"/>
        <v>2.25</v>
      </c>
      <c r="AF109" s="123">
        <f t="shared" si="3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31"/>
        <v>1.64</v>
      </c>
      <c r="E110" s="123">
        <f t="shared" si="31"/>
        <v>1.64</v>
      </c>
      <c r="F110" s="123">
        <f t="shared" si="31"/>
        <v>1.64</v>
      </c>
      <c r="G110" s="123">
        <f t="shared" si="31"/>
        <v>1.64</v>
      </c>
      <c r="H110" s="123">
        <f t="shared" si="31"/>
        <v>1.64</v>
      </c>
      <c r="I110" s="123">
        <f t="shared" si="31"/>
        <v>1.64</v>
      </c>
      <c r="J110" s="123">
        <f t="shared" si="31"/>
        <v>1.64</v>
      </c>
      <c r="K110" s="123">
        <f t="shared" si="31"/>
        <v>1.64</v>
      </c>
      <c r="L110" s="123">
        <f t="shared" si="31"/>
        <v>1.64</v>
      </c>
      <c r="M110" s="123">
        <f t="shared" si="31"/>
        <v>1.64</v>
      </c>
      <c r="N110" s="123">
        <f t="shared" si="31"/>
        <v>1.64</v>
      </c>
      <c r="O110" s="123">
        <f t="shared" si="31"/>
        <v>1.64</v>
      </c>
      <c r="P110" s="123">
        <f t="shared" si="31"/>
        <v>1.64</v>
      </c>
      <c r="Q110" s="123">
        <f t="shared" si="31"/>
        <v>1.64</v>
      </c>
      <c r="R110" s="123">
        <f t="shared" si="31"/>
        <v>1.64</v>
      </c>
      <c r="S110" s="123">
        <f t="shared" si="31"/>
        <v>1.64</v>
      </c>
      <c r="T110" s="123">
        <f t="shared" si="32"/>
        <v>1.64</v>
      </c>
      <c r="U110" s="123">
        <f t="shared" si="32"/>
        <v>1.64</v>
      </c>
      <c r="V110" s="123">
        <f t="shared" si="32"/>
        <v>1.64</v>
      </c>
      <c r="W110" s="123">
        <f t="shared" si="32"/>
        <v>1.64</v>
      </c>
      <c r="X110" s="123">
        <f t="shared" si="32"/>
        <v>1.64</v>
      </c>
      <c r="Y110" s="123">
        <f t="shared" si="32"/>
        <v>1.64</v>
      </c>
      <c r="Z110" s="123">
        <f t="shared" si="32"/>
        <v>1.64</v>
      </c>
      <c r="AA110" s="123">
        <f t="shared" si="32"/>
        <v>1.64</v>
      </c>
      <c r="AB110" s="123">
        <f t="shared" si="32"/>
        <v>1.64</v>
      </c>
      <c r="AC110" s="123">
        <f t="shared" si="32"/>
        <v>1.64</v>
      </c>
      <c r="AD110" s="123">
        <f t="shared" si="32"/>
        <v>1.64</v>
      </c>
      <c r="AE110" s="123">
        <f t="shared" si="32"/>
        <v>1.64</v>
      </c>
      <c r="AF110" s="123">
        <f t="shared" si="3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3">AF112</f>
        <v>1.62</v>
      </c>
      <c r="C112" s="124">
        <v>1.62</v>
      </c>
      <c r="D112" s="123">
        <f t="shared" ref="D112:S119" si="34">C112</f>
        <v>1.62</v>
      </c>
      <c r="E112" s="123">
        <f t="shared" si="34"/>
        <v>1.62</v>
      </c>
      <c r="F112" s="123">
        <f t="shared" si="34"/>
        <v>1.62</v>
      </c>
      <c r="G112" s="123">
        <f t="shared" si="34"/>
        <v>1.62</v>
      </c>
      <c r="H112" s="123">
        <f t="shared" si="34"/>
        <v>1.62</v>
      </c>
      <c r="I112" s="123">
        <f t="shared" si="34"/>
        <v>1.62</v>
      </c>
      <c r="J112" s="123">
        <f t="shared" si="34"/>
        <v>1.62</v>
      </c>
      <c r="K112" s="123">
        <f t="shared" si="34"/>
        <v>1.62</v>
      </c>
      <c r="L112" s="123">
        <f t="shared" si="34"/>
        <v>1.62</v>
      </c>
      <c r="M112" s="123">
        <f t="shared" si="34"/>
        <v>1.62</v>
      </c>
      <c r="N112" s="123">
        <f t="shared" si="34"/>
        <v>1.62</v>
      </c>
      <c r="O112" s="123">
        <f t="shared" si="34"/>
        <v>1.62</v>
      </c>
      <c r="P112" s="123">
        <f t="shared" si="34"/>
        <v>1.62</v>
      </c>
      <c r="Q112" s="123">
        <f t="shared" si="34"/>
        <v>1.62</v>
      </c>
      <c r="R112" s="123">
        <f t="shared" si="34"/>
        <v>1.62</v>
      </c>
      <c r="S112" s="123">
        <f t="shared" si="34"/>
        <v>1.62</v>
      </c>
      <c r="T112" s="123">
        <f t="shared" ref="T112:AF127" si="35">S112</f>
        <v>1.62</v>
      </c>
      <c r="U112" s="123">
        <f t="shared" si="35"/>
        <v>1.62</v>
      </c>
      <c r="V112" s="123">
        <f t="shared" si="35"/>
        <v>1.62</v>
      </c>
      <c r="W112" s="123">
        <f t="shared" si="35"/>
        <v>1.62</v>
      </c>
      <c r="X112" s="123">
        <f t="shared" si="35"/>
        <v>1.62</v>
      </c>
      <c r="Y112" s="123">
        <f t="shared" si="35"/>
        <v>1.62</v>
      </c>
      <c r="Z112" s="123">
        <f t="shared" si="35"/>
        <v>1.62</v>
      </c>
      <c r="AA112" s="123">
        <f t="shared" si="35"/>
        <v>1.62</v>
      </c>
      <c r="AB112" s="123">
        <f t="shared" si="35"/>
        <v>1.62</v>
      </c>
      <c r="AC112" s="123">
        <f t="shared" si="35"/>
        <v>1.62</v>
      </c>
      <c r="AD112" s="123">
        <f t="shared" si="35"/>
        <v>1.62</v>
      </c>
      <c r="AE112" s="123">
        <f t="shared" si="35"/>
        <v>1.62</v>
      </c>
      <c r="AF112" s="123">
        <f t="shared" si="3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3"/>
        <v>8.36</v>
      </c>
      <c r="C113" s="124">
        <v>8.36</v>
      </c>
      <c r="D113" s="123">
        <f t="shared" si="34"/>
        <v>8.36</v>
      </c>
      <c r="E113" s="123">
        <f t="shared" si="34"/>
        <v>8.36</v>
      </c>
      <c r="F113" s="123">
        <f t="shared" si="34"/>
        <v>8.36</v>
      </c>
      <c r="G113" s="123">
        <f t="shared" si="34"/>
        <v>8.36</v>
      </c>
      <c r="H113" s="123">
        <f t="shared" si="34"/>
        <v>8.36</v>
      </c>
      <c r="I113" s="123">
        <f t="shared" si="34"/>
        <v>8.36</v>
      </c>
      <c r="J113" s="123">
        <f t="shared" si="34"/>
        <v>8.36</v>
      </c>
      <c r="K113" s="123">
        <f t="shared" si="34"/>
        <v>8.36</v>
      </c>
      <c r="L113" s="123">
        <f t="shared" si="34"/>
        <v>8.36</v>
      </c>
      <c r="M113" s="123">
        <f t="shared" si="34"/>
        <v>8.36</v>
      </c>
      <c r="N113" s="123">
        <f t="shared" si="34"/>
        <v>8.36</v>
      </c>
      <c r="O113" s="123">
        <f t="shared" si="34"/>
        <v>8.36</v>
      </c>
      <c r="P113" s="123">
        <f t="shared" si="34"/>
        <v>8.36</v>
      </c>
      <c r="Q113" s="123">
        <f t="shared" si="34"/>
        <v>8.36</v>
      </c>
      <c r="R113" s="123">
        <f t="shared" si="34"/>
        <v>8.36</v>
      </c>
      <c r="S113" s="123">
        <f t="shared" si="34"/>
        <v>8.36</v>
      </c>
      <c r="T113" s="123">
        <f t="shared" si="35"/>
        <v>8.36</v>
      </c>
      <c r="U113" s="123">
        <f t="shared" si="35"/>
        <v>8.36</v>
      </c>
      <c r="V113" s="123">
        <f t="shared" si="35"/>
        <v>8.36</v>
      </c>
      <c r="W113" s="123">
        <f t="shared" si="35"/>
        <v>8.36</v>
      </c>
      <c r="X113" s="123">
        <f t="shared" si="35"/>
        <v>8.36</v>
      </c>
      <c r="Y113" s="123">
        <f t="shared" si="35"/>
        <v>8.36</v>
      </c>
      <c r="Z113" s="123">
        <f t="shared" si="35"/>
        <v>8.36</v>
      </c>
      <c r="AA113" s="123">
        <f t="shared" si="35"/>
        <v>8.36</v>
      </c>
      <c r="AB113" s="123">
        <f t="shared" si="35"/>
        <v>8.36</v>
      </c>
      <c r="AC113" s="123">
        <f t="shared" si="35"/>
        <v>8.36</v>
      </c>
      <c r="AD113" s="123">
        <f t="shared" si="35"/>
        <v>8.36</v>
      </c>
      <c r="AE113" s="123">
        <f t="shared" si="35"/>
        <v>8.36</v>
      </c>
      <c r="AF113" s="123">
        <f t="shared" si="3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3"/>
        <v>5.4</v>
      </c>
      <c r="C114" s="124">
        <v>8</v>
      </c>
      <c r="D114" s="123">
        <f t="shared" si="34"/>
        <v>8</v>
      </c>
      <c r="E114" s="123">
        <f t="shared" si="34"/>
        <v>8</v>
      </c>
      <c r="F114" s="123">
        <f t="shared" si="34"/>
        <v>8</v>
      </c>
      <c r="G114" s="123">
        <f t="shared" si="34"/>
        <v>8</v>
      </c>
      <c r="H114" s="123">
        <f t="shared" si="34"/>
        <v>8</v>
      </c>
      <c r="I114" s="123">
        <f t="shared" si="34"/>
        <v>8</v>
      </c>
      <c r="J114" s="123">
        <v>5.4</v>
      </c>
      <c r="K114" s="123">
        <f t="shared" si="34"/>
        <v>5.4</v>
      </c>
      <c r="L114" s="123">
        <f t="shared" si="34"/>
        <v>5.4</v>
      </c>
      <c r="M114" s="123">
        <f t="shared" si="34"/>
        <v>5.4</v>
      </c>
      <c r="N114" s="123">
        <f t="shared" si="34"/>
        <v>5.4</v>
      </c>
      <c r="O114" s="123">
        <f t="shared" si="34"/>
        <v>5.4</v>
      </c>
      <c r="P114" s="123">
        <f t="shared" si="34"/>
        <v>5.4</v>
      </c>
      <c r="Q114" s="123">
        <f t="shared" si="34"/>
        <v>5.4</v>
      </c>
      <c r="R114" s="123">
        <f t="shared" si="34"/>
        <v>5.4</v>
      </c>
      <c r="S114" s="123">
        <f t="shared" si="34"/>
        <v>5.4</v>
      </c>
      <c r="T114" s="123">
        <f t="shared" si="35"/>
        <v>5.4</v>
      </c>
      <c r="U114" s="123">
        <f t="shared" si="35"/>
        <v>5.4</v>
      </c>
      <c r="V114" s="123">
        <f t="shared" si="35"/>
        <v>5.4</v>
      </c>
      <c r="W114" s="123">
        <f t="shared" si="35"/>
        <v>5.4</v>
      </c>
      <c r="X114" s="123">
        <f t="shared" si="35"/>
        <v>5.4</v>
      </c>
      <c r="Y114" s="123">
        <f t="shared" si="35"/>
        <v>5.4</v>
      </c>
      <c r="Z114" s="123">
        <f t="shared" si="35"/>
        <v>5.4</v>
      </c>
      <c r="AA114" s="123">
        <f t="shared" si="35"/>
        <v>5.4</v>
      </c>
      <c r="AB114" s="123">
        <f t="shared" si="35"/>
        <v>5.4</v>
      </c>
      <c r="AC114" s="123">
        <f t="shared" si="35"/>
        <v>5.4</v>
      </c>
      <c r="AD114" s="123">
        <f t="shared" si="35"/>
        <v>5.4</v>
      </c>
      <c r="AE114" s="123">
        <f t="shared" si="35"/>
        <v>5.4</v>
      </c>
      <c r="AF114" s="123">
        <f t="shared" si="3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3"/>
        <v>6.57</v>
      </c>
      <c r="C115" s="124">
        <v>6.57</v>
      </c>
      <c r="D115" s="123">
        <f t="shared" si="34"/>
        <v>6.57</v>
      </c>
      <c r="E115" s="123">
        <f t="shared" si="34"/>
        <v>6.57</v>
      </c>
      <c r="F115" s="123">
        <f t="shared" si="34"/>
        <v>6.57</v>
      </c>
      <c r="G115" s="123">
        <f t="shared" si="34"/>
        <v>6.57</v>
      </c>
      <c r="H115" s="123">
        <f t="shared" si="34"/>
        <v>6.57</v>
      </c>
      <c r="I115" s="123">
        <f t="shared" si="34"/>
        <v>6.57</v>
      </c>
      <c r="J115" s="123">
        <f t="shared" si="34"/>
        <v>6.57</v>
      </c>
      <c r="K115" s="123">
        <f t="shared" si="34"/>
        <v>6.57</v>
      </c>
      <c r="L115" s="123">
        <f t="shared" si="34"/>
        <v>6.57</v>
      </c>
      <c r="M115" s="123">
        <f t="shared" si="34"/>
        <v>6.57</v>
      </c>
      <c r="N115" s="123">
        <f t="shared" si="34"/>
        <v>6.57</v>
      </c>
      <c r="O115" s="123">
        <f t="shared" si="34"/>
        <v>6.57</v>
      </c>
      <c r="P115" s="123">
        <f t="shared" si="34"/>
        <v>6.57</v>
      </c>
      <c r="Q115" s="123">
        <f t="shared" si="34"/>
        <v>6.57</v>
      </c>
      <c r="R115" s="123">
        <f t="shared" si="34"/>
        <v>6.57</v>
      </c>
      <c r="S115" s="123">
        <f t="shared" si="34"/>
        <v>6.57</v>
      </c>
      <c r="T115" s="123">
        <f t="shared" si="35"/>
        <v>6.57</v>
      </c>
      <c r="U115" s="123">
        <f t="shared" si="35"/>
        <v>6.57</v>
      </c>
      <c r="V115" s="123">
        <f t="shared" si="35"/>
        <v>6.57</v>
      </c>
      <c r="W115" s="123">
        <f t="shared" si="35"/>
        <v>6.57</v>
      </c>
      <c r="X115" s="123">
        <f t="shared" si="35"/>
        <v>6.57</v>
      </c>
      <c r="Y115" s="123">
        <f t="shared" si="35"/>
        <v>6.57</v>
      </c>
      <c r="Z115" s="123">
        <f t="shared" si="35"/>
        <v>6.57</v>
      </c>
      <c r="AA115" s="123">
        <f t="shared" si="35"/>
        <v>6.57</v>
      </c>
      <c r="AB115" s="123">
        <f t="shared" si="35"/>
        <v>6.57</v>
      </c>
      <c r="AC115" s="123">
        <f t="shared" si="35"/>
        <v>6.57</v>
      </c>
      <c r="AD115" s="123">
        <f t="shared" si="35"/>
        <v>6.57</v>
      </c>
      <c r="AE115" s="123">
        <f t="shared" si="35"/>
        <v>6.57</v>
      </c>
      <c r="AF115" s="123">
        <f t="shared" si="3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3"/>
        <v>3.43</v>
      </c>
      <c r="C116" s="124">
        <v>3.43</v>
      </c>
      <c r="D116" s="123">
        <f t="shared" si="34"/>
        <v>3.43</v>
      </c>
      <c r="E116" s="123">
        <f t="shared" si="34"/>
        <v>3.43</v>
      </c>
      <c r="F116" s="123">
        <f t="shared" si="34"/>
        <v>3.43</v>
      </c>
      <c r="G116" s="123">
        <f t="shared" si="34"/>
        <v>3.43</v>
      </c>
      <c r="H116" s="123">
        <f t="shared" si="34"/>
        <v>3.43</v>
      </c>
      <c r="I116" s="123">
        <f t="shared" si="34"/>
        <v>3.43</v>
      </c>
      <c r="J116" s="123">
        <f t="shared" si="34"/>
        <v>3.43</v>
      </c>
      <c r="K116" s="123">
        <f t="shared" si="34"/>
        <v>3.43</v>
      </c>
      <c r="L116" s="123">
        <f t="shared" si="34"/>
        <v>3.43</v>
      </c>
      <c r="M116" s="123">
        <f t="shared" si="34"/>
        <v>3.43</v>
      </c>
      <c r="N116" s="123">
        <f t="shared" si="34"/>
        <v>3.43</v>
      </c>
      <c r="O116" s="123">
        <f t="shared" si="34"/>
        <v>3.43</v>
      </c>
      <c r="P116" s="123">
        <f t="shared" si="34"/>
        <v>3.43</v>
      </c>
      <c r="Q116" s="123">
        <f t="shared" si="34"/>
        <v>3.43</v>
      </c>
      <c r="R116" s="123">
        <f t="shared" si="34"/>
        <v>3.43</v>
      </c>
      <c r="S116" s="123">
        <f t="shared" si="34"/>
        <v>3.43</v>
      </c>
      <c r="T116" s="123">
        <f t="shared" si="35"/>
        <v>3.43</v>
      </c>
      <c r="U116" s="123">
        <f t="shared" si="35"/>
        <v>3.43</v>
      </c>
      <c r="V116" s="123">
        <f t="shared" si="35"/>
        <v>3.43</v>
      </c>
      <c r="W116" s="123">
        <f t="shared" si="35"/>
        <v>3.43</v>
      </c>
      <c r="X116" s="123">
        <f t="shared" si="35"/>
        <v>3.43</v>
      </c>
      <c r="Y116" s="123">
        <f t="shared" si="35"/>
        <v>3.43</v>
      </c>
      <c r="Z116" s="123">
        <f t="shared" si="35"/>
        <v>3.43</v>
      </c>
      <c r="AA116" s="123">
        <f t="shared" si="35"/>
        <v>3.43</v>
      </c>
      <c r="AB116" s="123">
        <f t="shared" si="35"/>
        <v>3.43</v>
      </c>
      <c r="AC116" s="123">
        <f t="shared" si="35"/>
        <v>3.43</v>
      </c>
      <c r="AD116" s="123">
        <f t="shared" si="35"/>
        <v>3.43</v>
      </c>
      <c r="AE116" s="123">
        <f t="shared" si="35"/>
        <v>3.43</v>
      </c>
      <c r="AF116" s="123">
        <f t="shared" si="3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3"/>
        <v>2.96</v>
      </c>
      <c r="C117" s="124">
        <v>2.96</v>
      </c>
      <c r="D117" s="123">
        <f t="shared" si="34"/>
        <v>2.96</v>
      </c>
      <c r="E117" s="123">
        <f t="shared" si="34"/>
        <v>2.96</v>
      </c>
      <c r="F117" s="123">
        <f t="shared" si="34"/>
        <v>2.96</v>
      </c>
      <c r="G117" s="123">
        <f t="shared" si="34"/>
        <v>2.96</v>
      </c>
      <c r="H117" s="123">
        <f t="shared" si="34"/>
        <v>2.96</v>
      </c>
      <c r="I117" s="123">
        <f t="shared" si="34"/>
        <v>2.96</v>
      </c>
      <c r="J117" s="123">
        <f t="shared" si="34"/>
        <v>2.96</v>
      </c>
      <c r="K117" s="123">
        <f t="shared" si="34"/>
        <v>2.96</v>
      </c>
      <c r="L117" s="123">
        <f t="shared" si="34"/>
        <v>2.96</v>
      </c>
      <c r="M117" s="123">
        <f t="shared" si="34"/>
        <v>2.96</v>
      </c>
      <c r="N117" s="123">
        <f t="shared" si="34"/>
        <v>2.96</v>
      </c>
      <c r="O117" s="123">
        <f t="shared" si="34"/>
        <v>2.96</v>
      </c>
      <c r="P117" s="123">
        <f t="shared" si="34"/>
        <v>2.96</v>
      </c>
      <c r="Q117" s="123">
        <f t="shared" si="34"/>
        <v>2.96</v>
      </c>
      <c r="R117" s="123">
        <f t="shared" si="34"/>
        <v>2.96</v>
      </c>
      <c r="S117" s="123">
        <f t="shared" si="34"/>
        <v>2.96</v>
      </c>
      <c r="T117" s="123">
        <f t="shared" si="35"/>
        <v>2.96</v>
      </c>
      <c r="U117" s="123">
        <f t="shared" si="35"/>
        <v>2.96</v>
      </c>
      <c r="V117" s="123">
        <f t="shared" si="35"/>
        <v>2.96</v>
      </c>
      <c r="W117" s="123">
        <f t="shared" si="35"/>
        <v>2.96</v>
      </c>
      <c r="X117" s="123">
        <f t="shared" si="35"/>
        <v>2.96</v>
      </c>
      <c r="Y117" s="123">
        <f t="shared" si="35"/>
        <v>2.96</v>
      </c>
      <c r="Z117" s="123">
        <f t="shared" si="35"/>
        <v>2.96</v>
      </c>
      <c r="AA117" s="123">
        <f t="shared" si="35"/>
        <v>2.96</v>
      </c>
      <c r="AB117" s="123">
        <f t="shared" si="35"/>
        <v>2.96</v>
      </c>
      <c r="AC117" s="123">
        <f t="shared" si="35"/>
        <v>2.96</v>
      </c>
      <c r="AD117" s="123">
        <f t="shared" si="35"/>
        <v>2.96</v>
      </c>
      <c r="AE117" s="123">
        <f t="shared" si="35"/>
        <v>2.96</v>
      </c>
      <c r="AF117" s="123">
        <f t="shared" si="3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3"/>
        <v>8</v>
      </c>
      <c r="C118" s="124">
        <v>8</v>
      </c>
      <c r="D118" s="123">
        <f t="shared" si="34"/>
        <v>8</v>
      </c>
      <c r="E118" s="123">
        <f t="shared" si="34"/>
        <v>8</v>
      </c>
      <c r="F118" s="123">
        <f t="shared" si="34"/>
        <v>8</v>
      </c>
      <c r="G118" s="123">
        <f t="shared" si="34"/>
        <v>8</v>
      </c>
      <c r="H118" s="123">
        <f t="shared" si="34"/>
        <v>8</v>
      </c>
      <c r="I118" s="123">
        <f t="shared" si="34"/>
        <v>8</v>
      </c>
      <c r="J118" s="123">
        <f t="shared" si="34"/>
        <v>8</v>
      </c>
      <c r="K118" s="123">
        <f t="shared" si="34"/>
        <v>8</v>
      </c>
      <c r="L118" s="123">
        <f t="shared" si="34"/>
        <v>8</v>
      </c>
      <c r="M118" s="123">
        <f t="shared" si="34"/>
        <v>8</v>
      </c>
      <c r="N118" s="123">
        <f t="shared" si="34"/>
        <v>8</v>
      </c>
      <c r="O118" s="123">
        <f t="shared" si="34"/>
        <v>8</v>
      </c>
      <c r="P118" s="123">
        <f t="shared" si="34"/>
        <v>8</v>
      </c>
      <c r="Q118" s="123">
        <f t="shared" si="34"/>
        <v>8</v>
      </c>
      <c r="R118" s="123">
        <f t="shared" si="34"/>
        <v>8</v>
      </c>
      <c r="S118" s="123">
        <f t="shared" si="34"/>
        <v>8</v>
      </c>
      <c r="T118" s="123">
        <f t="shared" si="35"/>
        <v>8</v>
      </c>
      <c r="U118" s="123">
        <f t="shared" si="35"/>
        <v>8</v>
      </c>
      <c r="V118" s="123">
        <f t="shared" si="35"/>
        <v>8</v>
      </c>
      <c r="W118" s="123">
        <f t="shared" si="35"/>
        <v>8</v>
      </c>
      <c r="X118" s="123">
        <f t="shared" si="35"/>
        <v>8</v>
      </c>
      <c r="Y118" s="123">
        <f t="shared" si="35"/>
        <v>8</v>
      </c>
      <c r="Z118" s="123">
        <f t="shared" si="35"/>
        <v>8</v>
      </c>
      <c r="AA118" s="123">
        <f t="shared" si="35"/>
        <v>8</v>
      </c>
      <c r="AB118" s="123">
        <f t="shared" si="35"/>
        <v>8</v>
      </c>
      <c r="AC118" s="123">
        <f t="shared" si="35"/>
        <v>8</v>
      </c>
      <c r="AD118" s="123">
        <f t="shared" si="35"/>
        <v>8</v>
      </c>
      <c r="AE118" s="123">
        <f t="shared" si="35"/>
        <v>8</v>
      </c>
      <c r="AF118" s="123">
        <f t="shared" si="3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3"/>
        <v>7</v>
      </c>
      <c r="C119" s="124">
        <v>7</v>
      </c>
      <c r="D119" s="123">
        <f>C119</f>
        <v>7</v>
      </c>
      <c r="E119" s="123">
        <f t="shared" si="34"/>
        <v>7</v>
      </c>
      <c r="F119" s="123">
        <f t="shared" si="34"/>
        <v>7</v>
      </c>
      <c r="G119" s="123">
        <f t="shared" si="34"/>
        <v>7</v>
      </c>
      <c r="H119" s="123">
        <f t="shared" si="34"/>
        <v>7</v>
      </c>
      <c r="I119" s="123">
        <f t="shared" si="34"/>
        <v>7</v>
      </c>
      <c r="J119" s="123">
        <f t="shared" si="34"/>
        <v>7</v>
      </c>
      <c r="K119" s="123">
        <f t="shared" si="34"/>
        <v>7</v>
      </c>
      <c r="L119" s="123">
        <f t="shared" si="34"/>
        <v>7</v>
      </c>
      <c r="M119" s="123">
        <f t="shared" si="34"/>
        <v>7</v>
      </c>
      <c r="N119" s="123">
        <f t="shared" si="34"/>
        <v>7</v>
      </c>
      <c r="O119" s="123">
        <f t="shared" si="34"/>
        <v>7</v>
      </c>
      <c r="P119" s="123">
        <f t="shared" si="34"/>
        <v>7</v>
      </c>
      <c r="Q119" s="123">
        <f t="shared" si="34"/>
        <v>7</v>
      </c>
      <c r="R119" s="123">
        <f t="shared" si="34"/>
        <v>7</v>
      </c>
      <c r="S119" s="123">
        <f t="shared" si="34"/>
        <v>7</v>
      </c>
      <c r="T119" s="123">
        <f t="shared" si="35"/>
        <v>7</v>
      </c>
      <c r="U119" s="123">
        <f t="shared" si="35"/>
        <v>7</v>
      </c>
      <c r="V119" s="123">
        <f t="shared" si="35"/>
        <v>7</v>
      </c>
      <c r="W119" s="123">
        <f t="shared" si="35"/>
        <v>7</v>
      </c>
      <c r="X119" s="123">
        <f t="shared" si="35"/>
        <v>7</v>
      </c>
      <c r="Y119" s="123">
        <f t="shared" si="35"/>
        <v>7</v>
      </c>
      <c r="Z119" s="123">
        <f t="shared" si="35"/>
        <v>7</v>
      </c>
      <c r="AA119" s="123">
        <f t="shared" si="35"/>
        <v>7</v>
      </c>
      <c r="AB119" s="123">
        <f t="shared" si="35"/>
        <v>7</v>
      </c>
      <c r="AC119" s="123">
        <f t="shared" si="35"/>
        <v>7</v>
      </c>
      <c r="AD119" s="123">
        <f t="shared" si="35"/>
        <v>7</v>
      </c>
      <c r="AE119" s="123">
        <f t="shared" si="35"/>
        <v>7</v>
      </c>
      <c r="AF119" s="123">
        <f t="shared" si="3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3"/>
        <v>3.47</v>
      </c>
      <c r="C120" s="124">
        <v>3.47</v>
      </c>
      <c r="D120" s="123">
        <f t="shared" ref="D120:S129" si="36">C120</f>
        <v>3.47</v>
      </c>
      <c r="E120" s="123">
        <f t="shared" si="36"/>
        <v>3.47</v>
      </c>
      <c r="F120" s="123">
        <f t="shared" si="36"/>
        <v>3.47</v>
      </c>
      <c r="G120" s="123">
        <f t="shared" si="36"/>
        <v>3.47</v>
      </c>
      <c r="H120" s="123">
        <f t="shared" si="36"/>
        <v>3.47</v>
      </c>
      <c r="I120" s="123">
        <f t="shared" si="36"/>
        <v>3.47</v>
      </c>
      <c r="J120" s="123">
        <f t="shared" si="36"/>
        <v>3.47</v>
      </c>
      <c r="K120" s="123">
        <f t="shared" si="36"/>
        <v>3.47</v>
      </c>
      <c r="L120" s="123">
        <f t="shared" si="36"/>
        <v>3.47</v>
      </c>
      <c r="M120" s="123">
        <f t="shared" si="36"/>
        <v>3.47</v>
      </c>
      <c r="N120" s="123">
        <f t="shared" si="36"/>
        <v>3.47</v>
      </c>
      <c r="O120" s="123">
        <f t="shared" si="36"/>
        <v>3.47</v>
      </c>
      <c r="P120" s="123">
        <f t="shared" si="36"/>
        <v>3.47</v>
      </c>
      <c r="Q120" s="123">
        <f t="shared" si="36"/>
        <v>3.47</v>
      </c>
      <c r="R120" s="123">
        <f t="shared" si="36"/>
        <v>3.47</v>
      </c>
      <c r="S120" s="123">
        <f t="shared" si="36"/>
        <v>3.47</v>
      </c>
      <c r="T120" s="123">
        <f t="shared" si="35"/>
        <v>3.47</v>
      </c>
      <c r="U120" s="123">
        <f t="shared" si="35"/>
        <v>3.47</v>
      </c>
      <c r="V120" s="123">
        <f t="shared" si="35"/>
        <v>3.47</v>
      </c>
      <c r="W120" s="123">
        <f t="shared" si="35"/>
        <v>3.47</v>
      </c>
      <c r="X120" s="123">
        <f t="shared" si="35"/>
        <v>3.47</v>
      </c>
      <c r="Y120" s="123">
        <f t="shared" si="35"/>
        <v>3.47</v>
      </c>
      <c r="Z120" s="123">
        <f t="shared" si="35"/>
        <v>3.47</v>
      </c>
      <c r="AA120" s="123">
        <f t="shared" si="35"/>
        <v>3.47</v>
      </c>
      <c r="AB120" s="123">
        <f t="shared" si="35"/>
        <v>3.47</v>
      </c>
      <c r="AC120" s="123">
        <f t="shared" si="35"/>
        <v>3.47</v>
      </c>
      <c r="AD120" s="123">
        <f t="shared" si="35"/>
        <v>3.47</v>
      </c>
      <c r="AE120" s="123">
        <f t="shared" si="35"/>
        <v>3.47</v>
      </c>
      <c r="AF120" s="123">
        <f t="shared" si="3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3"/>
        <v>2.1</v>
      </c>
      <c r="C121" s="124">
        <v>2.1</v>
      </c>
      <c r="D121" s="123">
        <f t="shared" si="36"/>
        <v>2.1</v>
      </c>
      <c r="E121" s="123">
        <f t="shared" si="36"/>
        <v>2.1</v>
      </c>
      <c r="F121" s="123">
        <f t="shared" si="36"/>
        <v>2.1</v>
      </c>
      <c r="G121" s="123">
        <f t="shared" si="36"/>
        <v>2.1</v>
      </c>
      <c r="H121" s="123">
        <f t="shared" si="36"/>
        <v>2.1</v>
      </c>
      <c r="I121" s="123">
        <f t="shared" si="36"/>
        <v>2.1</v>
      </c>
      <c r="J121" s="123">
        <f t="shared" si="36"/>
        <v>2.1</v>
      </c>
      <c r="K121" s="123">
        <f t="shared" si="36"/>
        <v>2.1</v>
      </c>
      <c r="L121" s="123">
        <f t="shared" si="36"/>
        <v>2.1</v>
      </c>
      <c r="M121" s="123">
        <f t="shared" si="36"/>
        <v>2.1</v>
      </c>
      <c r="N121" s="123">
        <f t="shared" si="36"/>
        <v>2.1</v>
      </c>
      <c r="O121" s="123">
        <f t="shared" si="36"/>
        <v>2.1</v>
      </c>
      <c r="P121" s="123">
        <f t="shared" si="36"/>
        <v>2.1</v>
      </c>
      <c r="Q121" s="123">
        <f t="shared" si="36"/>
        <v>2.1</v>
      </c>
      <c r="R121" s="123">
        <f t="shared" si="36"/>
        <v>2.1</v>
      </c>
      <c r="S121" s="123">
        <f t="shared" si="36"/>
        <v>2.1</v>
      </c>
      <c r="T121" s="123">
        <f t="shared" si="35"/>
        <v>2.1</v>
      </c>
      <c r="U121" s="123">
        <f t="shared" si="35"/>
        <v>2.1</v>
      </c>
      <c r="V121" s="123">
        <f t="shared" si="35"/>
        <v>2.1</v>
      </c>
      <c r="W121" s="123">
        <f t="shared" si="35"/>
        <v>2.1</v>
      </c>
      <c r="X121" s="123">
        <f t="shared" si="35"/>
        <v>2.1</v>
      </c>
      <c r="Y121" s="123">
        <f t="shared" si="35"/>
        <v>2.1</v>
      </c>
      <c r="Z121" s="123">
        <f t="shared" si="35"/>
        <v>2.1</v>
      </c>
      <c r="AA121" s="123">
        <f t="shared" si="35"/>
        <v>2.1</v>
      </c>
      <c r="AB121" s="123">
        <f t="shared" si="35"/>
        <v>2.1</v>
      </c>
      <c r="AC121" s="123">
        <f t="shared" si="35"/>
        <v>2.1</v>
      </c>
      <c r="AD121" s="123">
        <f t="shared" si="35"/>
        <v>2.1</v>
      </c>
      <c r="AE121" s="123">
        <f t="shared" si="35"/>
        <v>2.1</v>
      </c>
      <c r="AF121" s="123">
        <f t="shared" si="3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3"/>
        <v>9.3000000000000007</v>
      </c>
      <c r="C122" s="124">
        <v>9.3000000000000007</v>
      </c>
      <c r="D122" s="123">
        <f t="shared" si="36"/>
        <v>9.3000000000000007</v>
      </c>
      <c r="E122" s="123">
        <f t="shared" si="36"/>
        <v>9.3000000000000007</v>
      </c>
      <c r="F122" s="123">
        <f t="shared" si="36"/>
        <v>9.3000000000000007</v>
      </c>
      <c r="G122" s="123">
        <f t="shared" si="36"/>
        <v>9.3000000000000007</v>
      </c>
      <c r="H122" s="123">
        <f t="shared" si="36"/>
        <v>9.3000000000000007</v>
      </c>
      <c r="I122" s="123">
        <f t="shared" si="36"/>
        <v>9.3000000000000007</v>
      </c>
      <c r="J122" s="123">
        <f t="shared" si="36"/>
        <v>9.3000000000000007</v>
      </c>
      <c r="K122" s="123">
        <f t="shared" si="36"/>
        <v>9.3000000000000007</v>
      </c>
      <c r="L122" s="123">
        <f t="shared" si="36"/>
        <v>9.3000000000000007</v>
      </c>
      <c r="M122" s="123">
        <f t="shared" si="36"/>
        <v>9.3000000000000007</v>
      </c>
      <c r="N122" s="123">
        <f t="shared" si="36"/>
        <v>9.3000000000000007</v>
      </c>
      <c r="O122" s="123">
        <f t="shared" si="36"/>
        <v>9.3000000000000007</v>
      </c>
      <c r="P122" s="123">
        <f t="shared" si="36"/>
        <v>9.3000000000000007</v>
      </c>
      <c r="Q122" s="123">
        <f t="shared" si="36"/>
        <v>9.3000000000000007</v>
      </c>
      <c r="R122" s="123">
        <f t="shared" si="36"/>
        <v>9.3000000000000007</v>
      </c>
      <c r="S122" s="123">
        <f t="shared" si="36"/>
        <v>9.3000000000000007</v>
      </c>
      <c r="T122" s="123">
        <f t="shared" si="35"/>
        <v>9.3000000000000007</v>
      </c>
      <c r="U122" s="123">
        <f t="shared" si="35"/>
        <v>9.3000000000000007</v>
      </c>
      <c r="V122" s="123">
        <f t="shared" si="35"/>
        <v>9.3000000000000007</v>
      </c>
      <c r="W122" s="123">
        <f t="shared" si="35"/>
        <v>9.3000000000000007</v>
      </c>
      <c r="X122" s="123">
        <f t="shared" si="35"/>
        <v>9.3000000000000007</v>
      </c>
      <c r="Y122" s="123">
        <f t="shared" si="35"/>
        <v>9.3000000000000007</v>
      </c>
      <c r="Z122" s="123">
        <f t="shared" si="35"/>
        <v>9.3000000000000007</v>
      </c>
      <c r="AA122" s="123">
        <f t="shared" si="35"/>
        <v>9.3000000000000007</v>
      </c>
      <c r="AB122" s="123">
        <f t="shared" si="35"/>
        <v>9.3000000000000007</v>
      </c>
      <c r="AC122" s="123">
        <f t="shared" si="35"/>
        <v>9.3000000000000007</v>
      </c>
      <c r="AD122" s="123">
        <f t="shared" si="35"/>
        <v>9.3000000000000007</v>
      </c>
      <c r="AE122" s="123">
        <f t="shared" si="35"/>
        <v>9.3000000000000007</v>
      </c>
      <c r="AF122" s="123">
        <f t="shared" si="3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3"/>
        <v>0</v>
      </c>
      <c r="C123" s="124">
        <v>0</v>
      </c>
      <c r="D123" s="123">
        <f t="shared" si="36"/>
        <v>0</v>
      </c>
      <c r="E123" s="123">
        <f t="shared" si="36"/>
        <v>0</v>
      </c>
      <c r="F123" s="123">
        <f t="shared" si="36"/>
        <v>0</v>
      </c>
      <c r="G123" s="123">
        <f t="shared" si="36"/>
        <v>0</v>
      </c>
      <c r="H123" s="123">
        <f t="shared" si="36"/>
        <v>0</v>
      </c>
      <c r="I123" s="123">
        <f t="shared" si="36"/>
        <v>0</v>
      </c>
      <c r="J123" s="123">
        <f t="shared" si="36"/>
        <v>0</v>
      </c>
      <c r="K123" s="123">
        <f t="shared" si="36"/>
        <v>0</v>
      </c>
      <c r="L123" s="123">
        <f t="shared" si="36"/>
        <v>0</v>
      </c>
      <c r="M123" s="123">
        <f t="shared" si="36"/>
        <v>0</v>
      </c>
      <c r="N123" s="123">
        <f t="shared" si="36"/>
        <v>0</v>
      </c>
      <c r="O123" s="123">
        <f t="shared" si="36"/>
        <v>0</v>
      </c>
      <c r="P123" s="123">
        <f t="shared" si="36"/>
        <v>0</v>
      </c>
      <c r="Q123" s="123">
        <f t="shared" si="36"/>
        <v>0</v>
      </c>
      <c r="R123" s="123">
        <f t="shared" si="36"/>
        <v>0</v>
      </c>
      <c r="S123" s="123">
        <f t="shared" si="36"/>
        <v>0</v>
      </c>
      <c r="T123" s="123">
        <f t="shared" si="35"/>
        <v>0</v>
      </c>
      <c r="U123" s="123">
        <f t="shared" si="35"/>
        <v>0</v>
      </c>
      <c r="V123" s="123">
        <f t="shared" si="35"/>
        <v>0</v>
      </c>
      <c r="W123" s="123">
        <f t="shared" si="35"/>
        <v>0</v>
      </c>
      <c r="X123" s="123">
        <f t="shared" si="35"/>
        <v>0</v>
      </c>
      <c r="Y123" s="123">
        <f t="shared" si="35"/>
        <v>0</v>
      </c>
      <c r="Z123" s="123">
        <f t="shared" si="35"/>
        <v>0</v>
      </c>
      <c r="AA123" s="123">
        <f t="shared" si="35"/>
        <v>0</v>
      </c>
      <c r="AB123" s="123">
        <f t="shared" si="35"/>
        <v>0</v>
      </c>
      <c r="AC123" s="123">
        <f t="shared" si="35"/>
        <v>0</v>
      </c>
      <c r="AD123" s="123">
        <f t="shared" si="35"/>
        <v>0</v>
      </c>
      <c r="AE123" s="123">
        <f t="shared" si="35"/>
        <v>0</v>
      </c>
      <c r="AF123" s="123">
        <f t="shared" si="3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3"/>
        <v>0</v>
      </c>
      <c r="C124" s="124">
        <v>0</v>
      </c>
      <c r="D124" s="123">
        <f t="shared" si="36"/>
        <v>0</v>
      </c>
      <c r="E124" s="123">
        <f t="shared" si="36"/>
        <v>0</v>
      </c>
      <c r="F124" s="123">
        <f t="shared" si="36"/>
        <v>0</v>
      </c>
      <c r="G124" s="123">
        <f t="shared" si="36"/>
        <v>0</v>
      </c>
      <c r="H124" s="123">
        <f t="shared" si="36"/>
        <v>0</v>
      </c>
      <c r="I124" s="123">
        <f t="shared" si="36"/>
        <v>0</v>
      </c>
      <c r="J124" s="123">
        <f t="shared" si="36"/>
        <v>0</v>
      </c>
      <c r="K124" s="123">
        <f t="shared" si="36"/>
        <v>0</v>
      </c>
      <c r="L124" s="123">
        <f t="shared" si="36"/>
        <v>0</v>
      </c>
      <c r="M124" s="123">
        <f t="shared" si="36"/>
        <v>0</v>
      </c>
      <c r="N124" s="123">
        <f t="shared" si="36"/>
        <v>0</v>
      </c>
      <c r="O124" s="123">
        <f t="shared" si="36"/>
        <v>0</v>
      </c>
      <c r="P124" s="123">
        <f t="shared" si="36"/>
        <v>0</v>
      </c>
      <c r="Q124" s="123">
        <f t="shared" si="36"/>
        <v>0</v>
      </c>
      <c r="R124" s="123">
        <f t="shared" si="36"/>
        <v>0</v>
      </c>
      <c r="S124" s="123">
        <f t="shared" si="36"/>
        <v>0</v>
      </c>
      <c r="T124" s="123">
        <f t="shared" si="35"/>
        <v>0</v>
      </c>
      <c r="U124" s="123">
        <f t="shared" si="35"/>
        <v>0</v>
      </c>
      <c r="V124" s="123">
        <f t="shared" si="35"/>
        <v>0</v>
      </c>
      <c r="W124" s="123">
        <f t="shared" si="35"/>
        <v>0</v>
      </c>
      <c r="X124" s="123">
        <f t="shared" si="35"/>
        <v>0</v>
      </c>
      <c r="Y124" s="123">
        <f t="shared" si="35"/>
        <v>0</v>
      </c>
      <c r="Z124" s="123">
        <f t="shared" si="35"/>
        <v>0</v>
      </c>
      <c r="AA124" s="123">
        <f t="shared" si="35"/>
        <v>0</v>
      </c>
      <c r="AB124" s="123">
        <f t="shared" si="35"/>
        <v>0</v>
      </c>
      <c r="AC124" s="123">
        <f t="shared" si="35"/>
        <v>0</v>
      </c>
      <c r="AD124" s="123">
        <f t="shared" si="35"/>
        <v>0</v>
      </c>
      <c r="AE124" s="123">
        <f t="shared" si="35"/>
        <v>0</v>
      </c>
      <c r="AF124" s="123">
        <f t="shared" si="3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3"/>
        <v>;/</v>
      </c>
      <c r="C125" s="124">
        <v>5</v>
      </c>
      <c r="D125" s="123">
        <f t="shared" si="36"/>
        <v>5</v>
      </c>
      <c r="E125" s="123">
        <f t="shared" si="36"/>
        <v>5</v>
      </c>
      <c r="F125" s="123">
        <f t="shared" si="36"/>
        <v>5</v>
      </c>
      <c r="G125" s="123">
        <f t="shared" si="36"/>
        <v>5</v>
      </c>
      <c r="H125" s="123">
        <f t="shared" si="36"/>
        <v>5</v>
      </c>
      <c r="I125" s="123" t="s">
        <v>131</v>
      </c>
      <c r="J125" s="123" t="str">
        <f t="shared" si="36"/>
        <v>;/</v>
      </c>
      <c r="K125" s="123" t="str">
        <f t="shared" si="36"/>
        <v>;/</v>
      </c>
      <c r="L125" s="123" t="str">
        <f t="shared" si="36"/>
        <v>;/</v>
      </c>
      <c r="M125" s="123" t="str">
        <f t="shared" si="36"/>
        <v>;/</v>
      </c>
      <c r="N125" s="123" t="str">
        <f t="shared" si="36"/>
        <v>;/</v>
      </c>
      <c r="O125" s="123" t="str">
        <f t="shared" si="36"/>
        <v>;/</v>
      </c>
      <c r="P125" s="123" t="str">
        <f t="shared" si="36"/>
        <v>;/</v>
      </c>
      <c r="Q125" s="123" t="str">
        <f t="shared" si="36"/>
        <v>;/</v>
      </c>
      <c r="R125" s="123" t="str">
        <f t="shared" si="36"/>
        <v>;/</v>
      </c>
      <c r="S125" s="123" t="str">
        <f t="shared" si="36"/>
        <v>;/</v>
      </c>
      <c r="T125" s="123" t="str">
        <f t="shared" si="35"/>
        <v>;/</v>
      </c>
      <c r="U125" s="123" t="str">
        <f t="shared" si="35"/>
        <v>;/</v>
      </c>
      <c r="V125" s="123" t="str">
        <f t="shared" si="35"/>
        <v>;/</v>
      </c>
      <c r="W125" s="123" t="str">
        <f t="shared" si="35"/>
        <v>;/</v>
      </c>
      <c r="X125" s="123" t="str">
        <f t="shared" si="35"/>
        <v>;/</v>
      </c>
      <c r="Y125" s="123" t="str">
        <f t="shared" si="35"/>
        <v>;/</v>
      </c>
      <c r="Z125" s="123" t="str">
        <f t="shared" si="35"/>
        <v>;/</v>
      </c>
      <c r="AA125" s="123" t="str">
        <f t="shared" si="35"/>
        <v>;/</v>
      </c>
      <c r="AB125" s="123" t="str">
        <f t="shared" si="35"/>
        <v>;/</v>
      </c>
      <c r="AC125" s="123" t="str">
        <f t="shared" si="35"/>
        <v>;/</v>
      </c>
      <c r="AD125" s="123" t="str">
        <f t="shared" si="35"/>
        <v>;/</v>
      </c>
      <c r="AE125" s="123" t="str">
        <f t="shared" si="35"/>
        <v>;/</v>
      </c>
      <c r="AF125" s="123" t="str">
        <f t="shared" si="3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3"/>
        <v>1</v>
      </c>
      <c r="C126" s="124">
        <v>1</v>
      </c>
      <c r="D126" s="123">
        <f t="shared" si="36"/>
        <v>1</v>
      </c>
      <c r="E126" s="123">
        <f t="shared" si="36"/>
        <v>1</v>
      </c>
      <c r="F126" s="123">
        <f t="shared" si="36"/>
        <v>1</v>
      </c>
      <c r="G126" s="123">
        <f t="shared" si="36"/>
        <v>1</v>
      </c>
      <c r="H126" s="123">
        <f t="shared" si="36"/>
        <v>1</v>
      </c>
      <c r="I126" s="123">
        <f t="shared" si="36"/>
        <v>1</v>
      </c>
      <c r="J126" s="123">
        <f t="shared" si="36"/>
        <v>1</v>
      </c>
      <c r="K126" s="123">
        <f t="shared" si="36"/>
        <v>1</v>
      </c>
      <c r="L126" s="123">
        <f t="shared" si="36"/>
        <v>1</v>
      </c>
      <c r="M126" s="123">
        <f t="shared" si="36"/>
        <v>1</v>
      </c>
      <c r="N126" s="123">
        <f t="shared" si="36"/>
        <v>1</v>
      </c>
      <c r="O126" s="123">
        <f t="shared" si="36"/>
        <v>1</v>
      </c>
      <c r="P126" s="123">
        <f t="shared" si="36"/>
        <v>1</v>
      </c>
      <c r="Q126" s="123">
        <f t="shared" si="36"/>
        <v>1</v>
      </c>
      <c r="R126" s="123">
        <f t="shared" si="36"/>
        <v>1</v>
      </c>
      <c r="S126" s="123">
        <f t="shared" si="36"/>
        <v>1</v>
      </c>
      <c r="T126" s="123">
        <f t="shared" si="35"/>
        <v>1</v>
      </c>
      <c r="U126" s="123">
        <f t="shared" si="35"/>
        <v>1</v>
      </c>
      <c r="V126" s="123">
        <f t="shared" si="35"/>
        <v>1</v>
      </c>
      <c r="W126" s="123">
        <f t="shared" si="35"/>
        <v>1</v>
      </c>
      <c r="X126" s="123">
        <f t="shared" si="35"/>
        <v>1</v>
      </c>
      <c r="Y126" s="123">
        <f t="shared" si="35"/>
        <v>1</v>
      </c>
      <c r="Z126" s="123">
        <f t="shared" si="35"/>
        <v>1</v>
      </c>
      <c r="AA126" s="123">
        <f t="shared" si="35"/>
        <v>1</v>
      </c>
      <c r="AB126" s="123">
        <f t="shared" si="35"/>
        <v>1</v>
      </c>
      <c r="AC126" s="123">
        <f t="shared" si="35"/>
        <v>1</v>
      </c>
      <c r="AD126" s="123">
        <f t="shared" si="35"/>
        <v>1</v>
      </c>
      <c r="AE126" s="123">
        <f t="shared" si="35"/>
        <v>1</v>
      </c>
      <c r="AF126" s="123">
        <f t="shared" si="3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3"/>
        <v>1.58</v>
      </c>
      <c r="C127" s="124">
        <v>1.58</v>
      </c>
      <c r="D127" s="123">
        <f t="shared" si="36"/>
        <v>1.58</v>
      </c>
      <c r="E127" s="123">
        <f t="shared" si="36"/>
        <v>1.58</v>
      </c>
      <c r="F127" s="123">
        <f t="shared" si="36"/>
        <v>1.58</v>
      </c>
      <c r="G127" s="123">
        <f t="shared" si="36"/>
        <v>1.58</v>
      </c>
      <c r="H127" s="123">
        <f t="shared" si="36"/>
        <v>1.58</v>
      </c>
      <c r="I127" s="123">
        <f t="shared" si="36"/>
        <v>1.58</v>
      </c>
      <c r="J127" s="123">
        <f t="shared" si="36"/>
        <v>1.58</v>
      </c>
      <c r="K127" s="123">
        <f t="shared" si="36"/>
        <v>1.58</v>
      </c>
      <c r="L127" s="123">
        <f t="shared" si="36"/>
        <v>1.58</v>
      </c>
      <c r="M127" s="123">
        <f t="shared" si="36"/>
        <v>1.58</v>
      </c>
      <c r="N127" s="123">
        <f t="shared" si="36"/>
        <v>1.58</v>
      </c>
      <c r="O127" s="123">
        <f t="shared" si="36"/>
        <v>1.58</v>
      </c>
      <c r="P127" s="123">
        <f t="shared" si="36"/>
        <v>1.58</v>
      </c>
      <c r="Q127" s="123">
        <f t="shared" si="36"/>
        <v>1.58</v>
      </c>
      <c r="R127" s="123">
        <f t="shared" si="36"/>
        <v>1.58</v>
      </c>
      <c r="S127" s="123">
        <f t="shared" si="36"/>
        <v>1.58</v>
      </c>
      <c r="T127" s="123">
        <f t="shared" si="35"/>
        <v>1.58</v>
      </c>
      <c r="U127" s="123">
        <f t="shared" si="35"/>
        <v>1.58</v>
      </c>
      <c r="V127" s="123">
        <f t="shared" si="35"/>
        <v>1.58</v>
      </c>
      <c r="W127" s="123">
        <f t="shared" si="35"/>
        <v>1.58</v>
      </c>
      <c r="X127" s="123">
        <f t="shared" si="35"/>
        <v>1.58</v>
      </c>
      <c r="Y127" s="123">
        <f t="shared" si="35"/>
        <v>1.58</v>
      </c>
      <c r="Z127" s="123">
        <f t="shared" si="35"/>
        <v>1.58</v>
      </c>
      <c r="AA127" s="123">
        <f t="shared" si="35"/>
        <v>1.58</v>
      </c>
      <c r="AB127" s="123">
        <f t="shared" si="35"/>
        <v>1.58</v>
      </c>
      <c r="AC127" s="123">
        <f t="shared" si="35"/>
        <v>1.58</v>
      </c>
      <c r="AD127" s="123">
        <f t="shared" si="35"/>
        <v>1.58</v>
      </c>
      <c r="AE127" s="123">
        <f t="shared" si="35"/>
        <v>1.58</v>
      </c>
      <c r="AF127" s="123">
        <f t="shared" si="3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3"/>
        <v>1.46</v>
      </c>
      <c r="C128" s="124">
        <v>1.46</v>
      </c>
      <c r="D128" s="123">
        <f t="shared" si="36"/>
        <v>1.46</v>
      </c>
      <c r="E128" s="123">
        <f t="shared" si="36"/>
        <v>1.46</v>
      </c>
      <c r="F128" s="123">
        <f t="shared" si="36"/>
        <v>1.46</v>
      </c>
      <c r="G128" s="123">
        <f t="shared" si="36"/>
        <v>1.46</v>
      </c>
      <c r="H128" s="123">
        <f t="shared" si="36"/>
        <v>1.46</v>
      </c>
      <c r="I128" s="123">
        <f t="shared" si="36"/>
        <v>1.46</v>
      </c>
      <c r="J128" s="123">
        <f t="shared" si="36"/>
        <v>1.46</v>
      </c>
      <c r="K128" s="123">
        <f t="shared" si="36"/>
        <v>1.46</v>
      </c>
      <c r="L128" s="123">
        <f t="shared" si="36"/>
        <v>1.46</v>
      </c>
      <c r="M128" s="123">
        <f t="shared" si="36"/>
        <v>1.46</v>
      </c>
      <c r="N128" s="123">
        <f t="shared" si="36"/>
        <v>1.46</v>
      </c>
      <c r="O128" s="123">
        <f t="shared" si="36"/>
        <v>1.46</v>
      </c>
      <c r="P128" s="123">
        <f t="shared" si="36"/>
        <v>1.46</v>
      </c>
      <c r="Q128" s="123">
        <f t="shared" si="36"/>
        <v>1.46</v>
      </c>
      <c r="R128" s="123">
        <f t="shared" si="36"/>
        <v>1.46</v>
      </c>
      <c r="S128" s="123">
        <f t="shared" si="36"/>
        <v>1.46</v>
      </c>
      <c r="T128" s="123">
        <f t="shared" ref="T128:AF129" si="37">S128</f>
        <v>1.46</v>
      </c>
      <c r="U128" s="123">
        <f t="shared" si="37"/>
        <v>1.46</v>
      </c>
      <c r="V128" s="123">
        <f t="shared" si="37"/>
        <v>1.46</v>
      </c>
      <c r="W128" s="123">
        <f t="shared" si="37"/>
        <v>1.46</v>
      </c>
      <c r="X128" s="123">
        <f t="shared" si="37"/>
        <v>1.46</v>
      </c>
      <c r="Y128" s="123">
        <f t="shared" si="37"/>
        <v>1.46</v>
      </c>
      <c r="Z128" s="123">
        <f t="shared" si="37"/>
        <v>1.46</v>
      </c>
      <c r="AA128" s="123">
        <f t="shared" si="37"/>
        <v>1.46</v>
      </c>
      <c r="AB128" s="123">
        <f t="shared" si="37"/>
        <v>1.46</v>
      </c>
      <c r="AC128" s="123">
        <f t="shared" si="37"/>
        <v>1.46</v>
      </c>
      <c r="AD128" s="123">
        <f t="shared" si="37"/>
        <v>1.46</v>
      </c>
      <c r="AE128" s="123">
        <f t="shared" si="37"/>
        <v>1.46</v>
      </c>
      <c r="AF128" s="123">
        <f t="shared" si="3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3"/>
        <v>1.48</v>
      </c>
      <c r="C129" s="124">
        <v>1.48</v>
      </c>
      <c r="D129" s="123">
        <f t="shared" si="36"/>
        <v>1.48</v>
      </c>
      <c r="E129" s="123">
        <f t="shared" si="36"/>
        <v>1.48</v>
      </c>
      <c r="F129" s="123">
        <f t="shared" si="36"/>
        <v>1.48</v>
      </c>
      <c r="G129" s="123">
        <f t="shared" si="36"/>
        <v>1.48</v>
      </c>
      <c r="H129" s="123">
        <f t="shared" si="36"/>
        <v>1.48</v>
      </c>
      <c r="I129" s="123">
        <f t="shared" si="36"/>
        <v>1.48</v>
      </c>
      <c r="J129" s="123">
        <f t="shared" si="36"/>
        <v>1.48</v>
      </c>
      <c r="K129" s="123">
        <f t="shared" si="36"/>
        <v>1.48</v>
      </c>
      <c r="L129" s="123">
        <f t="shared" si="36"/>
        <v>1.48</v>
      </c>
      <c r="M129" s="123">
        <f t="shared" si="36"/>
        <v>1.48</v>
      </c>
      <c r="N129" s="123">
        <f t="shared" si="36"/>
        <v>1.48</v>
      </c>
      <c r="O129" s="123">
        <f t="shared" si="36"/>
        <v>1.48</v>
      </c>
      <c r="P129" s="123">
        <f t="shared" si="36"/>
        <v>1.48</v>
      </c>
      <c r="Q129" s="123">
        <f t="shared" si="36"/>
        <v>1.48</v>
      </c>
      <c r="R129" s="123">
        <f t="shared" si="36"/>
        <v>1.48</v>
      </c>
      <c r="S129" s="123">
        <f t="shared" si="36"/>
        <v>1.48</v>
      </c>
      <c r="T129" s="123">
        <f t="shared" si="37"/>
        <v>1.48</v>
      </c>
      <c r="U129" s="123">
        <f t="shared" si="37"/>
        <v>1.48</v>
      </c>
      <c r="V129" s="123">
        <f t="shared" si="37"/>
        <v>1.48</v>
      </c>
      <c r="W129" s="123">
        <f t="shared" si="37"/>
        <v>1.48</v>
      </c>
      <c r="X129" s="123">
        <f t="shared" si="37"/>
        <v>1.48</v>
      </c>
      <c r="Y129" s="123">
        <f t="shared" si="37"/>
        <v>1.48</v>
      </c>
      <c r="Z129" s="123">
        <f t="shared" si="37"/>
        <v>1.48</v>
      </c>
      <c r="AA129" s="123">
        <f t="shared" si="37"/>
        <v>1.48</v>
      </c>
      <c r="AB129" s="123">
        <f t="shared" si="37"/>
        <v>1.48</v>
      </c>
      <c r="AC129" s="123">
        <f t="shared" si="37"/>
        <v>1.48</v>
      </c>
      <c r="AD129" s="123">
        <f t="shared" si="37"/>
        <v>1.48</v>
      </c>
      <c r="AE129" s="123">
        <f t="shared" si="37"/>
        <v>1.48</v>
      </c>
      <c r="AF129" s="123">
        <f t="shared" si="3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8">AF131</f>
        <v>2.2000000000000002</v>
      </c>
      <c r="C131" s="124">
        <v>2.2000000000000002</v>
      </c>
      <c r="D131" s="123">
        <f t="shared" ref="D131:S138" si="39">C131</f>
        <v>2.2000000000000002</v>
      </c>
      <c r="E131" s="123">
        <f t="shared" si="39"/>
        <v>2.2000000000000002</v>
      </c>
      <c r="F131" s="123">
        <f t="shared" si="39"/>
        <v>2.2000000000000002</v>
      </c>
      <c r="G131" s="123">
        <f t="shared" si="39"/>
        <v>2.2000000000000002</v>
      </c>
      <c r="H131" s="123">
        <f t="shared" si="39"/>
        <v>2.2000000000000002</v>
      </c>
      <c r="I131" s="123">
        <f t="shared" si="39"/>
        <v>2.2000000000000002</v>
      </c>
      <c r="J131" s="123">
        <f t="shared" si="39"/>
        <v>2.2000000000000002</v>
      </c>
      <c r="K131" s="123">
        <f t="shared" si="39"/>
        <v>2.2000000000000002</v>
      </c>
      <c r="L131" s="123">
        <f t="shared" si="39"/>
        <v>2.2000000000000002</v>
      </c>
      <c r="M131" s="123">
        <f t="shared" si="39"/>
        <v>2.2000000000000002</v>
      </c>
      <c r="N131" s="123">
        <f t="shared" si="39"/>
        <v>2.2000000000000002</v>
      </c>
      <c r="O131" s="123">
        <f t="shared" si="39"/>
        <v>2.2000000000000002</v>
      </c>
      <c r="P131" s="123">
        <f t="shared" si="39"/>
        <v>2.2000000000000002</v>
      </c>
      <c r="Q131" s="123">
        <f t="shared" si="39"/>
        <v>2.2000000000000002</v>
      </c>
      <c r="R131" s="123">
        <f t="shared" si="39"/>
        <v>2.2000000000000002</v>
      </c>
      <c r="S131" s="123">
        <f t="shared" si="39"/>
        <v>2.2000000000000002</v>
      </c>
      <c r="T131" s="123">
        <f t="shared" ref="T131:AF138" si="40">S131</f>
        <v>2.2000000000000002</v>
      </c>
      <c r="U131" s="123">
        <f t="shared" si="40"/>
        <v>2.2000000000000002</v>
      </c>
      <c r="V131" s="123">
        <f t="shared" si="40"/>
        <v>2.2000000000000002</v>
      </c>
      <c r="W131" s="123">
        <f t="shared" si="40"/>
        <v>2.2000000000000002</v>
      </c>
      <c r="X131" s="123">
        <f t="shared" si="40"/>
        <v>2.2000000000000002</v>
      </c>
      <c r="Y131" s="123">
        <f t="shared" si="40"/>
        <v>2.2000000000000002</v>
      </c>
      <c r="Z131" s="123">
        <f t="shared" si="40"/>
        <v>2.2000000000000002</v>
      </c>
      <c r="AA131" s="123">
        <f t="shared" si="40"/>
        <v>2.2000000000000002</v>
      </c>
      <c r="AB131" s="123">
        <f t="shared" si="40"/>
        <v>2.2000000000000002</v>
      </c>
      <c r="AC131" s="123">
        <f t="shared" si="40"/>
        <v>2.2000000000000002</v>
      </c>
      <c r="AD131" s="123">
        <f t="shared" si="40"/>
        <v>2.2000000000000002</v>
      </c>
      <c r="AE131" s="123">
        <f t="shared" si="40"/>
        <v>2.2000000000000002</v>
      </c>
      <c r="AF131" s="123">
        <f t="shared" si="4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8"/>
        <v>2</v>
      </c>
      <c r="C132" s="124">
        <v>2</v>
      </c>
      <c r="D132" s="123">
        <f t="shared" si="39"/>
        <v>2</v>
      </c>
      <c r="E132" s="123">
        <f t="shared" si="39"/>
        <v>2</v>
      </c>
      <c r="F132" s="123">
        <f t="shared" si="39"/>
        <v>2</v>
      </c>
      <c r="G132" s="123">
        <f t="shared" si="39"/>
        <v>2</v>
      </c>
      <c r="H132" s="123">
        <f t="shared" si="39"/>
        <v>2</v>
      </c>
      <c r="I132" s="123">
        <f t="shared" si="39"/>
        <v>2</v>
      </c>
      <c r="J132" s="123">
        <f t="shared" si="39"/>
        <v>2</v>
      </c>
      <c r="K132" s="123">
        <f t="shared" si="39"/>
        <v>2</v>
      </c>
      <c r="L132" s="123">
        <f t="shared" si="39"/>
        <v>2</v>
      </c>
      <c r="M132" s="123">
        <f t="shared" si="39"/>
        <v>2</v>
      </c>
      <c r="N132" s="123">
        <f t="shared" si="39"/>
        <v>2</v>
      </c>
      <c r="O132" s="123">
        <f t="shared" si="39"/>
        <v>2</v>
      </c>
      <c r="P132" s="123">
        <f t="shared" si="39"/>
        <v>2</v>
      </c>
      <c r="Q132" s="123">
        <f t="shared" si="39"/>
        <v>2</v>
      </c>
      <c r="R132" s="123">
        <f t="shared" si="39"/>
        <v>2</v>
      </c>
      <c r="S132" s="123">
        <f t="shared" si="39"/>
        <v>2</v>
      </c>
      <c r="T132" s="123">
        <f t="shared" si="40"/>
        <v>2</v>
      </c>
      <c r="U132" s="123">
        <f t="shared" si="40"/>
        <v>2</v>
      </c>
      <c r="V132" s="123">
        <f t="shared" si="40"/>
        <v>2</v>
      </c>
      <c r="W132" s="123">
        <f t="shared" si="40"/>
        <v>2</v>
      </c>
      <c r="X132" s="123">
        <f t="shared" si="40"/>
        <v>2</v>
      </c>
      <c r="Y132" s="123">
        <f t="shared" si="40"/>
        <v>2</v>
      </c>
      <c r="Z132" s="123">
        <f t="shared" si="40"/>
        <v>2</v>
      </c>
      <c r="AA132" s="123">
        <f t="shared" si="40"/>
        <v>2</v>
      </c>
      <c r="AB132" s="123">
        <f t="shared" si="40"/>
        <v>2</v>
      </c>
      <c r="AC132" s="123">
        <f t="shared" si="40"/>
        <v>2</v>
      </c>
      <c r="AD132" s="123">
        <f t="shared" si="40"/>
        <v>2</v>
      </c>
      <c r="AE132" s="123">
        <f t="shared" si="40"/>
        <v>2</v>
      </c>
      <c r="AF132" s="123">
        <f t="shared" si="4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8"/>
        <v>1.25</v>
      </c>
      <c r="C133" s="124">
        <v>1.25</v>
      </c>
      <c r="D133" s="123">
        <f t="shared" si="39"/>
        <v>1.25</v>
      </c>
      <c r="E133" s="123">
        <f t="shared" si="39"/>
        <v>1.25</v>
      </c>
      <c r="F133" s="123">
        <f t="shared" si="39"/>
        <v>1.25</v>
      </c>
      <c r="G133" s="123">
        <f t="shared" si="39"/>
        <v>1.25</v>
      </c>
      <c r="H133" s="123">
        <f t="shared" si="39"/>
        <v>1.25</v>
      </c>
      <c r="I133" s="123">
        <f t="shared" si="39"/>
        <v>1.25</v>
      </c>
      <c r="J133" s="123">
        <f t="shared" si="39"/>
        <v>1.25</v>
      </c>
      <c r="K133" s="123">
        <f t="shared" si="39"/>
        <v>1.25</v>
      </c>
      <c r="L133" s="123">
        <f t="shared" si="39"/>
        <v>1.25</v>
      </c>
      <c r="M133" s="123">
        <f t="shared" si="39"/>
        <v>1.25</v>
      </c>
      <c r="N133" s="123">
        <f t="shared" si="39"/>
        <v>1.25</v>
      </c>
      <c r="O133" s="123">
        <f t="shared" si="39"/>
        <v>1.25</v>
      </c>
      <c r="P133" s="123">
        <f t="shared" si="39"/>
        <v>1.25</v>
      </c>
      <c r="Q133" s="123">
        <f t="shared" si="39"/>
        <v>1.25</v>
      </c>
      <c r="R133" s="123">
        <f t="shared" si="39"/>
        <v>1.25</v>
      </c>
      <c r="S133" s="123">
        <f t="shared" si="39"/>
        <v>1.25</v>
      </c>
      <c r="T133" s="123">
        <f t="shared" si="40"/>
        <v>1.25</v>
      </c>
      <c r="U133" s="123">
        <f t="shared" si="40"/>
        <v>1.25</v>
      </c>
      <c r="V133" s="123">
        <f t="shared" si="40"/>
        <v>1.25</v>
      </c>
      <c r="W133" s="123">
        <f t="shared" si="40"/>
        <v>1.25</v>
      </c>
      <c r="X133" s="123">
        <f t="shared" si="40"/>
        <v>1.25</v>
      </c>
      <c r="Y133" s="123">
        <f t="shared" si="40"/>
        <v>1.25</v>
      </c>
      <c r="Z133" s="123">
        <f t="shared" si="40"/>
        <v>1.25</v>
      </c>
      <c r="AA133" s="123">
        <f t="shared" si="40"/>
        <v>1.25</v>
      </c>
      <c r="AB133" s="123">
        <f t="shared" si="40"/>
        <v>1.25</v>
      </c>
      <c r="AC133" s="123">
        <f t="shared" si="40"/>
        <v>1.25</v>
      </c>
      <c r="AD133" s="123">
        <f t="shared" si="40"/>
        <v>1.25</v>
      </c>
      <c r="AE133" s="123">
        <f t="shared" si="40"/>
        <v>1.25</v>
      </c>
      <c r="AF133" s="123">
        <f t="shared" si="4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8"/>
        <v>1.1499999999999999</v>
      </c>
      <c r="C134" s="124">
        <v>1.1499999999999999</v>
      </c>
      <c r="D134" s="123">
        <f t="shared" si="39"/>
        <v>1.1499999999999999</v>
      </c>
      <c r="E134" s="123">
        <f t="shared" si="39"/>
        <v>1.1499999999999999</v>
      </c>
      <c r="F134" s="123">
        <f t="shared" si="39"/>
        <v>1.1499999999999999</v>
      </c>
      <c r="G134" s="123">
        <f t="shared" si="39"/>
        <v>1.1499999999999999</v>
      </c>
      <c r="H134" s="123">
        <f t="shared" si="39"/>
        <v>1.1499999999999999</v>
      </c>
      <c r="I134" s="123">
        <f t="shared" si="39"/>
        <v>1.1499999999999999</v>
      </c>
      <c r="J134" s="123">
        <f t="shared" si="39"/>
        <v>1.1499999999999999</v>
      </c>
      <c r="K134" s="123">
        <f t="shared" si="39"/>
        <v>1.1499999999999999</v>
      </c>
      <c r="L134" s="123">
        <f t="shared" si="39"/>
        <v>1.1499999999999999</v>
      </c>
      <c r="M134" s="123">
        <f t="shared" si="39"/>
        <v>1.1499999999999999</v>
      </c>
      <c r="N134" s="123">
        <f t="shared" si="39"/>
        <v>1.1499999999999999</v>
      </c>
      <c r="O134" s="123">
        <f t="shared" si="39"/>
        <v>1.1499999999999999</v>
      </c>
      <c r="P134" s="123">
        <f t="shared" si="39"/>
        <v>1.1499999999999999</v>
      </c>
      <c r="Q134" s="123">
        <f t="shared" si="39"/>
        <v>1.1499999999999999</v>
      </c>
      <c r="R134" s="123">
        <f t="shared" si="39"/>
        <v>1.1499999999999999</v>
      </c>
      <c r="S134" s="123">
        <f t="shared" si="39"/>
        <v>1.1499999999999999</v>
      </c>
      <c r="T134" s="123">
        <f t="shared" si="40"/>
        <v>1.1499999999999999</v>
      </c>
      <c r="U134" s="123">
        <f t="shared" si="40"/>
        <v>1.1499999999999999</v>
      </c>
      <c r="V134" s="123">
        <f t="shared" si="40"/>
        <v>1.1499999999999999</v>
      </c>
      <c r="W134" s="123">
        <f t="shared" si="40"/>
        <v>1.1499999999999999</v>
      </c>
      <c r="X134" s="123">
        <f t="shared" si="40"/>
        <v>1.1499999999999999</v>
      </c>
      <c r="Y134" s="123">
        <f t="shared" si="40"/>
        <v>1.1499999999999999</v>
      </c>
      <c r="Z134" s="123">
        <f t="shared" si="40"/>
        <v>1.1499999999999999</v>
      </c>
      <c r="AA134" s="123">
        <f t="shared" si="40"/>
        <v>1.1499999999999999</v>
      </c>
      <c r="AB134" s="123">
        <f t="shared" si="40"/>
        <v>1.1499999999999999</v>
      </c>
      <c r="AC134" s="123">
        <f t="shared" si="40"/>
        <v>1.1499999999999999</v>
      </c>
      <c r="AD134" s="123">
        <f t="shared" si="40"/>
        <v>1.1499999999999999</v>
      </c>
      <c r="AE134" s="123">
        <f t="shared" si="40"/>
        <v>1.1499999999999999</v>
      </c>
      <c r="AF134" s="123">
        <f t="shared" si="4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8"/>
        <v>2.133</v>
      </c>
      <c r="C135" s="124">
        <v>2.133</v>
      </c>
      <c r="D135" s="123">
        <f t="shared" si="39"/>
        <v>2.133</v>
      </c>
      <c r="E135" s="123">
        <f t="shared" si="39"/>
        <v>2.133</v>
      </c>
      <c r="F135" s="123">
        <f t="shared" si="39"/>
        <v>2.133</v>
      </c>
      <c r="G135" s="123">
        <f t="shared" si="39"/>
        <v>2.133</v>
      </c>
      <c r="H135" s="123">
        <f t="shared" si="39"/>
        <v>2.133</v>
      </c>
      <c r="I135" s="123">
        <f t="shared" si="39"/>
        <v>2.133</v>
      </c>
      <c r="J135" s="123">
        <f t="shared" si="39"/>
        <v>2.133</v>
      </c>
      <c r="K135" s="123">
        <f t="shared" si="39"/>
        <v>2.133</v>
      </c>
      <c r="L135" s="123">
        <f t="shared" si="39"/>
        <v>2.133</v>
      </c>
      <c r="M135" s="123">
        <f t="shared" si="39"/>
        <v>2.133</v>
      </c>
      <c r="N135" s="123">
        <f t="shared" si="39"/>
        <v>2.133</v>
      </c>
      <c r="O135" s="123">
        <f t="shared" si="39"/>
        <v>2.133</v>
      </c>
      <c r="P135" s="123">
        <f t="shared" si="39"/>
        <v>2.133</v>
      </c>
      <c r="Q135" s="123">
        <f t="shared" si="39"/>
        <v>2.133</v>
      </c>
      <c r="R135" s="123">
        <f t="shared" si="39"/>
        <v>2.133</v>
      </c>
      <c r="S135" s="123">
        <f t="shared" si="39"/>
        <v>2.133</v>
      </c>
      <c r="T135" s="123">
        <f t="shared" si="40"/>
        <v>2.133</v>
      </c>
      <c r="U135" s="123">
        <f t="shared" si="40"/>
        <v>2.133</v>
      </c>
      <c r="V135" s="123">
        <f t="shared" si="40"/>
        <v>2.133</v>
      </c>
      <c r="W135" s="123">
        <f t="shared" si="40"/>
        <v>2.133</v>
      </c>
      <c r="X135" s="123">
        <f t="shared" si="40"/>
        <v>2.133</v>
      </c>
      <c r="Y135" s="123">
        <f t="shared" si="40"/>
        <v>2.133</v>
      </c>
      <c r="Z135" s="123">
        <f t="shared" si="40"/>
        <v>2.133</v>
      </c>
      <c r="AA135" s="123">
        <f t="shared" si="40"/>
        <v>2.133</v>
      </c>
      <c r="AB135" s="123">
        <f t="shared" si="40"/>
        <v>2.133</v>
      </c>
      <c r="AC135" s="123">
        <f t="shared" si="40"/>
        <v>2.133</v>
      </c>
      <c r="AD135" s="123">
        <f t="shared" si="40"/>
        <v>2.133</v>
      </c>
      <c r="AE135" s="123">
        <f t="shared" si="40"/>
        <v>2.133</v>
      </c>
      <c r="AF135" s="123">
        <f t="shared" si="4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8"/>
        <v>2.09</v>
      </c>
      <c r="C136" s="124">
        <v>2.09</v>
      </c>
      <c r="D136" s="123">
        <f t="shared" si="39"/>
        <v>2.09</v>
      </c>
      <c r="E136" s="123">
        <f t="shared" si="39"/>
        <v>2.09</v>
      </c>
      <c r="F136" s="123">
        <f t="shared" si="39"/>
        <v>2.09</v>
      </c>
      <c r="G136" s="123">
        <f t="shared" si="39"/>
        <v>2.09</v>
      </c>
      <c r="H136" s="123">
        <f t="shared" si="39"/>
        <v>2.09</v>
      </c>
      <c r="I136" s="123">
        <f t="shared" si="39"/>
        <v>2.09</v>
      </c>
      <c r="J136" s="123">
        <f t="shared" si="39"/>
        <v>2.09</v>
      </c>
      <c r="K136" s="123">
        <f t="shared" si="39"/>
        <v>2.09</v>
      </c>
      <c r="L136" s="123">
        <f t="shared" si="39"/>
        <v>2.09</v>
      </c>
      <c r="M136" s="123">
        <f t="shared" si="39"/>
        <v>2.09</v>
      </c>
      <c r="N136" s="123">
        <f t="shared" si="39"/>
        <v>2.09</v>
      </c>
      <c r="O136" s="123">
        <f t="shared" si="39"/>
        <v>2.09</v>
      </c>
      <c r="P136" s="123">
        <f t="shared" si="39"/>
        <v>2.09</v>
      </c>
      <c r="Q136" s="123">
        <f t="shared" si="39"/>
        <v>2.09</v>
      </c>
      <c r="R136" s="123">
        <f t="shared" si="39"/>
        <v>2.09</v>
      </c>
      <c r="S136" s="123">
        <f t="shared" si="39"/>
        <v>2.09</v>
      </c>
      <c r="T136" s="123">
        <f t="shared" si="40"/>
        <v>2.09</v>
      </c>
      <c r="U136" s="123">
        <f t="shared" si="40"/>
        <v>2.09</v>
      </c>
      <c r="V136" s="123">
        <f t="shared" si="40"/>
        <v>2.09</v>
      </c>
      <c r="W136" s="123">
        <f t="shared" si="40"/>
        <v>2.09</v>
      </c>
      <c r="X136" s="123">
        <f t="shared" si="40"/>
        <v>2.09</v>
      </c>
      <c r="Y136" s="123">
        <f t="shared" si="40"/>
        <v>2.09</v>
      </c>
      <c r="Z136" s="123">
        <f t="shared" si="40"/>
        <v>2.09</v>
      </c>
      <c r="AA136" s="123">
        <f t="shared" si="40"/>
        <v>2.09</v>
      </c>
      <c r="AB136" s="123">
        <f t="shared" si="40"/>
        <v>2.09</v>
      </c>
      <c r="AC136" s="123">
        <f t="shared" si="40"/>
        <v>2.09</v>
      </c>
      <c r="AD136" s="123">
        <f t="shared" si="40"/>
        <v>2.09</v>
      </c>
      <c r="AE136" s="123">
        <f t="shared" si="40"/>
        <v>2.09</v>
      </c>
      <c r="AF136" s="123">
        <f t="shared" si="4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8"/>
        <v>1.1399999999999999</v>
      </c>
      <c r="C137" s="124">
        <v>1.1399999999999999</v>
      </c>
      <c r="D137" s="123">
        <f t="shared" si="39"/>
        <v>1.1399999999999999</v>
      </c>
      <c r="E137" s="123">
        <f t="shared" si="39"/>
        <v>1.1399999999999999</v>
      </c>
      <c r="F137" s="123">
        <f t="shared" si="39"/>
        <v>1.1399999999999999</v>
      </c>
      <c r="G137" s="123">
        <f t="shared" si="39"/>
        <v>1.1399999999999999</v>
      </c>
      <c r="H137" s="123">
        <f t="shared" si="39"/>
        <v>1.1399999999999999</v>
      </c>
      <c r="I137" s="123">
        <f t="shared" si="39"/>
        <v>1.1399999999999999</v>
      </c>
      <c r="J137" s="123">
        <f t="shared" si="39"/>
        <v>1.1399999999999999</v>
      </c>
      <c r="K137" s="123">
        <f t="shared" si="39"/>
        <v>1.1399999999999999</v>
      </c>
      <c r="L137" s="123">
        <f t="shared" si="39"/>
        <v>1.1399999999999999</v>
      </c>
      <c r="M137" s="123">
        <f t="shared" si="39"/>
        <v>1.1399999999999999</v>
      </c>
      <c r="N137" s="123">
        <f t="shared" si="39"/>
        <v>1.1399999999999999</v>
      </c>
      <c r="O137" s="123">
        <f t="shared" si="39"/>
        <v>1.1399999999999999</v>
      </c>
      <c r="P137" s="123">
        <f t="shared" si="39"/>
        <v>1.1399999999999999</v>
      </c>
      <c r="Q137" s="123">
        <f t="shared" si="39"/>
        <v>1.1399999999999999</v>
      </c>
      <c r="R137" s="123">
        <f t="shared" si="39"/>
        <v>1.1399999999999999</v>
      </c>
      <c r="S137" s="123">
        <f t="shared" si="39"/>
        <v>1.1399999999999999</v>
      </c>
      <c r="T137" s="123">
        <f t="shared" si="40"/>
        <v>1.1399999999999999</v>
      </c>
      <c r="U137" s="123">
        <f t="shared" si="40"/>
        <v>1.1399999999999999</v>
      </c>
      <c r="V137" s="123">
        <f t="shared" si="40"/>
        <v>1.1399999999999999</v>
      </c>
      <c r="W137" s="123">
        <f t="shared" si="40"/>
        <v>1.1399999999999999</v>
      </c>
      <c r="X137" s="123">
        <f t="shared" si="40"/>
        <v>1.1399999999999999</v>
      </c>
      <c r="Y137" s="123">
        <f t="shared" si="40"/>
        <v>1.1399999999999999</v>
      </c>
      <c r="Z137" s="123">
        <f t="shared" si="40"/>
        <v>1.1399999999999999</v>
      </c>
      <c r="AA137" s="123">
        <f t="shared" si="40"/>
        <v>1.1399999999999999</v>
      </c>
      <c r="AB137" s="123">
        <f t="shared" si="40"/>
        <v>1.1399999999999999</v>
      </c>
      <c r="AC137" s="123">
        <f t="shared" si="40"/>
        <v>1.1399999999999999</v>
      </c>
      <c r="AD137" s="123">
        <f t="shared" si="40"/>
        <v>1.1399999999999999</v>
      </c>
      <c r="AE137" s="123">
        <f t="shared" si="40"/>
        <v>1.1399999999999999</v>
      </c>
      <c r="AF137" s="123">
        <f t="shared" si="4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8"/>
        <v>0.82</v>
      </c>
      <c r="C138" s="124">
        <v>0.82</v>
      </c>
      <c r="D138" s="123">
        <f t="shared" si="39"/>
        <v>0.82</v>
      </c>
      <c r="E138" s="123">
        <f t="shared" si="39"/>
        <v>0.82</v>
      </c>
      <c r="F138" s="123">
        <f t="shared" si="39"/>
        <v>0.82</v>
      </c>
      <c r="G138" s="123">
        <f t="shared" si="39"/>
        <v>0.82</v>
      </c>
      <c r="H138" s="123">
        <f t="shared" si="39"/>
        <v>0.82</v>
      </c>
      <c r="I138" s="123">
        <f t="shared" si="39"/>
        <v>0.82</v>
      </c>
      <c r="J138" s="123">
        <f t="shared" si="39"/>
        <v>0.82</v>
      </c>
      <c r="K138" s="123">
        <f t="shared" si="39"/>
        <v>0.82</v>
      </c>
      <c r="L138" s="123">
        <f t="shared" si="39"/>
        <v>0.82</v>
      </c>
      <c r="M138" s="123">
        <f t="shared" si="39"/>
        <v>0.82</v>
      </c>
      <c r="N138" s="123">
        <f t="shared" si="39"/>
        <v>0.82</v>
      </c>
      <c r="O138" s="123">
        <f t="shared" si="39"/>
        <v>0.82</v>
      </c>
      <c r="P138" s="123">
        <f t="shared" si="39"/>
        <v>0.82</v>
      </c>
      <c r="Q138" s="123">
        <f t="shared" si="39"/>
        <v>0.82</v>
      </c>
      <c r="R138" s="123">
        <f t="shared" si="39"/>
        <v>0.82</v>
      </c>
      <c r="S138" s="123">
        <f t="shared" si="39"/>
        <v>0.82</v>
      </c>
      <c r="T138" s="123">
        <f t="shared" si="40"/>
        <v>0.82</v>
      </c>
      <c r="U138" s="123">
        <f t="shared" si="40"/>
        <v>0.82</v>
      </c>
      <c r="V138" s="123">
        <f t="shared" si="40"/>
        <v>0.82</v>
      </c>
      <c r="W138" s="123">
        <f t="shared" si="40"/>
        <v>0.82</v>
      </c>
      <c r="X138" s="123">
        <f t="shared" si="40"/>
        <v>0.82</v>
      </c>
      <c r="Y138" s="123">
        <f t="shared" si="40"/>
        <v>0.82</v>
      </c>
      <c r="Z138" s="123">
        <f t="shared" si="40"/>
        <v>0.82</v>
      </c>
      <c r="AA138" s="123">
        <f t="shared" si="40"/>
        <v>0.82</v>
      </c>
      <c r="AB138" s="123">
        <f t="shared" si="40"/>
        <v>0.82</v>
      </c>
      <c r="AC138" s="123">
        <f t="shared" si="40"/>
        <v>0.82</v>
      </c>
      <c r="AD138" s="123">
        <f t="shared" si="40"/>
        <v>0.82</v>
      </c>
      <c r="AE138" s="123">
        <f t="shared" si="40"/>
        <v>0.82</v>
      </c>
      <c r="AF138" s="123">
        <f t="shared" si="4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41">AF140</f>
        <v>2</v>
      </c>
      <c r="C140" s="124">
        <v>2</v>
      </c>
      <c r="D140" s="123">
        <f t="shared" ref="D140:S146" si="42">C140</f>
        <v>2</v>
      </c>
      <c r="E140" s="123">
        <f t="shared" si="42"/>
        <v>2</v>
      </c>
      <c r="F140" s="123">
        <f t="shared" si="42"/>
        <v>2</v>
      </c>
      <c r="G140" s="123">
        <f t="shared" si="42"/>
        <v>2</v>
      </c>
      <c r="H140" s="123">
        <f t="shared" si="42"/>
        <v>2</v>
      </c>
      <c r="I140" s="123">
        <f t="shared" si="42"/>
        <v>2</v>
      </c>
      <c r="J140" s="123">
        <f t="shared" si="42"/>
        <v>2</v>
      </c>
      <c r="K140" s="123">
        <f t="shared" si="42"/>
        <v>2</v>
      </c>
      <c r="L140" s="123">
        <f t="shared" si="42"/>
        <v>2</v>
      </c>
      <c r="M140" s="123">
        <f t="shared" si="42"/>
        <v>2</v>
      </c>
      <c r="N140" s="123">
        <f t="shared" si="42"/>
        <v>2</v>
      </c>
      <c r="O140" s="123">
        <f t="shared" si="42"/>
        <v>2</v>
      </c>
      <c r="P140" s="123">
        <f t="shared" si="42"/>
        <v>2</v>
      </c>
      <c r="Q140" s="123">
        <f t="shared" si="42"/>
        <v>2</v>
      </c>
      <c r="R140" s="123">
        <f t="shared" si="42"/>
        <v>2</v>
      </c>
      <c r="S140" s="123">
        <f t="shared" si="42"/>
        <v>2</v>
      </c>
      <c r="T140" s="123">
        <f t="shared" ref="T140:AF146" si="43">S140</f>
        <v>2</v>
      </c>
      <c r="U140" s="123">
        <f t="shared" si="43"/>
        <v>2</v>
      </c>
      <c r="V140" s="123">
        <f t="shared" si="43"/>
        <v>2</v>
      </c>
      <c r="W140" s="123">
        <f t="shared" si="43"/>
        <v>2</v>
      </c>
      <c r="X140" s="123">
        <f t="shared" si="43"/>
        <v>2</v>
      </c>
      <c r="Y140" s="123">
        <f t="shared" si="43"/>
        <v>2</v>
      </c>
      <c r="Z140" s="123">
        <f t="shared" si="43"/>
        <v>2</v>
      </c>
      <c r="AA140" s="123">
        <f t="shared" si="43"/>
        <v>2</v>
      </c>
      <c r="AB140" s="123">
        <f t="shared" si="43"/>
        <v>2</v>
      </c>
      <c r="AC140" s="123">
        <f t="shared" si="43"/>
        <v>2</v>
      </c>
      <c r="AD140" s="123">
        <f t="shared" si="43"/>
        <v>2</v>
      </c>
      <c r="AE140" s="123">
        <f t="shared" si="43"/>
        <v>2</v>
      </c>
      <c r="AF140" s="123">
        <f t="shared" si="4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41"/>
        <v>5.61</v>
      </c>
      <c r="C141" s="124">
        <v>5.61</v>
      </c>
      <c r="D141" s="123">
        <f t="shared" si="42"/>
        <v>5.61</v>
      </c>
      <c r="E141" s="123">
        <f t="shared" si="42"/>
        <v>5.61</v>
      </c>
      <c r="F141" s="123">
        <f t="shared" si="42"/>
        <v>5.61</v>
      </c>
      <c r="G141" s="123">
        <f t="shared" si="42"/>
        <v>5.61</v>
      </c>
      <c r="H141" s="123">
        <f t="shared" si="42"/>
        <v>5.61</v>
      </c>
      <c r="I141" s="123">
        <f t="shared" si="42"/>
        <v>5.61</v>
      </c>
      <c r="J141" s="123">
        <f t="shared" si="42"/>
        <v>5.61</v>
      </c>
      <c r="K141" s="123">
        <f t="shared" si="42"/>
        <v>5.61</v>
      </c>
      <c r="L141" s="123">
        <f t="shared" si="42"/>
        <v>5.61</v>
      </c>
      <c r="M141" s="123">
        <f t="shared" si="42"/>
        <v>5.61</v>
      </c>
      <c r="N141" s="123">
        <f t="shared" si="42"/>
        <v>5.61</v>
      </c>
      <c r="O141" s="123">
        <f t="shared" si="42"/>
        <v>5.61</v>
      </c>
      <c r="P141" s="123">
        <f t="shared" si="42"/>
        <v>5.61</v>
      </c>
      <c r="Q141" s="123">
        <f t="shared" si="42"/>
        <v>5.61</v>
      </c>
      <c r="R141" s="123">
        <f t="shared" si="42"/>
        <v>5.61</v>
      </c>
      <c r="S141" s="123">
        <f t="shared" si="42"/>
        <v>5.61</v>
      </c>
      <c r="T141" s="123">
        <f t="shared" si="43"/>
        <v>5.61</v>
      </c>
      <c r="U141" s="123">
        <f t="shared" si="43"/>
        <v>5.61</v>
      </c>
      <c r="V141" s="123">
        <f t="shared" si="43"/>
        <v>5.61</v>
      </c>
      <c r="W141" s="123">
        <f t="shared" si="43"/>
        <v>5.61</v>
      </c>
      <c r="X141" s="123">
        <f t="shared" si="43"/>
        <v>5.61</v>
      </c>
      <c r="Y141" s="123">
        <f t="shared" si="43"/>
        <v>5.61</v>
      </c>
      <c r="Z141" s="123">
        <f t="shared" si="43"/>
        <v>5.61</v>
      </c>
      <c r="AA141" s="123">
        <f t="shared" si="43"/>
        <v>5.61</v>
      </c>
      <c r="AB141" s="123">
        <f t="shared" si="43"/>
        <v>5.61</v>
      </c>
      <c r="AC141" s="123">
        <f t="shared" si="43"/>
        <v>5.61</v>
      </c>
      <c r="AD141" s="123">
        <f t="shared" si="43"/>
        <v>5.61</v>
      </c>
      <c r="AE141" s="123">
        <f t="shared" si="43"/>
        <v>5.61</v>
      </c>
      <c r="AF141" s="123">
        <f t="shared" si="4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41"/>
        <v>1.25</v>
      </c>
      <c r="C142" s="124">
        <v>1.25</v>
      </c>
      <c r="D142" s="123">
        <f t="shared" si="42"/>
        <v>1.25</v>
      </c>
      <c r="E142" s="123">
        <f t="shared" si="42"/>
        <v>1.25</v>
      </c>
      <c r="F142" s="123">
        <f t="shared" si="42"/>
        <v>1.25</v>
      </c>
      <c r="G142" s="123">
        <f t="shared" si="42"/>
        <v>1.25</v>
      </c>
      <c r="H142" s="123">
        <f t="shared" si="42"/>
        <v>1.25</v>
      </c>
      <c r="I142" s="123">
        <f t="shared" si="42"/>
        <v>1.25</v>
      </c>
      <c r="J142" s="123">
        <f t="shared" si="42"/>
        <v>1.25</v>
      </c>
      <c r="K142" s="123">
        <f t="shared" si="42"/>
        <v>1.25</v>
      </c>
      <c r="L142" s="123">
        <f t="shared" si="42"/>
        <v>1.25</v>
      </c>
      <c r="M142" s="123">
        <f t="shared" si="42"/>
        <v>1.25</v>
      </c>
      <c r="N142" s="123">
        <f t="shared" si="42"/>
        <v>1.25</v>
      </c>
      <c r="O142" s="123">
        <f t="shared" si="42"/>
        <v>1.25</v>
      </c>
      <c r="P142" s="123">
        <f t="shared" si="42"/>
        <v>1.25</v>
      </c>
      <c r="Q142" s="123">
        <f t="shared" si="42"/>
        <v>1.25</v>
      </c>
      <c r="R142" s="123">
        <f t="shared" si="42"/>
        <v>1.25</v>
      </c>
      <c r="S142" s="123">
        <f t="shared" si="42"/>
        <v>1.25</v>
      </c>
      <c r="T142" s="123">
        <f t="shared" si="43"/>
        <v>1.25</v>
      </c>
      <c r="U142" s="123">
        <f t="shared" si="43"/>
        <v>1.25</v>
      </c>
      <c r="V142" s="123">
        <f t="shared" si="43"/>
        <v>1.25</v>
      </c>
      <c r="W142" s="123">
        <f t="shared" si="43"/>
        <v>1.25</v>
      </c>
      <c r="X142" s="123">
        <f t="shared" si="43"/>
        <v>1.25</v>
      </c>
      <c r="Y142" s="123">
        <f t="shared" si="43"/>
        <v>1.25</v>
      </c>
      <c r="Z142" s="123">
        <f t="shared" si="43"/>
        <v>1.25</v>
      </c>
      <c r="AA142" s="123">
        <f t="shared" si="43"/>
        <v>1.25</v>
      </c>
      <c r="AB142" s="123">
        <f t="shared" si="43"/>
        <v>1.25</v>
      </c>
      <c r="AC142" s="123">
        <f t="shared" si="43"/>
        <v>1.25</v>
      </c>
      <c r="AD142" s="123">
        <f t="shared" si="43"/>
        <v>1.25</v>
      </c>
      <c r="AE142" s="123">
        <f t="shared" si="43"/>
        <v>1.25</v>
      </c>
      <c r="AF142" s="123">
        <f t="shared" si="4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41"/>
        <v>1.25</v>
      </c>
      <c r="C143" s="124">
        <v>1.25</v>
      </c>
      <c r="D143" s="123">
        <f t="shared" si="42"/>
        <v>1.25</v>
      </c>
      <c r="E143" s="123">
        <f t="shared" si="42"/>
        <v>1.25</v>
      </c>
      <c r="F143" s="123">
        <f t="shared" si="42"/>
        <v>1.25</v>
      </c>
      <c r="G143" s="123">
        <f t="shared" si="42"/>
        <v>1.25</v>
      </c>
      <c r="H143" s="123">
        <f t="shared" si="42"/>
        <v>1.25</v>
      </c>
      <c r="I143" s="123">
        <f t="shared" si="42"/>
        <v>1.25</v>
      </c>
      <c r="J143" s="123">
        <f t="shared" si="42"/>
        <v>1.25</v>
      </c>
      <c r="K143" s="123">
        <f t="shared" si="42"/>
        <v>1.25</v>
      </c>
      <c r="L143" s="123">
        <f t="shared" si="42"/>
        <v>1.25</v>
      </c>
      <c r="M143" s="123">
        <f t="shared" si="42"/>
        <v>1.25</v>
      </c>
      <c r="N143" s="123">
        <f t="shared" si="42"/>
        <v>1.25</v>
      </c>
      <c r="O143" s="123">
        <f t="shared" si="42"/>
        <v>1.25</v>
      </c>
      <c r="P143" s="123">
        <f t="shared" si="42"/>
        <v>1.25</v>
      </c>
      <c r="Q143" s="123">
        <f t="shared" si="42"/>
        <v>1.25</v>
      </c>
      <c r="R143" s="123">
        <f t="shared" si="42"/>
        <v>1.25</v>
      </c>
      <c r="S143" s="123">
        <f t="shared" si="42"/>
        <v>1.25</v>
      </c>
      <c r="T143" s="123">
        <f t="shared" si="43"/>
        <v>1.25</v>
      </c>
      <c r="U143" s="123">
        <f t="shared" si="43"/>
        <v>1.25</v>
      </c>
      <c r="V143" s="123">
        <f t="shared" si="43"/>
        <v>1.25</v>
      </c>
      <c r="W143" s="123">
        <f t="shared" si="43"/>
        <v>1.25</v>
      </c>
      <c r="X143" s="123">
        <f t="shared" si="43"/>
        <v>1.25</v>
      </c>
      <c r="Y143" s="123">
        <f t="shared" si="43"/>
        <v>1.25</v>
      </c>
      <c r="Z143" s="123">
        <f t="shared" si="43"/>
        <v>1.25</v>
      </c>
      <c r="AA143" s="123">
        <f t="shared" si="43"/>
        <v>1.25</v>
      </c>
      <c r="AB143" s="123">
        <f t="shared" si="43"/>
        <v>1.25</v>
      </c>
      <c r="AC143" s="123">
        <f t="shared" si="43"/>
        <v>1.25</v>
      </c>
      <c r="AD143" s="123">
        <f t="shared" si="43"/>
        <v>1.25</v>
      </c>
      <c r="AE143" s="123">
        <f t="shared" si="43"/>
        <v>1.25</v>
      </c>
      <c r="AF143" s="123">
        <f t="shared" si="4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41"/>
        <v>1.46</v>
      </c>
      <c r="C144" s="124">
        <v>1.46</v>
      </c>
      <c r="D144" s="123">
        <f t="shared" si="42"/>
        <v>1.46</v>
      </c>
      <c r="E144" s="123">
        <f t="shared" si="42"/>
        <v>1.46</v>
      </c>
      <c r="F144" s="123">
        <f t="shared" si="42"/>
        <v>1.46</v>
      </c>
      <c r="G144" s="123">
        <f t="shared" si="42"/>
        <v>1.46</v>
      </c>
      <c r="H144" s="123">
        <f t="shared" si="42"/>
        <v>1.46</v>
      </c>
      <c r="I144" s="123">
        <f t="shared" si="42"/>
        <v>1.46</v>
      </c>
      <c r="J144" s="123">
        <f t="shared" si="42"/>
        <v>1.46</v>
      </c>
      <c r="K144" s="123">
        <f t="shared" si="42"/>
        <v>1.46</v>
      </c>
      <c r="L144" s="123">
        <f t="shared" si="42"/>
        <v>1.46</v>
      </c>
      <c r="M144" s="123">
        <f t="shared" si="42"/>
        <v>1.46</v>
      </c>
      <c r="N144" s="123">
        <f t="shared" si="42"/>
        <v>1.46</v>
      </c>
      <c r="O144" s="123">
        <f t="shared" si="42"/>
        <v>1.46</v>
      </c>
      <c r="P144" s="123">
        <f t="shared" si="42"/>
        <v>1.46</v>
      </c>
      <c r="Q144" s="123">
        <f t="shared" si="42"/>
        <v>1.46</v>
      </c>
      <c r="R144" s="123">
        <f t="shared" si="42"/>
        <v>1.46</v>
      </c>
      <c r="S144" s="123">
        <f t="shared" si="42"/>
        <v>1.46</v>
      </c>
      <c r="T144" s="123">
        <f t="shared" si="43"/>
        <v>1.46</v>
      </c>
      <c r="U144" s="123">
        <f t="shared" si="43"/>
        <v>1.46</v>
      </c>
      <c r="V144" s="123">
        <f t="shared" si="43"/>
        <v>1.46</v>
      </c>
      <c r="W144" s="123">
        <f t="shared" si="43"/>
        <v>1.46</v>
      </c>
      <c r="X144" s="123">
        <f t="shared" si="43"/>
        <v>1.46</v>
      </c>
      <c r="Y144" s="123">
        <f t="shared" si="43"/>
        <v>1.46</v>
      </c>
      <c r="Z144" s="123">
        <f t="shared" si="43"/>
        <v>1.46</v>
      </c>
      <c r="AA144" s="123">
        <f t="shared" si="43"/>
        <v>1.46</v>
      </c>
      <c r="AB144" s="123">
        <f t="shared" si="43"/>
        <v>1.46</v>
      </c>
      <c r="AC144" s="123">
        <f t="shared" si="43"/>
        <v>1.46</v>
      </c>
      <c r="AD144" s="123">
        <f t="shared" si="43"/>
        <v>1.46</v>
      </c>
      <c r="AE144" s="123">
        <f t="shared" si="43"/>
        <v>1.46</v>
      </c>
      <c r="AF144" s="123">
        <f t="shared" si="4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41"/>
        <v>3</v>
      </c>
      <c r="C145" s="124">
        <v>3</v>
      </c>
      <c r="D145" s="123">
        <f t="shared" si="42"/>
        <v>3</v>
      </c>
      <c r="E145" s="123">
        <f t="shared" si="42"/>
        <v>3</v>
      </c>
      <c r="F145" s="123">
        <f t="shared" si="42"/>
        <v>3</v>
      </c>
      <c r="G145" s="123">
        <f t="shared" si="42"/>
        <v>3</v>
      </c>
      <c r="H145" s="123">
        <f t="shared" si="42"/>
        <v>3</v>
      </c>
      <c r="I145" s="123">
        <f t="shared" si="42"/>
        <v>3</v>
      </c>
      <c r="J145" s="123">
        <f t="shared" si="42"/>
        <v>3</v>
      </c>
      <c r="K145" s="123">
        <f t="shared" si="42"/>
        <v>3</v>
      </c>
      <c r="L145" s="123">
        <f t="shared" si="42"/>
        <v>3</v>
      </c>
      <c r="M145" s="123">
        <f t="shared" si="42"/>
        <v>3</v>
      </c>
      <c r="N145" s="123">
        <f t="shared" si="42"/>
        <v>3</v>
      </c>
      <c r="O145" s="123">
        <f t="shared" si="42"/>
        <v>3</v>
      </c>
      <c r="P145" s="123">
        <f t="shared" si="42"/>
        <v>3</v>
      </c>
      <c r="Q145" s="123">
        <f t="shared" si="42"/>
        <v>3</v>
      </c>
      <c r="R145" s="123">
        <f t="shared" si="42"/>
        <v>3</v>
      </c>
      <c r="S145" s="123">
        <f t="shared" si="42"/>
        <v>3</v>
      </c>
      <c r="T145" s="123">
        <f t="shared" si="43"/>
        <v>3</v>
      </c>
      <c r="U145" s="123">
        <f t="shared" si="43"/>
        <v>3</v>
      </c>
      <c r="V145" s="123">
        <f t="shared" si="43"/>
        <v>3</v>
      </c>
      <c r="W145" s="123">
        <f t="shared" si="43"/>
        <v>3</v>
      </c>
      <c r="X145" s="123">
        <f t="shared" si="43"/>
        <v>3</v>
      </c>
      <c r="Y145" s="123">
        <f t="shared" si="43"/>
        <v>3</v>
      </c>
      <c r="Z145" s="123">
        <f t="shared" si="43"/>
        <v>3</v>
      </c>
      <c r="AA145" s="123">
        <f t="shared" si="43"/>
        <v>3</v>
      </c>
      <c r="AB145" s="123">
        <f t="shared" si="43"/>
        <v>3</v>
      </c>
      <c r="AC145" s="123">
        <f t="shared" si="43"/>
        <v>3</v>
      </c>
      <c r="AD145" s="123">
        <f t="shared" si="43"/>
        <v>3</v>
      </c>
      <c r="AE145" s="123">
        <f t="shared" si="43"/>
        <v>3</v>
      </c>
      <c r="AF145" s="123">
        <f t="shared" si="4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41"/>
        <v>3.3</v>
      </c>
      <c r="C146" s="124">
        <v>3.3</v>
      </c>
      <c r="D146" s="123">
        <f t="shared" si="42"/>
        <v>3.3</v>
      </c>
      <c r="E146" s="123">
        <f t="shared" si="42"/>
        <v>3.3</v>
      </c>
      <c r="F146" s="123">
        <f t="shared" si="42"/>
        <v>3.3</v>
      </c>
      <c r="G146" s="123">
        <f t="shared" si="42"/>
        <v>3.3</v>
      </c>
      <c r="H146" s="123">
        <f t="shared" si="42"/>
        <v>3.3</v>
      </c>
      <c r="I146" s="123">
        <f t="shared" si="42"/>
        <v>3.3</v>
      </c>
      <c r="J146" s="123">
        <f t="shared" si="42"/>
        <v>3.3</v>
      </c>
      <c r="K146" s="123">
        <f t="shared" si="42"/>
        <v>3.3</v>
      </c>
      <c r="L146" s="123">
        <f t="shared" si="42"/>
        <v>3.3</v>
      </c>
      <c r="M146" s="123">
        <f t="shared" si="42"/>
        <v>3.3</v>
      </c>
      <c r="N146" s="123">
        <f t="shared" si="42"/>
        <v>3.3</v>
      </c>
      <c r="O146" s="123">
        <f t="shared" si="42"/>
        <v>3.3</v>
      </c>
      <c r="P146" s="123">
        <f t="shared" si="42"/>
        <v>3.3</v>
      </c>
      <c r="Q146" s="123">
        <f t="shared" si="42"/>
        <v>3.3</v>
      </c>
      <c r="R146" s="123">
        <f t="shared" si="42"/>
        <v>3.3</v>
      </c>
      <c r="S146" s="123">
        <f t="shared" si="42"/>
        <v>3.3</v>
      </c>
      <c r="T146" s="123">
        <f t="shared" si="43"/>
        <v>3.3</v>
      </c>
      <c r="U146" s="123">
        <f t="shared" si="43"/>
        <v>3.3</v>
      </c>
      <c r="V146" s="123">
        <f t="shared" si="43"/>
        <v>3.3</v>
      </c>
      <c r="W146" s="123">
        <f t="shared" si="43"/>
        <v>3.3</v>
      </c>
      <c r="X146" s="123">
        <f t="shared" si="43"/>
        <v>3.3</v>
      </c>
      <c r="Y146" s="123">
        <f t="shared" si="43"/>
        <v>3.3</v>
      </c>
      <c r="Z146" s="123">
        <f t="shared" si="43"/>
        <v>3.3</v>
      </c>
      <c r="AA146" s="123">
        <f t="shared" si="43"/>
        <v>3.3</v>
      </c>
      <c r="AB146" s="123">
        <f t="shared" si="43"/>
        <v>3.3</v>
      </c>
      <c r="AC146" s="123">
        <f t="shared" si="43"/>
        <v>3.3</v>
      </c>
      <c r="AD146" s="123">
        <f t="shared" si="43"/>
        <v>3.3</v>
      </c>
      <c r="AE146" s="123">
        <f t="shared" si="43"/>
        <v>3.3</v>
      </c>
      <c r="AF146" s="123">
        <f t="shared" si="4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4">C148</f>
        <v>1.76</v>
      </c>
      <c r="E148" s="123">
        <f t="shared" si="44"/>
        <v>1.76</v>
      </c>
      <c r="F148" s="123">
        <f t="shared" si="44"/>
        <v>1.76</v>
      </c>
      <c r="G148" s="123">
        <f t="shared" si="44"/>
        <v>1.76</v>
      </c>
      <c r="H148" s="123">
        <f t="shared" si="44"/>
        <v>1.76</v>
      </c>
      <c r="I148" s="123">
        <f t="shared" si="44"/>
        <v>1.76</v>
      </c>
      <c r="J148" s="123">
        <f t="shared" si="44"/>
        <v>1.76</v>
      </c>
      <c r="K148" s="123">
        <f t="shared" si="44"/>
        <v>1.76</v>
      </c>
      <c r="L148" s="123">
        <f t="shared" si="44"/>
        <v>1.76</v>
      </c>
      <c r="M148" s="123">
        <f t="shared" si="44"/>
        <v>1.76</v>
      </c>
      <c r="N148" s="123">
        <f t="shared" si="44"/>
        <v>1.76</v>
      </c>
      <c r="O148" s="123">
        <f t="shared" si="44"/>
        <v>1.76</v>
      </c>
      <c r="P148" s="123">
        <f t="shared" si="44"/>
        <v>1.76</v>
      </c>
      <c r="Q148" s="123">
        <f t="shared" si="44"/>
        <v>1.76</v>
      </c>
      <c r="R148" s="123">
        <f t="shared" si="44"/>
        <v>1.76</v>
      </c>
      <c r="S148" s="123">
        <f t="shared" si="44"/>
        <v>1.76</v>
      </c>
      <c r="T148" s="123">
        <f t="shared" ref="T148:AF149" si="45">S148</f>
        <v>1.76</v>
      </c>
      <c r="U148" s="123">
        <f t="shared" si="45"/>
        <v>1.76</v>
      </c>
      <c r="V148" s="123">
        <f t="shared" si="45"/>
        <v>1.76</v>
      </c>
      <c r="W148" s="123">
        <f t="shared" si="45"/>
        <v>1.76</v>
      </c>
      <c r="X148" s="123">
        <f t="shared" si="45"/>
        <v>1.76</v>
      </c>
      <c r="Y148" s="123">
        <f t="shared" si="45"/>
        <v>1.76</v>
      </c>
      <c r="Z148" s="123">
        <f t="shared" si="45"/>
        <v>1.76</v>
      </c>
      <c r="AA148" s="123">
        <f t="shared" si="45"/>
        <v>1.76</v>
      </c>
      <c r="AB148" s="123">
        <f t="shared" si="45"/>
        <v>1.76</v>
      </c>
      <c r="AC148" s="123">
        <f t="shared" si="45"/>
        <v>1.76</v>
      </c>
      <c r="AD148" s="123">
        <f t="shared" si="45"/>
        <v>1.76</v>
      </c>
      <c r="AE148" s="123">
        <f t="shared" si="45"/>
        <v>1.76</v>
      </c>
      <c r="AF148" s="123">
        <f t="shared" si="4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4"/>
        <v>0</v>
      </c>
      <c r="E149" s="123">
        <f t="shared" si="44"/>
        <v>0</v>
      </c>
      <c r="F149" s="123">
        <f t="shared" si="44"/>
        <v>0</v>
      </c>
      <c r="G149" s="123">
        <f t="shared" si="44"/>
        <v>0</v>
      </c>
      <c r="H149" s="123">
        <f t="shared" si="44"/>
        <v>0</v>
      </c>
      <c r="I149" s="123">
        <f t="shared" si="44"/>
        <v>0</v>
      </c>
      <c r="J149" s="123">
        <f t="shared" si="44"/>
        <v>0</v>
      </c>
      <c r="K149" s="123">
        <f t="shared" si="44"/>
        <v>0</v>
      </c>
      <c r="L149" s="123">
        <f t="shared" si="44"/>
        <v>0</v>
      </c>
      <c r="M149" s="123">
        <f t="shared" si="44"/>
        <v>0</v>
      </c>
      <c r="N149" s="123">
        <f t="shared" si="44"/>
        <v>0</v>
      </c>
      <c r="O149" s="123">
        <f t="shared" si="44"/>
        <v>0</v>
      </c>
      <c r="P149" s="123">
        <f t="shared" si="44"/>
        <v>0</v>
      </c>
      <c r="Q149" s="123">
        <f t="shared" si="44"/>
        <v>0</v>
      </c>
      <c r="R149" s="123">
        <f t="shared" si="44"/>
        <v>0</v>
      </c>
      <c r="S149" s="123">
        <f t="shared" si="44"/>
        <v>0</v>
      </c>
      <c r="T149" s="123">
        <f t="shared" si="45"/>
        <v>0</v>
      </c>
      <c r="U149" s="123">
        <f t="shared" si="45"/>
        <v>0</v>
      </c>
      <c r="V149" s="123">
        <f t="shared" si="45"/>
        <v>0</v>
      </c>
      <c r="W149" s="123">
        <f t="shared" si="45"/>
        <v>0</v>
      </c>
      <c r="X149" s="123">
        <f t="shared" si="45"/>
        <v>0</v>
      </c>
      <c r="Y149" s="123">
        <f t="shared" si="45"/>
        <v>0</v>
      </c>
      <c r="Z149" s="123">
        <f t="shared" si="45"/>
        <v>0</v>
      </c>
      <c r="AA149" s="123">
        <f t="shared" si="45"/>
        <v>0</v>
      </c>
      <c r="AB149" s="123">
        <f t="shared" si="45"/>
        <v>0</v>
      </c>
      <c r="AC149" s="123">
        <f t="shared" si="45"/>
        <v>0</v>
      </c>
      <c r="AD149" s="123">
        <f t="shared" si="45"/>
        <v>0</v>
      </c>
      <c r="AE149" s="123">
        <f t="shared" si="45"/>
        <v>0</v>
      </c>
      <c r="AF149" s="123">
        <f t="shared" si="4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6">C151</f>
        <v>0.1</v>
      </c>
      <c r="E151" s="123">
        <f t="shared" si="46"/>
        <v>0.1</v>
      </c>
      <c r="F151" s="123">
        <f t="shared" si="46"/>
        <v>0.1</v>
      </c>
      <c r="G151" s="123">
        <f t="shared" si="46"/>
        <v>0.1</v>
      </c>
      <c r="H151" s="123">
        <f t="shared" si="46"/>
        <v>0.1</v>
      </c>
      <c r="I151" s="123">
        <f t="shared" si="46"/>
        <v>0.1</v>
      </c>
      <c r="J151" s="123">
        <f t="shared" si="46"/>
        <v>0.1</v>
      </c>
      <c r="K151" s="123">
        <f t="shared" si="46"/>
        <v>0.1</v>
      </c>
      <c r="L151" s="123">
        <f t="shared" si="46"/>
        <v>0.1</v>
      </c>
      <c r="M151" s="123">
        <f t="shared" si="46"/>
        <v>0.1</v>
      </c>
      <c r="N151" s="123">
        <f t="shared" si="46"/>
        <v>0.1</v>
      </c>
      <c r="O151" s="123">
        <f t="shared" si="46"/>
        <v>0.1</v>
      </c>
      <c r="P151" s="123">
        <f t="shared" si="46"/>
        <v>0.1</v>
      </c>
      <c r="Q151" s="123">
        <f t="shared" si="46"/>
        <v>0.1</v>
      </c>
      <c r="R151" s="123">
        <f t="shared" si="46"/>
        <v>0.1</v>
      </c>
      <c r="S151" s="123">
        <f t="shared" si="46"/>
        <v>0.1</v>
      </c>
      <c r="T151" s="123">
        <f t="shared" ref="T151:AF154" si="47">S151</f>
        <v>0.1</v>
      </c>
      <c r="U151" s="123">
        <f t="shared" si="47"/>
        <v>0.1</v>
      </c>
      <c r="V151" s="123">
        <f t="shared" si="47"/>
        <v>0.1</v>
      </c>
      <c r="W151" s="123">
        <f t="shared" si="47"/>
        <v>0.1</v>
      </c>
      <c r="X151" s="123">
        <f t="shared" si="47"/>
        <v>0.1</v>
      </c>
      <c r="Y151" s="123">
        <f t="shared" si="47"/>
        <v>0.1</v>
      </c>
      <c r="Z151" s="123">
        <f t="shared" si="47"/>
        <v>0.1</v>
      </c>
      <c r="AA151" s="123">
        <f t="shared" si="47"/>
        <v>0.1</v>
      </c>
      <c r="AB151" s="123">
        <f t="shared" si="47"/>
        <v>0.1</v>
      </c>
      <c r="AC151" s="123">
        <f t="shared" si="47"/>
        <v>0.1</v>
      </c>
      <c r="AD151" s="123">
        <f t="shared" si="47"/>
        <v>0.1</v>
      </c>
      <c r="AE151" s="123">
        <f t="shared" si="47"/>
        <v>0.1</v>
      </c>
      <c r="AF151" s="123">
        <f t="shared" si="4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6"/>
        <v>2.0499999999999998</v>
      </c>
      <c r="E152" s="123">
        <f t="shared" si="46"/>
        <v>2.0499999999999998</v>
      </c>
      <c r="F152" s="123">
        <f t="shared" si="46"/>
        <v>2.0499999999999998</v>
      </c>
      <c r="G152" s="123">
        <f t="shared" si="46"/>
        <v>2.0499999999999998</v>
      </c>
      <c r="H152" s="123">
        <f t="shared" si="46"/>
        <v>2.0499999999999998</v>
      </c>
      <c r="I152" s="123">
        <f t="shared" si="46"/>
        <v>2.0499999999999998</v>
      </c>
      <c r="J152" s="123">
        <f t="shared" si="46"/>
        <v>2.0499999999999998</v>
      </c>
      <c r="K152" s="123">
        <f t="shared" si="46"/>
        <v>2.0499999999999998</v>
      </c>
      <c r="L152" s="123">
        <f t="shared" si="46"/>
        <v>2.0499999999999998</v>
      </c>
      <c r="M152" s="123">
        <f t="shared" si="46"/>
        <v>2.0499999999999998</v>
      </c>
      <c r="N152" s="123">
        <f t="shared" si="46"/>
        <v>2.0499999999999998</v>
      </c>
      <c r="O152" s="123">
        <f t="shared" si="46"/>
        <v>2.0499999999999998</v>
      </c>
      <c r="P152" s="123">
        <f t="shared" si="46"/>
        <v>2.0499999999999998</v>
      </c>
      <c r="Q152" s="123">
        <f t="shared" si="46"/>
        <v>2.0499999999999998</v>
      </c>
      <c r="R152" s="123">
        <f t="shared" si="46"/>
        <v>2.0499999999999998</v>
      </c>
      <c r="S152" s="123">
        <f t="shared" si="46"/>
        <v>2.0499999999999998</v>
      </c>
      <c r="T152" s="123">
        <f t="shared" si="47"/>
        <v>2.0499999999999998</v>
      </c>
      <c r="U152" s="123">
        <f t="shared" si="47"/>
        <v>2.0499999999999998</v>
      </c>
      <c r="V152" s="123">
        <f t="shared" si="47"/>
        <v>2.0499999999999998</v>
      </c>
      <c r="W152" s="123">
        <f t="shared" si="47"/>
        <v>2.0499999999999998</v>
      </c>
      <c r="X152" s="123">
        <f t="shared" si="47"/>
        <v>2.0499999999999998</v>
      </c>
      <c r="Y152" s="123">
        <f t="shared" si="47"/>
        <v>2.0499999999999998</v>
      </c>
      <c r="Z152" s="123">
        <f t="shared" si="47"/>
        <v>2.0499999999999998</v>
      </c>
      <c r="AA152" s="123">
        <f t="shared" si="47"/>
        <v>2.0499999999999998</v>
      </c>
      <c r="AB152" s="123">
        <f t="shared" si="47"/>
        <v>2.0499999999999998</v>
      </c>
      <c r="AC152" s="123">
        <f t="shared" si="47"/>
        <v>2.0499999999999998</v>
      </c>
      <c r="AD152" s="123">
        <f t="shared" si="47"/>
        <v>2.0499999999999998</v>
      </c>
      <c r="AE152" s="123">
        <f t="shared" si="47"/>
        <v>2.0499999999999998</v>
      </c>
      <c r="AF152" s="123">
        <f t="shared" si="4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6"/>
        <v>2.7</v>
      </c>
      <c r="E153" s="123">
        <f t="shared" si="46"/>
        <v>2.7</v>
      </c>
      <c r="F153" s="123">
        <f t="shared" si="46"/>
        <v>2.7</v>
      </c>
      <c r="G153" s="123">
        <f t="shared" si="46"/>
        <v>2.7</v>
      </c>
      <c r="H153" s="123">
        <f t="shared" si="46"/>
        <v>2.7</v>
      </c>
      <c r="I153" s="123">
        <f t="shared" si="46"/>
        <v>2.7</v>
      </c>
      <c r="J153" s="123">
        <f t="shared" si="46"/>
        <v>2.7</v>
      </c>
      <c r="K153" s="123">
        <f t="shared" si="46"/>
        <v>2.7</v>
      </c>
      <c r="L153" s="123">
        <f t="shared" si="46"/>
        <v>2.7</v>
      </c>
      <c r="M153" s="123">
        <f t="shared" si="46"/>
        <v>2.7</v>
      </c>
      <c r="N153" s="123">
        <f t="shared" si="46"/>
        <v>2.7</v>
      </c>
      <c r="O153" s="123">
        <f t="shared" si="46"/>
        <v>2.7</v>
      </c>
      <c r="P153" s="123">
        <f t="shared" si="46"/>
        <v>2.7</v>
      </c>
      <c r="Q153" s="123">
        <f t="shared" si="46"/>
        <v>2.7</v>
      </c>
      <c r="R153" s="123">
        <f t="shared" si="46"/>
        <v>2.7</v>
      </c>
      <c r="S153" s="123">
        <f t="shared" si="46"/>
        <v>2.7</v>
      </c>
      <c r="T153" s="123">
        <f t="shared" si="47"/>
        <v>2.7</v>
      </c>
      <c r="U153" s="123">
        <f t="shared" si="47"/>
        <v>2.7</v>
      </c>
      <c r="V153" s="123">
        <f t="shared" si="47"/>
        <v>2.7</v>
      </c>
      <c r="W153" s="123">
        <f t="shared" si="47"/>
        <v>2.7</v>
      </c>
      <c r="X153" s="123">
        <f t="shared" si="47"/>
        <v>2.7</v>
      </c>
      <c r="Y153" s="123">
        <f t="shared" si="47"/>
        <v>2.7</v>
      </c>
      <c r="Z153" s="123">
        <f t="shared" si="47"/>
        <v>2.7</v>
      </c>
      <c r="AA153" s="123">
        <f t="shared" si="47"/>
        <v>2.7</v>
      </c>
      <c r="AB153" s="123">
        <f t="shared" si="47"/>
        <v>2.7</v>
      </c>
      <c r="AC153" s="123">
        <f t="shared" si="47"/>
        <v>2.7</v>
      </c>
      <c r="AD153" s="123">
        <f t="shared" si="47"/>
        <v>2.7</v>
      </c>
      <c r="AE153" s="123">
        <f t="shared" si="47"/>
        <v>2.7</v>
      </c>
      <c r="AF153" s="123">
        <f t="shared" si="4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6"/>
        <v>2.15</v>
      </c>
      <c r="E154" s="123">
        <f t="shared" si="46"/>
        <v>2.15</v>
      </c>
      <c r="F154" s="123">
        <f t="shared" si="46"/>
        <v>2.15</v>
      </c>
      <c r="G154" s="123">
        <f t="shared" si="46"/>
        <v>2.15</v>
      </c>
      <c r="H154" s="123">
        <f t="shared" si="46"/>
        <v>2.15</v>
      </c>
      <c r="I154" s="123">
        <f t="shared" si="46"/>
        <v>2.15</v>
      </c>
      <c r="J154" s="123">
        <f t="shared" si="46"/>
        <v>2.15</v>
      </c>
      <c r="K154" s="123">
        <f t="shared" si="46"/>
        <v>2.15</v>
      </c>
      <c r="L154" s="123">
        <f t="shared" si="46"/>
        <v>2.15</v>
      </c>
      <c r="M154" s="123">
        <f t="shared" si="46"/>
        <v>2.15</v>
      </c>
      <c r="N154" s="123">
        <f t="shared" si="46"/>
        <v>2.15</v>
      </c>
      <c r="O154" s="123">
        <f t="shared" si="46"/>
        <v>2.15</v>
      </c>
      <c r="P154" s="123">
        <f t="shared" si="46"/>
        <v>2.15</v>
      </c>
      <c r="Q154" s="123">
        <f t="shared" si="46"/>
        <v>2.15</v>
      </c>
      <c r="R154" s="123">
        <f t="shared" si="46"/>
        <v>2.15</v>
      </c>
      <c r="S154" s="123">
        <f t="shared" si="46"/>
        <v>2.15</v>
      </c>
      <c r="T154" s="123">
        <f t="shared" si="47"/>
        <v>2.15</v>
      </c>
      <c r="U154" s="123">
        <f t="shared" si="47"/>
        <v>2.15</v>
      </c>
      <c r="V154" s="123">
        <f t="shared" si="47"/>
        <v>2.15</v>
      </c>
      <c r="W154" s="123">
        <f t="shared" si="47"/>
        <v>2.15</v>
      </c>
      <c r="X154" s="123">
        <f t="shared" si="47"/>
        <v>2.15</v>
      </c>
      <c r="Y154" s="123">
        <f t="shared" si="47"/>
        <v>2.15</v>
      </c>
      <c r="Z154" s="123">
        <f t="shared" si="47"/>
        <v>2.15</v>
      </c>
      <c r="AA154" s="123">
        <f t="shared" si="47"/>
        <v>2.15</v>
      </c>
      <c r="AB154" s="123">
        <f t="shared" si="47"/>
        <v>2.15</v>
      </c>
      <c r="AC154" s="123">
        <f t="shared" si="47"/>
        <v>2.15</v>
      </c>
      <c r="AD154" s="123">
        <f t="shared" si="47"/>
        <v>2.15</v>
      </c>
      <c r="AE154" s="123">
        <f t="shared" si="47"/>
        <v>2.15</v>
      </c>
      <c r="AF154" s="123">
        <f t="shared" si="4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8">AF156</f>
        <v>0.9</v>
      </c>
      <c r="C156" s="124">
        <v>0.9</v>
      </c>
      <c r="D156" s="123">
        <f t="shared" ref="D156:S168" si="49">C156</f>
        <v>0.9</v>
      </c>
      <c r="E156" s="123">
        <f t="shared" si="49"/>
        <v>0.9</v>
      </c>
      <c r="F156" s="123">
        <f t="shared" si="49"/>
        <v>0.9</v>
      </c>
      <c r="G156" s="123">
        <f t="shared" si="49"/>
        <v>0.9</v>
      </c>
      <c r="H156" s="123">
        <f t="shared" si="49"/>
        <v>0.9</v>
      </c>
      <c r="I156" s="123">
        <f t="shared" si="49"/>
        <v>0.9</v>
      </c>
      <c r="J156" s="123">
        <f t="shared" si="49"/>
        <v>0.9</v>
      </c>
      <c r="K156" s="123">
        <f t="shared" si="49"/>
        <v>0.9</v>
      </c>
      <c r="L156" s="123">
        <f t="shared" si="49"/>
        <v>0.9</v>
      </c>
      <c r="M156" s="123">
        <f t="shared" si="49"/>
        <v>0.9</v>
      </c>
      <c r="N156" s="123">
        <f t="shared" si="49"/>
        <v>0.9</v>
      </c>
      <c r="O156" s="123">
        <f t="shared" si="49"/>
        <v>0.9</v>
      </c>
      <c r="P156" s="123">
        <f t="shared" si="49"/>
        <v>0.9</v>
      </c>
      <c r="Q156" s="123">
        <f t="shared" si="49"/>
        <v>0.9</v>
      </c>
      <c r="R156" s="123">
        <f t="shared" si="49"/>
        <v>0.9</v>
      </c>
      <c r="S156" s="123">
        <f t="shared" si="49"/>
        <v>0.9</v>
      </c>
      <c r="T156" s="123">
        <f t="shared" ref="S156:AF168" si="50">S156</f>
        <v>0.9</v>
      </c>
      <c r="U156" s="123">
        <f t="shared" si="50"/>
        <v>0.9</v>
      </c>
      <c r="V156" s="123">
        <f t="shared" si="50"/>
        <v>0.9</v>
      </c>
      <c r="W156" s="123">
        <f t="shared" si="50"/>
        <v>0.9</v>
      </c>
      <c r="X156" s="123">
        <f t="shared" si="50"/>
        <v>0.9</v>
      </c>
      <c r="Y156" s="123">
        <f t="shared" si="50"/>
        <v>0.9</v>
      </c>
      <c r="Z156" s="123">
        <f t="shared" si="50"/>
        <v>0.9</v>
      </c>
      <c r="AA156" s="123">
        <f t="shared" si="50"/>
        <v>0.9</v>
      </c>
      <c r="AB156" s="123">
        <f t="shared" si="50"/>
        <v>0.9</v>
      </c>
      <c r="AC156" s="123">
        <f t="shared" si="50"/>
        <v>0.9</v>
      </c>
      <c r="AD156" s="123">
        <f t="shared" si="50"/>
        <v>0.9</v>
      </c>
      <c r="AE156" s="123">
        <f t="shared" si="50"/>
        <v>0.9</v>
      </c>
      <c r="AF156" s="123">
        <f t="shared" si="5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8"/>
        <v>1.08</v>
      </c>
      <c r="C157" s="124">
        <v>1.08</v>
      </c>
      <c r="D157" s="123">
        <f t="shared" si="49"/>
        <v>1.08</v>
      </c>
      <c r="E157" s="123">
        <f t="shared" si="49"/>
        <v>1.08</v>
      </c>
      <c r="F157" s="123">
        <f t="shared" si="49"/>
        <v>1.08</v>
      </c>
      <c r="G157" s="123">
        <f t="shared" si="49"/>
        <v>1.08</v>
      </c>
      <c r="H157" s="123">
        <f t="shared" si="49"/>
        <v>1.08</v>
      </c>
      <c r="I157" s="123">
        <f t="shared" si="49"/>
        <v>1.08</v>
      </c>
      <c r="J157" s="123">
        <f t="shared" si="49"/>
        <v>1.08</v>
      </c>
      <c r="K157" s="123">
        <f t="shared" si="49"/>
        <v>1.08</v>
      </c>
      <c r="L157" s="123">
        <f t="shared" si="49"/>
        <v>1.08</v>
      </c>
      <c r="M157" s="123">
        <f t="shared" si="49"/>
        <v>1.08</v>
      </c>
      <c r="N157" s="123">
        <f t="shared" si="49"/>
        <v>1.08</v>
      </c>
      <c r="O157" s="123">
        <f t="shared" si="49"/>
        <v>1.08</v>
      </c>
      <c r="P157" s="123">
        <f t="shared" si="49"/>
        <v>1.08</v>
      </c>
      <c r="Q157" s="123">
        <f t="shared" si="49"/>
        <v>1.08</v>
      </c>
      <c r="R157" s="123">
        <f t="shared" si="49"/>
        <v>1.08</v>
      </c>
      <c r="S157" s="123">
        <f t="shared" si="49"/>
        <v>1.08</v>
      </c>
      <c r="T157" s="123">
        <f t="shared" si="50"/>
        <v>1.08</v>
      </c>
      <c r="U157" s="123">
        <f t="shared" si="50"/>
        <v>1.08</v>
      </c>
      <c r="V157" s="123">
        <f t="shared" si="50"/>
        <v>1.08</v>
      </c>
      <c r="W157" s="123">
        <f t="shared" si="50"/>
        <v>1.08</v>
      </c>
      <c r="X157" s="123">
        <f t="shared" si="50"/>
        <v>1.08</v>
      </c>
      <c r="Y157" s="123">
        <f t="shared" si="50"/>
        <v>1.08</v>
      </c>
      <c r="Z157" s="123">
        <f t="shared" si="50"/>
        <v>1.08</v>
      </c>
      <c r="AA157" s="123">
        <f t="shared" si="50"/>
        <v>1.08</v>
      </c>
      <c r="AB157" s="123">
        <f t="shared" si="50"/>
        <v>1.08</v>
      </c>
      <c r="AC157" s="123">
        <f t="shared" si="50"/>
        <v>1.08</v>
      </c>
      <c r="AD157" s="123">
        <f t="shared" si="50"/>
        <v>1.08</v>
      </c>
      <c r="AE157" s="123">
        <f t="shared" si="50"/>
        <v>1.08</v>
      </c>
      <c r="AF157" s="123">
        <f t="shared" si="5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8"/>
        <v>2.37</v>
      </c>
      <c r="C158" s="124">
        <v>2.37</v>
      </c>
      <c r="D158" s="123">
        <f t="shared" si="49"/>
        <v>2.37</v>
      </c>
      <c r="E158" s="123">
        <f t="shared" si="49"/>
        <v>2.37</v>
      </c>
      <c r="F158" s="123">
        <f t="shared" si="49"/>
        <v>2.37</v>
      </c>
      <c r="G158" s="123">
        <f t="shared" si="49"/>
        <v>2.37</v>
      </c>
      <c r="H158" s="123">
        <f t="shared" si="49"/>
        <v>2.37</v>
      </c>
      <c r="I158" s="123">
        <f t="shared" si="49"/>
        <v>2.37</v>
      </c>
      <c r="J158" s="123">
        <f t="shared" si="49"/>
        <v>2.37</v>
      </c>
      <c r="K158" s="123">
        <f t="shared" si="49"/>
        <v>2.37</v>
      </c>
      <c r="L158" s="123">
        <f t="shared" si="49"/>
        <v>2.37</v>
      </c>
      <c r="M158" s="123">
        <f t="shared" si="49"/>
        <v>2.37</v>
      </c>
      <c r="N158" s="123">
        <f t="shared" si="49"/>
        <v>2.37</v>
      </c>
      <c r="O158" s="123">
        <f t="shared" si="49"/>
        <v>2.37</v>
      </c>
      <c r="P158" s="123">
        <f t="shared" si="49"/>
        <v>2.37</v>
      </c>
      <c r="Q158" s="123">
        <f t="shared" si="49"/>
        <v>2.37</v>
      </c>
      <c r="R158" s="123">
        <f t="shared" si="49"/>
        <v>2.37</v>
      </c>
      <c r="S158" s="123">
        <f t="shared" si="49"/>
        <v>2.37</v>
      </c>
      <c r="T158" s="123">
        <f t="shared" si="50"/>
        <v>2.37</v>
      </c>
      <c r="U158" s="123">
        <f t="shared" si="50"/>
        <v>2.37</v>
      </c>
      <c r="V158" s="123">
        <f t="shared" si="50"/>
        <v>2.37</v>
      </c>
      <c r="W158" s="123">
        <f t="shared" si="50"/>
        <v>2.37</v>
      </c>
      <c r="X158" s="123">
        <f t="shared" si="50"/>
        <v>2.37</v>
      </c>
      <c r="Y158" s="123">
        <f t="shared" si="50"/>
        <v>2.37</v>
      </c>
      <c r="Z158" s="123">
        <f t="shared" si="50"/>
        <v>2.37</v>
      </c>
      <c r="AA158" s="123">
        <f t="shared" si="50"/>
        <v>2.37</v>
      </c>
      <c r="AB158" s="123">
        <f t="shared" si="50"/>
        <v>2.37</v>
      </c>
      <c r="AC158" s="123">
        <f t="shared" si="50"/>
        <v>2.37</v>
      </c>
      <c r="AD158" s="123">
        <f t="shared" si="50"/>
        <v>2.37</v>
      </c>
      <c r="AE158" s="123">
        <f t="shared" si="50"/>
        <v>2.37</v>
      </c>
      <c r="AF158" s="123">
        <f t="shared" si="5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8"/>
        <v>1.81</v>
      </c>
      <c r="C159" s="124">
        <v>1.81</v>
      </c>
      <c r="D159" s="123">
        <f t="shared" si="49"/>
        <v>1.81</v>
      </c>
      <c r="E159" s="123">
        <f t="shared" si="49"/>
        <v>1.81</v>
      </c>
      <c r="F159" s="123">
        <f t="shared" si="49"/>
        <v>1.81</v>
      </c>
      <c r="G159" s="123">
        <f t="shared" si="49"/>
        <v>1.81</v>
      </c>
      <c r="H159" s="123">
        <f t="shared" si="49"/>
        <v>1.81</v>
      </c>
      <c r="I159" s="123">
        <f t="shared" si="49"/>
        <v>1.81</v>
      </c>
      <c r="J159" s="123">
        <f t="shared" si="49"/>
        <v>1.81</v>
      </c>
      <c r="K159" s="123">
        <f t="shared" si="49"/>
        <v>1.81</v>
      </c>
      <c r="L159" s="123">
        <f t="shared" si="49"/>
        <v>1.81</v>
      </c>
      <c r="M159" s="123">
        <f t="shared" si="49"/>
        <v>1.81</v>
      </c>
      <c r="N159" s="123">
        <f t="shared" si="49"/>
        <v>1.81</v>
      </c>
      <c r="O159" s="123">
        <f t="shared" si="49"/>
        <v>1.81</v>
      </c>
      <c r="P159" s="123">
        <f t="shared" si="49"/>
        <v>1.81</v>
      </c>
      <c r="Q159" s="123">
        <f t="shared" si="49"/>
        <v>1.81</v>
      </c>
      <c r="R159" s="123">
        <f t="shared" si="49"/>
        <v>1.81</v>
      </c>
      <c r="S159" s="123">
        <f t="shared" si="49"/>
        <v>1.81</v>
      </c>
      <c r="T159" s="123">
        <f t="shared" si="50"/>
        <v>1.81</v>
      </c>
      <c r="U159" s="123">
        <f t="shared" si="50"/>
        <v>1.81</v>
      </c>
      <c r="V159" s="123">
        <f t="shared" si="50"/>
        <v>1.81</v>
      </c>
      <c r="W159" s="123">
        <f t="shared" si="50"/>
        <v>1.81</v>
      </c>
      <c r="X159" s="123">
        <f t="shared" si="50"/>
        <v>1.81</v>
      </c>
      <c r="Y159" s="123">
        <f t="shared" si="50"/>
        <v>1.81</v>
      </c>
      <c r="Z159" s="123">
        <f t="shared" si="50"/>
        <v>1.81</v>
      </c>
      <c r="AA159" s="123">
        <f t="shared" si="50"/>
        <v>1.81</v>
      </c>
      <c r="AB159" s="123">
        <f t="shared" si="50"/>
        <v>1.81</v>
      </c>
      <c r="AC159" s="123">
        <f t="shared" si="50"/>
        <v>1.81</v>
      </c>
      <c r="AD159" s="123">
        <f t="shared" si="50"/>
        <v>1.81</v>
      </c>
      <c r="AE159" s="123">
        <f t="shared" si="50"/>
        <v>1.81</v>
      </c>
      <c r="AF159" s="123">
        <f t="shared" si="5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8"/>
        <v>1.0900000000000001</v>
      </c>
      <c r="C160" s="124">
        <v>1.0900000000000001</v>
      </c>
      <c r="D160" s="123">
        <f t="shared" si="49"/>
        <v>1.0900000000000001</v>
      </c>
      <c r="E160" s="123">
        <f t="shared" si="49"/>
        <v>1.0900000000000001</v>
      </c>
      <c r="F160" s="123">
        <f t="shared" si="49"/>
        <v>1.0900000000000001</v>
      </c>
      <c r="G160" s="123">
        <f t="shared" si="49"/>
        <v>1.0900000000000001</v>
      </c>
      <c r="H160" s="123">
        <f t="shared" si="49"/>
        <v>1.0900000000000001</v>
      </c>
      <c r="I160" s="123">
        <f t="shared" si="49"/>
        <v>1.0900000000000001</v>
      </c>
      <c r="J160" s="123">
        <f t="shared" si="49"/>
        <v>1.0900000000000001</v>
      </c>
      <c r="K160" s="123">
        <f t="shared" si="49"/>
        <v>1.0900000000000001</v>
      </c>
      <c r="L160" s="123">
        <f t="shared" si="49"/>
        <v>1.0900000000000001</v>
      </c>
      <c r="M160" s="123">
        <f t="shared" si="49"/>
        <v>1.0900000000000001</v>
      </c>
      <c r="N160" s="123">
        <f t="shared" si="49"/>
        <v>1.0900000000000001</v>
      </c>
      <c r="O160" s="123">
        <f t="shared" si="49"/>
        <v>1.0900000000000001</v>
      </c>
      <c r="P160" s="123">
        <f t="shared" si="49"/>
        <v>1.0900000000000001</v>
      </c>
      <c r="Q160" s="123">
        <f t="shared" si="49"/>
        <v>1.0900000000000001</v>
      </c>
      <c r="R160" s="123">
        <f t="shared" si="49"/>
        <v>1.0900000000000001</v>
      </c>
      <c r="S160" s="123">
        <f t="shared" si="49"/>
        <v>1.0900000000000001</v>
      </c>
      <c r="T160" s="123">
        <f t="shared" si="50"/>
        <v>1.0900000000000001</v>
      </c>
      <c r="U160" s="123">
        <f t="shared" si="50"/>
        <v>1.0900000000000001</v>
      </c>
      <c r="V160" s="123">
        <f t="shared" si="50"/>
        <v>1.0900000000000001</v>
      </c>
      <c r="W160" s="123">
        <f t="shared" si="50"/>
        <v>1.0900000000000001</v>
      </c>
      <c r="X160" s="123">
        <f t="shared" si="50"/>
        <v>1.0900000000000001</v>
      </c>
      <c r="Y160" s="123">
        <f t="shared" si="50"/>
        <v>1.0900000000000001</v>
      </c>
      <c r="Z160" s="123">
        <f t="shared" si="50"/>
        <v>1.0900000000000001</v>
      </c>
      <c r="AA160" s="123">
        <f t="shared" si="50"/>
        <v>1.0900000000000001</v>
      </c>
      <c r="AB160" s="123">
        <f t="shared" si="50"/>
        <v>1.0900000000000001</v>
      </c>
      <c r="AC160" s="123">
        <f t="shared" si="50"/>
        <v>1.0900000000000001</v>
      </c>
      <c r="AD160" s="123">
        <f t="shared" si="50"/>
        <v>1.0900000000000001</v>
      </c>
      <c r="AE160" s="123">
        <f t="shared" si="50"/>
        <v>1.0900000000000001</v>
      </c>
      <c r="AF160" s="123">
        <f t="shared" si="5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8"/>
        <v>1.58</v>
      </c>
      <c r="C161" s="124">
        <v>1.58</v>
      </c>
      <c r="D161" s="123">
        <f t="shared" si="49"/>
        <v>1.58</v>
      </c>
      <c r="E161" s="123">
        <f t="shared" si="49"/>
        <v>1.58</v>
      </c>
      <c r="F161" s="123">
        <f t="shared" si="49"/>
        <v>1.58</v>
      </c>
      <c r="G161" s="123">
        <f t="shared" si="49"/>
        <v>1.58</v>
      </c>
      <c r="H161" s="123">
        <f t="shared" si="49"/>
        <v>1.58</v>
      </c>
      <c r="I161" s="123">
        <f t="shared" si="49"/>
        <v>1.58</v>
      </c>
      <c r="J161" s="123">
        <f t="shared" si="49"/>
        <v>1.58</v>
      </c>
      <c r="K161" s="123">
        <f t="shared" si="49"/>
        <v>1.58</v>
      </c>
      <c r="L161" s="123">
        <f t="shared" si="49"/>
        <v>1.58</v>
      </c>
      <c r="M161" s="123">
        <f t="shared" si="49"/>
        <v>1.58</v>
      </c>
      <c r="N161" s="123">
        <f t="shared" si="49"/>
        <v>1.58</v>
      </c>
      <c r="O161" s="123">
        <f t="shared" si="49"/>
        <v>1.58</v>
      </c>
      <c r="P161" s="123">
        <f t="shared" si="49"/>
        <v>1.58</v>
      </c>
      <c r="Q161" s="123">
        <f t="shared" si="49"/>
        <v>1.58</v>
      </c>
      <c r="R161" s="123">
        <f t="shared" si="49"/>
        <v>1.58</v>
      </c>
      <c r="S161" s="123">
        <f t="shared" si="49"/>
        <v>1.58</v>
      </c>
      <c r="T161" s="123">
        <f t="shared" si="50"/>
        <v>1.58</v>
      </c>
      <c r="U161" s="123">
        <f t="shared" si="50"/>
        <v>1.58</v>
      </c>
      <c r="V161" s="123">
        <f t="shared" si="50"/>
        <v>1.58</v>
      </c>
      <c r="W161" s="123">
        <f t="shared" si="50"/>
        <v>1.58</v>
      </c>
      <c r="X161" s="123">
        <f t="shared" si="50"/>
        <v>1.58</v>
      </c>
      <c r="Y161" s="123">
        <f t="shared" si="50"/>
        <v>1.58</v>
      </c>
      <c r="Z161" s="123">
        <f t="shared" si="50"/>
        <v>1.58</v>
      </c>
      <c r="AA161" s="123">
        <f t="shared" si="50"/>
        <v>1.58</v>
      </c>
      <c r="AB161" s="123">
        <f t="shared" si="50"/>
        <v>1.58</v>
      </c>
      <c r="AC161" s="123">
        <f t="shared" si="50"/>
        <v>1.58</v>
      </c>
      <c r="AD161" s="123">
        <f t="shared" si="50"/>
        <v>1.58</v>
      </c>
      <c r="AE161" s="123">
        <f t="shared" si="50"/>
        <v>1.58</v>
      </c>
      <c r="AF161" s="123">
        <f t="shared" si="5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8"/>
        <v>2</v>
      </c>
      <c r="C162" s="124">
        <v>2</v>
      </c>
      <c r="D162" s="123">
        <f t="shared" si="49"/>
        <v>2</v>
      </c>
      <c r="E162" s="123">
        <f t="shared" si="49"/>
        <v>2</v>
      </c>
      <c r="F162" s="123">
        <f t="shared" si="49"/>
        <v>2</v>
      </c>
      <c r="G162" s="123">
        <f t="shared" si="49"/>
        <v>2</v>
      </c>
      <c r="H162" s="123">
        <f t="shared" si="49"/>
        <v>2</v>
      </c>
      <c r="I162" s="123">
        <f t="shared" si="49"/>
        <v>2</v>
      </c>
      <c r="J162" s="123">
        <f t="shared" si="49"/>
        <v>2</v>
      </c>
      <c r="K162" s="123">
        <f t="shared" si="49"/>
        <v>2</v>
      </c>
      <c r="L162" s="123">
        <f t="shared" si="49"/>
        <v>2</v>
      </c>
      <c r="M162" s="123">
        <f t="shared" si="49"/>
        <v>2</v>
      </c>
      <c r="N162" s="123">
        <f t="shared" si="49"/>
        <v>2</v>
      </c>
      <c r="O162" s="123">
        <f t="shared" si="49"/>
        <v>2</v>
      </c>
      <c r="P162" s="123">
        <f t="shared" si="49"/>
        <v>2</v>
      </c>
      <c r="Q162" s="123">
        <f t="shared" si="49"/>
        <v>2</v>
      </c>
      <c r="R162" s="123">
        <f t="shared" si="49"/>
        <v>2</v>
      </c>
      <c r="S162" s="123">
        <f t="shared" si="49"/>
        <v>2</v>
      </c>
      <c r="T162" s="123">
        <f t="shared" si="50"/>
        <v>2</v>
      </c>
      <c r="U162" s="123">
        <f t="shared" si="50"/>
        <v>2</v>
      </c>
      <c r="V162" s="123">
        <f t="shared" si="50"/>
        <v>2</v>
      </c>
      <c r="W162" s="123">
        <f t="shared" si="50"/>
        <v>2</v>
      </c>
      <c r="X162" s="123">
        <f t="shared" si="50"/>
        <v>2</v>
      </c>
      <c r="Y162" s="123">
        <f t="shared" si="50"/>
        <v>2</v>
      </c>
      <c r="Z162" s="123">
        <f t="shared" si="50"/>
        <v>2</v>
      </c>
      <c r="AA162" s="123">
        <f t="shared" si="50"/>
        <v>2</v>
      </c>
      <c r="AB162" s="123">
        <f t="shared" si="50"/>
        <v>2</v>
      </c>
      <c r="AC162" s="123">
        <f t="shared" si="50"/>
        <v>2</v>
      </c>
      <c r="AD162" s="123">
        <f t="shared" si="50"/>
        <v>2</v>
      </c>
      <c r="AE162" s="123">
        <f t="shared" si="50"/>
        <v>2</v>
      </c>
      <c r="AF162" s="123">
        <f t="shared" si="5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8"/>
        <v>0.47</v>
      </c>
      <c r="C163" s="124">
        <v>0.47</v>
      </c>
      <c r="D163" s="123">
        <f t="shared" si="49"/>
        <v>0.47</v>
      </c>
      <c r="E163" s="123">
        <f t="shared" si="49"/>
        <v>0.47</v>
      </c>
      <c r="F163" s="123">
        <f t="shared" si="49"/>
        <v>0.47</v>
      </c>
      <c r="G163" s="123">
        <f t="shared" si="49"/>
        <v>0.47</v>
      </c>
      <c r="H163" s="123">
        <f t="shared" si="49"/>
        <v>0.47</v>
      </c>
      <c r="I163" s="123">
        <f t="shared" si="49"/>
        <v>0.47</v>
      </c>
      <c r="J163" s="123">
        <f t="shared" si="49"/>
        <v>0.47</v>
      </c>
      <c r="K163" s="123">
        <f t="shared" si="49"/>
        <v>0.47</v>
      </c>
      <c r="L163" s="123">
        <f t="shared" si="49"/>
        <v>0.47</v>
      </c>
      <c r="M163" s="123">
        <f t="shared" si="49"/>
        <v>0.47</v>
      </c>
      <c r="N163" s="123">
        <f t="shared" si="49"/>
        <v>0.47</v>
      </c>
      <c r="O163" s="123">
        <f t="shared" si="49"/>
        <v>0.47</v>
      </c>
      <c r="P163" s="123">
        <f t="shared" si="49"/>
        <v>0.47</v>
      </c>
      <c r="Q163" s="123">
        <f t="shared" si="49"/>
        <v>0.47</v>
      </c>
      <c r="R163" s="123">
        <f t="shared" si="49"/>
        <v>0.47</v>
      </c>
      <c r="S163" s="123">
        <f t="shared" si="49"/>
        <v>0.47</v>
      </c>
      <c r="T163" s="123">
        <f t="shared" si="50"/>
        <v>0.47</v>
      </c>
      <c r="U163" s="123">
        <f t="shared" si="50"/>
        <v>0.47</v>
      </c>
      <c r="V163" s="123">
        <f t="shared" si="50"/>
        <v>0.47</v>
      </c>
      <c r="W163" s="123">
        <f t="shared" si="50"/>
        <v>0.47</v>
      </c>
      <c r="X163" s="123">
        <f t="shared" si="50"/>
        <v>0.47</v>
      </c>
      <c r="Y163" s="123">
        <f t="shared" si="50"/>
        <v>0.47</v>
      </c>
      <c r="Z163" s="123">
        <f t="shared" si="50"/>
        <v>0.47</v>
      </c>
      <c r="AA163" s="123">
        <f t="shared" si="50"/>
        <v>0.47</v>
      </c>
      <c r="AB163" s="123">
        <f t="shared" si="50"/>
        <v>0.47</v>
      </c>
      <c r="AC163" s="123">
        <f t="shared" si="50"/>
        <v>0.47</v>
      </c>
      <c r="AD163" s="123">
        <f t="shared" si="50"/>
        <v>0.47</v>
      </c>
      <c r="AE163" s="123">
        <f t="shared" si="50"/>
        <v>0.47</v>
      </c>
      <c r="AF163" s="123">
        <f t="shared" si="5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8"/>
        <v>0</v>
      </c>
      <c r="C164" s="124">
        <v>0</v>
      </c>
      <c r="D164" s="123">
        <f t="shared" si="49"/>
        <v>0</v>
      </c>
      <c r="E164" s="123">
        <f t="shared" si="49"/>
        <v>0</v>
      </c>
      <c r="F164" s="123">
        <f t="shared" si="49"/>
        <v>0</v>
      </c>
      <c r="G164" s="123">
        <f t="shared" si="49"/>
        <v>0</v>
      </c>
      <c r="H164" s="123">
        <f t="shared" si="49"/>
        <v>0</v>
      </c>
      <c r="I164" s="123">
        <f t="shared" si="49"/>
        <v>0</v>
      </c>
      <c r="J164" s="123">
        <f t="shared" si="49"/>
        <v>0</v>
      </c>
      <c r="K164" s="123">
        <f t="shared" si="49"/>
        <v>0</v>
      </c>
      <c r="L164" s="123">
        <f t="shared" si="49"/>
        <v>0</v>
      </c>
      <c r="M164" s="123">
        <f t="shared" si="49"/>
        <v>0</v>
      </c>
      <c r="N164" s="123">
        <f t="shared" si="49"/>
        <v>0</v>
      </c>
      <c r="O164" s="123">
        <f t="shared" si="49"/>
        <v>0</v>
      </c>
      <c r="P164" s="123">
        <f t="shared" si="49"/>
        <v>0</v>
      </c>
      <c r="Q164" s="123">
        <f t="shared" si="49"/>
        <v>0</v>
      </c>
      <c r="R164" s="123">
        <f t="shared" si="49"/>
        <v>0</v>
      </c>
      <c r="S164" s="123">
        <f t="shared" si="49"/>
        <v>0</v>
      </c>
      <c r="T164" s="123">
        <f t="shared" si="50"/>
        <v>0</v>
      </c>
      <c r="U164" s="123">
        <f t="shared" si="50"/>
        <v>0</v>
      </c>
      <c r="V164" s="123">
        <f t="shared" si="50"/>
        <v>0</v>
      </c>
      <c r="W164" s="123">
        <f t="shared" si="50"/>
        <v>0</v>
      </c>
      <c r="X164" s="123">
        <f t="shared" si="50"/>
        <v>0</v>
      </c>
      <c r="Y164" s="123">
        <f t="shared" si="50"/>
        <v>0</v>
      </c>
      <c r="Z164" s="123">
        <f t="shared" si="50"/>
        <v>0</v>
      </c>
      <c r="AA164" s="123">
        <f t="shared" si="50"/>
        <v>0</v>
      </c>
      <c r="AB164" s="123">
        <f t="shared" si="50"/>
        <v>0</v>
      </c>
      <c r="AC164" s="123">
        <f t="shared" si="50"/>
        <v>0</v>
      </c>
      <c r="AD164" s="123">
        <f t="shared" si="50"/>
        <v>0</v>
      </c>
      <c r="AE164" s="123">
        <f t="shared" si="50"/>
        <v>0</v>
      </c>
      <c r="AF164" s="123">
        <f t="shared" si="5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8"/>
        <v>0</v>
      </c>
      <c r="C165" s="124">
        <v>0</v>
      </c>
      <c r="D165" s="123">
        <f t="shared" si="49"/>
        <v>0</v>
      </c>
      <c r="E165" s="123">
        <f t="shared" si="49"/>
        <v>0</v>
      </c>
      <c r="F165" s="123">
        <f t="shared" si="49"/>
        <v>0</v>
      </c>
      <c r="G165" s="123">
        <f t="shared" si="49"/>
        <v>0</v>
      </c>
      <c r="H165" s="123">
        <f t="shared" si="49"/>
        <v>0</v>
      </c>
      <c r="I165" s="123">
        <f t="shared" si="49"/>
        <v>0</v>
      </c>
      <c r="J165" s="123">
        <f t="shared" si="49"/>
        <v>0</v>
      </c>
      <c r="K165" s="123">
        <f t="shared" si="49"/>
        <v>0</v>
      </c>
      <c r="L165" s="123">
        <f t="shared" si="49"/>
        <v>0</v>
      </c>
      <c r="M165" s="123">
        <f t="shared" si="49"/>
        <v>0</v>
      </c>
      <c r="N165" s="123">
        <f t="shared" si="49"/>
        <v>0</v>
      </c>
      <c r="O165" s="123">
        <f t="shared" si="49"/>
        <v>0</v>
      </c>
      <c r="P165" s="123">
        <f t="shared" si="49"/>
        <v>0</v>
      </c>
      <c r="Q165" s="123">
        <f t="shared" si="49"/>
        <v>0</v>
      </c>
      <c r="R165" s="123">
        <f t="shared" si="49"/>
        <v>0</v>
      </c>
      <c r="S165" s="123">
        <f t="shared" si="50"/>
        <v>0</v>
      </c>
      <c r="T165" s="123">
        <f t="shared" si="50"/>
        <v>0</v>
      </c>
      <c r="U165" s="123">
        <f t="shared" si="50"/>
        <v>0</v>
      </c>
      <c r="V165" s="123">
        <f t="shared" si="50"/>
        <v>0</v>
      </c>
      <c r="W165" s="123">
        <f t="shared" si="50"/>
        <v>0</v>
      </c>
      <c r="X165" s="123">
        <f t="shared" si="50"/>
        <v>0</v>
      </c>
      <c r="Y165" s="123">
        <f t="shared" si="50"/>
        <v>0</v>
      </c>
      <c r="Z165" s="123">
        <f t="shared" si="50"/>
        <v>0</v>
      </c>
      <c r="AA165" s="123">
        <f t="shared" si="50"/>
        <v>0</v>
      </c>
      <c r="AB165" s="123">
        <f t="shared" si="50"/>
        <v>0</v>
      </c>
      <c r="AC165" s="123">
        <f t="shared" si="50"/>
        <v>0</v>
      </c>
      <c r="AD165" s="123">
        <f t="shared" si="50"/>
        <v>0</v>
      </c>
      <c r="AE165" s="123">
        <f t="shared" si="50"/>
        <v>0</v>
      </c>
      <c r="AF165" s="123">
        <f t="shared" si="5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8"/>
        <v>0.8</v>
      </c>
      <c r="C166" s="124">
        <v>0.8</v>
      </c>
      <c r="D166" s="123">
        <f t="shared" si="49"/>
        <v>0.8</v>
      </c>
      <c r="E166" s="123">
        <f t="shared" si="49"/>
        <v>0.8</v>
      </c>
      <c r="F166" s="123">
        <f t="shared" si="49"/>
        <v>0.8</v>
      </c>
      <c r="G166" s="123">
        <f t="shared" si="49"/>
        <v>0.8</v>
      </c>
      <c r="H166" s="123">
        <f t="shared" si="49"/>
        <v>0.8</v>
      </c>
      <c r="I166" s="123">
        <f t="shared" si="49"/>
        <v>0.8</v>
      </c>
      <c r="J166" s="123">
        <f t="shared" si="49"/>
        <v>0.8</v>
      </c>
      <c r="K166" s="123">
        <f t="shared" si="49"/>
        <v>0.8</v>
      </c>
      <c r="L166" s="123">
        <f t="shared" si="49"/>
        <v>0.8</v>
      </c>
      <c r="M166" s="123">
        <f t="shared" si="49"/>
        <v>0.8</v>
      </c>
      <c r="N166" s="123">
        <f t="shared" si="49"/>
        <v>0.8</v>
      </c>
      <c r="O166" s="123">
        <f t="shared" si="49"/>
        <v>0.8</v>
      </c>
      <c r="P166" s="123">
        <f t="shared" si="49"/>
        <v>0.8</v>
      </c>
      <c r="Q166" s="123">
        <f t="shared" si="49"/>
        <v>0.8</v>
      </c>
      <c r="R166" s="123">
        <f t="shared" si="49"/>
        <v>0.8</v>
      </c>
      <c r="S166" s="123">
        <f t="shared" si="50"/>
        <v>0.8</v>
      </c>
      <c r="T166" s="123">
        <f t="shared" si="50"/>
        <v>0.8</v>
      </c>
      <c r="U166" s="123">
        <f t="shared" si="50"/>
        <v>0.8</v>
      </c>
      <c r="V166" s="123">
        <f t="shared" si="50"/>
        <v>0.8</v>
      </c>
      <c r="W166" s="123">
        <f t="shared" si="50"/>
        <v>0.8</v>
      </c>
      <c r="X166" s="123">
        <f t="shared" si="50"/>
        <v>0.8</v>
      </c>
      <c r="Y166" s="123">
        <f t="shared" si="50"/>
        <v>0.8</v>
      </c>
      <c r="Z166" s="123">
        <f t="shared" si="50"/>
        <v>0.8</v>
      </c>
      <c r="AA166" s="123">
        <f t="shared" si="50"/>
        <v>0.8</v>
      </c>
      <c r="AB166" s="123">
        <f t="shared" si="50"/>
        <v>0.8</v>
      </c>
      <c r="AC166" s="123">
        <f t="shared" si="50"/>
        <v>0.8</v>
      </c>
      <c r="AD166" s="123">
        <f t="shared" si="50"/>
        <v>0.8</v>
      </c>
      <c r="AE166" s="123">
        <f t="shared" si="50"/>
        <v>0.8</v>
      </c>
      <c r="AF166" s="123">
        <f t="shared" si="5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8"/>
        <v>1.5</v>
      </c>
      <c r="C167" s="124">
        <v>1.5</v>
      </c>
      <c r="D167" s="123">
        <f t="shared" si="49"/>
        <v>1.5</v>
      </c>
      <c r="E167" s="123">
        <f t="shared" si="49"/>
        <v>1.5</v>
      </c>
      <c r="F167" s="123">
        <f t="shared" si="49"/>
        <v>1.5</v>
      </c>
      <c r="G167" s="123">
        <f t="shared" si="49"/>
        <v>1.5</v>
      </c>
      <c r="H167" s="123">
        <f t="shared" si="49"/>
        <v>1.5</v>
      </c>
      <c r="I167" s="123">
        <f t="shared" si="49"/>
        <v>1.5</v>
      </c>
      <c r="J167" s="123">
        <f t="shared" si="49"/>
        <v>1.5</v>
      </c>
      <c r="K167" s="123">
        <f t="shared" si="49"/>
        <v>1.5</v>
      </c>
      <c r="L167" s="123">
        <f t="shared" si="49"/>
        <v>1.5</v>
      </c>
      <c r="M167" s="123">
        <f t="shared" si="49"/>
        <v>1.5</v>
      </c>
      <c r="N167" s="123">
        <f t="shared" si="49"/>
        <v>1.5</v>
      </c>
      <c r="O167" s="123">
        <f t="shared" si="49"/>
        <v>1.5</v>
      </c>
      <c r="P167" s="123">
        <f t="shared" si="49"/>
        <v>1.5</v>
      </c>
      <c r="Q167" s="123">
        <f t="shared" si="49"/>
        <v>1.5</v>
      </c>
      <c r="R167" s="123">
        <f t="shared" si="49"/>
        <v>1.5</v>
      </c>
      <c r="S167" s="123">
        <f t="shared" si="50"/>
        <v>1.5</v>
      </c>
      <c r="T167" s="123">
        <f t="shared" si="50"/>
        <v>1.5</v>
      </c>
      <c r="U167" s="123">
        <f t="shared" si="50"/>
        <v>1.5</v>
      </c>
      <c r="V167" s="123">
        <f t="shared" si="50"/>
        <v>1.5</v>
      </c>
      <c r="W167" s="123">
        <f t="shared" si="50"/>
        <v>1.5</v>
      </c>
      <c r="X167" s="123">
        <f t="shared" si="50"/>
        <v>1.5</v>
      </c>
      <c r="Y167" s="123">
        <f t="shared" si="50"/>
        <v>1.5</v>
      </c>
      <c r="Z167" s="123">
        <f t="shared" si="50"/>
        <v>1.5</v>
      </c>
      <c r="AA167" s="123">
        <f t="shared" si="50"/>
        <v>1.5</v>
      </c>
      <c r="AB167" s="123">
        <f t="shared" si="50"/>
        <v>1.5</v>
      </c>
      <c r="AC167" s="123">
        <f t="shared" si="50"/>
        <v>1.5</v>
      </c>
      <c r="AD167" s="123">
        <f t="shared" si="50"/>
        <v>1.5</v>
      </c>
      <c r="AE167" s="123">
        <f t="shared" si="50"/>
        <v>1.5</v>
      </c>
      <c r="AF167" s="123">
        <f t="shared" si="5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8"/>
        <v>1</v>
      </c>
      <c r="C168" s="124">
        <v>1</v>
      </c>
      <c r="D168" s="123">
        <f t="shared" si="49"/>
        <v>1</v>
      </c>
      <c r="E168" s="123">
        <f t="shared" si="49"/>
        <v>1</v>
      </c>
      <c r="F168" s="123">
        <f t="shared" si="49"/>
        <v>1</v>
      </c>
      <c r="G168" s="123">
        <f t="shared" si="49"/>
        <v>1</v>
      </c>
      <c r="H168" s="123">
        <f t="shared" si="49"/>
        <v>1</v>
      </c>
      <c r="I168" s="123">
        <f t="shared" si="49"/>
        <v>1</v>
      </c>
      <c r="J168" s="123">
        <f t="shared" si="49"/>
        <v>1</v>
      </c>
      <c r="K168" s="123">
        <f t="shared" si="49"/>
        <v>1</v>
      </c>
      <c r="L168" s="123">
        <f t="shared" si="49"/>
        <v>1</v>
      </c>
      <c r="M168" s="123">
        <f t="shared" si="49"/>
        <v>1</v>
      </c>
      <c r="N168" s="123">
        <f t="shared" si="49"/>
        <v>1</v>
      </c>
      <c r="O168" s="123">
        <f t="shared" si="49"/>
        <v>1</v>
      </c>
      <c r="P168" s="123">
        <f t="shared" si="49"/>
        <v>1</v>
      </c>
      <c r="Q168" s="123">
        <f t="shared" si="49"/>
        <v>1</v>
      </c>
      <c r="R168" s="123">
        <f t="shared" si="49"/>
        <v>1</v>
      </c>
      <c r="S168" s="123">
        <f t="shared" si="50"/>
        <v>1</v>
      </c>
      <c r="T168" s="123">
        <f t="shared" si="50"/>
        <v>1</v>
      </c>
      <c r="U168" s="123">
        <f t="shared" si="50"/>
        <v>1</v>
      </c>
      <c r="V168" s="123">
        <f t="shared" si="50"/>
        <v>1</v>
      </c>
      <c r="W168" s="123">
        <f t="shared" si="50"/>
        <v>1</v>
      </c>
      <c r="X168" s="123">
        <f t="shared" si="50"/>
        <v>1</v>
      </c>
      <c r="Y168" s="123">
        <f t="shared" si="50"/>
        <v>1</v>
      </c>
      <c r="Z168" s="123">
        <f t="shared" si="50"/>
        <v>1</v>
      </c>
      <c r="AA168" s="123">
        <f t="shared" si="50"/>
        <v>1</v>
      </c>
      <c r="AB168" s="123">
        <f t="shared" si="50"/>
        <v>1</v>
      </c>
      <c r="AC168" s="123">
        <f t="shared" si="50"/>
        <v>1</v>
      </c>
      <c r="AD168" s="123">
        <f t="shared" si="50"/>
        <v>1</v>
      </c>
      <c r="AE168" s="123">
        <f t="shared" si="50"/>
        <v>1</v>
      </c>
      <c r="AF168" s="123">
        <f t="shared" si="5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51">AF170</f>
        <v>1</v>
      </c>
      <c r="C170" s="124">
        <v>1</v>
      </c>
      <c r="D170" s="123">
        <f t="shared" ref="D170:S177" si="52">C170</f>
        <v>1</v>
      </c>
      <c r="E170" s="123">
        <f t="shared" si="52"/>
        <v>1</v>
      </c>
      <c r="F170" s="123">
        <f t="shared" si="52"/>
        <v>1</v>
      </c>
      <c r="G170" s="123">
        <f t="shared" si="52"/>
        <v>1</v>
      </c>
      <c r="H170" s="123">
        <f t="shared" si="52"/>
        <v>1</v>
      </c>
      <c r="I170" s="123">
        <f t="shared" si="52"/>
        <v>1</v>
      </c>
      <c r="J170" s="123">
        <f t="shared" si="52"/>
        <v>1</v>
      </c>
      <c r="K170" s="123">
        <f t="shared" si="52"/>
        <v>1</v>
      </c>
      <c r="L170" s="123">
        <f t="shared" si="52"/>
        <v>1</v>
      </c>
      <c r="M170" s="123">
        <f t="shared" si="52"/>
        <v>1</v>
      </c>
      <c r="N170" s="123">
        <f t="shared" si="52"/>
        <v>1</v>
      </c>
      <c r="O170" s="123">
        <f t="shared" si="52"/>
        <v>1</v>
      </c>
      <c r="P170" s="123">
        <f t="shared" si="52"/>
        <v>1</v>
      </c>
      <c r="Q170" s="123">
        <f t="shared" si="52"/>
        <v>1</v>
      </c>
      <c r="R170" s="123">
        <f t="shared" si="52"/>
        <v>1</v>
      </c>
      <c r="S170" s="123">
        <f t="shared" si="52"/>
        <v>1</v>
      </c>
      <c r="T170" s="123">
        <f t="shared" ref="S170:AF177" si="53">S170</f>
        <v>1</v>
      </c>
      <c r="U170" s="123">
        <f t="shared" si="53"/>
        <v>1</v>
      </c>
      <c r="V170" s="123">
        <f t="shared" si="53"/>
        <v>1</v>
      </c>
      <c r="W170" s="123">
        <f t="shared" si="53"/>
        <v>1</v>
      </c>
      <c r="X170" s="123">
        <f t="shared" si="53"/>
        <v>1</v>
      </c>
      <c r="Y170" s="123">
        <f t="shared" si="53"/>
        <v>1</v>
      </c>
      <c r="Z170" s="123">
        <f t="shared" si="53"/>
        <v>1</v>
      </c>
      <c r="AA170" s="123">
        <f t="shared" si="53"/>
        <v>1</v>
      </c>
      <c r="AB170" s="123">
        <f t="shared" si="53"/>
        <v>1</v>
      </c>
      <c r="AC170" s="123">
        <f t="shared" si="53"/>
        <v>1</v>
      </c>
      <c r="AD170" s="123">
        <f t="shared" si="53"/>
        <v>1</v>
      </c>
      <c r="AE170" s="123">
        <f t="shared" si="53"/>
        <v>1</v>
      </c>
      <c r="AF170" s="123">
        <f t="shared" si="5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51"/>
        <v>0.42</v>
      </c>
      <c r="C171" s="124">
        <v>0.42</v>
      </c>
      <c r="D171" s="123">
        <f t="shared" si="52"/>
        <v>0.42</v>
      </c>
      <c r="E171" s="123">
        <f t="shared" si="52"/>
        <v>0.42</v>
      </c>
      <c r="F171" s="123">
        <f t="shared" si="52"/>
        <v>0.42</v>
      </c>
      <c r="G171" s="123">
        <f t="shared" si="52"/>
        <v>0.42</v>
      </c>
      <c r="H171" s="123">
        <f t="shared" si="52"/>
        <v>0.42</v>
      </c>
      <c r="I171" s="123">
        <f t="shared" si="52"/>
        <v>0.42</v>
      </c>
      <c r="J171" s="123">
        <f t="shared" si="52"/>
        <v>0.42</v>
      </c>
      <c r="K171" s="123">
        <f t="shared" si="52"/>
        <v>0.42</v>
      </c>
      <c r="L171" s="123">
        <f t="shared" si="52"/>
        <v>0.42</v>
      </c>
      <c r="M171" s="123">
        <f t="shared" si="52"/>
        <v>0.42</v>
      </c>
      <c r="N171" s="123">
        <f t="shared" si="52"/>
        <v>0.42</v>
      </c>
      <c r="O171" s="123">
        <f t="shared" si="52"/>
        <v>0.42</v>
      </c>
      <c r="P171" s="123">
        <f t="shared" si="52"/>
        <v>0.42</v>
      </c>
      <c r="Q171" s="123">
        <f t="shared" si="52"/>
        <v>0.42</v>
      </c>
      <c r="R171" s="123">
        <f t="shared" si="52"/>
        <v>0.42</v>
      </c>
      <c r="S171" s="123">
        <f t="shared" si="53"/>
        <v>0.42</v>
      </c>
      <c r="T171" s="123">
        <f t="shared" si="53"/>
        <v>0.42</v>
      </c>
      <c r="U171" s="123">
        <f t="shared" si="53"/>
        <v>0.42</v>
      </c>
      <c r="V171" s="123">
        <f t="shared" si="53"/>
        <v>0.42</v>
      </c>
      <c r="W171" s="123">
        <f t="shared" si="53"/>
        <v>0.42</v>
      </c>
      <c r="X171" s="123">
        <f t="shared" si="53"/>
        <v>0.42</v>
      </c>
      <c r="Y171" s="123">
        <f t="shared" si="53"/>
        <v>0.42</v>
      </c>
      <c r="Z171" s="123">
        <f t="shared" si="53"/>
        <v>0.42</v>
      </c>
      <c r="AA171" s="123">
        <f t="shared" si="53"/>
        <v>0.42</v>
      </c>
      <c r="AB171" s="123">
        <f t="shared" si="53"/>
        <v>0.42</v>
      </c>
      <c r="AC171" s="123">
        <f t="shared" si="53"/>
        <v>0.42</v>
      </c>
      <c r="AD171" s="123">
        <f t="shared" si="53"/>
        <v>0.42</v>
      </c>
      <c r="AE171" s="123">
        <f t="shared" si="53"/>
        <v>0.42</v>
      </c>
      <c r="AF171" s="123">
        <f t="shared" si="5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51"/>
        <v>0.46</v>
      </c>
      <c r="C172" s="124">
        <v>0.46</v>
      </c>
      <c r="D172" s="123">
        <f t="shared" si="52"/>
        <v>0.46</v>
      </c>
      <c r="E172" s="123">
        <f t="shared" si="52"/>
        <v>0.46</v>
      </c>
      <c r="F172" s="123">
        <f t="shared" si="52"/>
        <v>0.46</v>
      </c>
      <c r="G172" s="123">
        <f t="shared" si="52"/>
        <v>0.46</v>
      </c>
      <c r="H172" s="123">
        <f t="shared" si="52"/>
        <v>0.46</v>
      </c>
      <c r="I172" s="123">
        <f t="shared" si="52"/>
        <v>0.46</v>
      </c>
      <c r="J172" s="123">
        <f t="shared" si="52"/>
        <v>0.46</v>
      </c>
      <c r="K172" s="123">
        <f t="shared" si="52"/>
        <v>0.46</v>
      </c>
      <c r="L172" s="123">
        <f t="shared" si="52"/>
        <v>0.46</v>
      </c>
      <c r="M172" s="123">
        <f t="shared" si="52"/>
        <v>0.46</v>
      </c>
      <c r="N172" s="123">
        <f t="shared" si="52"/>
        <v>0.46</v>
      </c>
      <c r="O172" s="123">
        <f t="shared" si="52"/>
        <v>0.46</v>
      </c>
      <c r="P172" s="123">
        <f t="shared" si="52"/>
        <v>0.46</v>
      </c>
      <c r="Q172" s="123">
        <f t="shared" si="52"/>
        <v>0.46</v>
      </c>
      <c r="R172" s="123">
        <f t="shared" si="52"/>
        <v>0.46</v>
      </c>
      <c r="S172" s="123">
        <f t="shared" si="53"/>
        <v>0.46</v>
      </c>
      <c r="T172" s="123">
        <f t="shared" si="53"/>
        <v>0.46</v>
      </c>
      <c r="U172" s="123">
        <f t="shared" si="53"/>
        <v>0.46</v>
      </c>
      <c r="V172" s="123">
        <f t="shared" si="53"/>
        <v>0.46</v>
      </c>
      <c r="W172" s="123">
        <f t="shared" si="53"/>
        <v>0.46</v>
      </c>
      <c r="X172" s="123">
        <f t="shared" si="53"/>
        <v>0.46</v>
      </c>
      <c r="Y172" s="123">
        <f t="shared" si="53"/>
        <v>0.46</v>
      </c>
      <c r="Z172" s="123">
        <f t="shared" si="53"/>
        <v>0.46</v>
      </c>
      <c r="AA172" s="123">
        <f t="shared" si="53"/>
        <v>0.46</v>
      </c>
      <c r="AB172" s="123">
        <f t="shared" si="53"/>
        <v>0.46</v>
      </c>
      <c r="AC172" s="123">
        <f t="shared" si="53"/>
        <v>0.46</v>
      </c>
      <c r="AD172" s="123">
        <f t="shared" si="53"/>
        <v>0.46</v>
      </c>
      <c r="AE172" s="123">
        <f t="shared" si="53"/>
        <v>0.46</v>
      </c>
      <c r="AF172" s="123">
        <f t="shared" si="5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51"/>
        <v>0.85</v>
      </c>
      <c r="C173" s="124">
        <v>0.85</v>
      </c>
      <c r="D173" s="123">
        <f t="shared" si="52"/>
        <v>0.85</v>
      </c>
      <c r="E173" s="123">
        <f t="shared" si="52"/>
        <v>0.85</v>
      </c>
      <c r="F173" s="123">
        <f t="shared" si="52"/>
        <v>0.85</v>
      </c>
      <c r="G173" s="123">
        <f t="shared" si="52"/>
        <v>0.85</v>
      </c>
      <c r="H173" s="123">
        <f t="shared" si="52"/>
        <v>0.85</v>
      </c>
      <c r="I173" s="123">
        <f t="shared" si="52"/>
        <v>0.85</v>
      </c>
      <c r="J173" s="123">
        <f t="shared" si="52"/>
        <v>0.85</v>
      </c>
      <c r="K173" s="123">
        <f t="shared" si="52"/>
        <v>0.85</v>
      </c>
      <c r="L173" s="123">
        <f t="shared" si="52"/>
        <v>0.85</v>
      </c>
      <c r="M173" s="123">
        <f t="shared" si="52"/>
        <v>0.85</v>
      </c>
      <c r="N173" s="123">
        <f t="shared" si="52"/>
        <v>0.85</v>
      </c>
      <c r="O173" s="123">
        <f t="shared" si="52"/>
        <v>0.85</v>
      </c>
      <c r="P173" s="123">
        <f t="shared" si="52"/>
        <v>0.85</v>
      </c>
      <c r="Q173" s="123">
        <f t="shared" si="52"/>
        <v>0.85</v>
      </c>
      <c r="R173" s="123">
        <f t="shared" si="52"/>
        <v>0.85</v>
      </c>
      <c r="S173" s="123">
        <f t="shared" si="53"/>
        <v>0.85</v>
      </c>
      <c r="T173" s="123">
        <f t="shared" si="53"/>
        <v>0.85</v>
      </c>
      <c r="U173" s="123">
        <f t="shared" si="53"/>
        <v>0.85</v>
      </c>
      <c r="V173" s="123">
        <f t="shared" si="53"/>
        <v>0.85</v>
      </c>
      <c r="W173" s="123">
        <f t="shared" si="53"/>
        <v>0.85</v>
      </c>
      <c r="X173" s="123">
        <f t="shared" si="53"/>
        <v>0.85</v>
      </c>
      <c r="Y173" s="123">
        <f t="shared" si="53"/>
        <v>0.85</v>
      </c>
      <c r="Z173" s="123">
        <f t="shared" si="53"/>
        <v>0.85</v>
      </c>
      <c r="AA173" s="123">
        <f t="shared" si="53"/>
        <v>0.85</v>
      </c>
      <c r="AB173" s="123">
        <f t="shared" si="53"/>
        <v>0.85</v>
      </c>
      <c r="AC173" s="123">
        <f t="shared" si="53"/>
        <v>0.85</v>
      </c>
      <c r="AD173" s="123">
        <f t="shared" si="53"/>
        <v>0.85</v>
      </c>
      <c r="AE173" s="123">
        <f t="shared" si="53"/>
        <v>0.85</v>
      </c>
      <c r="AF173" s="123">
        <f t="shared" si="5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51"/>
        <v>0.9</v>
      </c>
      <c r="C174" s="124">
        <v>0.9</v>
      </c>
      <c r="D174" s="123">
        <f t="shared" si="52"/>
        <v>0.9</v>
      </c>
      <c r="E174" s="123">
        <f t="shared" si="52"/>
        <v>0.9</v>
      </c>
      <c r="F174" s="123">
        <f t="shared" si="52"/>
        <v>0.9</v>
      </c>
      <c r="G174" s="123">
        <f t="shared" si="52"/>
        <v>0.9</v>
      </c>
      <c r="H174" s="123">
        <f t="shared" si="52"/>
        <v>0.9</v>
      </c>
      <c r="I174" s="123">
        <f t="shared" si="52"/>
        <v>0.9</v>
      </c>
      <c r="J174" s="123">
        <f t="shared" si="52"/>
        <v>0.9</v>
      </c>
      <c r="K174" s="123">
        <f t="shared" si="52"/>
        <v>0.9</v>
      </c>
      <c r="L174" s="123">
        <f t="shared" si="52"/>
        <v>0.9</v>
      </c>
      <c r="M174" s="123">
        <f t="shared" si="52"/>
        <v>0.9</v>
      </c>
      <c r="N174" s="123">
        <f t="shared" si="52"/>
        <v>0.9</v>
      </c>
      <c r="O174" s="123">
        <f t="shared" si="52"/>
        <v>0.9</v>
      </c>
      <c r="P174" s="123">
        <f t="shared" si="52"/>
        <v>0.9</v>
      </c>
      <c r="Q174" s="123">
        <f t="shared" si="52"/>
        <v>0.9</v>
      </c>
      <c r="R174" s="123">
        <f t="shared" si="52"/>
        <v>0.9</v>
      </c>
      <c r="S174" s="123">
        <f t="shared" si="53"/>
        <v>0.9</v>
      </c>
      <c r="T174" s="123">
        <f t="shared" si="53"/>
        <v>0.9</v>
      </c>
      <c r="U174" s="123">
        <f t="shared" si="53"/>
        <v>0.9</v>
      </c>
      <c r="V174" s="123">
        <f t="shared" si="53"/>
        <v>0.9</v>
      </c>
      <c r="W174" s="123">
        <f t="shared" si="53"/>
        <v>0.9</v>
      </c>
      <c r="X174" s="123">
        <f t="shared" si="53"/>
        <v>0.9</v>
      </c>
      <c r="Y174" s="123">
        <f t="shared" si="53"/>
        <v>0.9</v>
      </c>
      <c r="Z174" s="123">
        <f t="shared" si="53"/>
        <v>0.9</v>
      </c>
      <c r="AA174" s="123">
        <f t="shared" si="53"/>
        <v>0.9</v>
      </c>
      <c r="AB174" s="123">
        <f t="shared" si="53"/>
        <v>0.9</v>
      </c>
      <c r="AC174" s="123">
        <f t="shared" si="53"/>
        <v>0.9</v>
      </c>
      <c r="AD174" s="123">
        <f t="shared" si="53"/>
        <v>0.9</v>
      </c>
      <c r="AE174" s="123">
        <f t="shared" si="53"/>
        <v>0.9</v>
      </c>
      <c r="AF174" s="123">
        <f t="shared" si="5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51"/>
        <v>0.44</v>
      </c>
      <c r="C175" s="124">
        <v>0.44</v>
      </c>
      <c r="D175" s="123">
        <f t="shared" si="52"/>
        <v>0.44</v>
      </c>
      <c r="E175" s="123">
        <f t="shared" si="52"/>
        <v>0.44</v>
      </c>
      <c r="F175" s="123">
        <f t="shared" si="52"/>
        <v>0.44</v>
      </c>
      <c r="G175" s="123">
        <f t="shared" si="52"/>
        <v>0.44</v>
      </c>
      <c r="H175" s="123">
        <f t="shared" si="52"/>
        <v>0.44</v>
      </c>
      <c r="I175" s="123">
        <f t="shared" si="52"/>
        <v>0.44</v>
      </c>
      <c r="J175" s="123">
        <f t="shared" si="52"/>
        <v>0.44</v>
      </c>
      <c r="K175" s="123">
        <f t="shared" si="52"/>
        <v>0.44</v>
      </c>
      <c r="L175" s="123">
        <f t="shared" si="52"/>
        <v>0.44</v>
      </c>
      <c r="M175" s="123">
        <f t="shared" si="52"/>
        <v>0.44</v>
      </c>
      <c r="N175" s="123">
        <f t="shared" si="52"/>
        <v>0.44</v>
      </c>
      <c r="O175" s="123">
        <f t="shared" si="52"/>
        <v>0.44</v>
      </c>
      <c r="P175" s="123">
        <f t="shared" si="52"/>
        <v>0.44</v>
      </c>
      <c r="Q175" s="123">
        <f t="shared" si="52"/>
        <v>0.44</v>
      </c>
      <c r="R175" s="123">
        <f t="shared" si="52"/>
        <v>0.44</v>
      </c>
      <c r="S175" s="123">
        <f t="shared" si="53"/>
        <v>0.44</v>
      </c>
      <c r="T175" s="123">
        <f t="shared" si="53"/>
        <v>0.44</v>
      </c>
      <c r="U175" s="123">
        <f t="shared" si="53"/>
        <v>0.44</v>
      </c>
      <c r="V175" s="123">
        <f t="shared" si="53"/>
        <v>0.44</v>
      </c>
      <c r="W175" s="123">
        <f t="shared" si="53"/>
        <v>0.44</v>
      </c>
      <c r="X175" s="123">
        <f t="shared" si="53"/>
        <v>0.44</v>
      </c>
      <c r="Y175" s="123">
        <f t="shared" si="53"/>
        <v>0.44</v>
      </c>
      <c r="Z175" s="123">
        <f t="shared" si="53"/>
        <v>0.44</v>
      </c>
      <c r="AA175" s="123">
        <f t="shared" si="53"/>
        <v>0.44</v>
      </c>
      <c r="AB175" s="123">
        <f t="shared" si="53"/>
        <v>0.44</v>
      </c>
      <c r="AC175" s="123">
        <f t="shared" si="53"/>
        <v>0.44</v>
      </c>
      <c r="AD175" s="123">
        <f t="shared" si="53"/>
        <v>0.44</v>
      </c>
      <c r="AE175" s="123">
        <f t="shared" si="53"/>
        <v>0.44</v>
      </c>
      <c r="AF175" s="123">
        <f t="shared" si="5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51"/>
        <v>2.1</v>
      </c>
      <c r="C176" s="124">
        <v>2.1</v>
      </c>
      <c r="D176" s="123">
        <f t="shared" si="52"/>
        <v>2.1</v>
      </c>
      <c r="E176" s="123">
        <f t="shared" si="52"/>
        <v>2.1</v>
      </c>
      <c r="F176" s="123">
        <f t="shared" si="52"/>
        <v>2.1</v>
      </c>
      <c r="G176" s="123">
        <f t="shared" si="52"/>
        <v>2.1</v>
      </c>
      <c r="H176" s="123">
        <f t="shared" si="52"/>
        <v>2.1</v>
      </c>
      <c r="I176" s="123">
        <f t="shared" si="52"/>
        <v>2.1</v>
      </c>
      <c r="J176" s="123">
        <f t="shared" si="52"/>
        <v>2.1</v>
      </c>
      <c r="K176" s="123">
        <f t="shared" si="52"/>
        <v>2.1</v>
      </c>
      <c r="L176" s="123">
        <f t="shared" si="52"/>
        <v>2.1</v>
      </c>
      <c r="M176" s="123">
        <f t="shared" si="52"/>
        <v>2.1</v>
      </c>
      <c r="N176" s="123">
        <f t="shared" si="52"/>
        <v>2.1</v>
      </c>
      <c r="O176" s="123">
        <f t="shared" si="52"/>
        <v>2.1</v>
      </c>
      <c r="P176" s="123">
        <f t="shared" si="52"/>
        <v>2.1</v>
      </c>
      <c r="Q176" s="123">
        <f t="shared" si="52"/>
        <v>2.1</v>
      </c>
      <c r="R176" s="123">
        <f t="shared" si="52"/>
        <v>2.1</v>
      </c>
      <c r="S176" s="123">
        <f t="shared" si="53"/>
        <v>2.1</v>
      </c>
      <c r="T176" s="123">
        <f t="shared" si="53"/>
        <v>2.1</v>
      </c>
      <c r="U176" s="123">
        <f t="shared" si="53"/>
        <v>2.1</v>
      </c>
      <c r="V176" s="123">
        <f t="shared" si="53"/>
        <v>2.1</v>
      </c>
      <c r="W176" s="123">
        <f t="shared" si="53"/>
        <v>2.1</v>
      </c>
      <c r="X176" s="123">
        <f t="shared" si="53"/>
        <v>2.1</v>
      </c>
      <c r="Y176" s="123">
        <f t="shared" si="53"/>
        <v>2.1</v>
      </c>
      <c r="Z176" s="123">
        <f t="shared" si="53"/>
        <v>2.1</v>
      </c>
      <c r="AA176" s="123">
        <f t="shared" si="53"/>
        <v>2.1</v>
      </c>
      <c r="AB176" s="123">
        <f t="shared" si="53"/>
        <v>2.1</v>
      </c>
      <c r="AC176" s="123">
        <f t="shared" si="53"/>
        <v>2.1</v>
      </c>
      <c r="AD176" s="123">
        <f t="shared" si="53"/>
        <v>2.1</v>
      </c>
      <c r="AE176" s="123">
        <f t="shared" si="53"/>
        <v>2.1</v>
      </c>
      <c r="AF176" s="123">
        <f t="shared" si="5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51"/>
        <v>0.9</v>
      </c>
      <c r="C177" s="124">
        <v>0.9</v>
      </c>
      <c r="D177" s="123">
        <f t="shared" si="52"/>
        <v>0.9</v>
      </c>
      <c r="E177" s="123">
        <f t="shared" si="52"/>
        <v>0.9</v>
      </c>
      <c r="F177" s="123">
        <f t="shared" si="52"/>
        <v>0.9</v>
      </c>
      <c r="G177" s="123">
        <f t="shared" si="52"/>
        <v>0.9</v>
      </c>
      <c r="H177" s="123">
        <f t="shared" si="52"/>
        <v>0.9</v>
      </c>
      <c r="I177" s="123">
        <f t="shared" si="52"/>
        <v>0.9</v>
      </c>
      <c r="J177" s="123">
        <f t="shared" si="52"/>
        <v>0.9</v>
      </c>
      <c r="K177" s="123">
        <f t="shared" si="52"/>
        <v>0.9</v>
      </c>
      <c r="L177" s="123">
        <f t="shared" si="52"/>
        <v>0.9</v>
      </c>
      <c r="M177" s="123">
        <f t="shared" si="52"/>
        <v>0.9</v>
      </c>
      <c r="N177" s="123">
        <f t="shared" si="52"/>
        <v>0.9</v>
      </c>
      <c r="O177" s="123">
        <f t="shared" si="52"/>
        <v>0.9</v>
      </c>
      <c r="P177" s="123">
        <f t="shared" si="52"/>
        <v>0.9</v>
      </c>
      <c r="Q177" s="123">
        <f t="shared" si="52"/>
        <v>0.9</v>
      </c>
      <c r="R177" s="123">
        <f t="shared" si="52"/>
        <v>0.9</v>
      </c>
      <c r="S177" s="123">
        <f t="shared" si="53"/>
        <v>0.9</v>
      </c>
      <c r="T177" s="123">
        <f t="shared" si="53"/>
        <v>0.9</v>
      </c>
      <c r="U177" s="123">
        <f t="shared" si="53"/>
        <v>0.9</v>
      </c>
      <c r="V177" s="123">
        <f t="shared" si="53"/>
        <v>0.9</v>
      </c>
      <c r="W177" s="123">
        <f t="shared" si="53"/>
        <v>0.9</v>
      </c>
      <c r="X177" s="123">
        <f t="shared" si="53"/>
        <v>0.9</v>
      </c>
      <c r="Y177" s="123">
        <f t="shared" si="53"/>
        <v>0.9</v>
      </c>
      <c r="Z177" s="123">
        <f t="shared" si="53"/>
        <v>0.9</v>
      </c>
      <c r="AA177" s="123">
        <f t="shared" si="53"/>
        <v>0.9</v>
      </c>
      <c r="AB177" s="123">
        <f t="shared" si="53"/>
        <v>0.9</v>
      </c>
      <c r="AC177" s="123">
        <f t="shared" si="53"/>
        <v>0.9</v>
      </c>
      <c r="AD177" s="123">
        <f t="shared" si="53"/>
        <v>0.9</v>
      </c>
      <c r="AE177" s="123">
        <f t="shared" si="53"/>
        <v>0.9</v>
      </c>
      <c r="AF177" s="123">
        <f t="shared" si="5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4">AF179</f>
        <v>0.57999999999999996</v>
      </c>
      <c r="C179" s="124">
        <v>0.57999999999999996</v>
      </c>
      <c r="D179" s="123">
        <f t="shared" ref="D179:S191" si="55">C179</f>
        <v>0.57999999999999996</v>
      </c>
      <c r="E179" s="123">
        <f t="shared" si="55"/>
        <v>0.57999999999999996</v>
      </c>
      <c r="F179" s="123">
        <f t="shared" si="55"/>
        <v>0.57999999999999996</v>
      </c>
      <c r="G179" s="123">
        <f t="shared" si="55"/>
        <v>0.57999999999999996</v>
      </c>
      <c r="H179" s="123">
        <f t="shared" si="55"/>
        <v>0.57999999999999996</v>
      </c>
      <c r="I179" s="123">
        <f t="shared" si="55"/>
        <v>0.57999999999999996</v>
      </c>
      <c r="J179" s="123">
        <f t="shared" si="55"/>
        <v>0.57999999999999996</v>
      </c>
      <c r="K179" s="123">
        <f t="shared" si="55"/>
        <v>0.57999999999999996</v>
      </c>
      <c r="L179" s="123">
        <f t="shared" si="55"/>
        <v>0.57999999999999996</v>
      </c>
      <c r="M179" s="123">
        <f t="shared" si="55"/>
        <v>0.57999999999999996</v>
      </c>
      <c r="N179" s="123">
        <f t="shared" si="55"/>
        <v>0.57999999999999996</v>
      </c>
      <c r="O179" s="123">
        <f t="shared" si="55"/>
        <v>0.57999999999999996</v>
      </c>
      <c r="P179" s="123">
        <f t="shared" si="55"/>
        <v>0.57999999999999996</v>
      </c>
      <c r="Q179" s="123">
        <f t="shared" si="55"/>
        <v>0.57999999999999996</v>
      </c>
      <c r="R179" s="123">
        <f t="shared" si="55"/>
        <v>0.57999999999999996</v>
      </c>
      <c r="S179" s="123">
        <f t="shared" si="55"/>
        <v>0.57999999999999996</v>
      </c>
      <c r="T179" s="123">
        <f t="shared" ref="S179:AF191" si="56">S179</f>
        <v>0.57999999999999996</v>
      </c>
      <c r="U179" s="123">
        <f t="shared" si="56"/>
        <v>0.57999999999999996</v>
      </c>
      <c r="V179" s="123">
        <f t="shared" si="56"/>
        <v>0.57999999999999996</v>
      </c>
      <c r="W179" s="123">
        <f t="shared" si="56"/>
        <v>0.57999999999999996</v>
      </c>
      <c r="X179" s="123">
        <f t="shared" si="56"/>
        <v>0.57999999999999996</v>
      </c>
      <c r="Y179" s="123">
        <f t="shared" si="56"/>
        <v>0.57999999999999996</v>
      </c>
      <c r="Z179" s="123">
        <f t="shared" si="56"/>
        <v>0.57999999999999996</v>
      </c>
      <c r="AA179" s="123">
        <f t="shared" si="56"/>
        <v>0.57999999999999996</v>
      </c>
      <c r="AB179" s="123">
        <f t="shared" si="56"/>
        <v>0.57999999999999996</v>
      </c>
      <c r="AC179" s="123">
        <f t="shared" si="56"/>
        <v>0.57999999999999996</v>
      </c>
      <c r="AD179" s="123">
        <f t="shared" si="56"/>
        <v>0.57999999999999996</v>
      </c>
      <c r="AE179" s="123">
        <f t="shared" si="56"/>
        <v>0.57999999999999996</v>
      </c>
      <c r="AF179" s="123">
        <f t="shared" si="5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4"/>
        <v>0.8</v>
      </c>
      <c r="C180" s="124">
        <v>0.8</v>
      </c>
      <c r="D180" s="123">
        <f t="shared" si="55"/>
        <v>0.8</v>
      </c>
      <c r="E180" s="123">
        <f t="shared" si="55"/>
        <v>0.8</v>
      </c>
      <c r="F180" s="123">
        <f t="shared" si="55"/>
        <v>0.8</v>
      </c>
      <c r="G180" s="123">
        <f t="shared" si="55"/>
        <v>0.8</v>
      </c>
      <c r="H180" s="123">
        <f t="shared" si="55"/>
        <v>0.8</v>
      </c>
      <c r="I180" s="123">
        <f t="shared" si="55"/>
        <v>0.8</v>
      </c>
      <c r="J180" s="123">
        <f t="shared" si="55"/>
        <v>0.8</v>
      </c>
      <c r="K180" s="123">
        <f t="shared" si="55"/>
        <v>0.8</v>
      </c>
      <c r="L180" s="123">
        <f t="shared" si="55"/>
        <v>0.8</v>
      </c>
      <c r="M180" s="123">
        <f t="shared" si="55"/>
        <v>0.8</v>
      </c>
      <c r="N180" s="123">
        <f t="shared" si="55"/>
        <v>0.8</v>
      </c>
      <c r="O180" s="123">
        <f t="shared" si="55"/>
        <v>0.8</v>
      </c>
      <c r="P180" s="123">
        <f t="shared" si="55"/>
        <v>0.8</v>
      </c>
      <c r="Q180" s="123">
        <f t="shared" si="55"/>
        <v>0.8</v>
      </c>
      <c r="R180" s="123">
        <f t="shared" si="55"/>
        <v>0.8</v>
      </c>
      <c r="S180" s="123">
        <f t="shared" si="55"/>
        <v>0.8</v>
      </c>
      <c r="T180" s="123">
        <f t="shared" si="56"/>
        <v>0.8</v>
      </c>
      <c r="U180" s="123">
        <f t="shared" si="56"/>
        <v>0.8</v>
      </c>
      <c r="V180" s="123">
        <f t="shared" si="56"/>
        <v>0.8</v>
      </c>
      <c r="W180" s="123">
        <f t="shared" si="56"/>
        <v>0.8</v>
      </c>
      <c r="X180" s="123">
        <f t="shared" si="56"/>
        <v>0.8</v>
      </c>
      <c r="Y180" s="123">
        <f t="shared" si="56"/>
        <v>0.8</v>
      </c>
      <c r="Z180" s="123">
        <f t="shared" si="56"/>
        <v>0.8</v>
      </c>
      <c r="AA180" s="123">
        <f t="shared" si="56"/>
        <v>0.8</v>
      </c>
      <c r="AB180" s="123">
        <f t="shared" si="56"/>
        <v>0.8</v>
      </c>
      <c r="AC180" s="123">
        <f t="shared" si="56"/>
        <v>0.8</v>
      </c>
      <c r="AD180" s="123">
        <f t="shared" si="56"/>
        <v>0.8</v>
      </c>
      <c r="AE180" s="123">
        <f t="shared" si="56"/>
        <v>0.8</v>
      </c>
      <c r="AF180" s="123">
        <f t="shared" si="5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4"/>
        <v>0</v>
      </c>
      <c r="C181" s="124">
        <v>0</v>
      </c>
      <c r="D181" s="123">
        <f t="shared" si="55"/>
        <v>0</v>
      </c>
      <c r="E181" s="123">
        <f t="shared" si="55"/>
        <v>0</v>
      </c>
      <c r="F181" s="123">
        <f t="shared" si="55"/>
        <v>0</v>
      </c>
      <c r="G181" s="123">
        <f t="shared" si="55"/>
        <v>0</v>
      </c>
      <c r="H181" s="123">
        <f t="shared" si="55"/>
        <v>0</v>
      </c>
      <c r="I181" s="123">
        <f t="shared" si="55"/>
        <v>0</v>
      </c>
      <c r="J181" s="123">
        <f t="shared" si="55"/>
        <v>0</v>
      </c>
      <c r="K181" s="123">
        <f t="shared" si="55"/>
        <v>0</v>
      </c>
      <c r="L181" s="123">
        <f t="shared" si="55"/>
        <v>0</v>
      </c>
      <c r="M181" s="123">
        <f t="shared" si="55"/>
        <v>0</v>
      </c>
      <c r="N181" s="123">
        <f t="shared" si="55"/>
        <v>0</v>
      </c>
      <c r="O181" s="123">
        <f t="shared" si="55"/>
        <v>0</v>
      </c>
      <c r="P181" s="123">
        <f t="shared" si="55"/>
        <v>0</v>
      </c>
      <c r="Q181" s="123">
        <f t="shared" si="55"/>
        <v>0</v>
      </c>
      <c r="R181" s="123">
        <f t="shared" si="55"/>
        <v>0</v>
      </c>
      <c r="S181" s="123">
        <f t="shared" si="55"/>
        <v>0</v>
      </c>
      <c r="T181" s="123">
        <f t="shared" si="56"/>
        <v>0</v>
      </c>
      <c r="U181" s="123">
        <f t="shared" si="56"/>
        <v>0</v>
      </c>
      <c r="V181" s="123">
        <f t="shared" si="56"/>
        <v>0</v>
      </c>
      <c r="W181" s="123">
        <f t="shared" si="56"/>
        <v>0</v>
      </c>
      <c r="X181" s="123">
        <f t="shared" si="56"/>
        <v>0</v>
      </c>
      <c r="Y181" s="123">
        <f t="shared" si="56"/>
        <v>0</v>
      </c>
      <c r="Z181" s="123">
        <f t="shared" si="56"/>
        <v>0</v>
      </c>
      <c r="AA181" s="123">
        <f t="shared" si="56"/>
        <v>0</v>
      </c>
      <c r="AB181" s="123">
        <f t="shared" si="56"/>
        <v>0</v>
      </c>
      <c r="AC181" s="123">
        <f t="shared" si="56"/>
        <v>0</v>
      </c>
      <c r="AD181" s="123">
        <f t="shared" si="56"/>
        <v>0</v>
      </c>
      <c r="AE181" s="123">
        <f t="shared" si="56"/>
        <v>0</v>
      </c>
      <c r="AF181" s="123">
        <f t="shared" si="5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4"/>
        <v>0.6</v>
      </c>
      <c r="C182" s="124">
        <v>0.6</v>
      </c>
      <c r="D182" s="123">
        <f t="shared" si="55"/>
        <v>0.6</v>
      </c>
      <c r="E182" s="123">
        <f t="shared" si="55"/>
        <v>0.6</v>
      </c>
      <c r="F182" s="123">
        <f t="shared" si="55"/>
        <v>0.6</v>
      </c>
      <c r="G182" s="123">
        <f t="shared" si="55"/>
        <v>0.6</v>
      </c>
      <c r="H182" s="123">
        <f t="shared" si="55"/>
        <v>0.6</v>
      </c>
      <c r="I182" s="123">
        <f t="shared" si="55"/>
        <v>0.6</v>
      </c>
      <c r="J182" s="123">
        <f t="shared" si="55"/>
        <v>0.6</v>
      </c>
      <c r="K182" s="123">
        <f t="shared" si="55"/>
        <v>0.6</v>
      </c>
      <c r="L182" s="123">
        <f t="shared" si="55"/>
        <v>0.6</v>
      </c>
      <c r="M182" s="123">
        <f t="shared" si="55"/>
        <v>0.6</v>
      </c>
      <c r="N182" s="123">
        <f t="shared" si="55"/>
        <v>0.6</v>
      </c>
      <c r="O182" s="123">
        <f t="shared" si="55"/>
        <v>0.6</v>
      </c>
      <c r="P182" s="123">
        <f t="shared" si="55"/>
        <v>0.6</v>
      </c>
      <c r="Q182" s="123">
        <f t="shared" si="55"/>
        <v>0.6</v>
      </c>
      <c r="R182" s="123">
        <f t="shared" si="55"/>
        <v>0.6</v>
      </c>
      <c r="S182" s="123">
        <f t="shared" si="55"/>
        <v>0.6</v>
      </c>
      <c r="T182" s="123">
        <f t="shared" si="56"/>
        <v>0.6</v>
      </c>
      <c r="U182" s="123">
        <f t="shared" si="56"/>
        <v>0.6</v>
      </c>
      <c r="V182" s="123">
        <f t="shared" si="56"/>
        <v>0.6</v>
      </c>
      <c r="W182" s="123">
        <f t="shared" si="56"/>
        <v>0.6</v>
      </c>
      <c r="X182" s="123">
        <f t="shared" si="56"/>
        <v>0.6</v>
      </c>
      <c r="Y182" s="123">
        <f t="shared" si="56"/>
        <v>0.6</v>
      </c>
      <c r="Z182" s="123">
        <f t="shared" si="56"/>
        <v>0.6</v>
      </c>
      <c r="AA182" s="123">
        <f t="shared" si="56"/>
        <v>0.6</v>
      </c>
      <c r="AB182" s="123">
        <f t="shared" si="56"/>
        <v>0.6</v>
      </c>
      <c r="AC182" s="123">
        <f t="shared" si="56"/>
        <v>0.6</v>
      </c>
      <c r="AD182" s="123">
        <f t="shared" si="56"/>
        <v>0.6</v>
      </c>
      <c r="AE182" s="123">
        <f t="shared" si="56"/>
        <v>0.6</v>
      </c>
      <c r="AF182" s="123">
        <f t="shared" si="5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4"/>
        <v>0.6</v>
      </c>
      <c r="C183" s="124">
        <v>0.6</v>
      </c>
      <c r="D183" s="123">
        <f t="shared" si="55"/>
        <v>0.6</v>
      </c>
      <c r="E183" s="123">
        <f t="shared" si="55"/>
        <v>0.6</v>
      </c>
      <c r="F183" s="123">
        <f t="shared" si="55"/>
        <v>0.6</v>
      </c>
      <c r="G183" s="123">
        <f t="shared" si="55"/>
        <v>0.6</v>
      </c>
      <c r="H183" s="123">
        <f t="shared" si="55"/>
        <v>0.6</v>
      </c>
      <c r="I183" s="123">
        <f t="shared" si="55"/>
        <v>0.6</v>
      </c>
      <c r="J183" s="123">
        <f t="shared" si="55"/>
        <v>0.6</v>
      </c>
      <c r="K183" s="123">
        <f t="shared" si="55"/>
        <v>0.6</v>
      </c>
      <c r="L183" s="123">
        <f t="shared" si="55"/>
        <v>0.6</v>
      </c>
      <c r="M183" s="123">
        <f t="shared" si="55"/>
        <v>0.6</v>
      </c>
      <c r="N183" s="123">
        <f t="shared" si="55"/>
        <v>0.6</v>
      </c>
      <c r="O183" s="123">
        <f t="shared" si="55"/>
        <v>0.6</v>
      </c>
      <c r="P183" s="123">
        <f t="shared" si="55"/>
        <v>0.6</v>
      </c>
      <c r="Q183" s="123">
        <f t="shared" si="55"/>
        <v>0.6</v>
      </c>
      <c r="R183" s="123">
        <f t="shared" si="55"/>
        <v>0.6</v>
      </c>
      <c r="S183" s="123">
        <f t="shared" si="55"/>
        <v>0.6</v>
      </c>
      <c r="T183" s="123">
        <f t="shared" si="56"/>
        <v>0.6</v>
      </c>
      <c r="U183" s="123">
        <f t="shared" si="56"/>
        <v>0.6</v>
      </c>
      <c r="V183" s="123">
        <f t="shared" si="56"/>
        <v>0.6</v>
      </c>
      <c r="W183" s="123">
        <f t="shared" si="56"/>
        <v>0.6</v>
      </c>
      <c r="X183" s="123">
        <f t="shared" si="56"/>
        <v>0.6</v>
      </c>
      <c r="Y183" s="123">
        <f t="shared" si="56"/>
        <v>0.6</v>
      </c>
      <c r="Z183" s="123">
        <f t="shared" si="56"/>
        <v>0.6</v>
      </c>
      <c r="AA183" s="123">
        <f t="shared" si="56"/>
        <v>0.6</v>
      </c>
      <c r="AB183" s="123">
        <f t="shared" si="56"/>
        <v>0.6</v>
      </c>
      <c r="AC183" s="123">
        <f t="shared" si="56"/>
        <v>0.6</v>
      </c>
      <c r="AD183" s="123">
        <f t="shared" si="56"/>
        <v>0.6</v>
      </c>
      <c r="AE183" s="123">
        <f t="shared" si="56"/>
        <v>0.6</v>
      </c>
      <c r="AF183" s="123">
        <f t="shared" si="5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4"/>
        <v>0.35</v>
      </c>
      <c r="C184" s="124">
        <v>0.35</v>
      </c>
      <c r="D184" s="123">
        <f t="shared" si="55"/>
        <v>0.35</v>
      </c>
      <c r="E184" s="123">
        <f t="shared" si="55"/>
        <v>0.35</v>
      </c>
      <c r="F184" s="123">
        <f t="shared" si="55"/>
        <v>0.35</v>
      </c>
      <c r="G184" s="123">
        <f t="shared" si="55"/>
        <v>0.35</v>
      </c>
      <c r="H184" s="123">
        <f t="shared" si="55"/>
        <v>0.35</v>
      </c>
      <c r="I184" s="123">
        <f t="shared" si="55"/>
        <v>0.35</v>
      </c>
      <c r="J184" s="123">
        <f t="shared" si="55"/>
        <v>0.35</v>
      </c>
      <c r="K184" s="123">
        <f t="shared" si="55"/>
        <v>0.35</v>
      </c>
      <c r="L184" s="123">
        <f t="shared" si="55"/>
        <v>0.35</v>
      </c>
      <c r="M184" s="123">
        <f t="shared" si="55"/>
        <v>0.35</v>
      </c>
      <c r="N184" s="123">
        <f t="shared" si="55"/>
        <v>0.35</v>
      </c>
      <c r="O184" s="123">
        <f t="shared" si="55"/>
        <v>0.35</v>
      </c>
      <c r="P184" s="123">
        <f t="shared" si="55"/>
        <v>0.35</v>
      </c>
      <c r="Q184" s="123">
        <f t="shared" si="55"/>
        <v>0.35</v>
      </c>
      <c r="R184" s="123">
        <f t="shared" si="55"/>
        <v>0.35</v>
      </c>
      <c r="S184" s="123">
        <f t="shared" si="55"/>
        <v>0.35</v>
      </c>
      <c r="T184" s="123">
        <f t="shared" si="56"/>
        <v>0.35</v>
      </c>
      <c r="U184" s="123">
        <f t="shared" si="56"/>
        <v>0.35</v>
      </c>
      <c r="V184" s="123">
        <f t="shared" si="56"/>
        <v>0.35</v>
      </c>
      <c r="W184" s="123">
        <f t="shared" si="56"/>
        <v>0.35</v>
      </c>
      <c r="X184" s="123">
        <f t="shared" si="56"/>
        <v>0.35</v>
      </c>
      <c r="Y184" s="123">
        <f t="shared" si="56"/>
        <v>0.35</v>
      </c>
      <c r="Z184" s="123">
        <f t="shared" si="56"/>
        <v>0.35</v>
      </c>
      <c r="AA184" s="123">
        <f t="shared" si="56"/>
        <v>0.35</v>
      </c>
      <c r="AB184" s="123">
        <f t="shared" si="56"/>
        <v>0.35</v>
      </c>
      <c r="AC184" s="123">
        <f t="shared" si="56"/>
        <v>0.35</v>
      </c>
      <c r="AD184" s="123">
        <f t="shared" si="56"/>
        <v>0.35</v>
      </c>
      <c r="AE184" s="123">
        <f t="shared" si="56"/>
        <v>0.35</v>
      </c>
      <c r="AF184" s="123">
        <f t="shared" si="5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4"/>
        <v>0.28999999999999998</v>
      </c>
      <c r="C185" s="124">
        <v>0.28999999999999998</v>
      </c>
      <c r="D185" s="123">
        <f t="shared" si="55"/>
        <v>0.28999999999999998</v>
      </c>
      <c r="E185" s="123">
        <f t="shared" si="55"/>
        <v>0.28999999999999998</v>
      </c>
      <c r="F185" s="123">
        <f t="shared" si="55"/>
        <v>0.28999999999999998</v>
      </c>
      <c r="G185" s="123">
        <f t="shared" si="55"/>
        <v>0.28999999999999998</v>
      </c>
      <c r="H185" s="123">
        <f t="shared" si="55"/>
        <v>0.28999999999999998</v>
      </c>
      <c r="I185" s="123">
        <f t="shared" si="55"/>
        <v>0.28999999999999998</v>
      </c>
      <c r="J185" s="123">
        <f t="shared" si="55"/>
        <v>0.28999999999999998</v>
      </c>
      <c r="K185" s="123">
        <f t="shared" si="55"/>
        <v>0.28999999999999998</v>
      </c>
      <c r="L185" s="123">
        <f t="shared" si="55"/>
        <v>0.28999999999999998</v>
      </c>
      <c r="M185" s="123">
        <f t="shared" si="55"/>
        <v>0.28999999999999998</v>
      </c>
      <c r="N185" s="123">
        <f t="shared" si="55"/>
        <v>0.28999999999999998</v>
      </c>
      <c r="O185" s="123">
        <f t="shared" si="55"/>
        <v>0.28999999999999998</v>
      </c>
      <c r="P185" s="123">
        <f t="shared" si="55"/>
        <v>0.28999999999999998</v>
      </c>
      <c r="Q185" s="123">
        <f t="shared" si="55"/>
        <v>0.28999999999999998</v>
      </c>
      <c r="R185" s="123">
        <f t="shared" si="55"/>
        <v>0.28999999999999998</v>
      </c>
      <c r="S185" s="123">
        <f t="shared" si="55"/>
        <v>0.28999999999999998</v>
      </c>
      <c r="T185" s="123">
        <f t="shared" si="56"/>
        <v>0.28999999999999998</v>
      </c>
      <c r="U185" s="123">
        <f t="shared" si="56"/>
        <v>0.28999999999999998</v>
      </c>
      <c r="V185" s="123">
        <f t="shared" si="56"/>
        <v>0.28999999999999998</v>
      </c>
      <c r="W185" s="123">
        <f t="shared" si="56"/>
        <v>0.28999999999999998</v>
      </c>
      <c r="X185" s="123">
        <f t="shared" si="56"/>
        <v>0.28999999999999998</v>
      </c>
      <c r="Y185" s="123">
        <f t="shared" si="56"/>
        <v>0.28999999999999998</v>
      </c>
      <c r="Z185" s="123">
        <f t="shared" si="56"/>
        <v>0.28999999999999998</v>
      </c>
      <c r="AA185" s="123">
        <f t="shared" si="56"/>
        <v>0.28999999999999998</v>
      </c>
      <c r="AB185" s="123">
        <f t="shared" si="56"/>
        <v>0.28999999999999998</v>
      </c>
      <c r="AC185" s="123">
        <f t="shared" si="56"/>
        <v>0.28999999999999998</v>
      </c>
      <c r="AD185" s="123">
        <f t="shared" si="56"/>
        <v>0.28999999999999998</v>
      </c>
      <c r="AE185" s="123">
        <f t="shared" si="56"/>
        <v>0.28999999999999998</v>
      </c>
      <c r="AF185" s="123">
        <f t="shared" si="5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4"/>
        <v>0.06</v>
      </c>
      <c r="C186" s="124">
        <v>0.06</v>
      </c>
      <c r="D186" s="123">
        <f t="shared" si="55"/>
        <v>0.06</v>
      </c>
      <c r="E186" s="123">
        <f t="shared" si="55"/>
        <v>0.06</v>
      </c>
      <c r="F186" s="123">
        <f t="shared" si="55"/>
        <v>0.06</v>
      </c>
      <c r="G186" s="123">
        <f t="shared" si="55"/>
        <v>0.06</v>
      </c>
      <c r="H186" s="123">
        <f t="shared" si="55"/>
        <v>0.06</v>
      </c>
      <c r="I186" s="123">
        <f t="shared" si="55"/>
        <v>0.06</v>
      </c>
      <c r="J186" s="123">
        <f t="shared" si="55"/>
        <v>0.06</v>
      </c>
      <c r="K186" s="123">
        <f t="shared" si="55"/>
        <v>0.06</v>
      </c>
      <c r="L186" s="123">
        <f t="shared" si="55"/>
        <v>0.06</v>
      </c>
      <c r="M186" s="123">
        <f t="shared" si="55"/>
        <v>0.06</v>
      </c>
      <c r="N186" s="123">
        <f t="shared" si="55"/>
        <v>0.06</v>
      </c>
      <c r="O186" s="123">
        <f t="shared" si="55"/>
        <v>0.06</v>
      </c>
      <c r="P186" s="123">
        <f t="shared" si="55"/>
        <v>0.06</v>
      </c>
      <c r="Q186" s="123">
        <f t="shared" si="55"/>
        <v>0.06</v>
      </c>
      <c r="R186" s="123">
        <f t="shared" si="55"/>
        <v>0.06</v>
      </c>
      <c r="S186" s="123">
        <f t="shared" si="55"/>
        <v>0.06</v>
      </c>
      <c r="T186" s="123">
        <f t="shared" si="56"/>
        <v>0.06</v>
      </c>
      <c r="U186" s="123">
        <f t="shared" si="56"/>
        <v>0.06</v>
      </c>
      <c r="V186" s="123">
        <f t="shared" si="56"/>
        <v>0.06</v>
      </c>
      <c r="W186" s="123">
        <f t="shared" si="56"/>
        <v>0.06</v>
      </c>
      <c r="X186" s="123">
        <f t="shared" si="56"/>
        <v>0.06</v>
      </c>
      <c r="Y186" s="123">
        <f t="shared" si="56"/>
        <v>0.06</v>
      </c>
      <c r="Z186" s="123">
        <f t="shared" si="56"/>
        <v>0.06</v>
      </c>
      <c r="AA186" s="123">
        <f t="shared" si="56"/>
        <v>0.06</v>
      </c>
      <c r="AB186" s="123">
        <f t="shared" si="56"/>
        <v>0.06</v>
      </c>
      <c r="AC186" s="123">
        <f t="shared" si="56"/>
        <v>0.06</v>
      </c>
      <c r="AD186" s="123">
        <f t="shared" si="56"/>
        <v>0.06</v>
      </c>
      <c r="AE186" s="123">
        <f t="shared" si="56"/>
        <v>0.06</v>
      </c>
      <c r="AF186" s="123">
        <f t="shared" si="5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4"/>
        <v>0.11</v>
      </c>
      <c r="C187" s="124">
        <v>0.11</v>
      </c>
      <c r="D187" s="123">
        <f t="shared" si="55"/>
        <v>0.11</v>
      </c>
      <c r="E187" s="123">
        <f t="shared" si="55"/>
        <v>0.11</v>
      </c>
      <c r="F187" s="123">
        <f t="shared" si="55"/>
        <v>0.11</v>
      </c>
      <c r="G187" s="123">
        <f t="shared" si="55"/>
        <v>0.11</v>
      </c>
      <c r="H187" s="123">
        <f t="shared" si="55"/>
        <v>0.11</v>
      </c>
      <c r="I187" s="123">
        <f t="shared" si="55"/>
        <v>0.11</v>
      </c>
      <c r="J187" s="123">
        <f t="shared" si="55"/>
        <v>0.11</v>
      </c>
      <c r="K187" s="123">
        <f t="shared" si="55"/>
        <v>0.11</v>
      </c>
      <c r="L187" s="123">
        <f t="shared" si="55"/>
        <v>0.11</v>
      </c>
      <c r="M187" s="123">
        <f t="shared" si="55"/>
        <v>0.11</v>
      </c>
      <c r="N187" s="123">
        <f t="shared" si="55"/>
        <v>0.11</v>
      </c>
      <c r="O187" s="123">
        <f t="shared" si="55"/>
        <v>0.11</v>
      </c>
      <c r="P187" s="123">
        <f t="shared" si="55"/>
        <v>0.11</v>
      </c>
      <c r="Q187" s="123">
        <f t="shared" si="55"/>
        <v>0.11</v>
      </c>
      <c r="R187" s="123">
        <f t="shared" si="55"/>
        <v>0.11</v>
      </c>
      <c r="S187" s="123">
        <f t="shared" si="55"/>
        <v>0.11</v>
      </c>
      <c r="T187" s="123">
        <f t="shared" si="56"/>
        <v>0.11</v>
      </c>
      <c r="U187" s="123">
        <f t="shared" si="56"/>
        <v>0.11</v>
      </c>
      <c r="V187" s="123">
        <f t="shared" si="56"/>
        <v>0.11</v>
      </c>
      <c r="W187" s="123">
        <f t="shared" si="56"/>
        <v>0.11</v>
      </c>
      <c r="X187" s="123">
        <f t="shared" si="56"/>
        <v>0.11</v>
      </c>
      <c r="Y187" s="123">
        <f t="shared" si="56"/>
        <v>0.11</v>
      </c>
      <c r="Z187" s="123">
        <f t="shared" si="56"/>
        <v>0.11</v>
      </c>
      <c r="AA187" s="123">
        <f t="shared" si="56"/>
        <v>0.11</v>
      </c>
      <c r="AB187" s="123">
        <f t="shared" si="56"/>
        <v>0.11</v>
      </c>
      <c r="AC187" s="123">
        <f t="shared" si="56"/>
        <v>0.11</v>
      </c>
      <c r="AD187" s="123">
        <f t="shared" si="56"/>
        <v>0.11</v>
      </c>
      <c r="AE187" s="123">
        <f t="shared" si="56"/>
        <v>0.11</v>
      </c>
      <c r="AF187" s="123">
        <f t="shared" si="5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4"/>
        <v>0.1</v>
      </c>
      <c r="C188" s="124">
        <v>0.1</v>
      </c>
      <c r="D188" s="123">
        <f t="shared" si="55"/>
        <v>0.1</v>
      </c>
      <c r="E188" s="123">
        <f t="shared" si="55"/>
        <v>0.1</v>
      </c>
      <c r="F188" s="123">
        <f t="shared" si="55"/>
        <v>0.1</v>
      </c>
      <c r="G188" s="123">
        <f t="shared" si="55"/>
        <v>0.1</v>
      </c>
      <c r="H188" s="123">
        <f t="shared" si="55"/>
        <v>0.1</v>
      </c>
      <c r="I188" s="123">
        <f t="shared" si="55"/>
        <v>0.1</v>
      </c>
      <c r="J188" s="123">
        <f t="shared" si="55"/>
        <v>0.1</v>
      </c>
      <c r="K188" s="123">
        <f t="shared" si="55"/>
        <v>0.1</v>
      </c>
      <c r="L188" s="123">
        <f t="shared" si="55"/>
        <v>0.1</v>
      </c>
      <c r="M188" s="123">
        <f t="shared" si="55"/>
        <v>0.1</v>
      </c>
      <c r="N188" s="123">
        <f t="shared" si="55"/>
        <v>0.1</v>
      </c>
      <c r="O188" s="123">
        <f t="shared" si="55"/>
        <v>0.1</v>
      </c>
      <c r="P188" s="123">
        <f t="shared" si="55"/>
        <v>0.1</v>
      </c>
      <c r="Q188" s="123">
        <f t="shared" si="55"/>
        <v>0.1</v>
      </c>
      <c r="R188" s="123">
        <f t="shared" si="55"/>
        <v>0.1</v>
      </c>
      <c r="S188" s="123">
        <f t="shared" si="56"/>
        <v>0.1</v>
      </c>
      <c r="T188" s="123">
        <f t="shared" si="56"/>
        <v>0.1</v>
      </c>
      <c r="U188" s="123">
        <f t="shared" si="56"/>
        <v>0.1</v>
      </c>
      <c r="V188" s="123">
        <f t="shared" si="56"/>
        <v>0.1</v>
      </c>
      <c r="W188" s="123">
        <f t="shared" si="56"/>
        <v>0.1</v>
      </c>
      <c r="X188" s="123">
        <f t="shared" si="56"/>
        <v>0.1</v>
      </c>
      <c r="Y188" s="123">
        <f t="shared" si="56"/>
        <v>0.1</v>
      </c>
      <c r="Z188" s="123">
        <f t="shared" si="56"/>
        <v>0.1</v>
      </c>
      <c r="AA188" s="123">
        <f t="shared" si="56"/>
        <v>0.1</v>
      </c>
      <c r="AB188" s="123">
        <f t="shared" si="56"/>
        <v>0.1</v>
      </c>
      <c r="AC188" s="123">
        <f t="shared" si="56"/>
        <v>0.1</v>
      </c>
      <c r="AD188" s="123">
        <f t="shared" si="56"/>
        <v>0.1</v>
      </c>
      <c r="AE188" s="123">
        <f t="shared" si="56"/>
        <v>0.1</v>
      </c>
      <c r="AF188" s="123">
        <f t="shared" si="5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4"/>
        <v>0.09</v>
      </c>
      <c r="C189" s="124">
        <v>0.09</v>
      </c>
      <c r="D189" s="123">
        <f t="shared" si="55"/>
        <v>0.09</v>
      </c>
      <c r="E189" s="123">
        <f t="shared" si="55"/>
        <v>0.09</v>
      </c>
      <c r="F189" s="123">
        <f t="shared" si="55"/>
        <v>0.09</v>
      </c>
      <c r="G189" s="123">
        <f t="shared" si="55"/>
        <v>0.09</v>
      </c>
      <c r="H189" s="123">
        <f t="shared" si="55"/>
        <v>0.09</v>
      </c>
      <c r="I189" s="123">
        <f t="shared" si="55"/>
        <v>0.09</v>
      </c>
      <c r="J189" s="123">
        <f t="shared" si="55"/>
        <v>0.09</v>
      </c>
      <c r="K189" s="123">
        <f t="shared" si="55"/>
        <v>0.09</v>
      </c>
      <c r="L189" s="123">
        <f t="shared" si="55"/>
        <v>0.09</v>
      </c>
      <c r="M189" s="123">
        <f t="shared" si="55"/>
        <v>0.09</v>
      </c>
      <c r="N189" s="123">
        <f t="shared" si="55"/>
        <v>0.09</v>
      </c>
      <c r="O189" s="123">
        <f t="shared" si="55"/>
        <v>0.09</v>
      </c>
      <c r="P189" s="123">
        <f t="shared" si="55"/>
        <v>0.09</v>
      </c>
      <c r="Q189" s="123">
        <f t="shared" si="55"/>
        <v>0.09</v>
      </c>
      <c r="R189" s="123">
        <f t="shared" si="55"/>
        <v>0.09</v>
      </c>
      <c r="S189" s="123">
        <f t="shared" si="56"/>
        <v>0.09</v>
      </c>
      <c r="T189" s="123">
        <f t="shared" si="56"/>
        <v>0.09</v>
      </c>
      <c r="U189" s="123">
        <f t="shared" si="56"/>
        <v>0.09</v>
      </c>
      <c r="V189" s="123">
        <f t="shared" si="56"/>
        <v>0.09</v>
      </c>
      <c r="W189" s="123">
        <f t="shared" si="56"/>
        <v>0.09</v>
      </c>
      <c r="X189" s="123">
        <f t="shared" si="56"/>
        <v>0.09</v>
      </c>
      <c r="Y189" s="123">
        <f t="shared" si="56"/>
        <v>0.09</v>
      </c>
      <c r="Z189" s="123">
        <f t="shared" si="56"/>
        <v>0.09</v>
      </c>
      <c r="AA189" s="123">
        <f t="shared" si="56"/>
        <v>0.09</v>
      </c>
      <c r="AB189" s="123">
        <f t="shared" si="56"/>
        <v>0.09</v>
      </c>
      <c r="AC189" s="123">
        <f t="shared" si="56"/>
        <v>0.09</v>
      </c>
      <c r="AD189" s="123">
        <f t="shared" si="56"/>
        <v>0.09</v>
      </c>
      <c r="AE189" s="123">
        <f t="shared" si="56"/>
        <v>0.09</v>
      </c>
      <c r="AF189" s="123">
        <f t="shared" si="5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4"/>
        <v>0.04</v>
      </c>
      <c r="C190" s="53">
        <v>0.04</v>
      </c>
      <c r="D190" s="123">
        <f t="shared" si="55"/>
        <v>0.04</v>
      </c>
      <c r="E190" s="123">
        <f t="shared" si="55"/>
        <v>0.04</v>
      </c>
      <c r="F190" s="123">
        <f t="shared" si="55"/>
        <v>0.04</v>
      </c>
      <c r="G190" s="123">
        <f t="shared" si="55"/>
        <v>0.04</v>
      </c>
      <c r="H190" s="123">
        <f t="shared" si="55"/>
        <v>0.04</v>
      </c>
      <c r="I190" s="123">
        <f t="shared" si="55"/>
        <v>0.04</v>
      </c>
      <c r="J190" s="123">
        <f t="shared" si="55"/>
        <v>0.04</v>
      </c>
      <c r="K190" s="123">
        <f t="shared" si="55"/>
        <v>0.04</v>
      </c>
      <c r="L190" s="123">
        <f t="shared" si="55"/>
        <v>0.04</v>
      </c>
      <c r="M190" s="123">
        <f t="shared" si="55"/>
        <v>0.04</v>
      </c>
      <c r="N190" s="123">
        <f t="shared" si="55"/>
        <v>0.04</v>
      </c>
      <c r="O190" s="123">
        <f t="shared" si="55"/>
        <v>0.04</v>
      </c>
      <c r="P190" s="123">
        <f t="shared" si="55"/>
        <v>0.04</v>
      </c>
      <c r="Q190" s="123">
        <f t="shared" si="55"/>
        <v>0.04</v>
      </c>
      <c r="R190" s="123">
        <f t="shared" si="55"/>
        <v>0.04</v>
      </c>
      <c r="S190" s="123">
        <f t="shared" si="56"/>
        <v>0.04</v>
      </c>
      <c r="T190" s="123">
        <f t="shared" si="56"/>
        <v>0.04</v>
      </c>
      <c r="U190" s="123">
        <f t="shared" si="56"/>
        <v>0.04</v>
      </c>
      <c r="V190" s="123">
        <f t="shared" si="56"/>
        <v>0.04</v>
      </c>
      <c r="W190" s="123">
        <f t="shared" si="56"/>
        <v>0.04</v>
      </c>
      <c r="X190" s="123">
        <f t="shared" si="56"/>
        <v>0.04</v>
      </c>
      <c r="Y190" s="123">
        <f t="shared" si="56"/>
        <v>0.04</v>
      </c>
      <c r="Z190" s="123">
        <f t="shared" si="56"/>
        <v>0.04</v>
      </c>
      <c r="AA190" s="123">
        <f t="shared" si="56"/>
        <v>0.04</v>
      </c>
      <c r="AB190" s="123">
        <f t="shared" si="56"/>
        <v>0.04</v>
      </c>
      <c r="AC190" s="123">
        <f t="shared" si="56"/>
        <v>0.04</v>
      </c>
      <c r="AD190" s="123">
        <f t="shared" si="56"/>
        <v>0.04</v>
      </c>
      <c r="AE190" s="123">
        <f t="shared" si="56"/>
        <v>0.04</v>
      </c>
      <c r="AF190" s="123">
        <f t="shared" si="5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4"/>
        <v>2.3E-2</v>
      </c>
      <c r="C191" s="53">
        <v>2.3E-2</v>
      </c>
      <c r="D191" s="123">
        <f>C191</f>
        <v>2.3E-2</v>
      </c>
      <c r="E191" s="123">
        <f t="shared" si="55"/>
        <v>2.3E-2</v>
      </c>
      <c r="F191" s="123">
        <f t="shared" si="55"/>
        <v>2.3E-2</v>
      </c>
      <c r="G191" s="123">
        <f t="shared" si="55"/>
        <v>2.3E-2</v>
      </c>
      <c r="H191" s="123">
        <f t="shared" si="55"/>
        <v>2.3E-2</v>
      </c>
      <c r="I191" s="123">
        <f t="shared" si="55"/>
        <v>2.3E-2</v>
      </c>
      <c r="J191" s="123">
        <f t="shared" si="55"/>
        <v>2.3E-2</v>
      </c>
      <c r="K191" s="123">
        <f t="shared" si="55"/>
        <v>2.3E-2</v>
      </c>
      <c r="L191" s="123">
        <f t="shared" si="55"/>
        <v>2.3E-2</v>
      </c>
      <c r="M191" s="123">
        <f t="shared" si="55"/>
        <v>2.3E-2</v>
      </c>
      <c r="N191" s="123">
        <f t="shared" si="55"/>
        <v>2.3E-2</v>
      </c>
      <c r="O191" s="123">
        <f t="shared" si="55"/>
        <v>2.3E-2</v>
      </c>
      <c r="P191" s="123">
        <f t="shared" si="55"/>
        <v>2.3E-2</v>
      </c>
      <c r="Q191" s="123">
        <f t="shared" si="55"/>
        <v>2.3E-2</v>
      </c>
      <c r="R191" s="123">
        <f t="shared" si="55"/>
        <v>2.3E-2</v>
      </c>
      <c r="S191" s="123">
        <f t="shared" si="56"/>
        <v>2.3E-2</v>
      </c>
      <c r="T191" s="123">
        <f t="shared" si="56"/>
        <v>2.3E-2</v>
      </c>
      <c r="U191" s="123">
        <f t="shared" si="56"/>
        <v>2.3E-2</v>
      </c>
      <c r="V191" s="123">
        <f t="shared" si="56"/>
        <v>2.3E-2</v>
      </c>
      <c r="W191" s="123">
        <f t="shared" si="56"/>
        <v>2.3E-2</v>
      </c>
      <c r="X191" s="123">
        <f t="shared" si="56"/>
        <v>2.3E-2</v>
      </c>
      <c r="Y191" s="123">
        <f t="shared" si="56"/>
        <v>2.3E-2</v>
      </c>
      <c r="Z191" s="123">
        <f t="shared" si="56"/>
        <v>2.3E-2</v>
      </c>
      <c r="AA191" s="123">
        <f t="shared" si="56"/>
        <v>2.3E-2</v>
      </c>
      <c r="AB191" s="123">
        <f t="shared" si="56"/>
        <v>2.3E-2</v>
      </c>
      <c r="AC191" s="123">
        <f t="shared" si="56"/>
        <v>2.3E-2</v>
      </c>
      <c r="AD191" s="123">
        <f t="shared" si="56"/>
        <v>2.3E-2</v>
      </c>
      <c r="AE191" s="123">
        <f t="shared" si="56"/>
        <v>2.3E-2</v>
      </c>
      <c r="AF191" s="123">
        <f t="shared" si="5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7">SUM(C102:C191)</f>
        <v>194.70600000000002</v>
      </c>
      <c r="D192" s="128">
        <f t="shared" si="57"/>
        <v>194.70600000000002</v>
      </c>
      <c r="E192" s="128">
        <f t="shared" si="57"/>
        <v>194.70600000000002</v>
      </c>
      <c r="F192" s="128">
        <f t="shared" si="57"/>
        <v>194.70600000000002</v>
      </c>
      <c r="G192" s="128">
        <f t="shared" si="57"/>
        <v>194.70600000000002</v>
      </c>
      <c r="H192" s="128">
        <f t="shared" si="57"/>
        <v>194.70600000000002</v>
      </c>
      <c r="I192" s="128">
        <f t="shared" si="57"/>
        <v>189.70600000000005</v>
      </c>
      <c r="J192" s="128">
        <f t="shared" si="57"/>
        <v>187.10600000000005</v>
      </c>
      <c r="K192" s="128">
        <f t="shared" si="57"/>
        <v>187.10600000000005</v>
      </c>
      <c r="L192" s="128">
        <f t="shared" si="57"/>
        <v>187.10600000000005</v>
      </c>
      <c r="M192" s="128">
        <f t="shared" si="57"/>
        <v>187.10600000000005</v>
      </c>
      <c r="N192" s="128">
        <f t="shared" si="57"/>
        <v>187.10600000000005</v>
      </c>
      <c r="O192" s="128">
        <f t="shared" si="57"/>
        <v>187.10600000000005</v>
      </c>
      <c r="P192" s="128">
        <f t="shared" si="57"/>
        <v>187.10600000000005</v>
      </c>
      <c r="Q192" s="128">
        <f t="shared" si="57"/>
        <v>187.10600000000005</v>
      </c>
      <c r="R192" s="128">
        <f t="shared" si="57"/>
        <v>187.10600000000005</v>
      </c>
      <c r="S192" s="128">
        <f t="shared" si="57"/>
        <v>187.10600000000005</v>
      </c>
      <c r="T192" s="128">
        <f t="shared" si="57"/>
        <v>187.10600000000005</v>
      </c>
      <c r="U192" s="128">
        <f t="shared" si="57"/>
        <v>187.10600000000005</v>
      </c>
      <c r="V192" s="128">
        <f t="shared" si="57"/>
        <v>187.10600000000005</v>
      </c>
      <c r="W192" s="128">
        <f t="shared" si="57"/>
        <v>187.10600000000005</v>
      </c>
      <c r="X192" s="128">
        <f t="shared" si="57"/>
        <v>187.10600000000005</v>
      </c>
      <c r="Y192" s="128">
        <f t="shared" si="57"/>
        <v>187.10600000000005</v>
      </c>
      <c r="Z192" s="128">
        <f t="shared" si="57"/>
        <v>187.10600000000005</v>
      </c>
      <c r="AA192" s="128">
        <f t="shared" si="57"/>
        <v>187.10600000000005</v>
      </c>
      <c r="AB192" s="128">
        <f t="shared" si="57"/>
        <v>187.10600000000005</v>
      </c>
      <c r="AC192" s="128">
        <f t="shared" si="57"/>
        <v>187.10600000000005</v>
      </c>
      <c r="AD192" s="128">
        <f t="shared" si="57"/>
        <v>187.10600000000005</v>
      </c>
      <c r="AE192" s="128">
        <f t="shared" si="57"/>
        <v>187.10600000000005</v>
      </c>
      <c r="AF192" s="128">
        <f t="shared" si="57"/>
        <v>187.10600000000005</v>
      </c>
      <c r="AG192" s="129">
        <f t="shared" si="5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8">AF194</f>
        <v>0.3</v>
      </c>
      <c r="C194" s="130">
        <v>0.3</v>
      </c>
      <c r="D194" s="130">
        <f t="shared" ref="D194:S199" si="59">C194</f>
        <v>0.3</v>
      </c>
      <c r="E194" s="130">
        <f t="shared" si="59"/>
        <v>0.3</v>
      </c>
      <c r="F194" s="130">
        <f t="shared" si="59"/>
        <v>0.3</v>
      </c>
      <c r="G194" s="130">
        <f t="shared" si="59"/>
        <v>0.3</v>
      </c>
      <c r="H194" s="130">
        <f t="shared" si="59"/>
        <v>0.3</v>
      </c>
      <c r="I194" s="130">
        <f t="shared" si="59"/>
        <v>0.3</v>
      </c>
      <c r="J194" s="130">
        <f t="shared" si="59"/>
        <v>0.3</v>
      </c>
      <c r="K194" s="130">
        <f t="shared" si="59"/>
        <v>0.3</v>
      </c>
      <c r="L194" s="130">
        <f t="shared" si="59"/>
        <v>0.3</v>
      </c>
      <c r="M194" s="130">
        <f t="shared" si="59"/>
        <v>0.3</v>
      </c>
      <c r="N194" s="130">
        <f t="shared" si="59"/>
        <v>0.3</v>
      </c>
      <c r="O194" s="130">
        <f t="shared" si="59"/>
        <v>0.3</v>
      </c>
      <c r="P194" s="130">
        <f t="shared" si="59"/>
        <v>0.3</v>
      </c>
      <c r="Q194" s="130">
        <f t="shared" si="59"/>
        <v>0.3</v>
      </c>
      <c r="R194" s="130">
        <f t="shared" si="59"/>
        <v>0.3</v>
      </c>
      <c r="S194" s="130">
        <f t="shared" si="59"/>
        <v>0.3</v>
      </c>
      <c r="T194" s="130">
        <f t="shared" ref="T194:AF199" si="60">S194</f>
        <v>0.3</v>
      </c>
      <c r="U194" s="130">
        <f t="shared" si="60"/>
        <v>0.3</v>
      </c>
      <c r="V194" s="130">
        <f t="shared" si="60"/>
        <v>0.3</v>
      </c>
      <c r="W194" s="130">
        <f t="shared" si="60"/>
        <v>0.3</v>
      </c>
      <c r="X194" s="130">
        <f t="shared" si="60"/>
        <v>0.3</v>
      </c>
      <c r="Y194" s="130">
        <f t="shared" si="60"/>
        <v>0.3</v>
      </c>
      <c r="Z194" s="130">
        <f t="shared" si="60"/>
        <v>0.3</v>
      </c>
      <c r="AA194" s="130">
        <f t="shared" si="60"/>
        <v>0.3</v>
      </c>
      <c r="AB194" s="130">
        <f t="shared" si="60"/>
        <v>0.3</v>
      </c>
      <c r="AC194" s="130">
        <f t="shared" si="60"/>
        <v>0.3</v>
      </c>
      <c r="AD194" s="130">
        <f t="shared" si="60"/>
        <v>0.3</v>
      </c>
      <c r="AE194" s="130">
        <f t="shared" si="60"/>
        <v>0.3</v>
      </c>
      <c r="AF194" s="130">
        <f t="shared" si="6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8"/>
        <v>0.4</v>
      </c>
      <c r="C195" s="123">
        <v>0.4</v>
      </c>
      <c r="D195" s="123">
        <f t="shared" si="59"/>
        <v>0.4</v>
      </c>
      <c r="E195" s="123">
        <f t="shared" si="59"/>
        <v>0.4</v>
      </c>
      <c r="F195" s="123">
        <f t="shared" si="59"/>
        <v>0.4</v>
      </c>
      <c r="G195" s="123">
        <f t="shared" si="59"/>
        <v>0.4</v>
      </c>
      <c r="H195" s="123">
        <f t="shared" si="59"/>
        <v>0.4</v>
      </c>
      <c r="I195" s="123">
        <f t="shared" si="59"/>
        <v>0.4</v>
      </c>
      <c r="J195" s="123">
        <f t="shared" si="59"/>
        <v>0.4</v>
      </c>
      <c r="K195" s="123">
        <f t="shared" si="59"/>
        <v>0.4</v>
      </c>
      <c r="L195" s="123">
        <f t="shared" si="59"/>
        <v>0.4</v>
      </c>
      <c r="M195" s="123">
        <f t="shared" si="59"/>
        <v>0.4</v>
      </c>
      <c r="N195" s="123">
        <f t="shared" si="59"/>
        <v>0.4</v>
      </c>
      <c r="O195" s="123">
        <f t="shared" si="59"/>
        <v>0.4</v>
      </c>
      <c r="P195" s="123">
        <f t="shared" si="59"/>
        <v>0.4</v>
      </c>
      <c r="Q195" s="123">
        <f t="shared" si="59"/>
        <v>0.4</v>
      </c>
      <c r="R195" s="123">
        <f t="shared" si="59"/>
        <v>0.4</v>
      </c>
      <c r="S195" s="123">
        <f t="shared" si="59"/>
        <v>0.4</v>
      </c>
      <c r="T195" s="123">
        <f t="shared" si="60"/>
        <v>0.4</v>
      </c>
      <c r="U195" s="123">
        <f t="shared" si="60"/>
        <v>0.4</v>
      </c>
      <c r="V195" s="123">
        <f t="shared" si="60"/>
        <v>0.4</v>
      </c>
      <c r="W195" s="123">
        <f>V195</f>
        <v>0.4</v>
      </c>
      <c r="X195" s="123">
        <f>W195</f>
        <v>0.4</v>
      </c>
      <c r="Y195" s="123">
        <f t="shared" si="60"/>
        <v>0.4</v>
      </c>
      <c r="Z195" s="123">
        <f t="shared" si="60"/>
        <v>0.4</v>
      </c>
      <c r="AA195" s="123">
        <f t="shared" si="60"/>
        <v>0.4</v>
      </c>
      <c r="AB195" s="123">
        <f t="shared" si="60"/>
        <v>0.4</v>
      </c>
      <c r="AC195" s="123">
        <f t="shared" si="60"/>
        <v>0.4</v>
      </c>
      <c r="AD195" s="123">
        <f t="shared" si="60"/>
        <v>0.4</v>
      </c>
      <c r="AE195" s="123">
        <f t="shared" si="60"/>
        <v>0.4</v>
      </c>
      <c r="AF195" s="123">
        <f t="shared" si="6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8"/>
        <v>1.5</v>
      </c>
      <c r="C196" s="123">
        <v>1.5</v>
      </c>
      <c r="D196" s="123">
        <f t="shared" si="59"/>
        <v>1.5</v>
      </c>
      <c r="E196" s="123">
        <f t="shared" si="59"/>
        <v>1.5</v>
      </c>
      <c r="F196" s="123">
        <f t="shared" si="59"/>
        <v>1.5</v>
      </c>
      <c r="G196" s="123">
        <f t="shared" si="59"/>
        <v>1.5</v>
      </c>
      <c r="H196" s="123">
        <f t="shared" si="59"/>
        <v>1.5</v>
      </c>
      <c r="I196" s="123">
        <f t="shared" si="59"/>
        <v>1.5</v>
      </c>
      <c r="J196" s="123">
        <f t="shared" si="59"/>
        <v>1.5</v>
      </c>
      <c r="K196" s="123">
        <f t="shared" si="59"/>
        <v>1.5</v>
      </c>
      <c r="L196" s="123">
        <f t="shared" si="59"/>
        <v>1.5</v>
      </c>
      <c r="M196" s="123">
        <f t="shared" si="59"/>
        <v>1.5</v>
      </c>
      <c r="N196" s="123">
        <f t="shared" si="59"/>
        <v>1.5</v>
      </c>
      <c r="O196" s="123">
        <f t="shared" si="59"/>
        <v>1.5</v>
      </c>
      <c r="P196" s="123">
        <f t="shared" si="59"/>
        <v>1.5</v>
      </c>
      <c r="Q196" s="123">
        <f t="shared" si="59"/>
        <v>1.5</v>
      </c>
      <c r="R196" s="123">
        <f t="shared" si="59"/>
        <v>1.5</v>
      </c>
      <c r="S196" s="123">
        <f t="shared" si="59"/>
        <v>1.5</v>
      </c>
      <c r="T196" s="123">
        <f t="shared" si="60"/>
        <v>1.5</v>
      </c>
      <c r="U196" s="123">
        <f t="shared" si="60"/>
        <v>1.5</v>
      </c>
      <c r="V196" s="123">
        <f t="shared" si="60"/>
        <v>1.5</v>
      </c>
      <c r="W196" s="123">
        <f t="shared" si="60"/>
        <v>1.5</v>
      </c>
      <c r="X196" s="123">
        <f t="shared" si="60"/>
        <v>1.5</v>
      </c>
      <c r="Y196" s="123">
        <f t="shared" si="60"/>
        <v>1.5</v>
      </c>
      <c r="Z196" s="123">
        <f t="shared" si="60"/>
        <v>1.5</v>
      </c>
      <c r="AA196" s="123">
        <f t="shared" si="60"/>
        <v>1.5</v>
      </c>
      <c r="AB196" s="123">
        <f t="shared" si="60"/>
        <v>1.5</v>
      </c>
      <c r="AC196" s="123">
        <f t="shared" si="60"/>
        <v>1.5</v>
      </c>
      <c r="AD196" s="123">
        <f t="shared" si="60"/>
        <v>1.5</v>
      </c>
      <c r="AE196" s="123">
        <f t="shared" si="60"/>
        <v>1.5</v>
      </c>
      <c r="AF196" s="123">
        <f t="shared" si="6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8"/>
        <v>0.3</v>
      </c>
      <c r="C197" s="123">
        <v>0.3</v>
      </c>
      <c r="D197" s="123">
        <f t="shared" si="59"/>
        <v>0.3</v>
      </c>
      <c r="E197" s="123">
        <f t="shared" si="59"/>
        <v>0.3</v>
      </c>
      <c r="F197" s="123">
        <f t="shared" si="59"/>
        <v>0.3</v>
      </c>
      <c r="G197" s="123">
        <f t="shared" si="59"/>
        <v>0.3</v>
      </c>
      <c r="H197" s="123">
        <f t="shared" si="59"/>
        <v>0.3</v>
      </c>
      <c r="I197" s="123">
        <f t="shared" si="59"/>
        <v>0.3</v>
      </c>
      <c r="J197" s="123">
        <f t="shared" si="59"/>
        <v>0.3</v>
      </c>
      <c r="K197" s="123">
        <f t="shared" si="59"/>
        <v>0.3</v>
      </c>
      <c r="L197" s="123">
        <f t="shared" si="59"/>
        <v>0.3</v>
      </c>
      <c r="M197" s="123">
        <f t="shared" si="59"/>
        <v>0.3</v>
      </c>
      <c r="N197" s="123">
        <f t="shared" si="59"/>
        <v>0.3</v>
      </c>
      <c r="O197" s="123">
        <f t="shared" si="59"/>
        <v>0.3</v>
      </c>
      <c r="P197" s="123">
        <f t="shared" si="59"/>
        <v>0.3</v>
      </c>
      <c r="Q197" s="123">
        <f t="shared" si="59"/>
        <v>0.3</v>
      </c>
      <c r="R197" s="123">
        <f t="shared" si="59"/>
        <v>0.3</v>
      </c>
      <c r="S197" s="123">
        <f t="shared" si="59"/>
        <v>0.3</v>
      </c>
      <c r="T197" s="123">
        <f t="shared" si="60"/>
        <v>0.3</v>
      </c>
      <c r="U197" s="123">
        <f t="shared" si="60"/>
        <v>0.3</v>
      </c>
      <c r="V197" s="123">
        <f t="shared" si="60"/>
        <v>0.3</v>
      </c>
      <c r="W197" s="123">
        <f t="shared" si="60"/>
        <v>0.3</v>
      </c>
      <c r="X197" s="123">
        <f t="shared" si="60"/>
        <v>0.3</v>
      </c>
      <c r="Y197" s="123">
        <f t="shared" si="60"/>
        <v>0.3</v>
      </c>
      <c r="Z197" s="123">
        <f t="shared" si="60"/>
        <v>0.3</v>
      </c>
      <c r="AA197" s="123">
        <f t="shared" si="60"/>
        <v>0.3</v>
      </c>
      <c r="AB197" s="123">
        <f t="shared" si="60"/>
        <v>0.3</v>
      </c>
      <c r="AC197" s="123">
        <f t="shared" si="60"/>
        <v>0.3</v>
      </c>
      <c r="AD197" s="123">
        <f t="shared" si="60"/>
        <v>0.3</v>
      </c>
      <c r="AE197" s="123">
        <f t="shared" si="60"/>
        <v>0.3</v>
      </c>
      <c r="AF197" s="123">
        <f t="shared" si="6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8"/>
        <v>0.4</v>
      </c>
      <c r="C198" s="123">
        <v>0.4</v>
      </c>
      <c r="D198" s="123">
        <f t="shared" si="59"/>
        <v>0.4</v>
      </c>
      <c r="E198" s="123">
        <f t="shared" si="59"/>
        <v>0.4</v>
      </c>
      <c r="F198" s="123">
        <f t="shared" si="59"/>
        <v>0.4</v>
      </c>
      <c r="G198" s="123">
        <f t="shared" si="59"/>
        <v>0.4</v>
      </c>
      <c r="H198" s="123">
        <f t="shared" si="59"/>
        <v>0.4</v>
      </c>
      <c r="I198" s="123">
        <f t="shared" si="59"/>
        <v>0.4</v>
      </c>
      <c r="J198" s="123">
        <f t="shared" si="59"/>
        <v>0.4</v>
      </c>
      <c r="K198" s="123">
        <f t="shared" si="59"/>
        <v>0.4</v>
      </c>
      <c r="L198" s="123">
        <f t="shared" si="59"/>
        <v>0.4</v>
      </c>
      <c r="M198" s="123">
        <f t="shared" si="59"/>
        <v>0.4</v>
      </c>
      <c r="N198" s="123">
        <f t="shared" si="59"/>
        <v>0.4</v>
      </c>
      <c r="O198" s="123">
        <f t="shared" si="59"/>
        <v>0.4</v>
      </c>
      <c r="P198" s="123">
        <f t="shared" si="59"/>
        <v>0.4</v>
      </c>
      <c r="Q198" s="123">
        <f t="shared" si="59"/>
        <v>0.4</v>
      </c>
      <c r="R198" s="123">
        <f t="shared" si="59"/>
        <v>0.4</v>
      </c>
      <c r="S198" s="123">
        <f t="shared" si="59"/>
        <v>0.4</v>
      </c>
      <c r="T198" s="123">
        <f t="shared" si="60"/>
        <v>0.4</v>
      </c>
      <c r="U198" s="123">
        <f t="shared" si="60"/>
        <v>0.4</v>
      </c>
      <c r="V198" s="123">
        <f t="shared" si="60"/>
        <v>0.4</v>
      </c>
      <c r="W198" s="123">
        <f t="shared" si="60"/>
        <v>0.4</v>
      </c>
      <c r="X198" s="123">
        <f t="shared" si="60"/>
        <v>0.4</v>
      </c>
      <c r="Y198" s="123">
        <f t="shared" si="60"/>
        <v>0.4</v>
      </c>
      <c r="Z198" s="123">
        <f t="shared" si="60"/>
        <v>0.4</v>
      </c>
      <c r="AA198" s="123">
        <f t="shared" si="60"/>
        <v>0.4</v>
      </c>
      <c r="AB198" s="123">
        <f t="shared" si="60"/>
        <v>0.4</v>
      </c>
      <c r="AC198" s="123">
        <f t="shared" si="60"/>
        <v>0.4</v>
      </c>
      <c r="AD198" s="123">
        <f t="shared" si="60"/>
        <v>0.4</v>
      </c>
      <c r="AE198" s="123">
        <f t="shared" si="60"/>
        <v>0.4</v>
      </c>
      <c r="AF198" s="123">
        <f t="shared" si="6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8"/>
        <v>0.64</v>
      </c>
      <c r="C199" s="133">
        <v>0.64</v>
      </c>
      <c r="D199" s="133">
        <f t="shared" si="59"/>
        <v>0.64</v>
      </c>
      <c r="E199" s="133">
        <f t="shared" si="59"/>
        <v>0.64</v>
      </c>
      <c r="F199" s="133">
        <f t="shared" si="59"/>
        <v>0.64</v>
      </c>
      <c r="G199" s="133">
        <f t="shared" si="59"/>
        <v>0.64</v>
      </c>
      <c r="H199" s="133">
        <f t="shared" si="59"/>
        <v>0.64</v>
      </c>
      <c r="I199" s="133">
        <f t="shared" si="59"/>
        <v>0.64</v>
      </c>
      <c r="J199" s="133">
        <f t="shared" si="59"/>
        <v>0.64</v>
      </c>
      <c r="K199" s="133">
        <f t="shared" si="59"/>
        <v>0.64</v>
      </c>
      <c r="L199" s="133">
        <f t="shared" si="59"/>
        <v>0.64</v>
      </c>
      <c r="M199" s="133">
        <f t="shared" si="59"/>
        <v>0.64</v>
      </c>
      <c r="N199" s="133">
        <f t="shared" si="59"/>
        <v>0.64</v>
      </c>
      <c r="O199" s="133">
        <f t="shared" si="59"/>
        <v>0.64</v>
      </c>
      <c r="P199" s="133">
        <f t="shared" si="59"/>
        <v>0.64</v>
      </c>
      <c r="Q199" s="133">
        <f t="shared" si="59"/>
        <v>0.64</v>
      </c>
      <c r="R199" s="133">
        <f t="shared" si="59"/>
        <v>0.64</v>
      </c>
      <c r="S199" s="133">
        <f t="shared" si="59"/>
        <v>0.64</v>
      </c>
      <c r="T199" s="133">
        <f t="shared" si="60"/>
        <v>0.64</v>
      </c>
      <c r="U199" s="133">
        <f t="shared" si="60"/>
        <v>0.64</v>
      </c>
      <c r="V199" s="133">
        <f t="shared" si="60"/>
        <v>0.64</v>
      </c>
      <c r="W199" s="133">
        <f t="shared" si="60"/>
        <v>0.64</v>
      </c>
      <c r="X199" s="133">
        <f t="shared" si="60"/>
        <v>0.64</v>
      </c>
      <c r="Y199" s="133">
        <f t="shared" si="60"/>
        <v>0.64</v>
      </c>
      <c r="Z199" s="133">
        <f t="shared" si="60"/>
        <v>0.64</v>
      </c>
      <c r="AA199" s="133">
        <f t="shared" si="60"/>
        <v>0.64</v>
      </c>
      <c r="AB199" s="133">
        <f t="shared" si="60"/>
        <v>0.64</v>
      </c>
      <c r="AC199" s="133">
        <f t="shared" si="60"/>
        <v>0.64</v>
      </c>
      <c r="AD199" s="133">
        <f t="shared" si="60"/>
        <v>0.64</v>
      </c>
      <c r="AE199" s="133">
        <f t="shared" si="60"/>
        <v>0.64</v>
      </c>
      <c r="AF199" s="133">
        <f t="shared" si="6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1">SUM(D194:D199)</f>
        <v>3.54</v>
      </c>
      <c r="E200" s="136">
        <f t="shared" si="61"/>
        <v>3.54</v>
      </c>
      <c r="F200" s="136">
        <f t="shared" si="61"/>
        <v>3.54</v>
      </c>
      <c r="G200" s="136">
        <f t="shared" si="61"/>
        <v>3.54</v>
      </c>
      <c r="H200" s="136">
        <f t="shared" si="61"/>
        <v>3.54</v>
      </c>
      <c r="I200" s="136">
        <f t="shared" si="61"/>
        <v>3.54</v>
      </c>
      <c r="J200" s="136">
        <f t="shared" si="61"/>
        <v>3.54</v>
      </c>
      <c r="K200" s="136">
        <f t="shared" si="61"/>
        <v>3.54</v>
      </c>
      <c r="L200" s="136">
        <f t="shared" si="61"/>
        <v>3.54</v>
      </c>
      <c r="M200" s="136">
        <f>SUM(M194:M199)</f>
        <v>3.54</v>
      </c>
      <c r="N200" s="136">
        <f t="shared" ref="N200:S200" si="62">SUM(N194:N199)</f>
        <v>3.54</v>
      </c>
      <c r="O200" s="136">
        <f t="shared" si="62"/>
        <v>3.54</v>
      </c>
      <c r="P200" s="136">
        <f t="shared" si="62"/>
        <v>3.54</v>
      </c>
      <c r="Q200" s="136">
        <f t="shared" si="62"/>
        <v>3.54</v>
      </c>
      <c r="R200" s="136">
        <f t="shared" si="62"/>
        <v>3.54</v>
      </c>
      <c r="S200" s="136">
        <f t="shared" si="62"/>
        <v>3.54</v>
      </c>
      <c r="T200" s="136">
        <f>SUM(T194:T199)</f>
        <v>3.54</v>
      </c>
      <c r="U200" s="136">
        <f t="shared" ref="U200:AG200" si="63">SUM(U194:U199)</f>
        <v>3.54</v>
      </c>
      <c r="V200" s="136">
        <f t="shared" si="63"/>
        <v>3.54</v>
      </c>
      <c r="W200" s="136">
        <f t="shared" si="63"/>
        <v>3.54</v>
      </c>
      <c r="X200" s="136">
        <f t="shared" si="63"/>
        <v>3.54</v>
      </c>
      <c r="Y200" s="136">
        <f t="shared" si="63"/>
        <v>3.54</v>
      </c>
      <c r="Z200" s="136">
        <f t="shared" si="63"/>
        <v>3.54</v>
      </c>
      <c r="AA200" s="136">
        <f t="shared" si="63"/>
        <v>3.54</v>
      </c>
      <c r="AB200" s="136">
        <f t="shared" si="63"/>
        <v>3.54</v>
      </c>
      <c r="AC200" s="136">
        <f t="shared" si="63"/>
        <v>3.54</v>
      </c>
      <c r="AD200" s="136">
        <f t="shared" si="63"/>
        <v>3.54</v>
      </c>
      <c r="AE200" s="136">
        <f t="shared" si="63"/>
        <v>3.54</v>
      </c>
      <c r="AF200" s="136">
        <f t="shared" si="63"/>
        <v>3.54</v>
      </c>
      <c r="AG200" s="137">
        <f t="shared" si="6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1365.7400000000002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22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2079/02/22)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2079/02/22)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4">B75</f>
        <v>1308.1400000000001</v>
      </c>
      <c r="U214" s="161">
        <f t="shared" si="64"/>
        <v>1310.74</v>
      </c>
      <c r="V214" s="161">
        <f t="shared" si="64"/>
        <v>1270.04</v>
      </c>
      <c r="W214" s="161">
        <f t="shared" si="64"/>
        <v>1233.94</v>
      </c>
      <c r="X214" s="161">
        <f t="shared" si="64"/>
        <v>1220.74</v>
      </c>
      <c r="Y214" s="161">
        <f t="shared" si="64"/>
        <v>1201.24</v>
      </c>
      <c r="Z214" s="161">
        <f t="shared" si="64"/>
        <v>1194.1400000000001</v>
      </c>
      <c r="AA214" s="161">
        <f t="shared" si="64"/>
        <v>1202.24</v>
      </c>
      <c r="AB214" s="161">
        <f t="shared" si="64"/>
        <v>1255.44</v>
      </c>
      <c r="AC214" s="161">
        <f t="shared" si="64"/>
        <v>1275.44</v>
      </c>
      <c r="AD214" s="161">
        <f t="shared" si="64"/>
        <v>1334.54</v>
      </c>
      <c r="AE214" s="161">
        <f t="shared" si="64"/>
        <v>1364.44</v>
      </c>
      <c r="AF214" s="161">
        <f t="shared" si="64"/>
        <v>1365.7400000000002</v>
      </c>
      <c r="AG214" s="161">
        <f t="shared" si="64"/>
        <v>1332.64</v>
      </c>
      <c r="AH214" s="161">
        <f t="shared" si="64"/>
        <v>1387.6399999999999</v>
      </c>
      <c r="AI214" s="161">
        <f t="shared" si="64"/>
        <v>1415.04</v>
      </c>
      <c r="AJ214" s="161">
        <f t="shared" si="64"/>
        <v>1386.94</v>
      </c>
      <c r="AK214" s="161">
        <f t="shared" si="64"/>
        <v>1391.04</v>
      </c>
      <c r="AL214" s="161">
        <f t="shared" si="64"/>
        <v>1393.44</v>
      </c>
      <c r="AM214" s="161">
        <f t="shared" si="64"/>
        <v>1386.74</v>
      </c>
      <c r="AN214" s="161">
        <f t="shared" si="64"/>
        <v>1365.24</v>
      </c>
      <c r="AO214" s="161">
        <f t="shared" si="64"/>
        <v>1383.8400000000001</v>
      </c>
      <c r="AP214" s="161">
        <f t="shared" si="64"/>
        <v>1364.8400000000001</v>
      </c>
      <c r="AQ214" s="161">
        <f t="shared" si="64"/>
        <v>1385.3400000000001</v>
      </c>
      <c r="AR214" s="161">
        <f t="shared" si="64"/>
        <v>1504.9099999999999</v>
      </c>
      <c r="AS214" s="161">
        <f t="shared" si="64"/>
        <v>1581.84</v>
      </c>
      <c r="AT214" s="161">
        <f t="shared" si="64"/>
        <v>1511.54</v>
      </c>
      <c r="AU214" s="161">
        <f t="shared" si="64"/>
        <v>1512.58</v>
      </c>
      <c r="AV214" s="161">
        <f t="shared" si="64"/>
        <v>1514.9399999999998</v>
      </c>
      <c r="AW214" s="161">
        <f t="shared" si="64"/>
        <v>1444.2399999999998</v>
      </c>
      <c r="AX214" s="161">
        <f t="shared" si="64"/>
        <v>1370.3400000000001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5">C199</f>
        <v>0.64</v>
      </c>
      <c r="C235" s="164">
        <f t="shared" si="65"/>
        <v>0.64</v>
      </c>
      <c r="D235" s="164">
        <f t="shared" si="65"/>
        <v>0.64</v>
      </c>
      <c r="E235" s="164">
        <f t="shared" si="65"/>
        <v>0.64</v>
      </c>
      <c r="F235" s="164">
        <f t="shared" si="65"/>
        <v>0.64</v>
      </c>
      <c r="G235" s="164">
        <f t="shared" si="65"/>
        <v>0.64</v>
      </c>
      <c r="H235" s="164">
        <f t="shared" si="65"/>
        <v>0.64</v>
      </c>
      <c r="I235" s="164">
        <f t="shared" si="65"/>
        <v>0.64</v>
      </c>
      <c r="J235" s="164">
        <f t="shared" si="65"/>
        <v>0.64</v>
      </c>
      <c r="K235" s="164">
        <f t="shared" si="65"/>
        <v>0.64</v>
      </c>
      <c r="L235" s="164">
        <f t="shared" si="65"/>
        <v>0.64</v>
      </c>
      <c r="M235" s="164">
        <f t="shared" si="65"/>
        <v>0.64</v>
      </c>
      <c r="N235" s="164">
        <f t="shared" si="65"/>
        <v>0.64</v>
      </c>
      <c r="O235" s="164">
        <f t="shared" si="65"/>
        <v>0.64</v>
      </c>
      <c r="P235" s="164">
        <f t="shared" si="65"/>
        <v>0.64</v>
      </c>
      <c r="Q235" s="164">
        <f t="shared" si="65"/>
        <v>0.64</v>
      </c>
      <c r="R235" s="164">
        <f t="shared" si="65"/>
        <v>0.64</v>
      </c>
      <c r="S235" s="164">
        <f t="shared" si="65"/>
        <v>0.64</v>
      </c>
      <c r="T235" s="164">
        <f t="shared" si="65"/>
        <v>0.64</v>
      </c>
      <c r="U235" s="164">
        <f t="shared" si="65"/>
        <v>0.64</v>
      </c>
      <c r="V235" s="164">
        <f t="shared" si="65"/>
        <v>0.64</v>
      </c>
      <c r="W235" s="164">
        <f t="shared" si="65"/>
        <v>0.64</v>
      </c>
      <c r="X235" s="164">
        <f t="shared" si="65"/>
        <v>0.64</v>
      </c>
      <c r="Y235" s="164">
        <f t="shared" si="65"/>
        <v>0.64</v>
      </c>
      <c r="Z235" s="164">
        <f t="shared" si="65"/>
        <v>0.64</v>
      </c>
      <c r="AA235" s="164">
        <f t="shared" si="65"/>
        <v>0.64</v>
      </c>
      <c r="AB235" s="164">
        <f t="shared" si="65"/>
        <v>0.64</v>
      </c>
      <c r="AC235" s="164">
        <f t="shared" si="65"/>
        <v>0.64</v>
      </c>
      <c r="AD235" s="164">
        <f t="shared" si="65"/>
        <v>0.64</v>
      </c>
      <c r="AE235" s="164">
        <f t="shared" si="6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6">IF(C203&lt;100,"",C203-520)</f>
        <v/>
      </c>
      <c r="D236" s="107" t="str">
        <f t="shared" si="66"/>
        <v/>
      </c>
      <c r="E236" s="107" t="str">
        <f t="shared" si="66"/>
        <v/>
      </c>
      <c r="F236" s="107" t="str">
        <f t="shared" si="66"/>
        <v/>
      </c>
      <c r="G236" s="107" t="str">
        <f t="shared" si="66"/>
        <v/>
      </c>
      <c r="H236" s="107" t="str">
        <f t="shared" si="66"/>
        <v/>
      </c>
      <c r="I236" s="107" t="str">
        <f t="shared" si="66"/>
        <v/>
      </c>
      <c r="J236" s="107" t="str">
        <f t="shared" si="66"/>
        <v/>
      </c>
      <c r="K236" s="107" t="str">
        <f t="shared" si="66"/>
        <v/>
      </c>
      <c r="L236" s="107" t="str">
        <f t="shared" si="66"/>
        <v/>
      </c>
      <c r="M236" s="107" t="str">
        <f t="shared" si="66"/>
        <v/>
      </c>
      <c r="N236" s="107" t="str">
        <f t="shared" si="66"/>
        <v/>
      </c>
      <c r="O236" s="107" t="str">
        <f t="shared" si="66"/>
        <v/>
      </c>
      <c r="P236" s="107" t="str">
        <f t="shared" si="66"/>
        <v/>
      </c>
      <c r="Q236" s="107" t="str">
        <f t="shared" si="66"/>
        <v/>
      </c>
      <c r="R236" s="107" t="str">
        <f t="shared" si="66"/>
        <v/>
      </c>
      <c r="S236" s="107" t="str">
        <f t="shared" si="66"/>
        <v/>
      </c>
      <c r="T236" s="107" t="str">
        <f t="shared" si="66"/>
        <v/>
      </c>
      <c r="U236" s="107" t="str">
        <f t="shared" si="66"/>
        <v/>
      </c>
      <c r="V236" s="107" t="str">
        <f t="shared" si="66"/>
        <v/>
      </c>
      <c r="W236" s="107" t="str">
        <f t="shared" si="66"/>
        <v/>
      </c>
      <c r="X236" s="107" t="str">
        <f t="shared" si="66"/>
        <v/>
      </c>
      <c r="Y236" s="107" t="str">
        <f t="shared" si="66"/>
        <v/>
      </c>
      <c r="Z236" s="107" t="str">
        <f t="shared" si="66"/>
        <v/>
      </c>
      <c r="AA236" s="107" t="str">
        <f t="shared" si="66"/>
        <v/>
      </c>
      <c r="AB236" s="107" t="str">
        <f t="shared" si="66"/>
        <v/>
      </c>
      <c r="AC236" s="107" t="str">
        <f t="shared" si="66"/>
        <v/>
      </c>
      <c r="AD236" s="107" t="str">
        <f t="shared" si="66"/>
        <v/>
      </c>
      <c r="AE236" s="107" t="str">
        <f t="shared" si="66"/>
        <v/>
      </c>
      <c r="AF236" s="107" t="str">
        <f t="shared" si="6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7">IF(B204&lt;100,"",B204-620)</f>
        <v/>
      </c>
      <c r="C237" s="107" t="str">
        <f t="shared" si="67"/>
        <v/>
      </c>
      <c r="D237" s="107" t="str">
        <f t="shared" si="67"/>
        <v/>
      </c>
      <c r="E237" s="107" t="str">
        <f t="shared" si="67"/>
        <v/>
      </c>
      <c r="F237" s="107" t="str">
        <f t="shared" si="67"/>
        <v/>
      </c>
      <c r="G237" s="107" t="str">
        <f t="shared" si="67"/>
        <v/>
      </c>
      <c r="H237" s="107" t="str">
        <f t="shared" si="67"/>
        <v/>
      </c>
      <c r="I237" s="107" t="str">
        <f t="shared" si="67"/>
        <v/>
      </c>
      <c r="J237" s="107" t="str">
        <f t="shared" si="67"/>
        <v/>
      </c>
      <c r="K237" s="107" t="str">
        <f t="shared" si="67"/>
        <v/>
      </c>
      <c r="L237" s="107" t="str">
        <f t="shared" si="67"/>
        <v/>
      </c>
      <c r="M237" s="107" t="str">
        <f t="shared" si="67"/>
        <v/>
      </c>
      <c r="N237" s="107" t="str">
        <f t="shared" si="67"/>
        <v/>
      </c>
      <c r="O237" s="107" t="str">
        <f t="shared" si="67"/>
        <v/>
      </c>
      <c r="P237" s="107" t="str">
        <f t="shared" si="67"/>
        <v/>
      </c>
      <c r="Q237" s="107" t="str">
        <f t="shared" si="67"/>
        <v/>
      </c>
      <c r="R237" s="107" t="str">
        <f t="shared" si="67"/>
        <v/>
      </c>
      <c r="S237" s="107" t="str">
        <f t="shared" si="67"/>
        <v/>
      </c>
      <c r="T237" s="107" t="str">
        <f t="shared" si="67"/>
        <v/>
      </c>
      <c r="U237" s="107" t="str">
        <f t="shared" si="67"/>
        <v/>
      </c>
      <c r="V237" s="107" t="str">
        <f t="shared" si="67"/>
        <v/>
      </c>
      <c r="W237" s="107" t="str">
        <f t="shared" si="67"/>
        <v/>
      </c>
      <c r="X237" s="107" t="str">
        <f t="shared" si="67"/>
        <v/>
      </c>
      <c r="Y237" s="107" t="str">
        <f t="shared" si="67"/>
        <v/>
      </c>
      <c r="Z237" s="107" t="str">
        <f t="shared" si="67"/>
        <v/>
      </c>
      <c r="AA237" s="107" t="str">
        <f t="shared" si="67"/>
        <v/>
      </c>
      <c r="AB237" s="107" t="str">
        <f t="shared" si="67"/>
        <v/>
      </c>
      <c r="AC237" s="107" t="str">
        <f t="shared" si="67"/>
        <v/>
      </c>
      <c r="AD237" s="107" t="str">
        <f t="shared" si="67"/>
        <v/>
      </c>
      <c r="AE237" s="107" t="str">
        <f t="shared" si="67"/>
        <v/>
      </c>
      <c r="AF237" s="107" t="str">
        <f t="shared" si="6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8">IF(B205&lt;100,"",B205-330)</f>
        <v/>
      </c>
      <c r="C238" s="107" t="str">
        <f t="shared" si="68"/>
        <v/>
      </c>
      <c r="D238" s="107" t="str">
        <f t="shared" si="68"/>
        <v/>
      </c>
      <c r="E238" s="107" t="str">
        <f t="shared" si="68"/>
        <v/>
      </c>
      <c r="F238" s="107" t="str">
        <f t="shared" si="68"/>
        <v/>
      </c>
      <c r="G238" s="107" t="str">
        <f t="shared" si="68"/>
        <v/>
      </c>
      <c r="H238" s="107" t="str">
        <f t="shared" si="68"/>
        <v/>
      </c>
      <c r="I238" s="107" t="str">
        <f t="shared" si="68"/>
        <v/>
      </c>
      <c r="J238" s="107" t="str">
        <f t="shared" si="68"/>
        <v/>
      </c>
      <c r="K238" s="107" t="str">
        <f t="shared" si="68"/>
        <v/>
      </c>
      <c r="L238" s="107" t="str">
        <f t="shared" si="68"/>
        <v/>
      </c>
      <c r="M238" s="107" t="str">
        <f t="shared" si="68"/>
        <v/>
      </c>
      <c r="N238" s="107" t="str">
        <f t="shared" si="68"/>
        <v/>
      </c>
      <c r="O238" s="107" t="str">
        <f t="shared" si="68"/>
        <v/>
      </c>
      <c r="P238" s="107" t="str">
        <f t="shared" si="68"/>
        <v/>
      </c>
      <c r="Q238" s="107" t="str">
        <f t="shared" si="68"/>
        <v/>
      </c>
      <c r="R238" s="107" t="str">
        <f t="shared" si="68"/>
        <v/>
      </c>
      <c r="S238" s="107" t="str">
        <f t="shared" si="68"/>
        <v/>
      </c>
      <c r="T238" s="107" t="str">
        <f t="shared" si="68"/>
        <v/>
      </c>
      <c r="U238" s="107" t="str">
        <f t="shared" si="68"/>
        <v/>
      </c>
      <c r="V238" s="107" t="str">
        <f t="shared" si="68"/>
        <v/>
      </c>
      <c r="W238" s="107" t="str">
        <f t="shared" si="68"/>
        <v/>
      </c>
      <c r="X238" s="107" t="str">
        <f t="shared" si="68"/>
        <v/>
      </c>
      <c r="Y238" s="107" t="str">
        <f t="shared" si="68"/>
        <v/>
      </c>
      <c r="Z238" s="107" t="str">
        <f t="shared" si="68"/>
        <v/>
      </c>
      <c r="AA238" s="107" t="str">
        <f t="shared" si="68"/>
        <v/>
      </c>
      <c r="AB238" s="107" t="str">
        <f t="shared" si="68"/>
        <v/>
      </c>
      <c r="AC238" s="107" t="str">
        <f t="shared" si="68"/>
        <v/>
      </c>
      <c r="AD238" s="107" t="str">
        <f t="shared" si="68"/>
        <v/>
      </c>
      <c r="AE238" s="107" t="str">
        <f t="shared" si="68"/>
        <v/>
      </c>
      <c r="AF238" s="107" t="str">
        <f t="shared" si="6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9">IF(C206&lt;100,"",C206-1500)</f>
        <v/>
      </c>
      <c r="D239" s="107" t="str">
        <f t="shared" si="69"/>
        <v/>
      </c>
      <c r="E239" s="107" t="str">
        <f t="shared" si="69"/>
        <v/>
      </c>
      <c r="F239" s="107" t="str">
        <f t="shared" si="69"/>
        <v/>
      </c>
      <c r="G239" s="107" t="str">
        <f t="shared" si="69"/>
        <v/>
      </c>
      <c r="H239" s="107" t="str">
        <f t="shared" si="69"/>
        <v/>
      </c>
      <c r="I239" s="107" t="str">
        <f t="shared" si="69"/>
        <v/>
      </c>
      <c r="J239" s="107" t="str">
        <f t="shared" si="69"/>
        <v/>
      </c>
      <c r="K239" s="107" t="str">
        <f t="shared" si="69"/>
        <v/>
      </c>
      <c r="L239" s="107" t="str">
        <f t="shared" si="69"/>
        <v/>
      </c>
      <c r="M239" s="107" t="str">
        <f t="shared" si="69"/>
        <v/>
      </c>
      <c r="N239" s="107" t="str">
        <f t="shared" si="69"/>
        <v/>
      </c>
      <c r="O239" s="107" t="str">
        <f t="shared" si="69"/>
        <v/>
      </c>
      <c r="P239" s="107" t="str">
        <f t="shared" si="69"/>
        <v/>
      </c>
      <c r="Q239" s="107" t="str">
        <f t="shared" si="69"/>
        <v/>
      </c>
      <c r="R239" s="107" t="str">
        <f t="shared" si="69"/>
        <v/>
      </c>
      <c r="S239" s="107" t="str">
        <f t="shared" si="69"/>
        <v/>
      </c>
      <c r="T239" s="107" t="str">
        <f t="shared" si="69"/>
        <v/>
      </c>
      <c r="U239" s="107" t="str">
        <f t="shared" si="69"/>
        <v/>
      </c>
      <c r="V239" s="107" t="str">
        <f t="shared" si="69"/>
        <v/>
      </c>
      <c r="W239" s="107" t="str">
        <f t="shared" si="69"/>
        <v/>
      </c>
      <c r="X239" s="107" t="str">
        <f t="shared" si="69"/>
        <v/>
      </c>
      <c r="Y239" s="107" t="str">
        <f t="shared" si="69"/>
        <v/>
      </c>
      <c r="Z239" s="107" t="str">
        <f t="shared" si="69"/>
        <v/>
      </c>
      <c r="AA239" s="107" t="str">
        <f t="shared" si="69"/>
        <v/>
      </c>
      <c r="AB239" s="107" t="str">
        <f t="shared" si="69"/>
        <v/>
      </c>
      <c r="AC239" s="107" t="str">
        <f t="shared" si="69"/>
        <v/>
      </c>
      <c r="AD239" s="107" t="str">
        <f t="shared" si="69"/>
        <v/>
      </c>
      <c r="AE239" s="107" t="str">
        <f t="shared" si="69"/>
        <v/>
      </c>
      <c r="AF239" s="107" t="str">
        <f t="shared" si="6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014" priority="269">
      <formula>B$9&gt;=20/24</formula>
    </cfRule>
    <cfRule type="expression" dxfId="2013" priority="270">
      <formula>AND(B$9&gt;=14/24,B$9&lt;20/24)</formula>
    </cfRule>
    <cfRule type="expression" dxfId="2012" priority="271">
      <formula>AND(B$9&gt;=8/24,B$9&lt;14/24)</formula>
    </cfRule>
    <cfRule type="expression" dxfId="2011" priority="272">
      <formula>B$9&lt;8/24</formula>
    </cfRule>
  </conditionalFormatting>
  <conditionalFormatting sqref="AL4:AL6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010" priority="264">
      <formula>S$9&gt;=20/24</formula>
    </cfRule>
    <cfRule type="expression" dxfId="2009" priority="265">
      <formula>AND(S$9&gt;=14/24,S$9&lt;20/24)</formula>
    </cfRule>
    <cfRule type="expression" dxfId="2008" priority="266">
      <formula>AND(S$9&gt;=8/24,S$9&lt;14/24)</formula>
    </cfRule>
    <cfRule type="expression" dxfId="2007" priority="267">
      <formula>S$9&lt;8/24</formula>
    </cfRule>
  </conditionalFormatting>
  <conditionalFormatting sqref="AG51 S37:AF37 J11:AF11">
    <cfRule type="expression" dxfId="2006" priority="263">
      <formula>J11&gt;$AG11</formula>
    </cfRule>
  </conditionalFormatting>
  <conditionalFormatting sqref="A101:A157 A84:A97 A11:A14 A16:A32 A45:A72 A80:A82 A74:A78 A35:A43 A170:A200">
    <cfRule type="expression" dxfId="2005" priority="262">
      <formula>$AH11=0</formula>
    </cfRule>
  </conditionalFormatting>
  <conditionalFormatting sqref="A98">
    <cfRule type="expression" dxfId="2004" priority="261">
      <formula>$AH98=0</formula>
    </cfRule>
  </conditionalFormatting>
  <conditionalFormatting sqref="AL3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003" priority="259">
      <formula>$AH34=0</formula>
    </cfRule>
  </conditionalFormatting>
  <conditionalFormatting sqref="A83">
    <cfRule type="expression" dxfId="2002" priority="258">
      <formula>$AH83=0</formula>
    </cfRule>
  </conditionalFormatting>
  <conditionalFormatting sqref="A15">
    <cfRule type="expression" dxfId="2001" priority="257">
      <formula>$AH15=0</formula>
    </cfRule>
  </conditionalFormatting>
  <conditionalFormatting sqref="A164:A169">
    <cfRule type="expression" dxfId="2000" priority="256">
      <formula>$AH164=0</formula>
    </cfRule>
  </conditionalFormatting>
  <conditionalFormatting sqref="A158:A163">
    <cfRule type="expression" dxfId="1999" priority="255">
      <formula>$AH158=0</formula>
    </cfRule>
  </conditionalFormatting>
  <conditionalFormatting sqref="A44">
    <cfRule type="expression" dxfId="1998" priority="254">
      <formula>$AH44=0</formula>
    </cfRule>
  </conditionalFormatting>
  <conditionalFormatting sqref="A79">
    <cfRule type="expression" dxfId="1997" priority="253">
      <formula>$AH79=0</formula>
    </cfRule>
  </conditionalFormatting>
  <conditionalFormatting sqref="A73">
    <cfRule type="expression" dxfId="1996" priority="252">
      <formula>$AH73=0</formula>
    </cfRule>
  </conditionalFormatting>
  <conditionalFormatting sqref="AL34:AL35 AL7:AL31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995" priority="248">
      <formula>C$9&gt;=20/24</formula>
    </cfRule>
    <cfRule type="expression" dxfId="1994" priority="249">
      <formula>AND(C$9&gt;=14/24,C$9&lt;20/24)</formula>
    </cfRule>
    <cfRule type="expression" dxfId="1993" priority="250">
      <formula>AND(C$9&gt;=8/24,C$9&lt;14/24)</formula>
    </cfRule>
    <cfRule type="expression" dxfId="1992" priority="251">
      <formula>C$9&lt;8/24</formula>
    </cfRule>
  </conditionalFormatting>
  <conditionalFormatting sqref="AL3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991" priority="276">
      <formula>C$9&gt;=20/24</formula>
    </cfRule>
    <cfRule type="expression" dxfId="1990" priority="277">
      <formula>AND(C$9&gt;=14/24,C$9&lt;20/24)</formula>
    </cfRule>
    <cfRule type="expression" dxfId="1989" priority="278">
      <formula>AND(C$9&gt;=8/24,C$9&lt;14/24)</formula>
    </cfRule>
    <cfRule type="expression" dxfId="1988" priority="279">
      <formula>C$9&lt;8/24</formula>
    </cfRule>
  </conditionalFormatting>
  <conditionalFormatting sqref="A201">
    <cfRule type="expression" dxfId="1987" priority="280">
      <formula>$AH201=0</formula>
    </cfRule>
  </conditionalFormatting>
  <conditionalFormatting sqref="AG213">
    <cfRule type="expression" dxfId="1986" priority="281">
      <formula>B$9&gt;=20/24</formula>
    </cfRule>
    <cfRule type="expression" dxfId="1985" priority="282">
      <formula>AND(B$9&gt;=14/24,B$9&lt;20/24)</formula>
    </cfRule>
    <cfRule type="expression" dxfId="1984" priority="283">
      <formula>AND(B$9&gt;=8/24,B$9&lt;14/24)</formula>
    </cfRule>
    <cfRule type="expression" dxfId="1983" priority="284">
      <formula>B$9&lt;8/24</formula>
    </cfRule>
  </conditionalFormatting>
  <conditionalFormatting sqref="S8">
    <cfRule type="expression" dxfId="1982" priority="242">
      <formula>U$9&gt;=20/24</formula>
    </cfRule>
    <cfRule type="expression" dxfId="1981" priority="243">
      <formula>AND(U$9&gt;=14/24,U$9&lt;20/24)</formula>
    </cfRule>
    <cfRule type="expression" dxfId="1980" priority="244">
      <formula>AND(U$9&gt;=8/24,U$9&lt;14/24)</formula>
    </cfRule>
    <cfRule type="expression" dxfId="1979" priority="245">
      <formula>U$9&lt;8/24</formula>
    </cfRule>
  </conditionalFormatting>
  <conditionalFormatting sqref="AB8">
    <cfRule type="expression" dxfId="1978" priority="238">
      <formula>AD$9&gt;=20/24</formula>
    </cfRule>
    <cfRule type="expression" dxfId="1977" priority="239">
      <formula>AND(AD$9&gt;=14/24,AD$9&lt;20/24)</formula>
    </cfRule>
    <cfRule type="expression" dxfId="1976" priority="240">
      <formula>AND(AD$9&gt;=8/24,AD$9&lt;14/24)</formula>
    </cfRule>
    <cfRule type="expression" dxfId="1975" priority="241">
      <formula>AD$9&lt;8/24</formula>
    </cfRule>
  </conditionalFormatting>
  <conditionalFormatting sqref="AH213:AX213">
    <cfRule type="expression" dxfId="1974" priority="285">
      <formula>AG$9&gt;=20/24</formula>
    </cfRule>
    <cfRule type="expression" dxfId="1973" priority="286">
      <formula>AND(AG$9&gt;=14/24,AG$9&lt;20/24)</formula>
    </cfRule>
    <cfRule type="expression" dxfId="1972" priority="287">
      <formula>AND(AG$9&gt;=8/24,AG$9&lt;14/24)</formula>
    </cfRule>
    <cfRule type="expression" dxfId="1971" priority="288">
      <formula>AG$9&lt;8/24</formula>
    </cfRule>
  </conditionalFormatting>
  <conditionalFormatting sqref="T213">
    <cfRule type="expression" dxfId="1970" priority="289">
      <formula>AX$9&gt;=20/24</formula>
    </cfRule>
    <cfRule type="expression" dxfId="1969" priority="290">
      <formula>AND(AX$9&gt;=14/24,AX$9&lt;20/24)</formula>
    </cfRule>
    <cfRule type="expression" dxfId="1968" priority="291">
      <formula>AND(AX$9&gt;=8/24,AX$9&lt;14/24)</formula>
    </cfRule>
    <cfRule type="expression" dxfId="1967" priority="292">
      <formula>AX$9&lt;8/24</formula>
    </cfRule>
  </conditionalFormatting>
  <conditionalFormatting sqref="A99:A100">
    <cfRule type="expression" dxfId="1966" priority="237">
      <formula>$AH99=0</formula>
    </cfRule>
  </conditionalFormatting>
  <conditionalFormatting sqref="S40:W41 E11:I11 Y40:AF41 P57:AF57">
    <cfRule type="expression" dxfId="1965" priority="233">
      <formula>E$9&gt;=20/24</formula>
    </cfRule>
    <cfRule type="expression" dxfId="1964" priority="234">
      <formula>AND(E$9&gt;=14/24,E$9&lt;20/24)</formula>
    </cfRule>
    <cfRule type="expression" dxfId="1963" priority="235">
      <formula>AND(E$9&gt;=8/24,E$9&lt;14/24)</formula>
    </cfRule>
    <cfRule type="expression" dxfId="1962" priority="236">
      <formula>E$9&lt;8/24</formula>
    </cfRule>
  </conditionalFormatting>
  <conditionalFormatting sqref="S39:W39 Y39:AF39">
    <cfRule type="expression" dxfId="1961" priority="229">
      <formula>S$9&gt;=20/24</formula>
    </cfRule>
    <cfRule type="expression" dxfId="1960" priority="230">
      <formula>AND(S$9&gt;=14/24,S$9&lt;20/24)</formula>
    </cfRule>
    <cfRule type="expression" dxfId="1959" priority="231">
      <formula>AND(S$9&gt;=8/24,S$9&lt;14/24)</formula>
    </cfRule>
    <cfRule type="expression" dxfId="1958" priority="232">
      <formula>S$9&lt;8/24</formula>
    </cfRule>
  </conditionalFormatting>
  <conditionalFormatting sqref="S39:W41 E11:I11 Y39:AF41">
    <cfRule type="expression" dxfId="1957" priority="228">
      <formula>E11&gt;$AG11</formula>
    </cfRule>
  </conditionalFormatting>
  <conditionalFormatting sqref="C83:AF83 C75:AF81 C68:AF73 P58:AA59 C56:AF56 R63:R67 C85:AF91 P60:R62 S60:AA67 E53:AF55 S12:AF14 AB58:AF67">
    <cfRule type="expression" dxfId="1956" priority="224">
      <formula>C$9&gt;=20/24</formula>
    </cfRule>
    <cfRule type="expression" dxfId="1955" priority="225">
      <formula>AND(C$9&gt;=14/24,C$9&lt;20/24)</formula>
    </cfRule>
    <cfRule type="expression" dxfId="1954" priority="226">
      <formula>AND(C$9&gt;=8/24,C$9&lt;14/24)</formula>
    </cfRule>
    <cfRule type="expression" dxfId="1953" priority="227">
      <formula>C$9&lt;8/24</formula>
    </cfRule>
  </conditionalFormatting>
  <conditionalFormatting sqref="C38:AF38 C51:AF52 C56:AF56 E37:R37 E53:AF55 S12:AF15">
    <cfRule type="expression" dxfId="1952" priority="215">
      <formula>C12&gt;$AG12</formula>
    </cfRule>
  </conditionalFormatting>
  <conditionalFormatting sqref="S15:AF15">
    <cfRule type="expression" dxfId="1951" priority="207">
      <formula>S$9&gt;=20/24</formula>
    </cfRule>
    <cfRule type="expression" dxfId="1950" priority="208">
      <formula>AND(S$9&gt;=14/24,S$9&lt;20/24)</formula>
    </cfRule>
    <cfRule type="expression" dxfId="1949" priority="209">
      <formula>AND(S$9&gt;=8/24,S$9&lt;14/24)</formula>
    </cfRule>
    <cfRule type="expression" dxfId="1948" priority="210">
      <formula>S$9&lt;8/24</formula>
    </cfRule>
  </conditionalFormatting>
  <conditionalFormatting sqref="S11">
    <cfRule type="expression" dxfId="1947" priority="198">
      <formula>S$9&gt;=20/24</formula>
    </cfRule>
    <cfRule type="expression" dxfId="1946" priority="199">
      <formula>AND(S$9&gt;=14/24,S$9&lt;20/24)</formula>
    </cfRule>
    <cfRule type="expression" dxfId="1945" priority="200">
      <formula>AND(S$9&gt;=8/24,S$9&lt;14/24)</formula>
    </cfRule>
    <cfRule type="expression" dxfId="1944" priority="201">
      <formula>S$9&lt;8/24</formula>
    </cfRule>
  </conditionalFormatting>
  <conditionalFormatting sqref="V42:AF43">
    <cfRule type="expression" dxfId="1943" priority="194">
      <formula>V$9&gt;=20/24</formula>
    </cfRule>
    <cfRule type="expression" dxfId="1942" priority="195">
      <formula>AND(V$9&gt;=14/24,V$9&lt;20/24)</formula>
    </cfRule>
    <cfRule type="expression" dxfId="1941" priority="196">
      <formula>AND(V$9&gt;=8/24,V$9&lt;14/24)</formula>
    </cfRule>
    <cfRule type="expression" dxfId="1940" priority="197">
      <formula>V$9&lt;8/24</formula>
    </cfRule>
  </conditionalFormatting>
  <conditionalFormatting sqref="V42:AF43">
    <cfRule type="expression" dxfId="1939" priority="193">
      <formula>V42&gt;$AG42</formula>
    </cfRule>
  </conditionalFormatting>
  <conditionalFormatting sqref="P39:R50 S42:U50 V44:AF50">
    <cfRule type="expression" dxfId="1938" priority="189">
      <formula>P$9&gt;=20/24</formula>
    </cfRule>
    <cfRule type="expression" dxfId="1937" priority="190">
      <formula>AND(P$9&gt;=14/24,P$9&lt;20/24)</formula>
    </cfRule>
    <cfRule type="expression" dxfId="1936" priority="191">
      <formula>AND(P$9&gt;=8/24,P$9&lt;14/24)</formula>
    </cfRule>
    <cfRule type="expression" dxfId="1935" priority="192">
      <formula>P$9&lt;8/24</formula>
    </cfRule>
  </conditionalFormatting>
  <conditionalFormatting sqref="P39:R50 S42:U50 V44:AF50">
    <cfRule type="expression" dxfId="1934" priority="188">
      <formula>P39&gt;$AG39</formula>
    </cfRule>
  </conditionalFormatting>
  <conditionalFormatting sqref="C74:I74 E16:AF16 E26:AF26">
    <cfRule type="expression" dxfId="1933" priority="180">
      <formula>C$9&gt;=20/24</formula>
    </cfRule>
    <cfRule type="expression" dxfId="1932" priority="181">
      <formula>AND(C$9&gt;=14/24,C$9&lt;20/24)</formula>
    </cfRule>
    <cfRule type="expression" dxfId="1931" priority="182">
      <formula>AND(C$9&gt;=8/24,C$9&lt;14/24)</formula>
    </cfRule>
    <cfRule type="expression" dxfId="1930" priority="183">
      <formula>C$9&lt;8/24</formula>
    </cfRule>
  </conditionalFormatting>
  <conditionalFormatting sqref="E16:AF16 E26:AF26">
    <cfRule type="expression" dxfId="1929" priority="171">
      <formula>E16&gt;$AG16</formula>
    </cfRule>
  </conditionalFormatting>
  <conditionalFormatting sqref="C40:O41">
    <cfRule type="expression" dxfId="1928" priority="154">
      <formula>C$9&gt;=20/24</formula>
    </cfRule>
    <cfRule type="expression" dxfId="1927" priority="155">
      <formula>AND(C$9&gt;=14/24,C$9&lt;20/24)</formula>
    </cfRule>
    <cfRule type="expression" dxfId="1926" priority="156">
      <formula>AND(C$9&gt;=8/24,C$9&lt;14/24)</formula>
    </cfRule>
    <cfRule type="expression" dxfId="1925" priority="157">
      <formula>C$9&lt;8/24</formula>
    </cfRule>
  </conditionalFormatting>
  <conditionalFormatting sqref="C39:O39">
    <cfRule type="expression" dxfId="1924" priority="150">
      <formula>C$9&gt;=20/24</formula>
    </cfRule>
    <cfRule type="expression" dxfId="1923" priority="151">
      <formula>AND(C$9&gt;=14/24,C$9&lt;20/24)</formula>
    </cfRule>
    <cfRule type="expression" dxfId="1922" priority="152">
      <formula>AND(C$9&gt;=8/24,C$9&lt;14/24)</formula>
    </cfRule>
    <cfRule type="expression" dxfId="1921" priority="153">
      <formula>C$9&lt;8/24</formula>
    </cfRule>
  </conditionalFormatting>
  <conditionalFormatting sqref="C39:O41">
    <cfRule type="expression" dxfId="1920" priority="149">
      <formula>C39&gt;$AG39</formula>
    </cfRule>
  </conditionalFormatting>
  <conditionalFormatting sqref="C42:O43">
    <cfRule type="expression" dxfId="1919" priority="144">
      <formula>C42&gt;$AG42</formula>
    </cfRule>
  </conditionalFormatting>
  <conditionalFormatting sqref="C44:O44">
    <cfRule type="expression" dxfId="1918" priority="140">
      <formula>C$9&gt;=20/24</formula>
    </cfRule>
    <cfRule type="expression" dxfId="1917" priority="141">
      <formula>AND(C$9&gt;=14/24,C$9&lt;20/24)</formula>
    </cfRule>
    <cfRule type="expression" dxfId="1916" priority="142">
      <formula>AND(C$9&gt;=8/24,C$9&lt;14/24)</formula>
    </cfRule>
    <cfRule type="expression" dxfId="1915" priority="143">
      <formula>C$9&lt;8/24</formula>
    </cfRule>
  </conditionalFormatting>
  <conditionalFormatting sqref="C44:O44">
    <cfRule type="expression" dxfId="1914" priority="139">
      <formula>C44&gt;$AG44</formula>
    </cfRule>
  </conditionalFormatting>
  <conditionalFormatting sqref="X40:X41">
    <cfRule type="expression" dxfId="1913" priority="135">
      <formula>X$9&gt;=20/24</formula>
    </cfRule>
    <cfRule type="expression" dxfId="1912" priority="136">
      <formula>AND(X$9&gt;=14/24,X$9&lt;20/24)</formula>
    </cfRule>
    <cfRule type="expression" dxfId="1911" priority="137">
      <formula>AND(X$9&gt;=8/24,X$9&lt;14/24)</formula>
    </cfRule>
    <cfRule type="expression" dxfId="1910" priority="138">
      <formula>X$9&lt;8/24</formula>
    </cfRule>
  </conditionalFormatting>
  <conditionalFormatting sqref="X39">
    <cfRule type="expression" dxfId="1909" priority="131">
      <formula>X$9&gt;=20/24</formula>
    </cfRule>
    <cfRule type="expression" dxfId="1908" priority="132">
      <formula>AND(X$9&gt;=14/24,X$9&lt;20/24)</formula>
    </cfRule>
    <cfRule type="expression" dxfId="1907" priority="133">
      <formula>AND(X$9&gt;=8/24,X$9&lt;14/24)</formula>
    </cfRule>
    <cfRule type="expression" dxfId="1906" priority="134">
      <formula>X$9&lt;8/24</formula>
    </cfRule>
  </conditionalFormatting>
  <conditionalFormatting sqref="X39:X41">
    <cfRule type="expression" dxfId="1905" priority="130">
      <formula>X39&gt;$AG39</formula>
    </cfRule>
  </conditionalFormatting>
  <conditionalFormatting sqref="B84">
    <cfRule type="expression" dxfId="1904" priority="55">
      <formula>B$9&gt;=20/24</formula>
    </cfRule>
    <cfRule type="expression" dxfId="1903" priority="56">
      <formula>AND(B$9&gt;=14/24,B$9&lt;20/24)</formula>
    </cfRule>
    <cfRule type="expression" dxfId="1902" priority="57">
      <formula>AND(B$9&gt;=8/24,B$9&lt;14/24)</formula>
    </cfRule>
    <cfRule type="expression" dxfId="1901" priority="58">
      <formula>B$9&lt;8/24</formula>
    </cfRule>
  </conditionalFormatting>
  <conditionalFormatting sqref="B83 B75:B81 B85:B91 B53:B56 B58:B73 C53:D55 B24:D26 B16:D16 C58:O67 P63:Q67 B12:R14 B18:AF22 E24:AF25 B28:AF31">
    <cfRule type="expression" dxfId="1900" priority="42">
      <formula>B$9&gt;=20/24</formula>
    </cfRule>
    <cfRule type="expression" dxfId="1899" priority="43">
      <formula>AND(B$9&gt;=14/24,B$9&lt;20/24)</formula>
    </cfRule>
    <cfRule type="expression" dxfId="1898" priority="44">
      <formula>AND(B$9&gt;=8/24,B$9&lt;14/24)</formula>
    </cfRule>
    <cfRule type="expression" dxfId="1897" priority="45">
      <formula>B$9&lt;8/24</formula>
    </cfRule>
  </conditionalFormatting>
  <conditionalFormatting sqref="B34:AF34">
    <cfRule type="expression" dxfId="1896" priority="29">
      <formula>B$9&gt;=20/24</formula>
    </cfRule>
    <cfRule type="expression" dxfId="1895" priority="30">
      <formula>AND(B$9&gt;=14/24,B$9&lt;20/24)</formula>
    </cfRule>
    <cfRule type="expression" dxfId="1894" priority="31">
      <formula>AND(B$9&gt;=8/24,B$9&lt;14/24)</formula>
    </cfRule>
    <cfRule type="expression" dxfId="1893" priority="32">
      <formula>B$9&lt;8/24</formula>
    </cfRule>
  </conditionalFormatting>
  <conditionalFormatting sqref="B42:B43">
    <cfRule type="expression" dxfId="1892" priority="16">
      <formula>B$9&gt;=20/24</formula>
    </cfRule>
    <cfRule type="expression" dxfId="1891" priority="17">
      <formula>AND(B$9&gt;=14/24,B$9&lt;20/24)</formula>
    </cfRule>
    <cfRule type="expression" dxfId="1890" priority="18">
      <formula>AND(B$9&gt;=8/24,B$9&lt;14/24)</formula>
    </cfRule>
    <cfRule type="expression" dxfId="1889" priority="19">
      <formula>B$9&lt;8/24</formula>
    </cfRule>
  </conditionalFormatting>
  <conditionalFormatting sqref="B42:B43">
    <cfRule type="expression" dxfId="1888" priority="15">
      <formula>B42&gt;$AG42</formula>
    </cfRule>
  </conditionalFormatting>
  <conditionalFormatting sqref="B44:B50 C45:O50">
    <cfRule type="expression" dxfId="1887" priority="11">
      <formula>B$9&gt;=20/24</formula>
    </cfRule>
    <cfRule type="expression" dxfId="1886" priority="12">
      <formula>AND(B$9&gt;=14/24,B$9&lt;20/24)</formula>
    </cfRule>
    <cfRule type="expression" dxfId="1885" priority="13">
      <formula>AND(B$9&gt;=8/24,B$9&lt;14/24)</formula>
    </cfRule>
    <cfRule type="expression" dxfId="1884" priority="14">
      <formula>B$9&lt;8/24</formula>
    </cfRule>
  </conditionalFormatting>
  <conditionalFormatting sqref="B44:B50 C45:O50">
    <cfRule type="expression" dxfId="1883" priority="10">
      <formula>B44&gt;$AG44</formula>
    </cfRule>
  </conditionalFormatting>
  <conditionalFormatting sqref="B27:AF27">
    <cfRule type="expression" dxfId="1882" priority="6">
      <formula>B$9&gt;=20/24</formula>
    </cfRule>
    <cfRule type="expression" dxfId="1881" priority="7">
      <formula>AND(B$9&gt;=14/24,B$9&lt;20/24)</formula>
    </cfRule>
    <cfRule type="expression" dxfId="1880" priority="8">
      <formula>AND(B$9&gt;=8/24,B$9&lt;14/24)</formula>
    </cfRule>
    <cfRule type="expression" dxfId="1879" priority="9">
      <formula>B$9&lt;8/24</formula>
    </cfRule>
  </conditionalFormatting>
  <conditionalFormatting sqref="B17:AF17 B23:AF23">
    <cfRule type="expression" dxfId="1878" priority="2">
      <formula>B$9&gt;=20/24</formula>
    </cfRule>
    <cfRule type="expression" dxfId="1877" priority="3">
      <formula>AND(B$9&gt;=14/24,B$9&lt;20/24)</formula>
    </cfRule>
    <cfRule type="expression" dxfId="1876" priority="4">
      <formula>AND(B$9&gt;=8/24,B$9&lt;14/24)</formula>
    </cfRule>
    <cfRule type="expression" dxfId="1875" priority="5">
      <formula>B$9&lt;8/24</formula>
    </cfRule>
  </conditionalFormatting>
  <conditionalFormatting sqref="B17:AF17 B23:AF23">
    <cfRule type="expression" dxfId="1874" priority="1">
      <formula>B17&gt;$AG17</formula>
    </cfRule>
  </conditionalFormatting>
  <conditionalFormatting sqref="B82 B74 B94:B100 B11:D11">
    <cfRule type="expression" dxfId="1873" priority="64">
      <formula>B$9&gt;=20/24</formula>
    </cfRule>
    <cfRule type="expression" dxfId="1872" priority="65">
      <formula>AND(B$9&gt;=14/24,B$9&lt;20/24)</formula>
    </cfRule>
    <cfRule type="expression" dxfId="1871" priority="66">
      <formula>AND(B$9&gt;=8/24,B$9&lt;14/24)</formula>
    </cfRule>
    <cfRule type="expression" dxfId="1870" priority="67">
      <formula>B$9&lt;8/24</formula>
    </cfRule>
  </conditionalFormatting>
  <conditionalFormatting sqref="B37:D37">
    <cfRule type="expression" dxfId="1869" priority="60">
      <formula>B$9&gt;=20/24</formula>
    </cfRule>
    <cfRule type="expression" dxfId="1868" priority="61">
      <formula>AND(B$9&gt;=14/24,B$9&lt;20/24)</formula>
    </cfRule>
    <cfRule type="expression" dxfId="1867" priority="62">
      <formula>AND(B$9&gt;=8/24,B$9&lt;14/24)</formula>
    </cfRule>
    <cfRule type="expression" dxfId="1866" priority="63">
      <formula>B$9&lt;8/24</formula>
    </cfRule>
  </conditionalFormatting>
  <conditionalFormatting sqref="B11:D11 B37:D37">
    <cfRule type="expression" dxfId="1865" priority="59">
      <formula>B11&gt;$AG11</formula>
    </cfRule>
  </conditionalFormatting>
  <conditionalFormatting sqref="B40:B41 B57:O57 B36:AF36">
    <cfRule type="expression" dxfId="1864" priority="51">
      <formula>B$9&gt;=20/24</formula>
    </cfRule>
    <cfRule type="expression" dxfId="1863" priority="52">
      <formula>AND(B$9&gt;=14/24,B$9&lt;20/24)</formula>
    </cfRule>
    <cfRule type="expression" dxfId="1862" priority="53">
      <formula>AND(B$9&gt;=8/24,B$9&lt;14/24)</formula>
    </cfRule>
    <cfRule type="expression" dxfId="1861" priority="54">
      <formula>B$9&lt;8/24</formula>
    </cfRule>
  </conditionalFormatting>
  <conditionalFormatting sqref="B39">
    <cfRule type="expression" dxfId="1860" priority="47">
      <formula>B$9&gt;=20/24</formula>
    </cfRule>
    <cfRule type="expression" dxfId="1859" priority="48">
      <formula>AND(B$9&gt;=14/24,B$9&lt;20/24)</formula>
    </cfRule>
    <cfRule type="expression" dxfId="1858" priority="49">
      <formula>AND(B$9&gt;=8/24,B$9&lt;14/24)</formula>
    </cfRule>
    <cfRule type="expression" dxfId="1857" priority="50">
      <formula>B$9&lt;8/24</formula>
    </cfRule>
  </conditionalFormatting>
  <conditionalFormatting sqref="B39:B41 B36:AF36">
    <cfRule type="expression" dxfId="1856" priority="46">
      <formula>B36&gt;$AG36</formula>
    </cfRule>
  </conditionalFormatting>
  <conditionalFormatting sqref="B32:AF32">
    <cfRule type="expression" dxfId="1855" priority="38">
      <formula>B$9&gt;=20/24</formula>
    </cfRule>
    <cfRule type="expression" dxfId="1854" priority="39">
      <formula>AND(B$9&gt;=14/24,B$9&lt;20/24)</formula>
    </cfRule>
    <cfRule type="expression" dxfId="1853" priority="40">
      <formula>AND(B$9&gt;=8/24,B$9&lt;14/24)</formula>
    </cfRule>
    <cfRule type="expression" dxfId="1852" priority="41">
      <formula>B$9&lt;8/24</formula>
    </cfRule>
  </conditionalFormatting>
  <conditionalFormatting sqref="B35:AF35">
    <cfRule type="expression" dxfId="1851" priority="34">
      <formula>B$9&gt;=20/24</formula>
    </cfRule>
    <cfRule type="expression" dxfId="1850" priority="35">
      <formula>AND(B$9&gt;=14/24,B$9&lt;20/24)</formula>
    </cfRule>
    <cfRule type="expression" dxfId="1849" priority="36">
      <formula>AND(B$9&gt;=8/24,B$9&lt;14/24)</formula>
    </cfRule>
    <cfRule type="expression" dxfId="1848" priority="37">
      <formula>B$9&lt;8/24</formula>
    </cfRule>
  </conditionalFormatting>
  <conditionalFormatting sqref="B38 B51:B56 C53:D55 B24:D32 B12:D16 E12:R15 B18:AF22 E24:AF25 B34:AF35 E27:AF32">
    <cfRule type="expression" dxfId="1847" priority="33">
      <formula>B12&gt;$AG12</formula>
    </cfRule>
  </conditionalFormatting>
  <conditionalFormatting sqref="B15:R15">
    <cfRule type="expression" dxfId="1846" priority="25">
      <formula>B$9&gt;=20/24</formula>
    </cfRule>
    <cfRule type="expression" dxfId="1845" priority="26">
      <formula>AND(B$9&gt;=14/24,B$9&lt;20/24)</formula>
    </cfRule>
    <cfRule type="expression" dxfId="1844" priority="27">
      <formula>AND(B$9&gt;=8/24,B$9&lt;14/24)</formula>
    </cfRule>
    <cfRule type="expression" dxfId="1843" priority="28">
      <formula>B$9&lt;8/24</formula>
    </cfRule>
  </conditionalFormatting>
  <conditionalFormatting sqref="B33:AF33">
    <cfRule type="expression" dxfId="1842" priority="21">
      <formula>B$9&gt;=20/24</formula>
    </cfRule>
    <cfRule type="expression" dxfId="1841" priority="22">
      <formula>AND(B$9&gt;=14/24,B$9&lt;20/24)</formula>
    </cfRule>
    <cfRule type="expression" dxfId="1840" priority="23">
      <formula>AND(B$9&gt;=8/24,B$9&lt;14/24)</formula>
    </cfRule>
    <cfRule type="expression" dxfId="1839" priority="24">
      <formula>B$9&lt;8/24</formula>
    </cfRule>
  </conditionalFormatting>
  <conditionalFormatting sqref="B33:AF33">
    <cfRule type="expression" dxfId="1838" priority="20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7" id="{565B99EB-64D8-4667-BD8F-28A295040AD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D62" activePane="bottomRight" state="frozen"/>
      <selection activeCell="AF88" sqref="AF88"/>
      <selection pane="topRight" activeCell="AF88" sqref="AF88"/>
      <selection pane="bottomLeft" activeCell="AF88" sqref="AF88"/>
      <selection pane="bottomRight" activeCell="G44" sqref="G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2079/02/23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-87.799999999999983</v>
      </c>
      <c r="C5" s="32">
        <f t="shared" si="0"/>
        <v>-84.200000000000017</v>
      </c>
      <c r="D5" s="32">
        <f t="shared" si="0"/>
        <v>-100.82</v>
      </c>
      <c r="E5" s="32">
        <f t="shared" si="0"/>
        <v>-119.49999999999999</v>
      </c>
      <c r="F5" s="32">
        <f t="shared" si="0"/>
        <v>-121.30000000000001</v>
      </c>
      <c r="G5" s="32">
        <f t="shared" si="0"/>
        <v>-120.19999999999999</v>
      </c>
      <c r="H5" s="32">
        <f t="shared" si="0"/>
        <v>-125</v>
      </c>
      <c r="I5" s="32">
        <f t="shared" si="0"/>
        <v>-116.99</v>
      </c>
      <c r="J5" s="32">
        <f t="shared" si="0"/>
        <v>-95</v>
      </c>
      <c r="K5" s="32">
        <f t="shared" si="0"/>
        <v>-118.97999999999999</v>
      </c>
      <c r="L5" s="32">
        <f t="shared" si="0"/>
        <v>-104.7</v>
      </c>
      <c r="M5" s="32">
        <f t="shared" si="0"/>
        <v>-103.44</v>
      </c>
      <c r="N5" s="32">
        <f t="shared" si="0"/>
        <v>-104.3</v>
      </c>
      <c r="O5" s="32">
        <f t="shared" si="0"/>
        <v>-101.6</v>
      </c>
      <c r="P5" s="32">
        <f t="shared" si="0"/>
        <v>-100</v>
      </c>
      <c r="Q5" s="32">
        <f t="shared" si="0"/>
        <v>-109</v>
      </c>
      <c r="R5" s="32">
        <f t="shared" si="0"/>
        <v>-119</v>
      </c>
      <c r="S5" s="32">
        <f t="shared" si="0"/>
        <v>-125</v>
      </c>
      <c r="T5" s="32">
        <f t="shared" si="0"/>
        <v>-144</v>
      </c>
      <c r="U5" s="32">
        <f t="shared" si="0"/>
        <v>8</v>
      </c>
      <c r="V5" s="32">
        <f t="shared" si="0"/>
        <v>-104</v>
      </c>
      <c r="W5" s="32">
        <f t="shared" si="0"/>
        <v>-119</v>
      </c>
      <c r="X5" s="32">
        <f t="shared" si="0"/>
        <v>-98</v>
      </c>
      <c r="Y5" s="32">
        <f t="shared" si="0"/>
        <v>-112</v>
      </c>
      <c r="Z5" s="32">
        <f t="shared" si="0"/>
        <v>-68</v>
      </c>
      <c r="AA5" s="32">
        <f t="shared" si="0"/>
        <v>-47</v>
      </c>
      <c r="AB5" s="32">
        <f t="shared" si="0"/>
        <v>-87</v>
      </c>
      <c r="AC5" s="32">
        <f t="shared" si="0"/>
        <v>-77</v>
      </c>
      <c r="AD5" s="32">
        <f t="shared" si="0"/>
        <v>-96</v>
      </c>
      <c r="AE5" s="32">
        <f t="shared" si="0"/>
        <v>-84</v>
      </c>
      <c r="AF5" s="32">
        <f>B68</f>
        <v>-113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1388MW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Load=621</v>
      </c>
      <c r="B7" s="37">
        <f>B75</f>
        <v>1264.7400000000002</v>
      </c>
      <c r="C7" s="37">
        <f t="shared" ref="C7:AF7" si="1">C75</f>
        <v>1314.64</v>
      </c>
      <c r="D7" s="37">
        <f t="shared" si="1"/>
        <v>1308.2400000000002</v>
      </c>
      <c r="E7" s="37">
        <f t="shared" si="1"/>
        <v>1267.3200000000002</v>
      </c>
      <c r="F7" s="37">
        <f t="shared" si="1"/>
        <v>1261.3400000000001</v>
      </c>
      <c r="G7" s="37">
        <f t="shared" si="1"/>
        <v>1251.24</v>
      </c>
      <c r="H7" s="37">
        <f t="shared" si="1"/>
        <v>1248.94</v>
      </c>
      <c r="I7" s="37">
        <f t="shared" si="1"/>
        <v>1218.04</v>
      </c>
      <c r="J7" s="37">
        <f t="shared" si="1"/>
        <v>1265.3499999999999</v>
      </c>
      <c r="K7" s="37">
        <f t="shared" si="1"/>
        <v>1322.64</v>
      </c>
      <c r="L7" s="37">
        <f t="shared" si="1"/>
        <v>1354.96</v>
      </c>
      <c r="M7" s="37">
        <f t="shared" si="1"/>
        <v>1387.74</v>
      </c>
      <c r="N7" s="37">
        <f t="shared" si="1"/>
        <v>1383.3000000000002</v>
      </c>
      <c r="O7" s="37">
        <f t="shared" si="1"/>
        <v>1407.3400000000001</v>
      </c>
      <c r="P7" s="37">
        <f t="shared" si="1"/>
        <v>1426.34</v>
      </c>
      <c r="Q7" s="37">
        <f t="shared" si="1"/>
        <v>1435.6400000000003</v>
      </c>
      <c r="R7" s="37">
        <f t="shared" si="1"/>
        <v>1416.0400000000004</v>
      </c>
      <c r="S7" s="37">
        <f t="shared" si="1"/>
        <v>1438.64</v>
      </c>
      <c r="T7" s="37">
        <f t="shared" si="1"/>
        <v>1424.64</v>
      </c>
      <c r="U7" s="37">
        <f t="shared" si="1"/>
        <v>1427.2400000000002</v>
      </c>
      <c r="V7" s="37">
        <f t="shared" si="1"/>
        <v>621.14</v>
      </c>
      <c r="W7" s="37">
        <f t="shared" si="1"/>
        <v>1394.1399999999999</v>
      </c>
      <c r="X7" s="37">
        <f t="shared" si="1"/>
        <v>1348.74</v>
      </c>
      <c r="Y7" s="37">
        <f t="shared" si="1"/>
        <v>1356.74</v>
      </c>
      <c r="Z7" s="37">
        <f t="shared" si="1"/>
        <v>1422.7400000000002</v>
      </c>
      <c r="AA7" s="37">
        <f t="shared" si="1"/>
        <v>1466.7400000000002</v>
      </c>
      <c r="AB7" s="37">
        <f t="shared" si="1"/>
        <v>1516.14</v>
      </c>
      <c r="AC7" s="37">
        <f t="shared" si="1"/>
        <v>1498.5400000000002</v>
      </c>
      <c r="AD7" s="37">
        <f t="shared" si="1"/>
        <v>1488.5400000000002</v>
      </c>
      <c r="AE7" s="37">
        <f t="shared" si="1"/>
        <v>1388.0400000000002</v>
      </c>
      <c r="AF7" s="37">
        <f t="shared" si="1"/>
        <v>1342.3400000000001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340</v>
      </c>
      <c r="C11" s="70">
        <v>370</v>
      </c>
      <c r="D11" s="70">
        <v>360</v>
      </c>
      <c r="E11" s="51">
        <v>340</v>
      </c>
      <c r="F11" s="51">
        <v>350</v>
      </c>
      <c r="G11" s="51">
        <v>350</v>
      </c>
      <c r="H11" s="51">
        <v>330</v>
      </c>
      <c r="I11" s="51">
        <v>300</v>
      </c>
      <c r="J11" s="52">
        <v>310</v>
      </c>
      <c r="K11" s="52">
        <v>340</v>
      </c>
      <c r="L11" s="52">
        <v>370</v>
      </c>
      <c r="M11" s="51">
        <v>360</v>
      </c>
      <c r="N11" s="51">
        <v>380</v>
      </c>
      <c r="O11" s="51">
        <v>385</v>
      </c>
      <c r="P11" s="51">
        <v>405</v>
      </c>
      <c r="Q11" s="51">
        <v>415</v>
      </c>
      <c r="R11" s="51">
        <v>425</v>
      </c>
      <c r="S11" s="49">
        <v>435</v>
      </c>
      <c r="T11" s="49">
        <v>435</v>
      </c>
      <c r="U11" s="49">
        <v>450</v>
      </c>
      <c r="V11" s="49"/>
      <c r="W11" s="49">
        <v>390</v>
      </c>
      <c r="X11" s="49">
        <v>350</v>
      </c>
      <c r="Y11" s="49">
        <v>320</v>
      </c>
      <c r="Z11" s="49">
        <v>400</v>
      </c>
      <c r="AA11" s="49">
        <v>400</v>
      </c>
      <c r="AB11" s="49">
        <v>400</v>
      </c>
      <c r="AC11" s="49">
        <v>420</v>
      </c>
      <c r="AD11" s="49">
        <v>410</v>
      </c>
      <c r="AE11" s="49">
        <v>360</v>
      </c>
      <c r="AF11" s="49">
        <v>350</v>
      </c>
      <c r="AG11" s="53">
        <v>456</v>
      </c>
      <c r="AH11" s="54">
        <f>MAX(B11:AF11)</f>
        <v>450</v>
      </c>
      <c r="AI11" s="55">
        <f>MIN(B11:AF11)</f>
        <v>300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47</v>
      </c>
      <c r="D12" s="51">
        <v>47</v>
      </c>
      <c r="E12" s="51">
        <v>47</v>
      </c>
      <c r="F12" s="51">
        <v>47</v>
      </c>
      <c r="G12" s="51">
        <v>47</v>
      </c>
      <c r="H12" s="51">
        <v>47</v>
      </c>
      <c r="I12" s="51">
        <v>47</v>
      </c>
      <c r="J12" s="51">
        <v>47</v>
      </c>
      <c r="K12" s="51">
        <v>47</v>
      </c>
      <c r="L12" s="51">
        <v>47</v>
      </c>
      <c r="M12" s="51">
        <v>47</v>
      </c>
      <c r="N12" s="51">
        <v>47</v>
      </c>
      <c r="O12" s="51">
        <v>47</v>
      </c>
      <c r="P12" s="51">
        <v>43</v>
      </c>
      <c r="Q12" s="51">
        <v>43</v>
      </c>
      <c r="R12" s="51">
        <v>43</v>
      </c>
      <c r="S12" s="51">
        <v>44</v>
      </c>
      <c r="T12" s="51">
        <v>44</v>
      </c>
      <c r="U12" s="51">
        <v>44</v>
      </c>
      <c r="V12" s="51">
        <v>44</v>
      </c>
      <c r="W12" s="51">
        <v>44</v>
      </c>
      <c r="X12" s="51">
        <v>44</v>
      </c>
      <c r="Y12" s="51">
        <v>44</v>
      </c>
      <c r="Z12" s="51">
        <v>44</v>
      </c>
      <c r="AA12" s="51">
        <v>44</v>
      </c>
      <c r="AB12" s="51">
        <v>44</v>
      </c>
      <c r="AC12" s="51">
        <v>44</v>
      </c>
      <c r="AD12" s="51">
        <v>44</v>
      </c>
      <c r="AE12" s="51">
        <v>44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43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37.799999999999997</v>
      </c>
      <c r="C13" s="51">
        <v>37.799999999999997</v>
      </c>
      <c r="D13" s="51">
        <v>37.799999999999997</v>
      </c>
      <c r="E13" s="51">
        <v>37.799999999999997</v>
      </c>
      <c r="F13" s="51">
        <v>37.799999999999997</v>
      </c>
      <c r="G13" s="51">
        <v>30.6</v>
      </c>
      <c r="H13" s="51">
        <v>27.2</v>
      </c>
      <c r="I13" s="51">
        <v>27.2</v>
      </c>
      <c r="J13" s="51">
        <v>24.1</v>
      </c>
      <c r="K13" s="51">
        <v>24.1</v>
      </c>
      <c r="L13" s="51">
        <v>24.1</v>
      </c>
      <c r="M13" s="51">
        <v>24.5</v>
      </c>
      <c r="N13" s="51">
        <v>24.8</v>
      </c>
      <c r="O13" s="51">
        <v>25</v>
      </c>
      <c r="P13" s="51">
        <v>25.6</v>
      </c>
      <c r="Q13" s="51">
        <v>23.1</v>
      </c>
      <c r="R13" s="51">
        <v>23.1</v>
      </c>
      <c r="S13" s="51">
        <v>24</v>
      </c>
      <c r="T13" s="51">
        <v>24</v>
      </c>
      <c r="U13" s="51">
        <v>24</v>
      </c>
      <c r="V13" s="51">
        <v>24</v>
      </c>
      <c r="W13" s="51">
        <v>24</v>
      </c>
      <c r="X13" s="51">
        <v>24</v>
      </c>
      <c r="Y13" s="51">
        <v>24</v>
      </c>
      <c r="Z13" s="51">
        <v>24</v>
      </c>
      <c r="AA13" s="51">
        <v>24</v>
      </c>
      <c r="AB13" s="51">
        <v>24</v>
      </c>
      <c r="AC13" s="51">
        <v>24</v>
      </c>
      <c r="AD13" s="51">
        <v>24</v>
      </c>
      <c r="AE13" s="51">
        <v>24</v>
      </c>
      <c r="AF13" s="51">
        <v>32</v>
      </c>
      <c r="AG13" s="58">
        <v>52.4</v>
      </c>
      <c r="AH13" s="54">
        <f t="shared" si="2"/>
        <v>37.799999999999997</v>
      </c>
      <c r="AI13" s="55">
        <f t="shared" si="3"/>
        <v>23.1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50.1</v>
      </c>
      <c r="C14" s="51">
        <v>50.1</v>
      </c>
      <c r="D14" s="51">
        <v>50.1</v>
      </c>
      <c r="E14" s="51">
        <v>50.1</v>
      </c>
      <c r="F14" s="51">
        <v>50.1</v>
      </c>
      <c r="G14" s="51">
        <v>50.1</v>
      </c>
      <c r="H14" s="51">
        <v>50.1</v>
      </c>
      <c r="I14" s="51">
        <v>50.1</v>
      </c>
      <c r="J14" s="51">
        <v>50.1</v>
      </c>
      <c r="K14" s="51">
        <v>50.1</v>
      </c>
      <c r="L14" s="51">
        <v>50.1</v>
      </c>
      <c r="M14" s="51">
        <v>50.1</v>
      </c>
      <c r="N14" s="51">
        <v>50.3</v>
      </c>
      <c r="O14" s="51">
        <v>50.3</v>
      </c>
      <c r="P14" s="51">
        <v>50.3</v>
      </c>
      <c r="Q14" s="51">
        <v>50.2</v>
      </c>
      <c r="R14" s="51">
        <v>50.2</v>
      </c>
      <c r="S14" s="51">
        <v>50.2</v>
      </c>
      <c r="T14" s="51">
        <v>50.2</v>
      </c>
      <c r="U14" s="51">
        <v>50.2</v>
      </c>
      <c r="V14" s="51">
        <v>50.2</v>
      </c>
      <c r="W14" s="51">
        <v>50.2</v>
      </c>
      <c r="X14" s="51">
        <v>50.2</v>
      </c>
      <c r="Y14" s="51">
        <v>50.2</v>
      </c>
      <c r="Z14" s="51">
        <v>50.2</v>
      </c>
      <c r="AA14" s="51">
        <v>50.2</v>
      </c>
      <c r="AB14" s="51">
        <v>50.2</v>
      </c>
      <c r="AC14" s="51">
        <v>50.2</v>
      </c>
      <c r="AD14" s="51">
        <v>50.2</v>
      </c>
      <c r="AE14" s="51">
        <v>50.2</v>
      </c>
      <c r="AF14" s="51">
        <v>50.4</v>
      </c>
      <c r="AG14" s="58">
        <v>50</v>
      </c>
      <c r="AH14" s="54">
        <f t="shared" si="2"/>
        <v>50.4</v>
      </c>
      <c r="AI14" s="55">
        <f t="shared" si="3"/>
        <v>50.1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45.3</v>
      </c>
      <c r="C15" s="51">
        <v>45.3</v>
      </c>
      <c r="D15" s="51">
        <v>45.3</v>
      </c>
      <c r="E15" s="51">
        <v>45.3</v>
      </c>
      <c r="F15" s="51">
        <v>45.3</v>
      </c>
      <c r="G15" s="51">
        <v>45.3</v>
      </c>
      <c r="H15" s="51">
        <v>45.4</v>
      </c>
      <c r="I15" s="51">
        <v>45.4</v>
      </c>
      <c r="J15" s="51">
        <v>45.4</v>
      </c>
      <c r="K15" s="51">
        <v>45.4</v>
      </c>
      <c r="L15" s="51">
        <v>45.4</v>
      </c>
      <c r="M15" s="51">
        <v>45.4</v>
      </c>
      <c r="N15" s="51">
        <v>45.7</v>
      </c>
      <c r="O15" s="51">
        <v>45.7</v>
      </c>
      <c r="P15" s="51">
        <v>45.4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24</v>
      </c>
      <c r="AC15" s="51">
        <v>24</v>
      </c>
      <c r="AD15" s="51">
        <v>24</v>
      </c>
      <c r="AE15" s="51">
        <v>24</v>
      </c>
      <c r="AF15" s="51">
        <v>45.6</v>
      </c>
      <c r="AG15" s="59">
        <v>45</v>
      </c>
      <c r="AH15" s="54">
        <f t="shared" si="2"/>
        <v>45.7</v>
      </c>
      <c r="AI15" s="55">
        <f t="shared" si="3"/>
        <v>24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32</v>
      </c>
      <c r="C16" s="51">
        <v>32</v>
      </c>
      <c r="D16" s="51">
        <v>32</v>
      </c>
      <c r="E16" s="51">
        <v>32</v>
      </c>
      <c r="F16" s="51">
        <v>32</v>
      </c>
      <c r="G16" s="51">
        <v>36</v>
      </c>
      <c r="H16" s="51">
        <v>36</v>
      </c>
      <c r="I16" s="51">
        <v>36</v>
      </c>
      <c r="J16" s="51">
        <v>36</v>
      </c>
      <c r="K16" s="51">
        <v>36</v>
      </c>
      <c r="L16" s="51">
        <v>36</v>
      </c>
      <c r="M16" s="51">
        <v>33</v>
      </c>
      <c r="N16" s="51">
        <v>33</v>
      </c>
      <c r="O16" s="51">
        <v>33</v>
      </c>
      <c r="P16" s="51">
        <v>33</v>
      </c>
      <c r="Q16" s="51">
        <v>33</v>
      </c>
      <c r="R16" s="51">
        <v>28</v>
      </c>
      <c r="S16" s="51">
        <v>28</v>
      </c>
      <c r="T16" s="51">
        <v>28</v>
      </c>
      <c r="U16" s="51">
        <v>28</v>
      </c>
      <c r="V16" s="51">
        <v>28</v>
      </c>
      <c r="W16" s="51">
        <v>28</v>
      </c>
      <c r="X16" s="51">
        <v>28</v>
      </c>
      <c r="Y16" s="51">
        <v>28</v>
      </c>
      <c r="Z16" s="51">
        <v>28</v>
      </c>
      <c r="AA16" s="51">
        <v>28</v>
      </c>
      <c r="AB16" s="51">
        <v>28</v>
      </c>
      <c r="AC16" s="51">
        <v>28</v>
      </c>
      <c r="AD16" s="51">
        <v>28</v>
      </c>
      <c r="AE16" s="51">
        <v>28</v>
      </c>
      <c r="AF16" s="51">
        <v>28</v>
      </c>
      <c r="AG16" s="58">
        <v>45</v>
      </c>
      <c r="AH16" s="54">
        <f t="shared" si="2"/>
        <v>36</v>
      </c>
      <c r="AI16" s="55">
        <f t="shared" si="3"/>
        <v>28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23.6</v>
      </c>
      <c r="C19" s="51">
        <v>23.6</v>
      </c>
      <c r="D19" s="51">
        <v>23.6</v>
      </c>
      <c r="E19" s="51">
        <v>23.6</v>
      </c>
      <c r="F19" s="51">
        <v>23.6</v>
      </c>
      <c r="G19" s="51">
        <v>23.6</v>
      </c>
      <c r="H19" s="51">
        <v>23.6</v>
      </c>
      <c r="I19" s="51">
        <v>23.6</v>
      </c>
      <c r="J19" s="51">
        <v>23.6</v>
      </c>
      <c r="K19" s="51">
        <v>23.6</v>
      </c>
      <c r="L19" s="51">
        <v>23.6</v>
      </c>
      <c r="M19" s="51">
        <v>23.6</v>
      </c>
      <c r="N19" s="51">
        <v>23.6</v>
      </c>
      <c r="O19" s="51">
        <v>23.6</v>
      </c>
      <c r="P19" s="51">
        <v>23.6</v>
      </c>
      <c r="Q19" s="51">
        <v>23.6</v>
      </c>
      <c r="R19" s="51">
        <v>23.6</v>
      </c>
      <c r="S19" s="51">
        <v>23.6</v>
      </c>
      <c r="T19" s="51">
        <v>23.6</v>
      </c>
      <c r="U19" s="51">
        <v>23.6</v>
      </c>
      <c r="V19" s="51">
        <v>23.6</v>
      </c>
      <c r="W19" s="51">
        <v>23.6</v>
      </c>
      <c r="X19" s="51">
        <v>23.6</v>
      </c>
      <c r="Y19" s="51">
        <v>23.6</v>
      </c>
      <c r="Z19" s="51">
        <v>23.6</v>
      </c>
      <c r="AA19" s="51">
        <v>23.6</v>
      </c>
      <c r="AB19" s="51">
        <v>23.6</v>
      </c>
      <c r="AC19" s="51">
        <v>23.6</v>
      </c>
      <c r="AD19" s="51">
        <v>23.6</v>
      </c>
      <c r="AE19" s="51">
        <v>23.6</v>
      </c>
      <c r="AF19" s="51">
        <v>23.6</v>
      </c>
      <c r="AG19" s="58">
        <v>30</v>
      </c>
      <c r="AH19" s="54">
        <f t="shared" si="2"/>
        <v>23.6</v>
      </c>
      <c r="AI19" s="55">
        <f t="shared" si="3"/>
        <v>23.6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10</v>
      </c>
      <c r="Y20" s="51">
        <v>10</v>
      </c>
      <c r="Z20" s="51">
        <v>10</v>
      </c>
      <c r="AA20" s="51">
        <v>10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10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23.4</v>
      </c>
      <c r="C22" s="51">
        <v>23.4</v>
      </c>
      <c r="D22" s="51">
        <v>23.4</v>
      </c>
      <c r="E22" s="51">
        <v>23.4</v>
      </c>
      <c r="F22" s="51">
        <v>23.4</v>
      </c>
      <c r="G22" s="51">
        <v>23.4</v>
      </c>
      <c r="H22" s="51">
        <v>23.4</v>
      </c>
      <c r="I22" s="51">
        <v>23.4</v>
      </c>
      <c r="J22" s="51">
        <v>23.4</v>
      </c>
      <c r="K22" s="51">
        <v>23.4</v>
      </c>
      <c r="L22" s="51">
        <v>23.4</v>
      </c>
      <c r="M22" s="51">
        <v>23.4</v>
      </c>
      <c r="N22" s="51">
        <v>23.4</v>
      </c>
      <c r="O22" s="51">
        <v>23.4</v>
      </c>
      <c r="P22" s="51">
        <v>23.4</v>
      </c>
      <c r="Q22" s="51">
        <v>23.4</v>
      </c>
      <c r="R22" s="51">
        <v>23.4</v>
      </c>
      <c r="S22" s="51">
        <v>23.4</v>
      </c>
      <c r="T22" s="51">
        <v>23.4</v>
      </c>
      <c r="U22" s="51">
        <v>23.4</v>
      </c>
      <c r="V22" s="51">
        <v>23.4</v>
      </c>
      <c r="W22" s="51">
        <v>23.4</v>
      </c>
      <c r="X22" s="51">
        <v>23.4</v>
      </c>
      <c r="Y22" s="51">
        <v>23.4</v>
      </c>
      <c r="Z22" s="51">
        <v>23.4</v>
      </c>
      <c r="AA22" s="51">
        <v>23.4</v>
      </c>
      <c r="AB22" s="51">
        <v>23.4</v>
      </c>
      <c r="AC22" s="51">
        <v>23.4</v>
      </c>
      <c r="AD22" s="51">
        <v>23.4</v>
      </c>
      <c r="AE22" s="51">
        <v>23.4</v>
      </c>
      <c r="AF22" s="51">
        <v>23.4</v>
      </c>
      <c r="AG22" s="58">
        <v>25</v>
      </c>
      <c r="AH22" s="54">
        <f t="shared" si="2"/>
        <v>23.4</v>
      </c>
      <c r="AI22" s="55">
        <f t="shared" si="3"/>
        <v>23.4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22.5</v>
      </c>
      <c r="C24" s="51">
        <v>22.5</v>
      </c>
      <c r="D24" s="51">
        <v>22.5</v>
      </c>
      <c r="E24" s="51">
        <v>22.5</v>
      </c>
      <c r="F24" s="51">
        <v>22.5</v>
      </c>
      <c r="G24" s="51">
        <v>22.5</v>
      </c>
      <c r="H24" s="51">
        <v>22.5</v>
      </c>
      <c r="I24" s="51">
        <v>22.5</v>
      </c>
      <c r="J24" s="51">
        <v>22.5</v>
      </c>
      <c r="K24" s="51">
        <v>22.5</v>
      </c>
      <c r="L24" s="51">
        <v>22.5</v>
      </c>
      <c r="M24" s="51">
        <v>22.5</v>
      </c>
      <c r="N24" s="51">
        <v>22.5</v>
      </c>
      <c r="O24" s="51">
        <v>22.6</v>
      </c>
      <c r="P24" s="51">
        <v>21.4</v>
      </c>
      <c r="Q24" s="51">
        <v>20.8</v>
      </c>
      <c r="R24" s="51">
        <v>17.7</v>
      </c>
      <c r="S24" s="51">
        <v>17.7</v>
      </c>
      <c r="T24" s="51">
        <v>17.7</v>
      </c>
      <c r="U24" s="51">
        <v>17.7</v>
      </c>
      <c r="V24" s="51">
        <v>17.7</v>
      </c>
      <c r="W24" s="51">
        <v>17.7</v>
      </c>
      <c r="X24" s="51">
        <v>17.7</v>
      </c>
      <c r="Y24" s="51">
        <v>17.7</v>
      </c>
      <c r="Z24" s="51">
        <v>17.7</v>
      </c>
      <c r="AA24" s="51">
        <v>17.7</v>
      </c>
      <c r="AB24" s="51">
        <v>17.7</v>
      </c>
      <c r="AC24" s="51">
        <v>17.7</v>
      </c>
      <c r="AD24" s="51">
        <v>17.7</v>
      </c>
      <c r="AE24" s="51">
        <v>17.7</v>
      </c>
      <c r="AF24" s="51">
        <v>17.7</v>
      </c>
      <c r="AG24" s="58">
        <v>25</v>
      </c>
      <c r="AH24" s="54">
        <f t="shared" si="2"/>
        <v>22.6</v>
      </c>
      <c r="AI24" s="55">
        <f t="shared" si="3"/>
        <v>17.7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7</v>
      </c>
      <c r="C26" s="51">
        <v>7</v>
      </c>
      <c r="D26" s="51">
        <v>7</v>
      </c>
      <c r="E26" s="51">
        <v>7</v>
      </c>
      <c r="F26" s="51">
        <v>10</v>
      </c>
      <c r="G26" s="51">
        <v>7</v>
      </c>
      <c r="H26" s="51">
        <v>7</v>
      </c>
      <c r="I26" s="51">
        <v>7</v>
      </c>
      <c r="J26" s="51">
        <v>7</v>
      </c>
      <c r="K26" s="51">
        <v>7</v>
      </c>
      <c r="L26" s="51">
        <v>7</v>
      </c>
      <c r="M26" s="51">
        <v>10.5</v>
      </c>
      <c r="N26" s="51">
        <v>10.5</v>
      </c>
      <c r="O26" s="51">
        <v>10.5</v>
      </c>
      <c r="P26" s="51">
        <v>10.5</v>
      </c>
      <c r="Q26" s="51">
        <v>10.5</v>
      </c>
      <c r="R26" s="51">
        <v>10.5</v>
      </c>
      <c r="S26" s="51">
        <v>10.5</v>
      </c>
      <c r="T26" s="51">
        <v>10.5</v>
      </c>
      <c r="U26" s="51">
        <v>10.5</v>
      </c>
      <c r="V26" s="51">
        <v>10.5</v>
      </c>
      <c r="W26" s="51">
        <v>10.5</v>
      </c>
      <c r="X26" s="51">
        <v>10.5</v>
      </c>
      <c r="Y26" s="51">
        <v>10.5</v>
      </c>
      <c r="Z26" s="51">
        <v>10.5</v>
      </c>
      <c r="AA26" s="51">
        <v>10.5</v>
      </c>
      <c r="AB26" s="51">
        <v>10.5</v>
      </c>
      <c r="AC26" s="51">
        <v>10.5</v>
      </c>
      <c r="AD26" s="51">
        <v>10.5</v>
      </c>
      <c r="AE26" s="51">
        <v>10.5</v>
      </c>
      <c r="AF26" s="51">
        <v>10.5</v>
      </c>
      <c r="AG26" s="58">
        <v>20</v>
      </c>
      <c r="AH26" s="54">
        <f t="shared" si="2"/>
        <v>10.5</v>
      </c>
      <c r="AI26" s="55">
        <f t="shared" si="3"/>
        <v>7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4</v>
      </c>
      <c r="C34" s="51">
        <v>4</v>
      </c>
      <c r="D34" s="51">
        <v>4</v>
      </c>
      <c r="E34" s="51">
        <v>4</v>
      </c>
      <c r="F34" s="51">
        <v>4</v>
      </c>
      <c r="G34" s="51">
        <v>4</v>
      </c>
      <c r="H34" s="51">
        <v>4</v>
      </c>
      <c r="I34" s="51">
        <v>4</v>
      </c>
      <c r="J34" s="51">
        <v>4</v>
      </c>
      <c r="K34" s="51">
        <v>4</v>
      </c>
      <c r="L34" s="51">
        <v>4</v>
      </c>
      <c r="M34" s="51">
        <v>7.1</v>
      </c>
      <c r="N34" s="51">
        <v>7.1</v>
      </c>
      <c r="O34" s="51">
        <v>7.1</v>
      </c>
      <c r="P34" s="51">
        <v>7.1</v>
      </c>
      <c r="Q34" s="51">
        <v>7.1</v>
      </c>
      <c r="R34" s="51">
        <v>7.1</v>
      </c>
      <c r="S34" s="51">
        <v>7.1</v>
      </c>
      <c r="T34" s="51">
        <v>7.1</v>
      </c>
      <c r="U34" s="51">
        <v>7.1</v>
      </c>
      <c r="V34" s="51">
        <v>7.1</v>
      </c>
      <c r="W34" s="51">
        <v>7.1</v>
      </c>
      <c r="X34" s="51">
        <v>7.1</v>
      </c>
      <c r="Y34" s="51">
        <v>7.1</v>
      </c>
      <c r="Z34" s="51">
        <v>7.1</v>
      </c>
      <c r="AA34" s="51">
        <v>7.1</v>
      </c>
      <c r="AB34" s="51">
        <v>7.1</v>
      </c>
      <c r="AC34" s="51">
        <v>7.1</v>
      </c>
      <c r="AD34" s="51">
        <v>7.1</v>
      </c>
      <c r="AE34" s="51">
        <v>7.1</v>
      </c>
      <c r="AF34" s="51">
        <v>7.1</v>
      </c>
      <c r="AG34" s="63">
        <v>20</v>
      </c>
      <c r="AH34" s="54">
        <f t="shared" si="2"/>
        <v>7.1</v>
      </c>
      <c r="AI34" s="55">
        <f t="shared" si="3"/>
        <v>4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4</v>
      </c>
      <c r="N35" s="51">
        <v>5</v>
      </c>
      <c r="O35" s="51">
        <v>7</v>
      </c>
      <c r="P35" s="51">
        <v>7</v>
      </c>
      <c r="Q35" s="51">
        <v>7</v>
      </c>
      <c r="R35" s="51">
        <v>7</v>
      </c>
      <c r="S35" s="51">
        <v>7</v>
      </c>
      <c r="T35" s="51">
        <v>7</v>
      </c>
      <c r="U35" s="51">
        <v>7</v>
      </c>
      <c r="V35" s="51">
        <v>7</v>
      </c>
      <c r="W35" s="51">
        <v>7</v>
      </c>
      <c r="X35" s="51">
        <v>7</v>
      </c>
      <c r="Y35" s="51">
        <v>7</v>
      </c>
      <c r="Z35" s="51">
        <v>7</v>
      </c>
      <c r="AA35" s="51">
        <v>7</v>
      </c>
      <c r="AB35" s="51">
        <v>7</v>
      </c>
      <c r="AC35" s="51">
        <v>7</v>
      </c>
      <c r="AD35" s="51">
        <v>7</v>
      </c>
      <c r="AE35" s="51">
        <v>7</v>
      </c>
      <c r="AF35" s="51">
        <v>7</v>
      </c>
      <c r="AG35" s="63">
        <v>15.33</v>
      </c>
      <c r="AH35" s="54">
        <f t="shared" si="2"/>
        <v>7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200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144</v>
      </c>
      <c r="C37" s="65">
        <f>77.4+65.8</f>
        <v>143.19999999999999</v>
      </c>
      <c r="D37" s="65">
        <f>76.3+64.7</f>
        <v>141</v>
      </c>
      <c r="E37" s="65">
        <f>71.6+64.4</f>
        <v>136</v>
      </c>
      <c r="F37" s="65">
        <f>71.3+63.6</f>
        <v>134.9</v>
      </c>
      <c r="G37" s="65">
        <f>69.2+60.6</f>
        <v>129.80000000000001</v>
      </c>
      <c r="H37" s="65">
        <f>68.7+61.1</f>
        <v>129.80000000000001</v>
      </c>
      <c r="I37" s="65">
        <f>69.4+59.7</f>
        <v>129.10000000000002</v>
      </c>
      <c r="J37" s="65">
        <f>70.1+58.9</f>
        <v>129</v>
      </c>
      <c r="K37" s="65">
        <f>68.2+57.8</f>
        <v>126</v>
      </c>
      <c r="L37" s="65">
        <f>67.4+56.9</f>
        <v>124.30000000000001</v>
      </c>
      <c r="M37" s="65">
        <f>50.7+67.5</f>
        <v>118.2</v>
      </c>
      <c r="N37" s="65">
        <f>50.6+66.7</f>
        <v>117.30000000000001</v>
      </c>
      <c r="O37" s="65">
        <f>54.7+66.9</f>
        <v>121.60000000000001</v>
      </c>
      <c r="P37" s="65">
        <f>63.9+53.7</f>
        <v>117.6</v>
      </c>
      <c r="Q37" s="65">
        <f>50.9+69.8</f>
        <v>120.69999999999999</v>
      </c>
      <c r="R37" s="65">
        <f>68.9+49.1</f>
        <v>118</v>
      </c>
      <c r="S37" s="65">
        <f>68.9+49.1</f>
        <v>118</v>
      </c>
      <c r="T37" s="65">
        <f t="shared" ref="T37:Y37" si="4">68.9+49.1</f>
        <v>118</v>
      </c>
      <c r="U37" s="65">
        <f t="shared" si="4"/>
        <v>118</v>
      </c>
      <c r="V37" s="65">
        <f t="shared" si="4"/>
        <v>118</v>
      </c>
      <c r="W37" s="65">
        <f t="shared" si="4"/>
        <v>118</v>
      </c>
      <c r="X37" s="65">
        <f t="shared" si="4"/>
        <v>118</v>
      </c>
      <c r="Y37" s="65">
        <f t="shared" si="4"/>
        <v>118</v>
      </c>
      <c r="Z37" s="65">
        <v>120</v>
      </c>
      <c r="AA37" s="65">
        <v>120</v>
      </c>
      <c r="AB37" s="65">
        <v>120</v>
      </c>
      <c r="AC37" s="65">
        <v>132</v>
      </c>
      <c r="AD37" s="65">
        <v>140</v>
      </c>
      <c r="AE37" s="65">
        <v>145</v>
      </c>
      <c r="AF37" s="65">
        <v>145</v>
      </c>
      <c r="AG37" s="63">
        <v>240</v>
      </c>
      <c r="AH37" s="54">
        <f t="shared" si="2"/>
        <v>145</v>
      </c>
      <c r="AI37" s="55">
        <f t="shared" si="3"/>
        <v>117.30000000000001</v>
      </c>
      <c r="AK37" s="56"/>
    </row>
    <row r="38" spans="1:88" ht="15.75" thickBot="1" x14ac:dyDescent="0.3">
      <c r="A38" s="68" t="s">
        <v>46</v>
      </c>
      <c r="B38" s="69">
        <f t="shared" ref="B38:AF38" si="5">SUM(B11:B36)</f>
        <v>974.2</v>
      </c>
      <c r="C38" s="69">
        <f t="shared" si="5"/>
        <v>991.2</v>
      </c>
      <c r="D38" s="69">
        <f t="shared" si="5"/>
        <v>981.2</v>
      </c>
      <c r="E38" s="69">
        <f t="shared" si="5"/>
        <v>961.2</v>
      </c>
      <c r="F38" s="69">
        <f t="shared" si="5"/>
        <v>974.2</v>
      </c>
      <c r="G38" s="69">
        <f t="shared" si="5"/>
        <v>968</v>
      </c>
      <c r="H38" s="69">
        <f t="shared" si="5"/>
        <v>944.7</v>
      </c>
      <c r="I38" s="69">
        <f t="shared" si="5"/>
        <v>914.7</v>
      </c>
      <c r="J38" s="69">
        <f t="shared" si="5"/>
        <v>921.6</v>
      </c>
      <c r="K38" s="69">
        <f t="shared" si="5"/>
        <v>951.6</v>
      </c>
      <c r="L38" s="69">
        <f t="shared" si="5"/>
        <v>981.6</v>
      </c>
      <c r="M38" s="69">
        <f t="shared" si="5"/>
        <v>979.6</v>
      </c>
      <c r="N38" s="69">
        <f t="shared" si="5"/>
        <v>1001.4000000000001</v>
      </c>
      <c r="O38" s="69">
        <f t="shared" si="5"/>
        <v>1008.7</v>
      </c>
      <c r="P38" s="69">
        <f t="shared" si="5"/>
        <v>1023.8</v>
      </c>
      <c r="Q38" s="69">
        <f t="shared" si="5"/>
        <v>1030.8000000000002</v>
      </c>
      <c r="R38" s="69">
        <f t="shared" si="5"/>
        <v>1032.7000000000003</v>
      </c>
      <c r="S38" s="69">
        <f t="shared" si="5"/>
        <v>1044.6000000000001</v>
      </c>
      <c r="T38" s="69">
        <f t="shared" si="5"/>
        <v>1044.6000000000001</v>
      </c>
      <c r="U38" s="69">
        <f t="shared" si="5"/>
        <v>1059.6000000000001</v>
      </c>
      <c r="V38" s="69">
        <f t="shared" si="5"/>
        <v>609.6</v>
      </c>
      <c r="W38" s="69">
        <f t="shared" si="5"/>
        <v>999.6</v>
      </c>
      <c r="X38" s="69">
        <f t="shared" si="5"/>
        <v>959.6</v>
      </c>
      <c r="Y38" s="69">
        <f t="shared" si="5"/>
        <v>929.6</v>
      </c>
      <c r="Z38" s="69">
        <f>SUM(Z11:Z36)</f>
        <v>1009.6000000000001</v>
      </c>
      <c r="AA38" s="69">
        <f t="shared" si="5"/>
        <v>1009.6000000000001</v>
      </c>
      <c r="AB38" s="69">
        <f t="shared" si="5"/>
        <v>988.00000000000011</v>
      </c>
      <c r="AC38" s="69">
        <f t="shared" si="5"/>
        <v>1008.0000000000001</v>
      </c>
      <c r="AD38" s="69">
        <f t="shared" si="5"/>
        <v>998.00000000000011</v>
      </c>
      <c r="AE38" s="69">
        <f t="shared" si="5"/>
        <v>948.00000000000011</v>
      </c>
      <c r="AF38" s="69">
        <f t="shared" si="5"/>
        <v>983.80000000000007</v>
      </c>
      <c r="AG38" s="63">
        <f>SUM(AG11:AG37)</f>
        <v>1492.8299999999997</v>
      </c>
      <c r="AH38" s="54">
        <f t="shared" si="2"/>
        <v>1059.6000000000001</v>
      </c>
      <c r="AI38" s="55">
        <f t="shared" si="3"/>
        <v>609.6</v>
      </c>
      <c r="AK38" s="56"/>
    </row>
    <row r="39" spans="1:88" x14ac:dyDescent="0.25">
      <c r="A39" s="57" t="s">
        <v>47</v>
      </c>
      <c r="B39" s="51">
        <v>96.1</v>
      </c>
      <c r="C39" s="51">
        <v>145.30000000000001</v>
      </c>
      <c r="D39" s="51">
        <v>145.30000000000001</v>
      </c>
      <c r="E39" s="51">
        <v>145.69999999999999</v>
      </c>
      <c r="F39" s="51">
        <v>145.19999999999999</v>
      </c>
      <c r="G39" s="51">
        <v>145.5</v>
      </c>
      <c r="H39" s="51">
        <v>145.5</v>
      </c>
      <c r="I39" s="51">
        <v>147.19999999999999</v>
      </c>
      <c r="J39" s="51">
        <v>147.4</v>
      </c>
      <c r="K39" s="51">
        <v>147.4</v>
      </c>
      <c r="L39" s="51">
        <v>147.1</v>
      </c>
      <c r="M39" s="51">
        <v>147.5</v>
      </c>
      <c r="N39" s="51">
        <v>147.19999999999999</v>
      </c>
      <c r="O39" s="51">
        <v>145.5</v>
      </c>
      <c r="P39" s="51">
        <v>145.69999999999999</v>
      </c>
      <c r="Q39" s="51">
        <v>145.30000000000001</v>
      </c>
      <c r="R39" s="51">
        <v>145.5</v>
      </c>
      <c r="S39" s="51">
        <v>145.5</v>
      </c>
      <c r="T39" s="51">
        <v>145.5</v>
      </c>
      <c r="U39" s="51">
        <v>145.5</v>
      </c>
      <c r="V39" s="51"/>
      <c r="W39" s="51">
        <v>147</v>
      </c>
      <c r="X39" s="51">
        <v>147</v>
      </c>
      <c r="Y39" s="51">
        <v>147</v>
      </c>
      <c r="Z39" s="51">
        <v>147</v>
      </c>
      <c r="AA39" s="51">
        <v>147</v>
      </c>
      <c r="AB39" s="51">
        <v>147</v>
      </c>
      <c r="AC39" s="51">
        <v>146.69999999999999</v>
      </c>
      <c r="AD39" s="51">
        <v>146.69999999999999</v>
      </c>
      <c r="AE39" s="51">
        <v>146.69999999999999</v>
      </c>
      <c r="AF39" s="51">
        <v>146.69999999999999</v>
      </c>
      <c r="AG39" s="59">
        <v>144</v>
      </c>
      <c r="AH39" s="54">
        <f t="shared" si="2"/>
        <v>147.5</v>
      </c>
      <c r="AI39" s="55">
        <f t="shared" si="3"/>
        <v>96.1</v>
      </c>
      <c r="AK39" s="56"/>
    </row>
    <row r="40" spans="1:88" x14ac:dyDescent="0.25">
      <c r="A40" s="62" t="s">
        <v>48</v>
      </c>
      <c r="B40" s="70">
        <v>72.099999999999994</v>
      </c>
      <c r="C40" s="70">
        <v>72.099999999999994</v>
      </c>
      <c r="D40" s="70">
        <v>72.099999999999994</v>
      </c>
      <c r="E40" s="70">
        <v>69.3</v>
      </c>
      <c r="F40" s="70">
        <v>69.3</v>
      </c>
      <c r="G40" s="70">
        <v>69.599999999999994</v>
      </c>
      <c r="H40" s="70">
        <v>69.599999999999994</v>
      </c>
      <c r="I40" s="70">
        <v>69.599999999999994</v>
      </c>
      <c r="J40" s="70">
        <v>70.400000000000006</v>
      </c>
      <c r="K40" s="70">
        <v>70.400000000000006</v>
      </c>
      <c r="L40" s="70">
        <v>70.400000000000006</v>
      </c>
      <c r="M40" s="51">
        <v>70</v>
      </c>
      <c r="N40" s="51">
        <v>70</v>
      </c>
      <c r="O40" s="51">
        <v>70</v>
      </c>
      <c r="P40" s="51">
        <v>70.7</v>
      </c>
      <c r="Q40" s="51">
        <v>70.7</v>
      </c>
      <c r="R40" s="51">
        <v>71.599999999999994</v>
      </c>
      <c r="S40" s="51">
        <v>71.599999999999994</v>
      </c>
      <c r="T40" s="51">
        <v>71.599999999999994</v>
      </c>
      <c r="U40" s="51">
        <v>71.599999999999994</v>
      </c>
      <c r="V40" s="70"/>
      <c r="W40" s="70">
        <v>70.5</v>
      </c>
      <c r="X40" s="70">
        <v>70.5</v>
      </c>
      <c r="Y40" s="70">
        <v>70.5</v>
      </c>
      <c r="Z40" s="70">
        <v>70.5</v>
      </c>
      <c r="AA40" s="70">
        <v>70.5</v>
      </c>
      <c r="AB40" s="70">
        <v>70.5</v>
      </c>
      <c r="AC40" s="70">
        <v>72.5</v>
      </c>
      <c r="AD40" s="70">
        <v>72.5</v>
      </c>
      <c r="AE40" s="70">
        <v>72.5</v>
      </c>
      <c r="AF40" s="70">
        <v>72.5</v>
      </c>
      <c r="AG40" s="63">
        <v>70</v>
      </c>
      <c r="AH40" s="54">
        <f t="shared" si="2"/>
        <v>72.5</v>
      </c>
      <c r="AI40" s="55">
        <f t="shared" si="3"/>
        <v>69.3</v>
      </c>
      <c r="AK40" s="56"/>
    </row>
    <row r="41" spans="1:88" x14ac:dyDescent="0.25">
      <c r="A41" s="62" t="s">
        <v>49</v>
      </c>
      <c r="B41" s="70">
        <v>67.900000000000006</v>
      </c>
      <c r="C41" s="70">
        <v>67.900000000000006</v>
      </c>
      <c r="D41" s="70">
        <v>67.900000000000006</v>
      </c>
      <c r="E41" s="70">
        <v>66.5</v>
      </c>
      <c r="F41" s="70">
        <v>66.400000000000006</v>
      </c>
      <c r="G41" s="70">
        <v>67.5</v>
      </c>
      <c r="H41" s="70">
        <v>68</v>
      </c>
      <c r="I41" s="70">
        <v>68.3</v>
      </c>
      <c r="J41" s="70">
        <v>67.2</v>
      </c>
      <c r="K41" s="70">
        <v>67.2</v>
      </c>
      <c r="L41" s="70">
        <v>64.400000000000006</v>
      </c>
      <c r="M41" s="51">
        <v>63.3</v>
      </c>
      <c r="N41" s="51">
        <v>62</v>
      </c>
      <c r="O41" s="51">
        <v>60.3</v>
      </c>
      <c r="P41" s="51">
        <v>63.5</v>
      </c>
      <c r="Q41" s="51">
        <v>63.1</v>
      </c>
      <c r="R41" s="51">
        <v>62.2</v>
      </c>
      <c r="S41" s="51">
        <v>62.2</v>
      </c>
      <c r="T41" s="51">
        <v>62.2</v>
      </c>
      <c r="U41" s="51">
        <v>62.2</v>
      </c>
      <c r="V41" s="70"/>
      <c r="W41" s="70">
        <v>65.7</v>
      </c>
      <c r="X41" s="70">
        <v>65.7</v>
      </c>
      <c r="Y41" s="70">
        <v>65.7</v>
      </c>
      <c r="Z41" s="70">
        <v>65.7</v>
      </c>
      <c r="AA41" s="70">
        <v>65.7</v>
      </c>
      <c r="AB41" s="70">
        <v>65.7</v>
      </c>
      <c r="AC41" s="70">
        <v>66.400000000000006</v>
      </c>
      <c r="AD41" s="70">
        <v>66.400000000000006</v>
      </c>
      <c r="AE41" s="70">
        <v>66.400000000000006</v>
      </c>
      <c r="AF41" s="70">
        <v>66.400000000000006</v>
      </c>
      <c r="AG41" s="63">
        <v>69</v>
      </c>
      <c r="AH41" s="54">
        <f t="shared" si="2"/>
        <v>68.3</v>
      </c>
      <c r="AI41" s="55">
        <f t="shared" si="3"/>
        <v>60.3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60.4</v>
      </c>
      <c r="F42" s="65">
        <v>60.7</v>
      </c>
      <c r="G42" s="65">
        <v>60.9</v>
      </c>
      <c r="H42" s="65">
        <v>60.9</v>
      </c>
      <c r="I42" s="65">
        <v>60.4</v>
      </c>
      <c r="J42" s="65">
        <v>60.4</v>
      </c>
      <c r="K42" s="65">
        <v>60.4</v>
      </c>
      <c r="L42" s="65">
        <v>60.7</v>
      </c>
      <c r="M42" s="51">
        <v>60.4</v>
      </c>
      <c r="N42" s="51">
        <v>60.2</v>
      </c>
      <c r="O42" s="51">
        <v>60.7</v>
      </c>
      <c r="P42" s="51">
        <v>60.4</v>
      </c>
      <c r="Q42" s="51">
        <v>60.4</v>
      </c>
      <c r="R42" s="51">
        <v>60.4</v>
      </c>
      <c r="S42" s="51">
        <v>60.4</v>
      </c>
      <c r="T42" s="51">
        <v>60.4</v>
      </c>
      <c r="U42" s="51">
        <v>60.4</v>
      </c>
      <c r="V42" s="70"/>
      <c r="W42" s="70">
        <v>60.4</v>
      </c>
      <c r="X42" s="70">
        <v>60.4</v>
      </c>
      <c r="Y42" s="70">
        <v>60.4</v>
      </c>
      <c r="Z42" s="70">
        <v>60.4</v>
      </c>
      <c r="AA42" s="70">
        <v>60.4</v>
      </c>
      <c r="AB42" s="70">
        <v>60.4</v>
      </c>
      <c r="AC42" s="70">
        <v>60.4</v>
      </c>
      <c r="AD42" s="70">
        <v>60.4</v>
      </c>
      <c r="AE42" s="70">
        <v>60.4</v>
      </c>
      <c r="AF42" s="70">
        <v>60.4</v>
      </c>
      <c r="AG42" s="63">
        <v>60</v>
      </c>
      <c r="AH42" s="54">
        <f t="shared" si="2"/>
        <v>60.9</v>
      </c>
      <c r="AI42" s="55">
        <f t="shared" si="3"/>
        <v>60.2</v>
      </c>
      <c r="AK42" s="56"/>
    </row>
    <row r="43" spans="1:88" x14ac:dyDescent="0.25">
      <c r="A43" s="62" t="s">
        <v>51</v>
      </c>
      <c r="B43" s="65">
        <v>13</v>
      </c>
      <c r="C43" s="65">
        <v>13</v>
      </c>
      <c r="D43" s="65">
        <v>13</v>
      </c>
      <c r="E43" s="65">
        <v>13</v>
      </c>
      <c r="F43" s="65">
        <v>13</v>
      </c>
      <c r="G43" s="65">
        <v>7</v>
      </c>
      <c r="H43" s="65">
        <v>7.3</v>
      </c>
      <c r="I43" s="65">
        <v>10</v>
      </c>
      <c r="J43" s="65">
        <v>16</v>
      </c>
      <c r="K43" s="65">
        <v>16</v>
      </c>
      <c r="L43" s="65">
        <v>16</v>
      </c>
      <c r="M43" s="65">
        <v>25</v>
      </c>
      <c r="N43" s="51">
        <v>25</v>
      </c>
      <c r="O43" s="51">
        <v>25</v>
      </c>
      <c r="P43" s="51">
        <v>25</v>
      </c>
      <c r="Q43" s="51">
        <v>25</v>
      </c>
      <c r="R43" s="51">
        <v>20</v>
      </c>
      <c r="S43" s="51">
        <v>8</v>
      </c>
      <c r="T43" s="51">
        <v>0</v>
      </c>
      <c r="U43" s="51">
        <v>6.6</v>
      </c>
      <c r="V43" s="70"/>
      <c r="W43" s="70">
        <v>15</v>
      </c>
      <c r="X43" s="70">
        <v>28</v>
      </c>
      <c r="Y43" s="70">
        <v>28</v>
      </c>
      <c r="Z43" s="70">
        <v>28</v>
      </c>
      <c r="AA43" s="70">
        <v>28</v>
      </c>
      <c r="AB43" s="70">
        <v>28</v>
      </c>
      <c r="AC43" s="70">
        <v>28</v>
      </c>
      <c r="AD43" s="70">
        <v>18</v>
      </c>
      <c r="AE43" s="70">
        <v>18</v>
      </c>
      <c r="AF43" s="70">
        <v>18</v>
      </c>
      <c r="AG43" s="63">
        <v>30</v>
      </c>
      <c r="AH43" s="54">
        <f t="shared" si="2"/>
        <v>28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10</v>
      </c>
      <c r="N44" s="65">
        <v>10</v>
      </c>
      <c r="O44" s="65">
        <v>10</v>
      </c>
      <c r="P44" s="65">
        <v>10</v>
      </c>
      <c r="Q44" s="65">
        <v>10</v>
      </c>
      <c r="R44" s="51">
        <v>10</v>
      </c>
      <c r="S44" s="51">
        <v>10</v>
      </c>
      <c r="T44" s="51">
        <v>10</v>
      </c>
      <c r="U44" s="51">
        <v>10</v>
      </c>
      <c r="V44" s="51"/>
      <c r="W44" s="51">
        <v>10</v>
      </c>
      <c r="X44" s="51">
        <v>10</v>
      </c>
      <c r="Y44" s="51">
        <v>10</v>
      </c>
      <c r="Z44" s="51">
        <v>10</v>
      </c>
      <c r="AA44" s="51">
        <v>10</v>
      </c>
      <c r="AB44" s="51">
        <v>10</v>
      </c>
      <c r="AC44" s="51">
        <v>10</v>
      </c>
      <c r="AD44" s="51">
        <v>10</v>
      </c>
      <c r="AE44" s="51">
        <v>10</v>
      </c>
      <c r="AF44" s="51">
        <v>15</v>
      </c>
      <c r="AG44" s="63">
        <v>25</v>
      </c>
      <c r="AH44" s="54">
        <f t="shared" si="2"/>
        <v>15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17.600000000000001</v>
      </c>
      <c r="C45" s="70">
        <v>17.600000000000001</v>
      </c>
      <c r="D45" s="70">
        <v>17.600000000000001</v>
      </c>
      <c r="E45" s="70">
        <v>17.600000000000001</v>
      </c>
      <c r="F45" s="70">
        <v>17.600000000000001</v>
      </c>
      <c r="G45" s="70">
        <v>17.600000000000001</v>
      </c>
      <c r="H45" s="70">
        <v>17.399999999999999</v>
      </c>
      <c r="I45" s="70">
        <v>17.399999999999999</v>
      </c>
      <c r="J45" s="70">
        <v>17.399999999999999</v>
      </c>
      <c r="K45" s="70">
        <v>17.399999999999999</v>
      </c>
      <c r="L45" s="70">
        <v>17.399999999999999</v>
      </c>
      <c r="M45" s="70">
        <v>17.5</v>
      </c>
      <c r="N45" s="70">
        <v>17.5</v>
      </c>
      <c r="O45" s="70">
        <v>17.5</v>
      </c>
      <c r="P45" s="70">
        <v>17.5</v>
      </c>
      <c r="Q45" s="70">
        <v>17.5</v>
      </c>
      <c r="R45" s="70">
        <v>17.5</v>
      </c>
      <c r="S45" s="70">
        <v>17.5</v>
      </c>
      <c r="T45" s="70">
        <v>17.5</v>
      </c>
      <c r="U45" s="70">
        <v>17.5</v>
      </c>
      <c r="V45" s="51"/>
      <c r="W45" s="51">
        <v>11.3</v>
      </c>
      <c r="X45" s="51">
        <v>11.3</v>
      </c>
      <c r="Y45" s="51">
        <v>11.3</v>
      </c>
      <c r="Z45" s="51">
        <v>11.3</v>
      </c>
      <c r="AA45" s="51">
        <v>11.3</v>
      </c>
      <c r="AB45" s="51">
        <v>11.3</v>
      </c>
      <c r="AC45" s="51">
        <v>11.3</v>
      </c>
      <c r="AD45" s="51">
        <v>11.3</v>
      </c>
      <c r="AE45" s="51">
        <v>11.3</v>
      </c>
      <c r="AF45" s="51">
        <v>11.3</v>
      </c>
      <c r="AG45" s="63">
        <v>24</v>
      </c>
      <c r="AH45" s="54">
        <f t="shared" si="2"/>
        <v>17.600000000000001</v>
      </c>
      <c r="AI45" s="55">
        <f t="shared" si="3"/>
        <v>11.3</v>
      </c>
      <c r="AK45" s="56"/>
    </row>
    <row r="46" spans="1:88" x14ac:dyDescent="0.25">
      <c r="A46" s="62" t="s">
        <v>54</v>
      </c>
      <c r="B46" s="70">
        <v>0</v>
      </c>
      <c r="C46" s="70">
        <v>0</v>
      </c>
      <c r="D46" s="70">
        <v>0</v>
      </c>
      <c r="E46" s="70">
        <v>0</v>
      </c>
      <c r="F46" s="70">
        <v>0</v>
      </c>
      <c r="G46" s="70">
        <v>2</v>
      </c>
      <c r="H46" s="70">
        <v>2</v>
      </c>
      <c r="I46" s="70">
        <v>2</v>
      </c>
      <c r="J46" s="70">
        <v>2</v>
      </c>
      <c r="K46" s="70">
        <v>2</v>
      </c>
      <c r="L46" s="70">
        <v>2</v>
      </c>
      <c r="M46" s="70">
        <v>2</v>
      </c>
      <c r="N46" s="70">
        <v>2</v>
      </c>
      <c r="O46" s="70">
        <v>2</v>
      </c>
      <c r="P46" s="70">
        <v>2</v>
      </c>
      <c r="Q46" s="70">
        <v>2</v>
      </c>
      <c r="R46" s="70">
        <v>2</v>
      </c>
      <c r="S46" s="70">
        <v>2</v>
      </c>
      <c r="T46" s="70">
        <v>2</v>
      </c>
      <c r="U46" s="70">
        <v>2</v>
      </c>
      <c r="V46" s="51"/>
      <c r="W46" s="51">
        <v>2</v>
      </c>
      <c r="X46" s="51">
        <v>2</v>
      </c>
      <c r="Y46" s="51">
        <v>2</v>
      </c>
      <c r="Z46" s="51">
        <v>2</v>
      </c>
      <c r="AA46" s="51">
        <v>2</v>
      </c>
      <c r="AB46" s="51">
        <v>2</v>
      </c>
      <c r="AC46" s="51">
        <v>2</v>
      </c>
      <c r="AD46" s="51">
        <v>2</v>
      </c>
      <c r="AE46" s="51">
        <v>2</v>
      </c>
      <c r="AF46" s="51">
        <v>2</v>
      </c>
      <c r="AG46" s="63">
        <v>15</v>
      </c>
      <c r="AH46" s="54">
        <f t="shared" si="2"/>
        <v>2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13.8</v>
      </c>
      <c r="C47" s="70">
        <v>13.8</v>
      </c>
      <c r="D47" s="70">
        <v>13.8</v>
      </c>
      <c r="E47" s="70">
        <v>13.8</v>
      </c>
      <c r="F47" s="70">
        <v>13.8</v>
      </c>
      <c r="G47" s="70">
        <v>13.8</v>
      </c>
      <c r="H47" s="70">
        <v>13.8</v>
      </c>
      <c r="I47" s="70">
        <v>13.8</v>
      </c>
      <c r="J47" s="70">
        <v>13.8</v>
      </c>
      <c r="K47" s="70">
        <v>13.8</v>
      </c>
      <c r="L47" s="70">
        <v>13.8</v>
      </c>
      <c r="M47" s="70">
        <v>13.8</v>
      </c>
      <c r="N47" s="70">
        <v>13.8</v>
      </c>
      <c r="O47" s="70">
        <v>13.8</v>
      </c>
      <c r="P47" s="70">
        <v>13.8</v>
      </c>
      <c r="Q47" s="70">
        <v>13.8</v>
      </c>
      <c r="R47" s="70">
        <v>13.8</v>
      </c>
      <c r="S47" s="70">
        <v>13.8</v>
      </c>
      <c r="T47" s="70">
        <v>13.8</v>
      </c>
      <c r="U47" s="70">
        <v>13.8</v>
      </c>
      <c r="V47" s="51"/>
      <c r="W47" s="51">
        <v>8</v>
      </c>
      <c r="X47" s="51">
        <v>8</v>
      </c>
      <c r="Y47" s="51">
        <v>8</v>
      </c>
      <c r="Z47" s="51">
        <v>8</v>
      </c>
      <c r="AA47" s="51">
        <v>8</v>
      </c>
      <c r="AB47" s="51">
        <v>8</v>
      </c>
      <c r="AC47" s="51">
        <v>8</v>
      </c>
      <c r="AD47" s="51">
        <v>8</v>
      </c>
      <c r="AE47" s="51">
        <v>8</v>
      </c>
      <c r="AF47" s="51">
        <v>8</v>
      </c>
      <c r="AG47" s="63">
        <v>14.1</v>
      </c>
      <c r="AH47" s="54">
        <f t="shared" si="2"/>
        <v>13.8</v>
      </c>
      <c r="AI47" s="55">
        <f t="shared" si="3"/>
        <v>8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12.8</v>
      </c>
      <c r="C48" s="70">
        <v>12.8</v>
      </c>
      <c r="D48" s="70">
        <v>12.8</v>
      </c>
      <c r="E48" s="70">
        <v>12.8</v>
      </c>
      <c r="F48" s="70">
        <v>12.8</v>
      </c>
      <c r="G48" s="70">
        <v>12.8</v>
      </c>
      <c r="H48" s="70">
        <v>12.8</v>
      </c>
      <c r="I48" s="70">
        <v>12.8</v>
      </c>
      <c r="J48" s="70">
        <v>12.8</v>
      </c>
      <c r="K48" s="70">
        <v>12.8</v>
      </c>
      <c r="L48" s="70">
        <v>12.8</v>
      </c>
      <c r="M48" s="70">
        <v>13.2</v>
      </c>
      <c r="N48" s="70">
        <v>13.2</v>
      </c>
      <c r="O48" s="70">
        <v>13.2</v>
      </c>
      <c r="P48" s="70">
        <v>13.2</v>
      </c>
      <c r="Q48" s="70">
        <v>13.2</v>
      </c>
      <c r="R48" s="70">
        <v>13.2</v>
      </c>
      <c r="S48" s="70">
        <v>13.2</v>
      </c>
      <c r="T48" s="70">
        <v>13.2</v>
      </c>
      <c r="U48" s="70">
        <v>13.2</v>
      </c>
      <c r="V48" s="51"/>
      <c r="W48" s="51">
        <v>13.4</v>
      </c>
      <c r="X48" s="51">
        <v>13.4</v>
      </c>
      <c r="Y48" s="51">
        <v>13.4</v>
      </c>
      <c r="Z48" s="51">
        <v>13.4</v>
      </c>
      <c r="AA48" s="51">
        <v>13.4</v>
      </c>
      <c r="AB48" s="51">
        <v>13.4</v>
      </c>
      <c r="AC48" s="51">
        <v>13.4</v>
      </c>
      <c r="AD48" s="51">
        <v>13.4</v>
      </c>
      <c r="AE48" s="51">
        <v>13.4</v>
      </c>
      <c r="AF48" s="51">
        <v>13.4</v>
      </c>
      <c r="AG48" s="63">
        <v>14</v>
      </c>
      <c r="AH48" s="54">
        <f t="shared" si="2"/>
        <v>13.4</v>
      </c>
      <c r="AI48" s="55">
        <f t="shared" si="3"/>
        <v>12.8</v>
      </c>
      <c r="AK48" s="56"/>
    </row>
    <row r="49" spans="1:37" x14ac:dyDescent="0.25">
      <c r="A49" s="62" t="s">
        <v>57</v>
      </c>
      <c r="B49" s="70">
        <v>1.2</v>
      </c>
      <c r="C49" s="70">
        <v>1.2</v>
      </c>
      <c r="D49" s="70">
        <v>1.2</v>
      </c>
      <c r="E49" s="70">
        <v>1.2</v>
      </c>
      <c r="F49" s="70">
        <v>1.2</v>
      </c>
      <c r="G49" s="70">
        <v>1.2</v>
      </c>
      <c r="H49" s="70">
        <v>1.2</v>
      </c>
      <c r="I49" s="70">
        <v>1.2</v>
      </c>
      <c r="J49" s="70">
        <v>1.2</v>
      </c>
      <c r="K49" s="70">
        <v>1.2</v>
      </c>
      <c r="L49" s="70">
        <v>1.2</v>
      </c>
      <c r="M49" s="70">
        <v>1.2</v>
      </c>
      <c r="N49" s="70">
        <v>1.2</v>
      </c>
      <c r="O49" s="70">
        <v>1.2</v>
      </c>
      <c r="P49" s="70">
        <v>1.2</v>
      </c>
      <c r="Q49" s="70">
        <v>1.2</v>
      </c>
      <c r="R49" s="70">
        <v>1.2</v>
      </c>
      <c r="S49" s="70">
        <v>1.2</v>
      </c>
      <c r="T49" s="70">
        <v>1.2</v>
      </c>
      <c r="U49" s="70">
        <v>1.2</v>
      </c>
      <c r="V49" s="51"/>
      <c r="W49" s="51">
        <v>1.2</v>
      </c>
      <c r="X49" s="51">
        <v>1.2</v>
      </c>
      <c r="Y49" s="51">
        <v>1.2</v>
      </c>
      <c r="Z49" s="51">
        <v>1.2</v>
      </c>
      <c r="AA49" s="51">
        <v>1.2</v>
      </c>
      <c r="AB49" s="51">
        <v>1.2</v>
      </c>
      <c r="AC49" s="51">
        <v>1.2</v>
      </c>
      <c r="AD49" s="51">
        <v>1.2</v>
      </c>
      <c r="AE49" s="51">
        <v>1.2</v>
      </c>
      <c r="AF49" s="51">
        <v>1.2</v>
      </c>
      <c r="AG49" s="63">
        <v>10.050000000000001</v>
      </c>
      <c r="AH49" s="54">
        <f t="shared" si="2"/>
        <v>1.2</v>
      </c>
      <c r="AI49" s="55">
        <f t="shared" si="3"/>
        <v>1.2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70">
        <v>3.1</v>
      </c>
      <c r="R50" s="70"/>
      <c r="S50" s="70">
        <v>3.1</v>
      </c>
      <c r="T50" s="70">
        <v>3.1</v>
      </c>
      <c r="U50" s="70">
        <v>3.1</v>
      </c>
      <c r="V50" s="51"/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7">SUM(B39:B51)</f>
        <v>362.04000000000008</v>
      </c>
      <c r="C52" s="69">
        <f t="shared" si="7"/>
        <v>411.24000000000007</v>
      </c>
      <c r="D52" s="69">
        <f t="shared" si="7"/>
        <v>411.24000000000007</v>
      </c>
      <c r="E52" s="69">
        <f t="shared" si="7"/>
        <v>406.94000000000005</v>
      </c>
      <c r="F52" s="69">
        <f t="shared" si="7"/>
        <v>406.64000000000004</v>
      </c>
      <c r="G52" s="69">
        <f t="shared" si="7"/>
        <v>404.54000000000008</v>
      </c>
      <c r="H52" s="69">
        <f t="shared" si="7"/>
        <v>405.14000000000004</v>
      </c>
      <c r="I52" s="69">
        <f t="shared" si="7"/>
        <v>409.34</v>
      </c>
      <c r="J52" s="69">
        <f t="shared" si="7"/>
        <v>415.24</v>
      </c>
      <c r="K52" s="69">
        <f t="shared" si="7"/>
        <v>415.24</v>
      </c>
      <c r="L52" s="69">
        <f t="shared" si="7"/>
        <v>412.44</v>
      </c>
      <c r="M52" s="69">
        <f t="shared" si="7"/>
        <v>430.54</v>
      </c>
      <c r="N52" s="69">
        <f t="shared" si="7"/>
        <v>428.74</v>
      </c>
      <c r="O52" s="69">
        <f t="shared" si="7"/>
        <v>425.84000000000003</v>
      </c>
      <c r="P52" s="69">
        <f t="shared" si="7"/>
        <v>429.64</v>
      </c>
      <c r="Q52" s="69">
        <f t="shared" si="7"/>
        <v>428.84000000000003</v>
      </c>
      <c r="R52" s="69">
        <f t="shared" si="7"/>
        <v>420.94</v>
      </c>
      <c r="S52" s="69">
        <f t="shared" si="7"/>
        <v>412.04</v>
      </c>
      <c r="T52" s="69">
        <f t="shared" si="7"/>
        <v>404.04</v>
      </c>
      <c r="U52" s="69">
        <f t="shared" si="7"/>
        <v>410.64000000000004</v>
      </c>
      <c r="V52" s="69">
        <f t="shared" si="7"/>
        <v>3.54</v>
      </c>
      <c r="W52" s="69">
        <f t="shared" si="7"/>
        <v>411.14</v>
      </c>
      <c r="X52" s="69">
        <f>SUM(X39:X51)</f>
        <v>424.14</v>
      </c>
      <c r="Y52" s="69">
        <f t="shared" si="7"/>
        <v>424.14</v>
      </c>
      <c r="Z52" s="69">
        <f t="shared" si="7"/>
        <v>424.14</v>
      </c>
      <c r="AA52" s="69">
        <f t="shared" si="7"/>
        <v>424.14</v>
      </c>
      <c r="AB52" s="69">
        <f t="shared" si="7"/>
        <v>424.14</v>
      </c>
      <c r="AC52" s="69">
        <f t="shared" si="7"/>
        <v>426.54</v>
      </c>
      <c r="AD52" s="69">
        <f t="shared" si="7"/>
        <v>416.54</v>
      </c>
      <c r="AE52" s="69">
        <f t="shared" si="7"/>
        <v>416.54</v>
      </c>
      <c r="AF52" s="69">
        <f t="shared" si="7"/>
        <v>421.54</v>
      </c>
      <c r="AG52" s="74">
        <f>SUM(AG39:AG51)</f>
        <v>489.91</v>
      </c>
      <c r="AH52" s="54">
        <f t="shared" si="2"/>
        <v>430.54</v>
      </c>
      <c r="AI52" s="55">
        <f t="shared" si="3"/>
        <v>3.54</v>
      </c>
      <c r="AK52" s="56"/>
    </row>
    <row r="53" spans="1:37" x14ac:dyDescent="0.25">
      <c r="A53" s="57" t="s">
        <v>61</v>
      </c>
      <c r="B53" s="51">
        <v>20.6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14</v>
      </c>
      <c r="I53" s="51">
        <v>14</v>
      </c>
      <c r="J53" s="51">
        <v>30</v>
      </c>
      <c r="K53" s="51">
        <v>30</v>
      </c>
      <c r="L53" s="51">
        <v>50</v>
      </c>
      <c r="M53" s="51">
        <v>50</v>
      </c>
      <c r="N53" s="51">
        <v>34</v>
      </c>
      <c r="O53" s="51">
        <v>50</v>
      </c>
      <c r="P53" s="51">
        <v>49</v>
      </c>
      <c r="Q53" s="51">
        <v>48.8</v>
      </c>
      <c r="R53" s="51">
        <v>43.3</v>
      </c>
      <c r="S53" s="51">
        <v>60</v>
      </c>
      <c r="T53" s="51">
        <v>60</v>
      </c>
      <c r="U53" s="51">
        <v>60</v>
      </c>
      <c r="V53" s="51"/>
      <c r="W53" s="51">
        <v>55</v>
      </c>
      <c r="X53" s="51">
        <v>50</v>
      </c>
      <c r="Y53" s="51">
        <v>59</v>
      </c>
      <c r="Z53" s="51">
        <v>59</v>
      </c>
      <c r="AA53" s="51">
        <v>59</v>
      </c>
      <c r="AB53" s="51">
        <v>59</v>
      </c>
      <c r="AC53" s="51">
        <v>59</v>
      </c>
      <c r="AD53" s="51">
        <v>59</v>
      </c>
      <c r="AE53" s="51">
        <v>45</v>
      </c>
      <c r="AF53" s="51">
        <v>12</v>
      </c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15.3</v>
      </c>
      <c r="C54" s="70">
        <v>0</v>
      </c>
      <c r="D54" s="70">
        <v>0</v>
      </c>
      <c r="E54" s="70">
        <v>0</v>
      </c>
      <c r="F54" s="70">
        <v>0</v>
      </c>
      <c r="G54" s="70">
        <v>0</v>
      </c>
      <c r="H54" s="70">
        <v>5.3</v>
      </c>
      <c r="I54" s="70">
        <v>3.7</v>
      </c>
      <c r="J54" s="70">
        <v>11.4</v>
      </c>
      <c r="K54" s="70">
        <v>15</v>
      </c>
      <c r="L54" s="70">
        <v>21.9</v>
      </c>
      <c r="M54" s="70">
        <v>23.7</v>
      </c>
      <c r="N54" s="70">
        <v>16.600000000000001</v>
      </c>
      <c r="O54" s="70">
        <v>20</v>
      </c>
      <c r="P54" s="70">
        <v>18.7</v>
      </c>
      <c r="Q54" s="70">
        <v>19.899999999999999</v>
      </c>
      <c r="R54" s="70">
        <v>20.6</v>
      </c>
      <c r="S54" s="70">
        <v>30</v>
      </c>
      <c r="T54" s="70">
        <v>30</v>
      </c>
      <c r="U54" s="70">
        <v>30</v>
      </c>
      <c r="V54" s="70"/>
      <c r="W54" s="70">
        <v>23.7</v>
      </c>
      <c r="X54" s="70">
        <v>25</v>
      </c>
      <c r="Y54" s="70">
        <v>30</v>
      </c>
      <c r="Z54" s="70">
        <v>30</v>
      </c>
      <c r="AA54" s="70">
        <v>30</v>
      </c>
      <c r="AB54" s="70">
        <v>30</v>
      </c>
      <c r="AC54" s="70">
        <v>30</v>
      </c>
      <c r="AD54" s="70">
        <v>30</v>
      </c>
      <c r="AE54" s="70">
        <v>18</v>
      </c>
      <c r="AF54" s="70">
        <v>6</v>
      </c>
      <c r="AG54" s="63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5.6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1.3</v>
      </c>
      <c r="J55" s="75">
        <v>4.0999999999999996</v>
      </c>
      <c r="K55" s="75">
        <v>5.8</v>
      </c>
      <c r="L55" s="75">
        <v>8</v>
      </c>
      <c r="M55" s="75">
        <v>8.6</v>
      </c>
      <c r="N55" s="75">
        <v>6</v>
      </c>
      <c r="O55" s="75">
        <v>7.1</v>
      </c>
      <c r="P55" s="75">
        <v>6.8</v>
      </c>
      <c r="Q55" s="75">
        <v>7.3</v>
      </c>
      <c r="R55" s="75">
        <v>7.5</v>
      </c>
      <c r="S55" s="75">
        <v>11</v>
      </c>
      <c r="T55" s="75">
        <v>11</v>
      </c>
      <c r="U55" s="75">
        <v>11</v>
      </c>
      <c r="V55" s="75"/>
      <c r="W55" s="75">
        <v>8.6999999999999993</v>
      </c>
      <c r="X55" s="75">
        <v>9</v>
      </c>
      <c r="Y55" s="75">
        <v>12</v>
      </c>
      <c r="Z55" s="75">
        <v>12</v>
      </c>
      <c r="AA55" s="75">
        <v>12</v>
      </c>
      <c r="AB55" s="75">
        <v>12</v>
      </c>
      <c r="AC55" s="75">
        <v>12</v>
      </c>
      <c r="AD55" s="75">
        <v>12</v>
      </c>
      <c r="AE55" s="75">
        <v>6.5</v>
      </c>
      <c r="AF55" s="75">
        <v>3</v>
      </c>
      <c r="AG55" s="76">
        <v>14</v>
      </c>
      <c r="AH55" s="54">
        <f t="shared" si="2"/>
        <v>12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8">SUM(B53:B55)</f>
        <v>41.500000000000007</v>
      </c>
      <c r="C56" s="69">
        <f t="shared" si="8"/>
        <v>0</v>
      </c>
      <c r="D56" s="69">
        <f t="shared" si="8"/>
        <v>0</v>
      </c>
      <c r="E56" s="69">
        <f t="shared" si="8"/>
        <v>0</v>
      </c>
      <c r="F56" s="69">
        <f t="shared" si="8"/>
        <v>0</v>
      </c>
      <c r="G56" s="69">
        <f t="shared" si="8"/>
        <v>0</v>
      </c>
      <c r="H56" s="69">
        <f t="shared" si="8"/>
        <v>19.3</v>
      </c>
      <c r="I56" s="69">
        <f t="shared" si="8"/>
        <v>19</v>
      </c>
      <c r="J56" s="69">
        <f t="shared" si="8"/>
        <v>45.5</v>
      </c>
      <c r="K56" s="69">
        <f t="shared" si="8"/>
        <v>50.8</v>
      </c>
      <c r="L56" s="69">
        <f t="shared" si="8"/>
        <v>79.900000000000006</v>
      </c>
      <c r="M56" s="69">
        <f t="shared" si="8"/>
        <v>82.3</v>
      </c>
      <c r="N56" s="69">
        <f t="shared" si="8"/>
        <v>56.6</v>
      </c>
      <c r="O56" s="69">
        <f t="shared" si="8"/>
        <v>77.099999999999994</v>
      </c>
      <c r="P56" s="69">
        <f t="shared" si="8"/>
        <v>74.5</v>
      </c>
      <c r="Q56" s="69">
        <f t="shared" si="8"/>
        <v>75.999999999999986</v>
      </c>
      <c r="R56" s="69">
        <f t="shared" si="8"/>
        <v>71.400000000000006</v>
      </c>
      <c r="S56" s="69">
        <f t="shared" si="8"/>
        <v>101</v>
      </c>
      <c r="T56" s="69">
        <f t="shared" si="8"/>
        <v>101</v>
      </c>
      <c r="U56" s="69">
        <f t="shared" si="8"/>
        <v>101</v>
      </c>
      <c r="V56" s="69">
        <f t="shared" si="8"/>
        <v>0</v>
      </c>
      <c r="W56" s="69">
        <f t="shared" si="8"/>
        <v>87.4</v>
      </c>
      <c r="X56" s="69">
        <f t="shared" si="8"/>
        <v>84</v>
      </c>
      <c r="Y56" s="69">
        <f t="shared" si="8"/>
        <v>101</v>
      </c>
      <c r="Z56" s="69">
        <f t="shared" si="8"/>
        <v>101</v>
      </c>
      <c r="AA56" s="69">
        <f t="shared" si="8"/>
        <v>101</v>
      </c>
      <c r="AB56" s="69">
        <f t="shared" si="8"/>
        <v>101</v>
      </c>
      <c r="AC56" s="69">
        <f t="shared" si="8"/>
        <v>101</v>
      </c>
      <c r="AD56" s="69">
        <f t="shared" si="8"/>
        <v>101</v>
      </c>
      <c r="AE56" s="69">
        <f t="shared" si="8"/>
        <v>69.5</v>
      </c>
      <c r="AF56" s="69">
        <f t="shared" si="8"/>
        <v>21</v>
      </c>
      <c r="AG56" s="74">
        <f>SUM(AG53:AG55)</f>
        <v>106</v>
      </c>
      <c r="AH56" s="54">
        <f t="shared" si="2"/>
        <v>101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63</v>
      </c>
      <c r="C57" s="51">
        <v>61.4</v>
      </c>
      <c r="D57" s="51">
        <v>60.1</v>
      </c>
      <c r="E57" s="51">
        <v>59.18</v>
      </c>
      <c r="F57" s="51">
        <v>57.2</v>
      </c>
      <c r="G57" s="51">
        <v>60.7</v>
      </c>
      <c r="H57" s="51">
        <v>56.4</v>
      </c>
      <c r="I57" s="51">
        <v>49</v>
      </c>
      <c r="J57" s="51">
        <v>69.010000000000005</v>
      </c>
      <c r="K57" s="51">
        <v>75</v>
      </c>
      <c r="L57" s="51">
        <v>68.22</v>
      </c>
      <c r="M57" s="51">
        <v>65.3</v>
      </c>
      <c r="N57" s="51">
        <v>69.56</v>
      </c>
      <c r="O57" s="51">
        <v>67.7</v>
      </c>
      <c r="P57" s="51">
        <v>70.400000000000006</v>
      </c>
      <c r="Q57" s="51">
        <v>70</v>
      </c>
      <c r="R57" s="51">
        <v>73</v>
      </c>
      <c r="S57" s="51">
        <v>73</v>
      </c>
      <c r="T57" s="51">
        <v>57</v>
      </c>
      <c r="U57" s="51">
        <v>54</v>
      </c>
      <c r="V57" s="51"/>
      <c r="W57" s="51">
        <v>73</v>
      </c>
      <c r="X57" s="51">
        <v>75</v>
      </c>
      <c r="Y57" s="51">
        <v>74</v>
      </c>
      <c r="Z57" s="51">
        <v>60</v>
      </c>
      <c r="AA57" s="51">
        <v>60</v>
      </c>
      <c r="AB57" s="51">
        <v>77</v>
      </c>
      <c r="AC57" s="51">
        <v>66</v>
      </c>
      <c r="AD57" s="51">
        <v>72</v>
      </c>
      <c r="AE57" s="51">
        <v>57</v>
      </c>
      <c r="AF57" s="51">
        <v>65</v>
      </c>
      <c r="AG57" s="59"/>
      <c r="AH57" s="54">
        <f t="shared" si="2"/>
        <v>77</v>
      </c>
      <c r="AI57" s="55">
        <f t="shared" si="3"/>
        <v>49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/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-220</v>
      </c>
      <c r="C59" s="70">
        <v>-193.2</v>
      </c>
      <c r="D59" s="70">
        <v>-188.3</v>
      </c>
      <c r="E59" s="70">
        <v>-185</v>
      </c>
      <c r="F59" s="70">
        <v>-184.7</v>
      </c>
      <c r="G59" s="70">
        <v>-190</v>
      </c>
      <c r="H59" s="70">
        <v>-184.6</v>
      </c>
      <c r="I59" s="70">
        <v>-182</v>
      </c>
      <c r="J59" s="70">
        <v>-194</v>
      </c>
      <c r="K59" s="70">
        <v>-178</v>
      </c>
      <c r="L59" s="70">
        <v>-195.2</v>
      </c>
      <c r="M59" s="70">
        <v>-178</v>
      </c>
      <c r="N59" s="70">
        <v>-181</v>
      </c>
      <c r="O59" s="70">
        <v>-180</v>
      </c>
      <c r="P59" s="70">
        <v>-180</v>
      </c>
      <c r="Q59" s="70">
        <v>-178</v>
      </c>
      <c r="R59" s="70">
        <v>-190</v>
      </c>
      <c r="S59" s="70">
        <v>-200</v>
      </c>
      <c r="T59" s="70">
        <v>-190</v>
      </c>
      <c r="U59" s="70">
        <v>-206</v>
      </c>
      <c r="V59" s="70"/>
      <c r="W59" s="70">
        <v>-185</v>
      </c>
      <c r="X59" s="70">
        <v>-202</v>
      </c>
      <c r="Y59" s="70">
        <v>-180</v>
      </c>
      <c r="Z59" s="70">
        <v>-180</v>
      </c>
      <c r="AA59" s="70">
        <v>-150</v>
      </c>
      <c r="AB59" s="70">
        <v>-146</v>
      </c>
      <c r="AC59" s="70">
        <v>-175</v>
      </c>
      <c r="AD59" s="70">
        <v>-179</v>
      </c>
      <c r="AE59" s="70">
        <v>-183</v>
      </c>
      <c r="AF59" s="70">
        <v>-179</v>
      </c>
      <c r="AG59" s="77"/>
      <c r="AH59" s="54">
        <f t="shared" si="2"/>
        <v>-146</v>
      </c>
      <c r="AI59" s="55">
        <f t="shared" si="3"/>
        <v>-220</v>
      </c>
      <c r="AK59" s="56"/>
    </row>
    <row r="60" spans="1:37" x14ac:dyDescent="0.25">
      <c r="A60" s="62" t="s">
        <v>68</v>
      </c>
      <c r="B60" s="78">
        <v>36</v>
      </c>
      <c r="C60" s="78">
        <v>36</v>
      </c>
      <c r="D60" s="78">
        <v>36</v>
      </c>
      <c r="E60" s="78">
        <v>17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14</v>
      </c>
      <c r="AB60" s="78">
        <v>14</v>
      </c>
      <c r="AC60" s="78">
        <v>14</v>
      </c>
      <c r="AD60" s="78">
        <v>22</v>
      </c>
      <c r="AE60" s="78">
        <v>22</v>
      </c>
      <c r="AF60" s="78">
        <v>22</v>
      </c>
      <c r="AG60" s="77"/>
      <c r="AH60" s="54">
        <f t="shared" si="2"/>
        <v>36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8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9">SUM(B57:B67)</f>
        <v>-113</v>
      </c>
      <c r="C68" s="69">
        <f t="shared" si="9"/>
        <v>-87.799999999999983</v>
      </c>
      <c r="D68" s="69">
        <f t="shared" si="9"/>
        <v>-84.200000000000017</v>
      </c>
      <c r="E68" s="69">
        <f t="shared" si="9"/>
        <v>-100.82</v>
      </c>
      <c r="F68" s="69">
        <f t="shared" si="9"/>
        <v>-119.49999999999999</v>
      </c>
      <c r="G68" s="69">
        <f t="shared" si="9"/>
        <v>-121.30000000000001</v>
      </c>
      <c r="H68" s="69">
        <f t="shared" si="9"/>
        <v>-120.19999999999999</v>
      </c>
      <c r="I68" s="69">
        <f t="shared" si="9"/>
        <v>-125</v>
      </c>
      <c r="J68" s="69">
        <f t="shared" si="9"/>
        <v>-116.99</v>
      </c>
      <c r="K68" s="69">
        <f t="shared" si="9"/>
        <v>-95</v>
      </c>
      <c r="L68" s="69">
        <f t="shared" si="9"/>
        <v>-118.97999999999999</v>
      </c>
      <c r="M68" s="69">
        <f t="shared" si="9"/>
        <v>-104.7</v>
      </c>
      <c r="N68" s="69">
        <f t="shared" si="9"/>
        <v>-103.44</v>
      </c>
      <c r="O68" s="69">
        <f t="shared" si="9"/>
        <v>-104.3</v>
      </c>
      <c r="P68" s="69">
        <f t="shared" si="9"/>
        <v>-101.6</v>
      </c>
      <c r="Q68" s="69">
        <f t="shared" si="9"/>
        <v>-100</v>
      </c>
      <c r="R68" s="69">
        <f t="shared" si="9"/>
        <v>-109</v>
      </c>
      <c r="S68" s="69">
        <f t="shared" si="9"/>
        <v>-119</v>
      </c>
      <c r="T68" s="69">
        <f t="shared" si="9"/>
        <v>-125</v>
      </c>
      <c r="U68" s="69">
        <f t="shared" si="9"/>
        <v>-144</v>
      </c>
      <c r="V68" s="69">
        <f>SUM(V57:V67)</f>
        <v>8</v>
      </c>
      <c r="W68" s="69">
        <f t="shared" si="9"/>
        <v>-104</v>
      </c>
      <c r="X68" s="69">
        <f t="shared" si="9"/>
        <v>-119</v>
      </c>
      <c r="Y68" s="69">
        <f t="shared" si="9"/>
        <v>-98</v>
      </c>
      <c r="Z68" s="69">
        <f t="shared" si="9"/>
        <v>-112</v>
      </c>
      <c r="AA68" s="69">
        <f t="shared" si="9"/>
        <v>-68</v>
      </c>
      <c r="AB68" s="69">
        <f t="shared" si="9"/>
        <v>-47</v>
      </c>
      <c r="AC68" s="69">
        <f t="shared" si="9"/>
        <v>-87</v>
      </c>
      <c r="AD68" s="69">
        <f t="shared" si="9"/>
        <v>-77</v>
      </c>
      <c r="AE68" s="69">
        <f t="shared" si="9"/>
        <v>-96</v>
      </c>
      <c r="AF68" s="69">
        <f t="shared" si="9"/>
        <v>-84</v>
      </c>
      <c r="AG68" s="74">
        <f>SUM(AG57:AG67)</f>
        <v>0</v>
      </c>
      <c r="AH68" s="54">
        <f t="shared" si="2"/>
        <v>8</v>
      </c>
      <c r="AI68" s="55">
        <f t="shared" si="3"/>
        <v>-144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0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>
        <v>50</v>
      </c>
      <c r="AC74" s="86">
        <v>50</v>
      </c>
      <c r="AD74" s="86">
        <v>50</v>
      </c>
      <c r="AE74" s="86">
        <v>50</v>
      </c>
      <c r="AF74" s="86">
        <v>0</v>
      </c>
      <c r="AG74" s="74"/>
      <c r="AH74" s="54">
        <f t="shared" si="2"/>
        <v>50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1">B72+B68+B56+B52+B38+B74</f>
        <v>1264.7400000000002</v>
      </c>
      <c r="C75" s="84">
        <f t="shared" si="11"/>
        <v>1314.64</v>
      </c>
      <c r="D75" s="84">
        <f t="shared" si="11"/>
        <v>1308.2400000000002</v>
      </c>
      <c r="E75" s="84">
        <f t="shared" si="11"/>
        <v>1267.3200000000002</v>
      </c>
      <c r="F75" s="84">
        <f t="shared" si="11"/>
        <v>1261.3400000000001</v>
      </c>
      <c r="G75" s="84">
        <f t="shared" si="11"/>
        <v>1251.24</v>
      </c>
      <c r="H75" s="84">
        <f t="shared" si="11"/>
        <v>1248.94</v>
      </c>
      <c r="I75" s="84">
        <f t="shared" si="11"/>
        <v>1218.04</v>
      </c>
      <c r="J75" s="84">
        <f t="shared" si="11"/>
        <v>1265.3499999999999</v>
      </c>
      <c r="K75" s="84">
        <f t="shared" si="11"/>
        <v>1322.64</v>
      </c>
      <c r="L75" s="84">
        <f t="shared" si="11"/>
        <v>1354.96</v>
      </c>
      <c r="M75" s="84">
        <f t="shared" si="11"/>
        <v>1387.74</v>
      </c>
      <c r="N75" s="84">
        <f t="shared" si="11"/>
        <v>1383.3000000000002</v>
      </c>
      <c r="O75" s="84">
        <f t="shared" si="11"/>
        <v>1407.3400000000001</v>
      </c>
      <c r="P75" s="84">
        <f t="shared" si="11"/>
        <v>1426.34</v>
      </c>
      <c r="Q75" s="84">
        <f t="shared" si="11"/>
        <v>1435.6400000000003</v>
      </c>
      <c r="R75" s="84">
        <f t="shared" si="11"/>
        <v>1416.0400000000004</v>
      </c>
      <c r="S75" s="84">
        <f t="shared" si="11"/>
        <v>1438.64</v>
      </c>
      <c r="T75" s="84">
        <f t="shared" si="11"/>
        <v>1424.64</v>
      </c>
      <c r="U75" s="84">
        <f t="shared" si="11"/>
        <v>1427.2400000000002</v>
      </c>
      <c r="V75" s="84">
        <f t="shared" si="11"/>
        <v>621.14</v>
      </c>
      <c r="W75" s="84">
        <f t="shared" si="11"/>
        <v>1394.1399999999999</v>
      </c>
      <c r="X75" s="84">
        <f t="shared" si="11"/>
        <v>1348.74</v>
      </c>
      <c r="Y75" s="84">
        <f t="shared" si="11"/>
        <v>1356.74</v>
      </c>
      <c r="Z75" s="84">
        <f t="shared" si="11"/>
        <v>1422.7400000000002</v>
      </c>
      <c r="AA75" s="84">
        <f t="shared" si="11"/>
        <v>1466.7400000000002</v>
      </c>
      <c r="AB75" s="84">
        <f t="shared" si="11"/>
        <v>1516.14</v>
      </c>
      <c r="AC75" s="84">
        <f t="shared" si="11"/>
        <v>1498.5400000000002</v>
      </c>
      <c r="AD75" s="84">
        <f t="shared" si="11"/>
        <v>1488.5400000000002</v>
      </c>
      <c r="AE75" s="84">
        <f t="shared" si="11"/>
        <v>1388.0400000000002</v>
      </c>
      <c r="AF75" s="84">
        <f t="shared" si="11"/>
        <v>1342.3400000000001</v>
      </c>
      <c r="AG75" s="74">
        <f>AG72+AG68+AG56+AG52+AG38+AG74</f>
        <v>2144.14</v>
      </c>
      <c r="AH75" s="54">
        <f t="shared" si="2"/>
        <v>1516.14</v>
      </c>
      <c r="AI75" s="55">
        <f t="shared" si="3"/>
        <v>621.14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2">MAX(B76:AF76)</f>
        <v>0</v>
      </c>
      <c r="AI76" s="55">
        <f t="shared" ref="AI76:AI91" si="1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2"/>
        <v>0</v>
      </c>
      <c r="AI77" s="55">
        <f t="shared" si="1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2"/>
        <v>0</v>
      </c>
      <c r="AI78" s="55">
        <f t="shared" si="1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2"/>
        <v>0</v>
      </c>
      <c r="AI79" s="55">
        <f t="shared" si="13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2"/>
        <v>0</v>
      </c>
      <c r="AI80" s="55">
        <f t="shared" si="1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2"/>
        <v>0</v>
      </c>
      <c r="AI81" s="55">
        <f t="shared" si="1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4">SUM(AG76:AG81)</f>
        <v>0</v>
      </c>
      <c r="AH82" s="54">
        <f t="shared" si="12"/>
        <v>0</v>
      </c>
      <c r="AI82" s="55">
        <f t="shared" si="13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5">SUM(B70:B82)</f>
        <v>2466.63</v>
      </c>
      <c r="C83" s="69">
        <f t="shared" si="15"/>
        <v>2516.5299999999997</v>
      </c>
      <c r="D83" s="69">
        <f t="shared" si="15"/>
        <v>2510.13</v>
      </c>
      <c r="E83" s="69">
        <f t="shared" si="15"/>
        <v>2469.21</v>
      </c>
      <c r="F83" s="69">
        <f t="shared" si="15"/>
        <v>2463.23</v>
      </c>
      <c r="G83" s="69">
        <f t="shared" si="15"/>
        <v>2453.13</v>
      </c>
      <c r="H83" s="69">
        <f t="shared" si="15"/>
        <v>2450.83</v>
      </c>
      <c r="I83" s="69">
        <f t="shared" si="15"/>
        <v>2419.9299999999998</v>
      </c>
      <c r="J83" s="69">
        <f t="shared" si="15"/>
        <v>2467.2399999999998</v>
      </c>
      <c r="K83" s="69">
        <f t="shared" si="15"/>
        <v>2524.5299999999997</v>
      </c>
      <c r="L83" s="69">
        <f t="shared" si="15"/>
        <v>2556.85</v>
      </c>
      <c r="M83" s="69">
        <f t="shared" si="15"/>
        <v>2589.63</v>
      </c>
      <c r="N83" s="69">
        <f t="shared" si="15"/>
        <v>2585.19</v>
      </c>
      <c r="O83" s="69">
        <f t="shared" si="15"/>
        <v>2609.23</v>
      </c>
      <c r="P83" s="69">
        <f t="shared" si="15"/>
        <v>2628.2299999999996</v>
      </c>
      <c r="Q83" s="69">
        <f t="shared" si="15"/>
        <v>2637.53</v>
      </c>
      <c r="R83" s="69">
        <f t="shared" si="15"/>
        <v>2617.9300000000003</v>
      </c>
      <c r="S83" s="69">
        <f t="shared" si="15"/>
        <v>2640.5299999999997</v>
      </c>
      <c r="T83" s="69">
        <f t="shared" si="15"/>
        <v>2626.5299999999997</v>
      </c>
      <c r="U83" s="69">
        <f t="shared" si="15"/>
        <v>2629.13</v>
      </c>
      <c r="V83" s="69">
        <f t="shared" si="15"/>
        <v>1823.0299999999997</v>
      </c>
      <c r="W83" s="69">
        <f t="shared" si="15"/>
        <v>2596.0299999999997</v>
      </c>
      <c r="X83" s="69">
        <f t="shared" si="15"/>
        <v>2550.63</v>
      </c>
      <c r="Y83" s="69">
        <f t="shared" si="15"/>
        <v>2558.63</v>
      </c>
      <c r="Z83" s="69">
        <f t="shared" si="15"/>
        <v>2624.63</v>
      </c>
      <c r="AA83" s="69">
        <f t="shared" si="15"/>
        <v>2668.63</v>
      </c>
      <c r="AB83" s="69">
        <f t="shared" si="15"/>
        <v>2768.0299999999997</v>
      </c>
      <c r="AC83" s="69">
        <f t="shared" si="15"/>
        <v>2750.4300000000003</v>
      </c>
      <c r="AD83" s="69">
        <f t="shared" si="15"/>
        <v>2740.4300000000003</v>
      </c>
      <c r="AE83" s="69">
        <f t="shared" si="15"/>
        <v>2639.9300000000003</v>
      </c>
      <c r="AF83" s="69">
        <f t="shared" si="15"/>
        <v>2544.23</v>
      </c>
      <c r="AG83" s="74">
        <f t="shared" si="15"/>
        <v>4360.08</v>
      </c>
      <c r="AH83" s="54">
        <f t="shared" si="12"/>
        <v>2768.0299999999997</v>
      </c>
      <c r="AI83" s="55">
        <f t="shared" si="13"/>
        <v>1823.0299999999997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49.991</v>
      </c>
      <c r="C84" s="90">
        <v>49.857999999999997</v>
      </c>
      <c r="D84" s="90">
        <v>50.012</v>
      </c>
      <c r="E84" s="90">
        <v>50.058999999999997</v>
      </c>
      <c r="F84" s="90">
        <v>50.027999999999999</v>
      </c>
      <c r="G84" s="90">
        <v>50.003</v>
      </c>
      <c r="H84" s="90">
        <v>50.030999999999999</v>
      </c>
      <c r="I84" s="90">
        <v>49.978999999999999</v>
      </c>
      <c r="J84" s="90">
        <v>50.04</v>
      </c>
      <c r="K84" s="90">
        <v>49.898000000000003</v>
      </c>
      <c r="L84" s="90">
        <v>49.993000000000002</v>
      </c>
      <c r="M84" s="90">
        <v>50.051000000000002</v>
      </c>
      <c r="N84" s="90">
        <v>50.012</v>
      </c>
      <c r="O84" s="90">
        <v>50.04</v>
      </c>
      <c r="P84" s="90">
        <v>50.006999999999998</v>
      </c>
      <c r="Q84" s="90">
        <v>50.017000000000003</v>
      </c>
      <c r="R84" s="90">
        <v>50.024000000000001</v>
      </c>
      <c r="S84" s="90">
        <v>49.859000000000002</v>
      </c>
      <c r="T84" s="90">
        <v>49.859000000000002</v>
      </c>
      <c r="U84" s="90">
        <v>49.859000000000002</v>
      </c>
      <c r="V84" s="90"/>
      <c r="W84" s="90">
        <v>50.048000000000002</v>
      </c>
      <c r="X84" s="90">
        <v>50.078200000000002</v>
      </c>
      <c r="Y84" s="90">
        <v>50.015000000000001</v>
      </c>
      <c r="Z84" s="90">
        <v>50.015000000000001</v>
      </c>
      <c r="AA84" s="90">
        <v>50.015000000000001</v>
      </c>
      <c r="AB84" s="90">
        <v>49.994999999999997</v>
      </c>
      <c r="AC84" s="90">
        <v>50.045999999999999</v>
      </c>
      <c r="AD84" s="90">
        <v>50.009</v>
      </c>
      <c r="AE84" s="90">
        <v>50.04</v>
      </c>
      <c r="AF84" s="90">
        <v>49.972999999999999</v>
      </c>
      <c r="AG84" s="91"/>
      <c r="AH84" s="54">
        <f t="shared" si="12"/>
        <v>50.078200000000002</v>
      </c>
      <c r="AI84" s="55">
        <f t="shared" si="13"/>
        <v>49.857999999999997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124.9</v>
      </c>
      <c r="C85" s="70">
        <v>121.9</v>
      </c>
      <c r="D85" s="70">
        <v>122</v>
      </c>
      <c r="E85" s="70">
        <v>123.2</v>
      </c>
      <c r="F85" s="70">
        <v>123.1</v>
      </c>
      <c r="G85" s="70">
        <v>123.9</v>
      </c>
      <c r="H85" s="70">
        <v>123.5</v>
      </c>
      <c r="I85" s="70">
        <v>124.4</v>
      </c>
      <c r="J85" s="70">
        <v>122.5</v>
      </c>
      <c r="K85" s="70">
        <v>122</v>
      </c>
      <c r="L85" s="70">
        <v>123.2</v>
      </c>
      <c r="M85" s="70">
        <v>124.1</v>
      </c>
      <c r="N85" s="70">
        <v>123.6</v>
      </c>
      <c r="O85" s="70">
        <v>122.9</v>
      </c>
      <c r="P85" s="70">
        <v>121.7</v>
      </c>
      <c r="Q85" s="70">
        <v>121.1</v>
      </c>
      <c r="R85" s="70">
        <v>119.7</v>
      </c>
      <c r="S85" s="70">
        <v>119.7</v>
      </c>
      <c r="T85" s="70">
        <v>119.7</v>
      </c>
      <c r="U85" s="70">
        <v>119.7</v>
      </c>
      <c r="V85" s="70"/>
      <c r="W85" s="70">
        <v>122</v>
      </c>
      <c r="X85" s="70">
        <v>125</v>
      </c>
      <c r="Y85" s="70">
        <v>127</v>
      </c>
      <c r="Z85" s="70">
        <v>127</v>
      </c>
      <c r="AA85" s="70">
        <v>127</v>
      </c>
      <c r="AB85" s="70">
        <v>126</v>
      </c>
      <c r="AC85" s="70">
        <v>126</v>
      </c>
      <c r="AD85" s="70">
        <v>126</v>
      </c>
      <c r="AE85" s="70">
        <v>126</v>
      </c>
      <c r="AF85" s="70">
        <v>122</v>
      </c>
      <c r="AG85" s="93"/>
      <c r="AH85" s="54">
        <f t="shared" si="12"/>
        <v>127</v>
      </c>
      <c r="AI85" s="55">
        <f t="shared" si="13"/>
        <v>119.7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130</v>
      </c>
      <c r="C86" s="70">
        <v>127.1</v>
      </c>
      <c r="D86" s="70">
        <v>127.5</v>
      </c>
      <c r="E86" s="70">
        <v>128.1</v>
      </c>
      <c r="F86" s="70">
        <v>128</v>
      </c>
      <c r="G86" s="70">
        <v>128</v>
      </c>
      <c r="H86" s="70">
        <v>127.8</v>
      </c>
      <c r="I86" s="70">
        <v>127.8</v>
      </c>
      <c r="J86" s="70">
        <v>126.6</v>
      </c>
      <c r="K86" s="70">
        <v>126.4</v>
      </c>
      <c r="L86" s="70">
        <v>127</v>
      </c>
      <c r="M86" s="70">
        <v>127.3</v>
      </c>
      <c r="N86" s="70">
        <v>127</v>
      </c>
      <c r="O86" s="70">
        <v>126.5</v>
      </c>
      <c r="P86" s="70">
        <v>125.5</v>
      </c>
      <c r="Q86" s="70">
        <v>124.7</v>
      </c>
      <c r="R86" s="70">
        <v>124.2</v>
      </c>
      <c r="S86" s="70">
        <v>124.2</v>
      </c>
      <c r="T86" s="70">
        <v>124.2</v>
      </c>
      <c r="U86" s="70">
        <v>124.2</v>
      </c>
      <c r="V86" s="70"/>
      <c r="W86" s="70">
        <v>125</v>
      </c>
      <c r="X86" s="70">
        <v>128</v>
      </c>
      <c r="Y86" s="70">
        <v>129</v>
      </c>
      <c r="Z86" s="70">
        <v>129</v>
      </c>
      <c r="AA86" s="70">
        <v>129</v>
      </c>
      <c r="AB86" s="70">
        <v>129</v>
      </c>
      <c r="AC86" s="70">
        <v>129</v>
      </c>
      <c r="AD86" s="70">
        <v>129</v>
      </c>
      <c r="AE86" s="70">
        <v>129</v>
      </c>
      <c r="AF86" s="70">
        <v>127</v>
      </c>
      <c r="AG86" s="93"/>
      <c r="AH86" s="54">
        <f t="shared" si="12"/>
        <v>130</v>
      </c>
      <c r="AI86" s="55">
        <f t="shared" si="13"/>
        <v>124.2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128.1</v>
      </c>
      <c r="C87" s="70">
        <v>130</v>
      </c>
      <c r="D87" s="70">
        <v>128.9</v>
      </c>
      <c r="E87" s="70">
        <v>128.30000000000001</v>
      </c>
      <c r="F87" s="70">
        <v>128.4</v>
      </c>
      <c r="G87" s="70">
        <v>129.5</v>
      </c>
      <c r="H87" s="70">
        <v>130.9</v>
      </c>
      <c r="I87" s="70">
        <v>130.69999999999999</v>
      </c>
      <c r="J87" s="70">
        <v>129.19999999999999</v>
      </c>
      <c r="K87" s="70">
        <v>126.6</v>
      </c>
      <c r="L87" s="70">
        <v>129.30000000000001</v>
      </c>
      <c r="M87" s="70">
        <v>128.80000000000001</v>
      </c>
      <c r="N87" s="70">
        <v>128.1</v>
      </c>
      <c r="O87" s="70">
        <v>127.5</v>
      </c>
      <c r="P87" s="70">
        <v>127.7</v>
      </c>
      <c r="Q87" s="70">
        <v>129</v>
      </c>
      <c r="R87" s="70">
        <v>129.5</v>
      </c>
      <c r="S87" s="70">
        <v>129.5</v>
      </c>
      <c r="T87" s="70">
        <v>129.5</v>
      </c>
      <c r="U87" s="70">
        <v>129.5</v>
      </c>
      <c r="V87" s="70"/>
      <c r="W87" s="70">
        <v>129</v>
      </c>
      <c r="X87" s="70">
        <v>131</v>
      </c>
      <c r="Y87" s="70">
        <v>129</v>
      </c>
      <c r="Z87" s="70">
        <v>129</v>
      </c>
      <c r="AA87" s="70">
        <v>129</v>
      </c>
      <c r="AB87" s="70">
        <v>127</v>
      </c>
      <c r="AC87" s="70">
        <v>126</v>
      </c>
      <c r="AD87" s="70">
        <v>126</v>
      </c>
      <c r="AE87" s="70">
        <v>129.6</v>
      </c>
      <c r="AF87" s="70">
        <v>127</v>
      </c>
      <c r="AG87" s="93"/>
      <c r="AH87" s="54">
        <f t="shared" si="12"/>
        <v>131</v>
      </c>
      <c r="AI87" s="55">
        <f t="shared" si="13"/>
        <v>126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132.69999999999999</v>
      </c>
      <c r="C88" s="70">
        <v>134</v>
      </c>
      <c r="D88" s="70">
        <v>133.9</v>
      </c>
      <c r="E88" s="70">
        <v>133.5</v>
      </c>
      <c r="F88" s="70">
        <v>134.1</v>
      </c>
      <c r="G88" s="70">
        <v>133.19999999999999</v>
      </c>
      <c r="H88" s="70">
        <v>134</v>
      </c>
      <c r="I88" s="70">
        <v>133.6</v>
      </c>
      <c r="J88" s="70">
        <v>132.30000000000001</v>
      </c>
      <c r="K88" s="70">
        <v>129.30000000000001</v>
      </c>
      <c r="L88" s="70">
        <v>131.1</v>
      </c>
      <c r="M88" s="70">
        <v>131.9</v>
      </c>
      <c r="N88" s="70">
        <v>130.80000000000001</v>
      </c>
      <c r="O88" s="70">
        <v>130.6</v>
      </c>
      <c r="P88" s="70">
        <v>130.4</v>
      </c>
      <c r="Q88" s="70">
        <v>131.19999999999999</v>
      </c>
      <c r="R88" s="70">
        <v>132.6</v>
      </c>
      <c r="S88" s="70">
        <v>132.6</v>
      </c>
      <c r="T88" s="70">
        <v>132.6</v>
      </c>
      <c r="U88" s="70">
        <v>132.6</v>
      </c>
      <c r="V88" s="70"/>
      <c r="W88" s="70">
        <v>131</v>
      </c>
      <c r="X88" s="70">
        <v>134</v>
      </c>
      <c r="Y88" s="70">
        <v>131</v>
      </c>
      <c r="Z88" s="70">
        <v>131</v>
      </c>
      <c r="AA88" s="70">
        <v>131</v>
      </c>
      <c r="AB88" s="70">
        <v>130</v>
      </c>
      <c r="AC88" s="70">
        <v>129</v>
      </c>
      <c r="AD88" s="70">
        <v>129</v>
      </c>
      <c r="AE88" s="70">
        <v>133</v>
      </c>
      <c r="AF88" s="70">
        <v>132</v>
      </c>
      <c r="AG88" s="93"/>
      <c r="AH88" s="54">
        <f t="shared" si="12"/>
        <v>134.1</v>
      </c>
      <c r="AI88" s="55">
        <f t="shared" si="13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130.6</v>
      </c>
      <c r="C89" s="95">
        <v>132.80000000000001</v>
      </c>
      <c r="D89" s="95">
        <v>132</v>
      </c>
      <c r="E89" s="95">
        <v>133.9</v>
      </c>
      <c r="F89" s="95">
        <v>129.80000000000001</v>
      </c>
      <c r="G89" s="95">
        <v>129.6</v>
      </c>
      <c r="H89" s="95">
        <v>132.4</v>
      </c>
      <c r="I89" s="95">
        <v>131.9</v>
      </c>
      <c r="J89" s="95">
        <v>133.80000000000001</v>
      </c>
      <c r="K89" s="95">
        <v>132.9</v>
      </c>
      <c r="L89" s="95">
        <v>133.5</v>
      </c>
      <c r="M89" s="95">
        <v>129.69999999999999</v>
      </c>
      <c r="N89" s="95">
        <v>128.5</v>
      </c>
      <c r="O89" s="95">
        <v>132.9</v>
      </c>
      <c r="P89" s="95">
        <v>132.19999999999999</v>
      </c>
      <c r="Q89" s="95">
        <v>130.9</v>
      </c>
      <c r="R89" s="95">
        <v>128.30000000000001</v>
      </c>
      <c r="S89" s="95">
        <v>128.30000000000001</v>
      </c>
      <c r="T89" s="95">
        <v>128.30000000000001</v>
      </c>
      <c r="U89" s="95">
        <v>128.30000000000001</v>
      </c>
      <c r="V89" s="95"/>
      <c r="W89" s="95">
        <v>129</v>
      </c>
      <c r="X89" s="95">
        <v>133</v>
      </c>
      <c r="Y89" s="95">
        <v>135</v>
      </c>
      <c r="Z89" s="95">
        <v>135</v>
      </c>
      <c r="AA89" s="95">
        <v>135</v>
      </c>
      <c r="AB89" s="95">
        <v>131</v>
      </c>
      <c r="AC89" s="95">
        <v>130</v>
      </c>
      <c r="AD89" s="95">
        <v>130</v>
      </c>
      <c r="AE89" s="95">
        <v>131</v>
      </c>
      <c r="AF89" s="95">
        <v>132</v>
      </c>
      <c r="AG89" s="96"/>
      <c r="AH89" s="54">
        <f t="shared" si="12"/>
        <v>135</v>
      </c>
      <c r="AI89" s="55">
        <f t="shared" si="13"/>
        <v>128.30000000000001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123.8</v>
      </c>
      <c r="C90" s="70">
        <v>121.2</v>
      </c>
      <c r="D90" s="70">
        <v>121.6</v>
      </c>
      <c r="E90" s="70">
        <v>124</v>
      </c>
      <c r="F90" s="70">
        <v>116</v>
      </c>
      <c r="G90" s="70">
        <v>122.3</v>
      </c>
      <c r="H90" s="70">
        <v>126.8</v>
      </c>
      <c r="I90" s="70">
        <v>125.1</v>
      </c>
      <c r="J90" s="70">
        <v>131</v>
      </c>
      <c r="K90" s="70">
        <v>129.4</v>
      </c>
      <c r="L90" s="70">
        <v>129.19999999999999</v>
      </c>
      <c r="M90" s="70">
        <v>123.3</v>
      </c>
      <c r="N90" s="70">
        <v>122.4</v>
      </c>
      <c r="O90" s="70">
        <v>121.2</v>
      </c>
      <c r="P90" s="70">
        <v>129.69999999999999</v>
      </c>
      <c r="Q90" s="70">
        <v>127.5</v>
      </c>
      <c r="R90" s="70">
        <v>127</v>
      </c>
      <c r="S90" s="70">
        <v>127</v>
      </c>
      <c r="T90" s="70">
        <v>127</v>
      </c>
      <c r="U90" s="70">
        <v>127</v>
      </c>
      <c r="V90" s="70"/>
      <c r="W90" s="70">
        <v>128</v>
      </c>
      <c r="X90" s="70">
        <v>119</v>
      </c>
      <c r="Y90" s="70">
        <v>123</v>
      </c>
      <c r="Z90" s="70">
        <v>123</v>
      </c>
      <c r="AA90" s="70">
        <v>123</v>
      </c>
      <c r="AB90" s="70">
        <v>121</v>
      </c>
      <c r="AC90" s="70">
        <v>124</v>
      </c>
      <c r="AD90" s="70">
        <v>124</v>
      </c>
      <c r="AE90" s="70">
        <v>124</v>
      </c>
      <c r="AF90" s="70">
        <v>120</v>
      </c>
      <c r="AG90" s="93"/>
      <c r="AH90" s="54">
        <f t="shared" si="12"/>
        <v>131</v>
      </c>
      <c r="AI90" s="55">
        <f t="shared" si="13"/>
        <v>116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66</v>
      </c>
      <c r="C91" s="97">
        <v>64.7</v>
      </c>
      <c r="D91" s="97">
        <v>65</v>
      </c>
      <c r="E91" s="97">
        <v>65.3</v>
      </c>
      <c r="F91" s="97">
        <v>65.2</v>
      </c>
      <c r="G91" s="97">
        <v>65.2</v>
      </c>
      <c r="H91" s="97">
        <v>65</v>
      </c>
      <c r="I91" s="97">
        <v>65</v>
      </c>
      <c r="J91" s="97">
        <v>64.400000000000006</v>
      </c>
      <c r="K91" s="97">
        <v>64.099999999999994</v>
      </c>
      <c r="L91" s="97">
        <v>64.3</v>
      </c>
      <c r="M91" s="97">
        <v>64.3</v>
      </c>
      <c r="N91" s="97">
        <v>64.2</v>
      </c>
      <c r="O91" s="97">
        <v>64</v>
      </c>
      <c r="P91" s="97">
        <v>63.5</v>
      </c>
      <c r="Q91" s="97">
        <v>63.2</v>
      </c>
      <c r="R91" s="97">
        <v>62.8</v>
      </c>
      <c r="S91" s="97">
        <v>62.8</v>
      </c>
      <c r="T91" s="97">
        <v>62.8</v>
      </c>
      <c r="U91" s="97">
        <v>62.8</v>
      </c>
      <c r="V91" s="97"/>
      <c r="W91" s="97">
        <v>63.6</v>
      </c>
      <c r="X91" s="97">
        <v>64.7</v>
      </c>
      <c r="Y91" s="97">
        <v>65</v>
      </c>
      <c r="Z91" s="97">
        <v>65</v>
      </c>
      <c r="AA91" s="97">
        <v>65</v>
      </c>
      <c r="AB91" s="97">
        <v>65.400000000000006</v>
      </c>
      <c r="AC91" s="97">
        <v>65.400000000000006</v>
      </c>
      <c r="AD91" s="97">
        <v>65.400000000000006</v>
      </c>
      <c r="AE91" s="97">
        <v>65.599999999999994</v>
      </c>
      <c r="AF91" s="97">
        <v>64.2</v>
      </c>
      <c r="AG91" s="98"/>
      <c r="AH91" s="54">
        <f t="shared" si="12"/>
        <v>66</v>
      </c>
      <c r="AI91" s="55">
        <f t="shared" si="13"/>
        <v>62.8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6">SUM(B15,B18,B21:B22,B42,B44:B45,B47,B49,B94:B97,B103,B109,B115,B124,B126,B138,B145,B148:B149,B156,B158,B160,B164:B166,B168:B170,B175,B181:B182,B184:B186,B194,B199)</f>
        <v>151.53999999999996</v>
      </c>
      <c r="C93" s="103">
        <f t="shared" si="16"/>
        <v>143.33999999999997</v>
      </c>
      <c r="D93" s="103">
        <f t="shared" si="16"/>
        <v>138.43999999999997</v>
      </c>
      <c r="E93" s="103">
        <f t="shared" si="16"/>
        <v>134.83999999999997</v>
      </c>
      <c r="F93" s="103">
        <f t="shared" si="16"/>
        <v>137.13999999999993</v>
      </c>
      <c r="G93" s="103">
        <f t="shared" si="16"/>
        <v>161.83999999999995</v>
      </c>
      <c r="H93" s="103">
        <f t="shared" si="16"/>
        <v>185.24</v>
      </c>
      <c r="I93" s="103">
        <f t="shared" si="16"/>
        <v>205.84</v>
      </c>
      <c r="J93" s="103">
        <f t="shared" si="16"/>
        <v>240.04</v>
      </c>
      <c r="K93" s="103">
        <f t="shared" si="16"/>
        <v>289.54000000000008</v>
      </c>
      <c r="L93" s="103">
        <f t="shared" si="16"/>
        <v>292.14000000000004</v>
      </c>
      <c r="M93" s="103">
        <f t="shared" si="16"/>
        <v>303.74000000000007</v>
      </c>
      <c r="N93" s="103">
        <f t="shared" si="16"/>
        <v>292.74000000000007</v>
      </c>
      <c r="O93" s="103">
        <f t="shared" si="16"/>
        <v>299.24</v>
      </c>
      <c r="P93" s="103">
        <f t="shared" si="16"/>
        <v>306.94</v>
      </c>
      <c r="Q93" s="103">
        <f t="shared" si="16"/>
        <v>311.94</v>
      </c>
      <c r="R93" s="103">
        <f t="shared" si="16"/>
        <v>298.64000000000004</v>
      </c>
      <c r="S93" s="103">
        <f t="shared" si="16"/>
        <v>299.74</v>
      </c>
      <c r="T93" s="103">
        <f t="shared" si="16"/>
        <v>226.73999999999998</v>
      </c>
      <c r="U93" s="103">
        <f t="shared" si="16"/>
        <v>318.74</v>
      </c>
      <c r="V93" s="103">
        <f t="shared" si="16"/>
        <v>123.83999999999999</v>
      </c>
      <c r="W93" s="103">
        <f>SUM(W15,W18,W21:W22,W42,W44:W45,W47,W49,W94:W97,W103,W109,W115,W124,W126,W138,W145,W148:W149,W156,W158,W160,W164:W166,W168:W170,W175,W181:W182,W184:W186,W194,W199)</f>
        <v>311.74</v>
      </c>
      <c r="X93" s="103">
        <f>SUM(X15,X18,X21:X22,X42,X44:X45,X47,X49,X94:X97,X103,X109,X115,X124,X126,X138,X145,X148:X149,X156,X158,X160,X164:X166,X168:X170,X175,X181:X182,X184:X186,X194,X199)</f>
        <v>294.74</v>
      </c>
      <c r="Y93" s="103">
        <f>SUM(Y15,Y18,Y21:Y22,Y42,Y44:Y45,Y47,Y49,Y94:Y97,Y103,Y109,Y115,Y124,Y126,Y138,Y145,Y148:Y149,Y156,Y158,Y160,Y164:Y166,Y168:Y170,Y175,Y181:Y182,Y184:Y186,Y194,Y199)</f>
        <v>323.74</v>
      </c>
      <c r="Z93" s="103">
        <f>SUM(Z15,Z18,Z21:Z22,Z42,Z44:Z45,Z47,Z49,Z94:Z97,Z103,Z109,Z115,Z124,Z126,Z138,Z145,Z148:Z149,Z156,Z158,Z160,Z164:Z166,Z168:Z170,Z175,Z181:Z182,Z184:Z186,Z194,Z199)</f>
        <v>322.74</v>
      </c>
      <c r="AA93" s="103">
        <f t="shared" si="16"/>
        <v>214.73999999999998</v>
      </c>
      <c r="AB93" s="103">
        <f t="shared" si="16"/>
        <v>286.94000000000005</v>
      </c>
      <c r="AC93" s="103">
        <f t="shared" si="16"/>
        <v>270.14</v>
      </c>
      <c r="AD93" s="103">
        <f t="shared" si="16"/>
        <v>245.04</v>
      </c>
      <c r="AE93" s="103">
        <f t="shared" si="16"/>
        <v>184.53999999999996</v>
      </c>
      <c r="AF93" s="103">
        <f t="shared" si="16"/>
        <v>156.51</v>
      </c>
      <c r="AG93" s="104"/>
      <c r="AH93" s="54">
        <f>MAX(C93:AF93)</f>
        <v>323.74</v>
      </c>
      <c r="AI93" s="55">
        <f>MIN(C93:AF93)</f>
        <v>123.83999999999999</v>
      </c>
    </row>
    <row r="94" spans="1:88" x14ac:dyDescent="0.25">
      <c r="A94" s="105" t="s">
        <v>99</v>
      </c>
      <c r="B94" s="106">
        <v>34.5</v>
      </c>
      <c r="C94" s="106">
        <v>42</v>
      </c>
      <c r="D94" s="106">
        <v>41.9</v>
      </c>
      <c r="E94" s="106">
        <v>45.5</v>
      </c>
      <c r="F94" s="106">
        <v>41.3</v>
      </c>
      <c r="G94" s="106">
        <v>45.2</v>
      </c>
      <c r="H94" s="106">
        <v>45.4</v>
      </c>
      <c r="I94" s="106">
        <v>55.4</v>
      </c>
      <c r="J94" s="106">
        <v>61.3</v>
      </c>
      <c r="K94" s="106">
        <v>46.3</v>
      </c>
      <c r="L94" s="106">
        <v>44.7</v>
      </c>
      <c r="M94" s="106">
        <v>47.7</v>
      </c>
      <c r="N94" s="106">
        <v>48.5</v>
      </c>
      <c r="O94" s="106">
        <v>52.7</v>
      </c>
      <c r="P94" s="106">
        <v>41.3</v>
      </c>
      <c r="Q94" s="106">
        <v>50.5</v>
      </c>
      <c r="R94" s="106">
        <v>48.5</v>
      </c>
      <c r="S94" s="106">
        <v>47</v>
      </c>
      <c r="T94" s="106"/>
      <c r="U94" s="106">
        <v>40</v>
      </c>
      <c r="V94" s="106"/>
      <c r="W94" s="106">
        <v>57</v>
      </c>
      <c r="X94" s="106">
        <v>63</v>
      </c>
      <c r="Y94" s="106">
        <v>58</v>
      </c>
      <c r="Z94" s="106">
        <v>58</v>
      </c>
      <c r="AA94" s="106"/>
      <c r="AB94" s="106">
        <v>44.9</v>
      </c>
      <c r="AC94" s="106">
        <v>43.8</v>
      </c>
      <c r="AD94" s="106">
        <v>43.3</v>
      </c>
      <c r="AE94" s="106">
        <v>38.700000000000003</v>
      </c>
      <c r="AF94" s="106">
        <v>43.9</v>
      </c>
      <c r="AG94" s="107">
        <v>75</v>
      </c>
      <c r="AH94" s="54">
        <f t="shared" ref="AH94:AH100" si="17">IF(ABS(MAX(C94:AF94))&gt;ABS(MIN(C94:AF94)),MAX(C94:AF94),MIN(C94:AF94))</f>
        <v>63</v>
      </c>
      <c r="AI94" s="108">
        <f t="shared" ref="AI94:AI100" si="18">INDEX($C$9:$AF$9,1,MATCH(AH94,C94:AF94,0))</f>
        <v>0.75</v>
      </c>
    </row>
    <row r="95" spans="1:88" x14ac:dyDescent="0.25">
      <c r="A95" s="109" t="s">
        <v>100</v>
      </c>
      <c r="B95" s="110">
        <f>-52.6-61</f>
        <v>-113.6</v>
      </c>
      <c r="C95" s="110">
        <f>-55.5-60.2</f>
        <v>-115.7</v>
      </c>
      <c r="D95" s="110">
        <f>-57-62</f>
        <v>-119</v>
      </c>
      <c r="E95" s="110">
        <f>-60-65.1</f>
        <v>-125.1</v>
      </c>
      <c r="F95" s="110">
        <f>-57.1-62.6</f>
        <v>-119.7</v>
      </c>
      <c r="G95" s="110">
        <f>-49.3-54.1</f>
        <v>-103.4</v>
      </c>
      <c r="H95" s="110">
        <f>-42.4-48.6</f>
        <v>-91</v>
      </c>
      <c r="I95" s="110">
        <f>-37.6-43.8</f>
        <v>-81.400000000000006</v>
      </c>
      <c r="J95" s="110">
        <f>-29.3-37.6</f>
        <v>-66.900000000000006</v>
      </c>
      <c r="K95" s="110">
        <v>-60</v>
      </c>
      <c r="L95" s="110">
        <f>-22.6-33.7</f>
        <v>-56.300000000000004</v>
      </c>
      <c r="M95" s="110">
        <v>-54.3</v>
      </c>
      <c r="N95" s="110">
        <v>-59.6</v>
      </c>
      <c r="O95" s="110">
        <v>-56.9</v>
      </c>
      <c r="P95" s="110">
        <v>-60</v>
      </c>
      <c r="Q95" s="110">
        <v>-60</v>
      </c>
      <c r="R95" s="110">
        <v>-70</v>
      </c>
      <c r="S95" s="110">
        <v>-70</v>
      </c>
      <c r="T95" s="110"/>
      <c r="U95" s="110">
        <v>-48</v>
      </c>
      <c r="V95" s="110"/>
      <c r="W95" s="110">
        <v>-15</v>
      </c>
      <c r="X95" s="110">
        <v>-33</v>
      </c>
      <c r="Y95" s="110">
        <v>-7</v>
      </c>
      <c r="Z95" s="110">
        <v>-5</v>
      </c>
      <c r="AA95" s="110"/>
      <c r="AB95" s="110">
        <v>-9.1</v>
      </c>
      <c r="AC95" s="110">
        <v>-17.600000000000001</v>
      </c>
      <c r="AD95" s="110">
        <v>-40</v>
      </c>
      <c r="AE95" s="110">
        <v>-78.7</v>
      </c>
      <c r="AF95" s="110">
        <v>-115</v>
      </c>
      <c r="AG95" s="107">
        <v>240</v>
      </c>
      <c r="AH95" s="54">
        <f t="shared" si="17"/>
        <v>-125.1</v>
      </c>
      <c r="AI95" s="108">
        <f t="shared" si="18"/>
        <v>0.125</v>
      </c>
    </row>
    <row r="96" spans="1:88" x14ac:dyDescent="0.25">
      <c r="A96" s="109" t="s">
        <v>101</v>
      </c>
      <c r="B96" s="110">
        <v>13.6</v>
      </c>
      <c r="C96" s="110">
        <v>0</v>
      </c>
      <c r="D96" s="110">
        <v>-1.5</v>
      </c>
      <c r="E96" s="110">
        <v>-2.1</v>
      </c>
      <c r="F96" s="110">
        <v>-1.3</v>
      </c>
      <c r="G96" s="110">
        <v>3</v>
      </c>
      <c r="H96" s="110">
        <v>13.9</v>
      </c>
      <c r="I96" s="110">
        <v>15.4</v>
      </c>
      <c r="J96" s="110">
        <v>29.2</v>
      </c>
      <c r="K96" s="110">
        <v>39.299999999999997</v>
      </c>
      <c r="L96" s="110">
        <v>43.8</v>
      </c>
      <c r="M96" s="110">
        <v>43.3</v>
      </c>
      <c r="N96" s="110">
        <v>33.700000000000003</v>
      </c>
      <c r="O96" s="110">
        <v>39.299999999999997</v>
      </c>
      <c r="P96" s="110">
        <v>49.7</v>
      </c>
      <c r="Q96" s="110">
        <v>43.3</v>
      </c>
      <c r="R96" s="110">
        <v>38.200000000000003</v>
      </c>
      <c r="S96" s="110">
        <v>51</v>
      </c>
      <c r="T96" s="110"/>
      <c r="U96" s="110">
        <v>38</v>
      </c>
      <c r="V96" s="110"/>
      <c r="W96" s="110">
        <v>55</v>
      </c>
      <c r="X96" s="110">
        <v>50</v>
      </c>
      <c r="Y96" s="110">
        <v>58</v>
      </c>
      <c r="Z96" s="110">
        <v>55</v>
      </c>
      <c r="AA96" s="110"/>
      <c r="AB96" s="110">
        <v>58</v>
      </c>
      <c r="AC96" s="110">
        <v>50.8</v>
      </c>
      <c r="AD96" s="110">
        <v>48.6</v>
      </c>
      <c r="AE96" s="110">
        <v>31.4</v>
      </c>
      <c r="AF96" s="110">
        <v>7.87</v>
      </c>
      <c r="AG96" s="107">
        <v>60</v>
      </c>
      <c r="AH96" s="54">
        <f t="shared" si="17"/>
        <v>58</v>
      </c>
      <c r="AI96" s="108">
        <f t="shared" si="18"/>
        <v>0.77083333333333337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47.5</v>
      </c>
      <c r="L97" s="112">
        <v>43.2</v>
      </c>
      <c r="M97" s="112">
        <v>40.5</v>
      </c>
      <c r="N97" s="112">
        <v>43.5</v>
      </c>
      <c r="O97" s="112">
        <v>37</v>
      </c>
      <c r="P97" s="112">
        <v>49.4</v>
      </c>
      <c r="Q97" s="112">
        <v>51.4</v>
      </c>
      <c r="R97" s="112">
        <v>55.2</v>
      </c>
      <c r="S97" s="112">
        <v>45</v>
      </c>
      <c r="T97" s="112"/>
      <c r="U97" s="112">
        <v>62</v>
      </c>
      <c r="V97" s="112"/>
      <c r="W97" s="112">
        <v>0</v>
      </c>
      <c r="X97" s="112">
        <v>0</v>
      </c>
      <c r="Y97" s="112">
        <v>0</v>
      </c>
      <c r="Z97" s="112">
        <v>0</v>
      </c>
      <c r="AA97" s="112"/>
      <c r="AB97" s="112">
        <v>0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4">
        <f t="shared" si="17"/>
        <v>62</v>
      </c>
      <c r="AI97" s="108">
        <f t="shared" si="18"/>
        <v>0.66666666666666696</v>
      </c>
    </row>
    <row r="98" spans="1:37" x14ac:dyDescent="0.25">
      <c r="A98" s="111" t="s">
        <v>103</v>
      </c>
      <c r="B98" s="112">
        <v>23</v>
      </c>
      <c r="C98" s="112">
        <v>48</v>
      </c>
      <c r="D98" s="112">
        <v>44</v>
      </c>
      <c r="E98" s="112">
        <v>31.9</v>
      </c>
      <c r="F98" s="112">
        <v>43.2</v>
      </c>
      <c r="G98" s="112">
        <v>39.5</v>
      </c>
      <c r="H98" s="112">
        <v>49</v>
      </c>
      <c r="I98" s="112">
        <v>40.6</v>
      </c>
      <c r="J98" s="112">
        <v>40.299999999999997</v>
      </c>
      <c r="K98" s="112">
        <v>52.2</v>
      </c>
      <c r="L98" s="112">
        <v>51</v>
      </c>
      <c r="M98" s="112">
        <v>44.4</v>
      </c>
      <c r="N98" s="112">
        <v>46.5</v>
      </c>
      <c r="O98" s="112">
        <v>41.8</v>
      </c>
      <c r="P98" s="112">
        <v>55</v>
      </c>
      <c r="Q98" s="112">
        <v>55.1</v>
      </c>
      <c r="R98" s="112">
        <v>64</v>
      </c>
      <c r="S98" s="112">
        <v>52</v>
      </c>
      <c r="T98" s="112"/>
      <c r="U98" s="112">
        <v>57</v>
      </c>
      <c r="V98" s="112"/>
      <c r="W98" s="112">
        <v>70</v>
      </c>
      <c r="X98" s="112">
        <v>51</v>
      </c>
      <c r="Y98" s="112">
        <v>48</v>
      </c>
      <c r="Z98" s="112">
        <v>61</v>
      </c>
      <c r="AA98" s="112"/>
      <c r="AB98" s="112">
        <v>63.1</v>
      </c>
      <c r="AC98" s="112">
        <v>59.5</v>
      </c>
      <c r="AD98" s="112">
        <v>53.2</v>
      </c>
      <c r="AE98" s="112">
        <v>41.4</v>
      </c>
      <c r="AF98" s="112">
        <v>32.299999999999997</v>
      </c>
      <c r="AG98" s="113"/>
      <c r="AH98" s="54">
        <f t="shared" si="17"/>
        <v>70</v>
      </c>
      <c r="AI98" s="108">
        <f t="shared" si="18"/>
        <v>0.72916666666666663</v>
      </c>
    </row>
    <row r="99" spans="1:37" x14ac:dyDescent="0.25">
      <c r="A99" s="111" t="s">
        <v>104</v>
      </c>
      <c r="B99" s="112">
        <v>66.400000000000006</v>
      </c>
      <c r="C99" s="112">
        <v>39.4</v>
      </c>
      <c r="D99" s="112">
        <v>38</v>
      </c>
      <c r="E99" s="112">
        <v>62</v>
      </c>
      <c r="F99" s="112">
        <v>65.2</v>
      </c>
      <c r="G99" s="112">
        <v>61.7</v>
      </c>
      <c r="H99" s="112">
        <v>60.2</v>
      </c>
      <c r="I99" s="112">
        <v>44.4</v>
      </c>
      <c r="J99" s="112">
        <v>30.8</v>
      </c>
      <c r="K99" s="112">
        <v>52.2</v>
      </c>
      <c r="L99" s="112">
        <v>49.4</v>
      </c>
      <c r="M99" s="112">
        <v>49.1</v>
      </c>
      <c r="N99" s="112">
        <v>54</v>
      </c>
      <c r="O99" s="112">
        <v>43.1</v>
      </c>
      <c r="P99" s="112">
        <v>50</v>
      </c>
      <c r="Q99" s="112">
        <v>38.4</v>
      </c>
      <c r="R99" s="112">
        <v>50</v>
      </c>
      <c r="S99" s="112">
        <v>38</v>
      </c>
      <c r="T99" s="112"/>
      <c r="U99" s="112">
        <v>73</v>
      </c>
      <c r="V99" s="112"/>
      <c r="W99" s="112">
        <v>64</v>
      </c>
      <c r="X99" s="112">
        <v>45</v>
      </c>
      <c r="Y99" s="112">
        <v>67</v>
      </c>
      <c r="Z99" s="112">
        <v>56</v>
      </c>
      <c r="AA99" s="112"/>
      <c r="AB99" s="112">
        <v>81</v>
      </c>
      <c r="AC99" s="112">
        <v>81</v>
      </c>
      <c r="AD99" s="112">
        <v>77</v>
      </c>
      <c r="AE99" s="112">
        <v>72</v>
      </c>
      <c r="AF99" s="112">
        <v>42.2</v>
      </c>
      <c r="AG99" s="114"/>
      <c r="AH99" s="54">
        <f t="shared" si="17"/>
        <v>81</v>
      </c>
      <c r="AI99" s="108">
        <f t="shared" si="18"/>
        <v>0.83333333333333337</v>
      </c>
    </row>
    <row r="100" spans="1:37" ht="15.75" thickBot="1" x14ac:dyDescent="0.3">
      <c r="A100" s="115" t="s">
        <v>105</v>
      </c>
      <c r="B100" s="95">
        <v>44</v>
      </c>
      <c r="C100" s="95">
        <v>41.5</v>
      </c>
      <c r="D100" s="95">
        <v>40</v>
      </c>
      <c r="E100" s="95">
        <v>42.7</v>
      </c>
      <c r="F100" s="95">
        <v>38.799999999999997</v>
      </c>
      <c r="G100" s="95">
        <v>34</v>
      </c>
      <c r="H100" s="95">
        <v>29.1</v>
      </c>
      <c r="I100" s="95">
        <v>28.3</v>
      </c>
      <c r="J100" s="95">
        <v>24.9</v>
      </c>
      <c r="K100" s="95">
        <v>28.3</v>
      </c>
      <c r="L100" s="95">
        <v>32.200000000000003</v>
      </c>
      <c r="M100" s="95">
        <v>44.3</v>
      </c>
      <c r="N100" s="95">
        <v>50.4</v>
      </c>
      <c r="O100" s="95">
        <v>37.4</v>
      </c>
      <c r="P100" s="95">
        <v>48</v>
      </c>
      <c r="Q100" s="95">
        <v>45</v>
      </c>
      <c r="R100" s="95">
        <v>45</v>
      </c>
      <c r="S100" s="95">
        <v>48</v>
      </c>
      <c r="T100" s="95"/>
      <c r="U100" s="95">
        <v>54</v>
      </c>
      <c r="V100" s="95"/>
      <c r="W100" s="95">
        <v>44</v>
      </c>
      <c r="X100" s="95">
        <v>44</v>
      </c>
      <c r="Y100" s="95">
        <v>60</v>
      </c>
      <c r="Z100" s="95">
        <v>67</v>
      </c>
      <c r="AA100" s="95"/>
      <c r="AB100" s="95">
        <v>69.3</v>
      </c>
      <c r="AC100" s="95">
        <v>66.900000000000006</v>
      </c>
      <c r="AD100" s="95">
        <v>65.3</v>
      </c>
      <c r="AE100" s="95">
        <v>52.8</v>
      </c>
      <c r="AF100" s="95">
        <v>49.2</v>
      </c>
      <c r="AG100" s="114"/>
      <c r="AH100" s="54">
        <f t="shared" si="17"/>
        <v>69.3</v>
      </c>
      <c r="AI100" s="108">
        <f t="shared" si="18"/>
        <v>0.83333333333333337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9">AF102</f>
        <v>9.9</v>
      </c>
      <c r="C102" s="53">
        <v>9.9</v>
      </c>
      <c r="D102" s="121">
        <f t="shared" ref="D102:S107" si="20">C102</f>
        <v>9.9</v>
      </c>
      <c r="E102" s="121">
        <f t="shared" si="20"/>
        <v>9.9</v>
      </c>
      <c r="F102" s="121">
        <f t="shared" si="20"/>
        <v>9.9</v>
      </c>
      <c r="G102" s="121">
        <f t="shared" si="20"/>
        <v>9.9</v>
      </c>
      <c r="H102" s="121">
        <f t="shared" si="20"/>
        <v>9.9</v>
      </c>
      <c r="I102" s="121">
        <f t="shared" si="20"/>
        <v>9.9</v>
      </c>
      <c r="J102" s="121">
        <f t="shared" si="20"/>
        <v>9.9</v>
      </c>
      <c r="K102" s="121">
        <f t="shared" si="20"/>
        <v>9.9</v>
      </c>
      <c r="L102" s="121">
        <f t="shared" si="20"/>
        <v>9.9</v>
      </c>
      <c r="M102" s="121">
        <f t="shared" si="20"/>
        <v>9.9</v>
      </c>
      <c r="N102" s="121">
        <f t="shared" si="20"/>
        <v>9.9</v>
      </c>
      <c r="O102" s="121">
        <f t="shared" si="20"/>
        <v>9.9</v>
      </c>
      <c r="P102" s="121">
        <f t="shared" si="20"/>
        <v>9.9</v>
      </c>
      <c r="Q102" s="121">
        <f t="shared" si="20"/>
        <v>9.9</v>
      </c>
      <c r="R102" s="121">
        <f t="shared" si="20"/>
        <v>9.9</v>
      </c>
      <c r="S102" s="121">
        <f t="shared" si="20"/>
        <v>9.9</v>
      </c>
      <c r="T102" s="121">
        <f t="shared" ref="T102:AF107" si="21">S102</f>
        <v>9.9</v>
      </c>
      <c r="U102" s="121">
        <f t="shared" si="21"/>
        <v>9.9</v>
      </c>
      <c r="V102" s="121">
        <f t="shared" si="21"/>
        <v>9.9</v>
      </c>
      <c r="W102" s="121">
        <f t="shared" si="21"/>
        <v>9.9</v>
      </c>
      <c r="X102" s="121">
        <f t="shared" si="21"/>
        <v>9.9</v>
      </c>
      <c r="Y102" s="121">
        <f t="shared" si="21"/>
        <v>9.9</v>
      </c>
      <c r="Z102" s="121">
        <f t="shared" si="21"/>
        <v>9.9</v>
      </c>
      <c r="AA102" s="121">
        <f t="shared" si="21"/>
        <v>9.9</v>
      </c>
      <c r="AB102" s="121">
        <f t="shared" si="21"/>
        <v>9.9</v>
      </c>
      <c r="AC102" s="121">
        <f t="shared" si="21"/>
        <v>9.9</v>
      </c>
      <c r="AD102" s="121">
        <f t="shared" si="21"/>
        <v>9.9</v>
      </c>
      <c r="AE102" s="121">
        <f t="shared" si="21"/>
        <v>9.9</v>
      </c>
      <c r="AF102" s="121">
        <f t="shared" si="21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9"/>
        <v>9.6</v>
      </c>
      <c r="C103" s="124">
        <v>9.6</v>
      </c>
      <c r="D103" s="123">
        <f t="shared" si="20"/>
        <v>9.6</v>
      </c>
      <c r="E103" s="123">
        <f t="shared" si="20"/>
        <v>9.6</v>
      </c>
      <c r="F103" s="123">
        <f t="shared" si="20"/>
        <v>9.6</v>
      </c>
      <c r="G103" s="123">
        <f t="shared" si="20"/>
        <v>9.6</v>
      </c>
      <c r="H103" s="123">
        <f t="shared" si="20"/>
        <v>9.6</v>
      </c>
      <c r="I103" s="123">
        <f t="shared" si="20"/>
        <v>9.6</v>
      </c>
      <c r="J103" s="123">
        <f t="shared" si="20"/>
        <v>9.6</v>
      </c>
      <c r="K103" s="123">
        <f t="shared" si="20"/>
        <v>9.6</v>
      </c>
      <c r="L103" s="123">
        <f t="shared" si="20"/>
        <v>9.6</v>
      </c>
      <c r="M103" s="123">
        <f t="shared" si="20"/>
        <v>9.6</v>
      </c>
      <c r="N103" s="123">
        <f t="shared" si="20"/>
        <v>9.6</v>
      </c>
      <c r="O103" s="123">
        <f t="shared" si="20"/>
        <v>9.6</v>
      </c>
      <c r="P103" s="123">
        <f t="shared" si="20"/>
        <v>9.6</v>
      </c>
      <c r="Q103" s="123">
        <f t="shared" si="20"/>
        <v>9.6</v>
      </c>
      <c r="R103" s="123">
        <f t="shared" si="20"/>
        <v>9.6</v>
      </c>
      <c r="S103" s="123">
        <f t="shared" si="20"/>
        <v>9.6</v>
      </c>
      <c r="T103" s="123">
        <f t="shared" si="21"/>
        <v>9.6</v>
      </c>
      <c r="U103" s="123">
        <f t="shared" si="21"/>
        <v>9.6</v>
      </c>
      <c r="V103" s="123">
        <f t="shared" si="21"/>
        <v>9.6</v>
      </c>
      <c r="W103" s="123">
        <f t="shared" si="21"/>
        <v>9.6</v>
      </c>
      <c r="X103" s="123">
        <f t="shared" si="21"/>
        <v>9.6</v>
      </c>
      <c r="Y103" s="123">
        <f t="shared" si="21"/>
        <v>9.6</v>
      </c>
      <c r="Z103" s="123">
        <f t="shared" si="21"/>
        <v>9.6</v>
      </c>
      <c r="AA103" s="123">
        <f t="shared" si="21"/>
        <v>9.6</v>
      </c>
      <c r="AB103" s="123">
        <f t="shared" si="21"/>
        <v>9.6</v>
      </c>
      <c r="AC103" s="123">
        <f t="shared" si="21"/>
        <v>9.6</v>
      </c>
      <c r="AD103" s="123">
        <f t="shared" si="21"/>
        <v>9.6</v>
      </c>
      <c r="AE103" s="123">
        <f t="shared" si="21"/>
        <v>9.6</v>
      </c>
      <c r="AF103" s="123">
        <f t="shared" si="21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9"/>
        <v>9.98</v>
      </c>
      <c r="C104" s="124">
        <v>9.98</v>
      </c>
      <c r="D104" s="123">
        <f t="shared" si="20"/>
        <v>9.98</v>
      </c>
      <c r="E104" s="123">
        <f t="shared" si="20"/>
        <v>9.98</v>
      </c>
      <c r="F104" s="123">
        <f t="shared" si="20"/>
        <v>9.98</v>
      </c>
      <c r="G104" s="123">
        <f t="shared" si="20"/>
        <v>9.98</v>
      </c>
      <c r="H104" s="123">
        <f t="shared" si="20"/>
        <v>9.98</v>
      </c>
      <c r="I104" s="123">
        <f t="shared" si="20"/>
        <v>9.98</v>
      </c>
      <c r="J104" s="123">
        <f t="shared" si="20"/>
        <v>9.98</v>
      </c>
      <c r="K104" s="123">
        <f t="shared" si="20"/>
        <v>9.98</v>
      </c>
      <c r="L104" s="123">
        <f t="shared" si="20"/>
        <v>9.98</v>
      </c>
      <c r="M104" s="123">
        <f t="shared" si="20"/>
        <v>9.98</v>
      </c>
      <c r="N104" s="123">
        <f t="shared" si="20"/>
        <v>9.98</v>
      </c>
      <c r="O104" s="123">
        <f t="shared" si="20"/>
        <v>9.98</v>
      </c>
      <c r="P104" s="123">
        <f t="shared" si="20"/>
        <v>9.98</v>
      </c>
      <c r="Q104" s="123">
        <f t="shared" si="20"/>
        <v>9.98</v>
      </c>
      <c r="R104" s="123">
        <f t="shared" si="20"/>
        <v>9.98</v>
      </c>
      <c r="S104" s="123">
        <f t="shared" si="20"/>
        <v>9.98</v>
      </c>
      <c r="T104" s="123">
        <f t="shared" si="21"/>
        <v>9.98</v>
      </c>
      <c r="U104" s="123">
        <f t="shared" si="21"/>
        <v>9.98</v>
      </c>
      <c r="V104" s="123">
        <f t="shared" si="21"/>
        <v>9.98</v>
      </c>
      <c r="W104" s="123">
        <f t="shared" si="21"/>
        <v>9.98</v>
      </c>
      <c r="X104" s="123">
        <f t="shared" si="21"/>
        <v>9.98</v>
      </c>
      <c r="Y104" s="123">
        <f t="shared" si="21"/>
        <v>9.98</v>
      </c>
      <c r="Z104" s="123">
        <f t="shared" si="21"/>
        <v>9.98</v>
      </c>
      <c r="AA104" s="123">
        <f t="shared" si="21"/>
        <v>9.98</v>
      </c>
      <c r="AB104" s="123">
        <f t="shared" si="21"/>
        <v>9.98</v>
      </c>
      <c r="AC104" s="123">
        <f t="shared" si="21"/>
        <v>9.98</v>
      </c>
      <c r="AD104" s="123">
        <f t="shared" si="21"/>
        <v>9.98</v>
      </c>
      <c r="AE104" s="123">
        <f t="shared" si="21"/>
        <v>9.98</v>
      </c>
      <c r="AF104" s="123">
        <f t="shared" si="21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9"/>
        <v>9.1</v>
      </c>
      <c r="C105" s="124">
        <v>9.1</v>
      </c>
      <c r="D105" s="123">
        <f t="shared" si="20"/>
        <v>9.1</v>
      </c>
      <c r="E105" s="123">
        <f t="shared" si="20"/>
        <v>9.1</v>
      </c>
      <c r="F105" s="123">
        <f t="shared" si="20"/>
        <v>9.1</v>
      </c>
      <c r="G105" s="123">
        <f t="shared" si="20"/>
        <v>9.1</v>
      </c>
      <c r="H105" s="123">
        <f t="shared" si="20"/>
        <v>9.1</v>
      </c>
      <c r="I105" s="123">
        <f t="shared" si="20"/>
        <v>9.1</v>
      </c>
      <c r="J105" s="123">
        <f t="shared" si="20"/>
        <v>9.1</v>
      </c>
      <c r="K105" s="123">
        <f t="shared" si="20"/>
        <v>9.1</v>
      </c>
      <c r="L105" s="123">
        <f t="shared" si="20"/>
        <v>9.1</v>
      </c>
      <c r="M105" s="123">
        <f t="shared" si="20"/>
        <v>9.1</v>
      </c>
      <c r="N105" s="123">
        <f t="shared" si="20"/>
        <v>9.1</v>
      </c>
      <c r="O105" s="123">
        <f t="shared" si="20"/>
        <v>9.1</v>
      </c>
      <c r="P105" s="123">
        <f t="shared" si="20"/>
        <v>9.1</v>
      </c>
      <c r="Q105" s="123">
        <f t="shared" si="20"/>
        <v>9.1</v>
      </c>
      <c r="R105" s="123">
        <f t="shared" si="20"/>
        <v>9.1</v>
      </c>
      <c r="S105" s="123">
        <f t="shared" si="20"/>
        <v>9.1</v>
      </c>
      <c r="T105" s="123">
        <f t="shared" si="21"/>
        <v>9.1</v>
      </c>
      <c r="U105" s="123">
        <f t="shared" si="21"/>
        <v>9.1</v>
      </c>
      <c r="V105" s="123">
        <f t="shared" si="21"/>
        <v>9.1</v>
      </c>
      <c r="W105" s="123">
        <f t="shared" si="21"/>
        <v>9.1</v>
      </c>
      <c r="X105" s="123">
        <f t="shared" si="21"/>
        <v>9.1</v>
      </c>
      <c r="Y105" s="123">
        <f t="shared" si="21"/>
        <v>9.1</v>
      </c>
      <c r="Z105" s="123">
        <f t="shared" si="21"/>
        <v>9.1</v>
      </c>
      <c r="AA105" s="123">
        <f t="shared" si="21"/>
        <v>9.1</v>
      </c>
      <c r="AB105" s="123">
        <f t="shared" si="21"/>
        <v>9.1</v>
      </c>
      <c r="AC105" s="123">
        <f t="shared" si="21"/>
        <v>9.1</v>
      </c>
      <c r="AD105" s="123">
        <f t="shared" si="21"/>
        <v>9.1</v>
      </c>
      <c r="AE105" s="123">
        <f t="shared" si="21"/>
        <v>9.1</v>
      </c>
      <c r="AF105" s="123">
        <f t="shared" si="21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9"/>
        <v>9.18</v>
      </c>
      <c r="C106" s="124">
        <v>9.18</v>
      </c>
      <c r="D106" s="123">
        <f t="shared" si="20"/>
        <v>9.18</v>
      </c>
      <c r="E106" s="123">
        <f t="shared" si="20"/>
        <v>9.18</v>
      </c>
      <c r="F106" s="123">
        <f t="shared" si="20"/>
        <v>9.18</v>
      </c>
      <c r="G106" s="123">
        <f t="shared" si="20"/>
        <v>9.18</v>
      </c>
      <c r="H106" s="123">
        <f t="shared" si="20"/>
        <v>9.18</v>
      </c>
      <c r="I106" s="123">
        <f t="shared" si="20"/>
        <v>9.18</v>
      </c>
      <c r="J106" s="123">
        <f t="shared" si="20"/>
        <v>9.18</v>
      </c>
      <c r="K106" s="123">
        <f t="shared" si="20"/>
        <v>9.18</v>
      </c>
      <c r="L106" s="123">
        <f t="shared" si="20"/>
        <v>9.18</v>
      </c>
      <c r="M106" s="123">
        <f t="shared" si="20"/>
        <v>9.18</v>
      </c>
      <c r="N106" s="123">
        <f t="shared" si="20"/>
        <v>9.18</v>
      </c>
      <c r="O106" s="123">
        <f t="shared" si="20"/>
        <v>9.18</v>
      </c>
      <c r="P106" s="123">
        <f t="shared" si="20"/>
        <v>9.18</v>
      </c>
      <c r="Q106" s="123">
        <f t="shared" si="20"/>
        <v>9.18</v>
      </c>
      <c r="R106" s="123">
        <f t="shared" si="20"/>
        <v>9.18</v>
      </c>
      <c r="S106" s="123">
        <f t="shared" si="20"/>
        <v>9.18</v>
      </c>
      <c r="T106" s="123">
        <f t="shared" si="21"/>
        <v>9.18</v>
      </c>
      <c r="U106" s="123">
        <f t="shared" si="21"/>
        <v>9.18</v>
      </c>
      <c r="V106" s="123">
        <f t="shared" si="21"/>
        <v>9.18</v>
      </c>
      <c r="W106" s="123">
        <f t="shared" si="21"/>
        <v>9.18</v>
      </c>
      <c r="X106" s="123">
        <f t="shared" si="21"/>
        <v>9.18</v>
      </c>
      <c r="Y106" s="123">
        <f t="shared" si="21"/>
        <v>9.18</v>
      </c>
      <c r="Z106" s="123">
        <f t="shared" si="21"/>
        <v>9.18</v>
      </c>
      <c r="AA106" s="123">
        <f t="shared" si="21"/>
        <v>9.18</v>
      </c>
      <c r="AB106" s="123">
        <f t="shared" si="21"/>
        <v>9.18</v>
      </c>
      <c r="AC106" s="123">
        <f t="shared" si="21"/>
        <v>9.18</v>
      </c>
      <c r="AD106" s="123">
        <f t="shared" si="21"/>
        <v>9.18</v>
      </c>
      <c r="AE106" s="123">
        <f t="shared" si="21"/>
        <v>9.18</v>
      </c>
      <c r="AF106" s="123">
        <f t="shared" si="21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9"/>
        <v>7</v>
      </c>
      <c r="C107" s="124">
        <v>7</v>
      </c>
      <c r="D107" s="123">
        <f t="shared" si="20"/>
        <v>7</v>
      </c>
      <c r="E107" s="123">
        <f t="shared" si="20"/>
        <v>7</v>
      </c>
      <c r="F107" s="123">
        <f t="shared" si="20"/>
        <v>7</v>
      </c>
      <c r="G107" s="123">
        <f t="shared" si="20"/>
        <v>7</v>
      </c>
      <c r="H107" s="123">
        <f t="shared" si="20"/>
        <v>7</v>
      </c>
      <c r="I107" s="123">
        <f t="shared" si="20"/>
        <v>7</v>
      </c>
      <c r="J107" s="123">
        <f t="shared" si="20"/>
        <v>7</v>
      </c>
      <c r="K107" s="123">
        <f t="shared" si="20"/>
        <v>7</v>
      </c>
      <c r="L107" s="123">
        <f t="shared" si="20"/>
        <v>7</v>
      </c>
      <c r="M107" s="123">
        <f t="shared" si="20"/>
        <v>7</v>
      </c>
      <c r="N107" s="123">
        <f t="shared" si="20"/>
        <v>7</v>
      </c>
      <c r="O107" s="123">
        <f t="shared" si="20"/>
        <v>7</v>
      </c>
      <c r="P107" s="123">
        <f t="shared" si="20"/>
        <v>7</v>
      </c>
      <c r="Q107" s="123">
        <f t="shared" si="20"/>
        <v>7</v>
      </c>
      <c r="R107" s="123">
        <f t="shared" si="20"/>
        <v>7</v>
      </c>
      <c r="S107" s="123">
        <f t="shared" si="20"/>
        <v>7</v>
      </c>
      <c r="T107" s="123">
        <f t="shared" si="21"/>
        <v>7</v>
      </c>
      <c r="U107" s="123">
        <f t="shared" si="21"/>
        <v>7</v>
      </c>
      <c r="V107" s="123">
        <f t="shared" si="21"/>
        <v>7</v>
      </c>
      <c r="W107" s="123">
        <f t="shared" si="21"/>
        <v>7</v>
      </c>
      <c r="X107" s="123">
        <f t="shared" si="21"/>
        <v>7</v>
      </c>
      <c r="Y107" s="123">
        <f t="shared" si="21"/>
        <v>7</v>
      </c>
      <c r="Z107" s="123">
        <f t="shared" si="21"/>
        <v>7</v>
      </c>
      <c r="AA107" s="123">
        <f t="shared" si="21"/>
        <v>7</v>
      </c>
      <c r="AB107" s="123">
        <f t="shared" si="21"/>
        <v>7</v>
      </c>
      <c r="AC107" s="123">
        <f t="shared" si="21"/>
        <v>7</v>
      </c>
      <c r="AD107" s="123">
        <f t="shared" si="21"/>
        <v>7</v>
      </c>
      <c r="AE107" s="123">
        <f t="shared" si="21"/>
        <v>7</v>
      </c>
      <c r="AF107" s="123">
        <f t="shared" si="21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2">C109</f>
        <v>2.25</v>
      </c>
      <c r="E109" s="123">
        <f t="shared" si="22"/>
        <v>2.25</v>
      </c>
      <c r="F109" s="123">
        <f t="shared" si="22"/>
        <v>2.25</v>
      </c>
      <c r="G109" s="123">
        <f t="shared" si="22"/>
        <v>2.25</v>
      </c>
      <c r="H109" s="123">
        <f t="shared" si="22"/>
        <v>2.25</v>
      </c>
      <c r="I109" s="123">
        <f t="shared" si="22"/>
        <v>2.25</v>
      </c>
      <c r="J109" s="123">
        <f t="shared" si="22"/>
        <v>2.25</v>
      </c>
      <c r="K109" s="123">
        <f t="shared" si="22"/>
        <v>2.25</v>
      </c>
      <c r="L109" s="123">
        <f t="shared" si="22"/>
        <v>2.25</v>
      </c>
      <c r="M109" s="123">
        <f t="shared" si="22"/>
        <v>2.25</v>
      </c>
      <c r="N109" s="123">
        <f t="shared" si="22"/>
        <v>2.25</v>
      </c>
      <c r="O109" s="123">
        <f t="shared" si="22"/>
        <v>2.25</v>
      </c>
      <c r="P109" s="123">
        <f t="shared" si="22"/>
        <v>2.25</v>
      </c>
      <c r="Q109" s="123">
        <f t="shared" si="22"/>
        <v>2.25</v>
      </c>
      <c r="R109" s="123">
        <f t="shared" si="22"/>
        <v>2.25</v>
      </c>
      <c r="S109" s="123">
        <f t="shared" si="22"/>
        <v>2.25</v>
      </c>
      <c r="T109" s="123">
        <f t="shared" ref="T109:AF110" si="23">S109</f>
        <v>2.25</v>
      </c>
      <c r="U109" s="123">
        <f t="shared" si="23"/>
        <v>2.25</v>
      </c>
      <c r="V109" s="123">
        <f t="shared" si="23"/>
        <v>2.25</v>
      </c>
      <c r="W109" s="123">
        <f t="shared" si="23"/>
        <v>2.25</v>
      </c>
      <c r="X109" s="123">
        <f t="shared" si="23"/>
        <v>2.25</v>
      </c>
      <c r="Y109" s="123">
        <f t="shared" si="23"/>
        <v>2.25</v>
      </c>
      <c r="Z109" s="123">
        <f t="shared" si="23"/>
        <v>2.25</v>
      </c>
      <c r="AA109" s="123">
        <f t="shared" si="23"/>
        <v>2.25</v>
      </c>
      <c r="AB109" s="123">
        <f t="shared" si="23"/>
        <v>2.25</v>
      </c>
      <c r="AC109" s="123">
        <f t="shared" si="23"/>
        <v>2.25</v>
      </c>
      <c r="AD109" s="123">
        <f t="shared" si="23"/>
        <v>2.25</v>
      </c>
      <c r="AE109" s="123">
        <f t="shared" si="23"/>
        <v>2.25</v>
      </c>
      <c r="AF109" s="123">
        <f t="shared" si="23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2"/>
        <v>1.64</v>
      </c>
      <c r="E110" s="123">
        <f t="shared" si="22"/>
        <v>1.64</v>
      </c>
      <c r="F110" s="123">
        <f t="shared" si="22"/>
        <v>1.64</v>
      </c>
      <c r="G110" s="123">
        <f t="shared" si="22"/>
        <v>1.64</v>
      </c>
      <c r="H110" s="123">
        <f t="shared" si="22"/>
        <v>1.64</v>
      </c>
      <c r="I110" s="123">
        <f t="shared" si="22"/>
        <v>1.64</v>
      </c>
      <c r="J110" s="123">
        <f t="shared" si="22"/>
        <v>1.64</v>
      </c>
      <c r="K110" s="123">
        <f t="shared" si="22"/>
        <v>1.64</v>
      </c>
      <c r="L110" s="123">
        <f t="shared" si="22"/>
        <v>1.64</v>
      </c>
      <c r="M110" s="123">
        <f t="shared" si="22"/>
        <v>1.64</v>
      </c>
      <c r="N110" s="123">
        <f t="shared" si="22"/>
        <v>1.64</v>
      </c>
      <c r="O110" s="123">
        <f t="shared" si="22"/>
        <v>1.64</v>
      </c>
      <c r="P110" s="123">
        <f t="shared" si="22"/>
        <v>1.64</v>
      </c>
      <c r="Q110" s="123">
        <f t="shared" si="22"/>
        <v>1.64</v>
      </c>
      <c r="R110" s="123">
        <f t="shared" si="22"/>
        <v>1.64</v>
      </c>
      <c r="S110" s="123">
        <f t="shared" si="22"/>
        <v>1.64</v>
      </c>
      <c r="T110" s="123">
        <f t="shared" si="23"/>
        <v>1.64</v>
      </c>
      <c r="U110" s="123">
        <f t="shared" si="23"/>
        <v>1.64</v>
      </c>
      <c r="V110" s="123">
        <f t="shared" si="23"/>
        <v>1.64</v>
      </c>
      <c r="W110" s="123">
        <f t="shared" si="23"/>
        <v>1.64</v>
      </c>
      <c r="X110" s="123">
        <f t="shared" si="23"/>
        <v>1.64</v>
      </c>
      <c r="Y110" s="123">
        <f t="shared" si="23"/>
        <v>1.64</v>
      </c>
      <c r="Z110" s="123">
        <f t="shared" si="23"/>
        <v>1.64</v>
      </c>
      <c r="AA110" s="123">
        <f t="shared" si="23"/>
        <v>1.64</v>
      </c>
      <c r="AB110" s="123">
        <f t="shared" si="23"/>
        <v>1.64</v>
      </c>
      <c r="AC110" s="123">
        <f t="shared" si="23"/>
        <v>1.64</v>
      </c>
      <c r="AD110" s="123">
        <f t="shared" si="23"/>
        <v>1.64</v>
      </c>
      <c r="AE110" s="123">
        <f t="shared" si="23"/>
        <v>1.64</v>
      </c>
      <c r="AF110" s="123">
        <f t="shared" si="23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4">AF112</f>
        <v>1.62</v>
      </c>
      <c r="C112" s="124">
        <v>1.62</v>
      </c>
      <c r="D112" s="123">
        <f t="shared" ref="D112:S119" si="25">C112</f>
        <v>1.62</v>
      </c>
      <c r="E112" s="123">
        <f t="shared" si="25"/>
        <v>1.62</v>
      </c>
      <c r="F112" s="123">
        <f t="shared" si="25"/>
        <v>1.62</v>
      </c>
      <c r="G112" s="123">
        <f t="shared" si="25"/>
        <v>1.62</v>
      </c>
      <c r="H112" s="123">
        <f t="shared" si="25"/>
        <v>1.62</v>
      </c>
      <c r="I112" s="123">
        <f t="shared" si="25"/>
        <v>1.62</v>
      </c>
      <c r="J112" s="123">
        <f t="shared" si="25"/>
        <v>1.62</v>
      </c>
      <c r="K112" s="123">
        <f t="shared" si="25"/>
        <v>1.62</v>
      </c>
      <c r="L112" s="123">
        <f t="shared" si="25"/>
        <v>1.62</v>
      </c>
      <c r="M112" s="123">
        <f t="shared" si="25"/>
        <v>1.62</v>
      </c>
      <c r="N112" s="123">
        <f t="shared" si="25"/>
        <v>1.62</v>
      </c>
      <c r="O112" s="123">
        <f t="shared" si="25"/>
        <v>1.62</v>
      </c>
      <c r="P112" s="123">
        <f t="shared" si="25"/>
        <v>1.62</v>
      </c>
      <c r="Q112" s="123">
        <f t="shared" si="25"/>
        <v>1.62</v>
      </c>
      <c r="R112" s="123">
        <f t="shared" si="25"/>
        <v>1.62</v>
      </c>
      <c r="S112" s="123">
        <f t="shared" si="25"/>
        <v>1.62</v>
      </c>
      <c r="T112" s="123">
        <f t="shared" ref="T112:AF127" si="26">S112</f>
        <v>1.62</v>
      </c>
      <c r="U112" s="123">
        <f t="shared" si="26"/>
        <v>1.62</v>
      </c>
      <c r="V112" s="123">
        <f t="shared" si="26"/>
        <v>1.62</v>
      </c>
      <c r="W112" s="123">
        <f t="shared" si="26"/>
        <v>1.62</v>
      </c>
      <c r="X112" s="123">
        <f t="shared" si="26"/>
        <v>1.62</v>
      </c>
      <c r="Y112" s="123">
        <f t="shared" si="26"/>
        <v>1.62</v>
      </c>
      <c r="Z112" s="123">
        <f t="shared" si="26"/>
        <v>1.62</v>
      </c>
      <c r="AA112" s="123">
        <f t="shared" si="26"/>
        <v>1.62</v>
      </c>
      <c r="AB112" s="123">
        <f t="shared" si="26"/>
        <v>1.62</v>
      </c>
      <c r="AC112" s="123">
        <f t="shared" si="26"/>
        <v>1.62</v>
      </c>
      <c r="AD112" s="123">
        <f t="shared" si="26"/>
        <v>1.62</v>
      </c>
      <c r="AE112" s="123">
        <f t="shared" si="26"/>
        <v>1.62</v>
      </c>
      <c r="AF112" s="123">
        <f t="shared" si="26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4"/>
        <v>8.36</v>
      </c>
      <c r="C113" s="124">
        <v>8.36</v>
      </c>
      <c r="D113" s="123">
        <f t="shared" si="25"/>
        <v>8.36</v>
      </c>
      <c r="E113" s="123">
        <f t="shared" si="25"/>
        <v>8.36</v>
      </c>
      <c r="F113" s="123">
        <f t="shared" si="25"/>
        <v>8.36</v>
      </c>
      <c r="G113" s="123">
        <f t="shared" si="25"/>
        <v>8.36</v>
      </c>
      <c r="H113" s="123">
        <f t="shared" si="25"/>
        <v>8.36</v>
      </c>
      <c r="I113" s="123">
        <f t="shared" si="25"/>
        <v>8.36</v>
      </c>
      <c r="J113" s="123">
        <f t="shared" si="25"/>
        <v>8.36</v>
      </c>
      <c r="K113" s="123">
        <f t="shared" si="25"/>
        <v>8.36</v>
      </c>
      <c r="L113" s="123">
        <f t="shared" si="25"/>
        <v>8.36</v>
      </c>
      <c r="M113" s="123">
        <f t="shared" si="25"/>
        <v>8.36</v>
      </c>
      <c r="N113" s="123">
        <f t="shared" si="25"/>
        <v>8.36</v>
      </c>
      <c r="O113" s="123">
        <f t="shared" si="25"/>
        <v>8.36</v>
      </c>
      <c r="P113" s="123">
        <f t="shared" si="25"/>
        <v>8.36</v>
      </c>
      <c r="Q113" s="123">
        <f t="shared" si="25"/>
        <v>8.36</v>
      </c>
      <c r="R113" s="123">
        <f t="shared" si="25"/>
        <v>8.36</v>
      </c>
      <c r="S113" s="123">
        <f t="shared" si="25"/>
        <v>8.36</v>
      </c>
      <c r="T113" s="123">
        <f t="shared" si="26"/>
        <v>8.36</v>
      </c>
      <c r="U113" s="123">
        <f t="shared" si="26"/>
        <v>8.36</v>
      </c>
      <c r="V113" s="123">
        <f t="shared" si="26"/>
        <v>8.36</v>
      </c>
      <c r="W113" s="123">
        <f t="shared" si="26"/>
        <v>8.36</v>
      </c>
      <c r="X113" s="123">
        <f t="shared" si="26"/>
        <v>8.36</v>
      </c>
      <c r="Y113" s="123">
        <f t="shared" si="26"/>
        <v>8.36</v>
      </c>
      <c r="Z113" s="123">
        <f t="shared" si="26"/>
        <v>8.36</v>
      </c>
      <c r="AA113" s="123">
        <f t="shared" si="26"/>
        <v>8.36</v>
      </c>
      <c r="AB113" s="123">
        <f t="shared" si="26"/>
        <v>8.36</v>
      </c>
      <c r="AC113" s="123">
        <f t="shared" si="26"/>
        <v>8.36</v>
      </c>
      <c r="AD113" s="123">
        <f t="shared" si="26"/>
        <v>8.36</v>
      </c>
      <c r="AE113" s="123">
        <f t="shared" si="26"/>
        <v>8.36</v>
      </c>
      <c r="AF113" s="123">
        <f t="shared" si="26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4"/>
        <v>5.4</v>
      </c>
      <c r="C114" s="124">
        <v>8</v>
      </c>
      <c r="D114" s="123">
        <f t="shared" si="25"/>
        <v>8</v>
      </c>
      <c r="E114" s="123">
        <f t="shared" si="25"/>
        <v>8</v>
      </c>
      <c r="F114" s="123">
        <f t="shared" si="25"/>
        <v>8</v>
      </c>
      <c r="G114" s="123">
        <f t="shared" si="25"/>
        <v>8</v>
      </c>
      <c r="H114" s="123">
        <f t="shared" si="25"/>
        <v>8</v>
      </c>
      <c r="I114" s="123">
        <f t="shared" si="25"/>
        <v>8</v>
      </c>
      <c r="J114" s="123">
        <v>5.4</v>
      </c>
      <c r="K114" s="123">
        <f t="shared" si="25"/>
        <v>5.4</v>
      </c>
      <c r="L114" s="123">
        <f t="shared" si="25"/>
        <v>5.4</v>
      </c>
      <c r="M114" s="123">
        <f t="shared" si="25"/>
        <v>5.4</v>
      </c>
      <c r="N114" s="123">
        <f t="shared" si="25"/>
        <v>5.4</v>
      </c>
      <c r="O114" s="123">
        <f t="shared" si="25"/>
        <v>5.4</v>
      </c>
      <c r="P114" s="123">
        <f t="shared" si="25"/>
        <v>5.4</v>
      </c>
      <c r="Q114" s="123">
        <f t="shared" si="25"/>
        <v>5.4</v>
      </c>
      <c r="R114" s="123">
        <f t="shared" si="25"/>
        <v>5.4</v>
      </c>
      <c r="S114" s="123">
        <f t="shared" si="25"/>
        <v>5.4</v>
      </c>
      <c r="T114" s="123">
        <f t="shared" si="26"/>
        <v>5.4</v>
      </c>
      <c r="U114" s="123">
        <f t="shared" si="26"/>
        <v>5.4</v>
      </c>
      <c r="V114" s="123">
        <f t="shared" si="26"/>
        <v>5.4</v>
      </c>
      <c r="W114" s="123">
        <f t="shared" si="26"/>
        <v>5.4</v>
      </c>
      <c r="X114" s="123">
        <f t="shared" si="26"/>
        <v>5.4</v>
      </c>
      <c r="Y114" s="123">
        <f t="shared" si="26"/>
        <v>5.4</v>
      </c>
      <c r="Z114" s="123">
        <f t="shared" si="26"/>
        <v>5.4</v>
      </c>
      <c r="AA114" s="123">
        <f t="shared" si="26"/>
        <v>5.4</v>
      </c>
      <c r="AB114" s="123">
        <f t="shared" si="26"/>
        <v>5.4</v>
      </c>
      <c r="AC114" s="123">
        <f t="shared" si="26"/>
        <v>5.4</v>
      </c>
      <c r="AD114" s="123">
        <f t="shared" si="26"/>
        <v>5.4</v>
      </c>
      <c r="AE114" s="123">
        <f t="shared" si="26"/>
        <v>5.4</v>
      </c>
      <c r="AF114" s="123">
        <f t="shared" si="26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4"/>
        <v>6.57</v>
      </c>
      <c r="C115" s="124">
        <v>6.57</v>
      </c>
      <c r="D115" s="123">
        <f t="shared" si="25"/>
        <v>6.57</v>
      </c>
      <c r="E115" s="123">
        <f t="shared" si="25"/>
        <v>6.57</v>
      </c>
      <c r="F115" s="123">
        <f t="shared" si="25"/>
        <v>6.57</v>
      </c>
      <c r="G115" s="123">
        <f t="shared" si="25"/>
        <v>6.57</v>
      </c>
      <c r="H115" s="123">
        <f t="shared" si="25"/>
        <v>6.57</v>
      </c>
      <c r="I115" s="123">
        <f t="shared" si="25"/>
        <v>6.57</v>
      </c>
      <c r="J115" s="123">
        <f t="shared" si="25"/>
        <v>6.57</v>
      </c>
      <c r="K115" s="123">
        <f t="shared" si="25"/>
        <v>6.57</v>
      </c>
      <c r="L115" s="123">
        <f t="shared" si="25"/>
        <v>6.57</v>
      </c>
      <c r="M115" s="123">
        <f t="shared" si="25"/>
        <v>6.57</v>
      </c>
      <c r="N115" s="123">
        <f t="shared" si="25"/>
        <v>6.57</v>
      </c>
      <c r="O115" s="123">
        <f t="shared" si="25"/>
        <v>6.57</v>
      </c>
      <c r="P115" s="123">
        <f t="shared" si="25"/>
        <v>6.57</v>
      </c>
      <c r="Q115" s="123">
        <f t="shared" si="25"/>
        <v>6.57</v>
      </c>
      <c r="R115" s="123">
        <f t="shared" si="25"/>
        <v>6.57</v>
      </c>
      <c r="S115" s="123">
        <f t="shared" si="25"/>
        <v>6.57</v>
      </c>
      <c r="T115" s="123">
        <f t="shared" si="26"/>
        <v>6.57</v>
      </c>
      <c r="U115" s="123">
        <f t="shared" si="26"/>
        <v>6.57</v>
      </c>
      <c r="V115" s="123">
        <f t="shared" si="26"/>
        <v>6.57</v>
      </c>
      <c r="W115" s="123">
        <f t="shared" si="26"/>
        <v>6.57</v>
      </c>
      <c r="X115" s="123">
        <f t="shared" si="26"/>
        <v>6.57</v>
      </c>
      <c r="Y115" s="123">
        <f t="shared" si="26"/>
        <v>6.57</v>
      </c>
      <c r="Z115" s="123">
        <f t="shared" si="26"/>
        <v>6.57</v>
      </c>
      <c r="AA115" s="123">
        <f t="shared" si="26"/>
        <v>6.57</v>
      </c>
      <c r="AB115" s="123">
        <f t="shared" si="26"/>
        <v>6.57</v>
      </c>
      <c r="AC115" s="123">
        <f t="shared" si="26"/>
        <v>6.57</v>
      </c>
      <c r="AD115" s="123">
        <f t="shared" si="26"/>
        <v>6.57</v>
      </c>
      <c r="AE115" s="123">
        <f t="shared" si="26"/>
        <v>6.57</v>
      </c>
      <c r="AF115" s="123">
        <f t="shared" si="26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4"/>
        <v>3.43</v>
      </c>
      <c r="C116" s="124">
        <v>3.43</v>
      </c>
      <c r="D116" s="123">
        <f t="shared" si="25"/>
        <v>3.43</v>
      </c>
      <c r="E116" s="123">
        <f t="shared" si="25"/>
        <v>3.43</v>
      </c>
      <c r="F116" s="123">
        <f t="shared" si="25"/>
        <v>3.43</v>
      </c>
      <c r="G116" s="123">
        <f t="shared" si="25"/>
        <v>3.43</v>
      </c>
      <c r="H116" s="123">
        <f t="shared" si="25"/>
        <v>3.43</v>
      </c>
      <c r="I116" s="123">
        <f t="shared" si="25"/>
        <v>3.43</v>
      </c>
      <c r="J116" s="123">
        <f t="shared" si="25"/>
        <v>3.43</v>
      </c>
      <c r="K116" s="123">
        <f t="shared" si="25"/>
        <v>3.43</v>
      </c>
      <c r="L116" s="123">
        <f t="shared" si="25"/>
        <v>3.43</v>
      </c>
      <c r="M116" s="123">
        <f t="shared" si="25"/>
        <v>3.43</v>
      </c>
      <c r="N116" s="123">
        <f t="shared" si="25"/>
        <v>3.43</v>
      </c>
      <c r="O116" s="123">
        <f t="shared" si="25"/>
        <v>3.43</v>
      </c>
      <c r="P116" s="123">
        <f t="shared" si="25"/>
        <v>3.43</v>
      </c>
      <c r="Q116" s="123">
        <f t="shared" si="25"/>
        <v>3.43</v>
      </c>
      <c r="R116" s="123">
        <f t="shared" si="25"/>
        <v>3.43</v>
      </c>
      <c r="S116" s="123">
        <f t="shared" si="25"/>
        <v>3.43</v>
      </c>
      <c r="T116" s="123">
        <f t="shared" si="26"/>
        <v>3.43</v>
      </c>
      <c r="U116" s="123">
        <f t="shared" si="26"/>
        <v>3.43</v>
      </c>
      <c r="V116" s="123">
        <f t="shared" si="26"/>
        <v>3.43</v>
      </c>
      <c r="W116" s="123">
        <f t="shared" si="26"/>
        <v>3.43</v>
      </c>
      <c r="X116" s="123">
        <f t="shared" si="26"/>
        <v>3.43</v>
      </c>
      <c r="Y116" s="123">
        <f t="shared" si="26"/>
        <v>3.43</v>
      </c>
      <c r="Z116" s="123">
        <f t="shared" si="26"/>
        <v>3.43</v>
      </c>
      <c r="AA116" s="123">
        <f t="shared" si="26"/>
        <v>3.43</v>
      </c>
      <c r="AB116" s="123">
        <f t="shared" si="26"/>
        <v>3.43</v>
      </c>
      <c r="AC116" s="123">
        <f t="shared" si="26"/>
        <v>3.43</v>
      </c>
      <c r="AD116" s="123">
        <f t="shared" si="26"/>
        <v>3.43</v>
      </c>
      <c r="AE116" s="123">
        <f t="shared" si="26"/>
        <v>3.43</v>
      </c>
      <c r="AF116" s="123">
        <f t="shared" si="26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4"/>
        <v>2.96</v>
      </c>
      <c r="C117" s="124">
        <v>2.96</v>
      </c>
      <c r="D117" s="123">
        <f t="shared" si="25"/>
        <v>2.96</v>
      </c>
      <c r="E117" s="123">
        <f t="shared" si="25"/>
        <v>2.96</v>
      </c>
      <c r="F117" s="123">
        <f t="shared" si="25"/>
        <v>2.96</v>
      </c>
      <c r="G117" s="123">
        <f t="shared" si="25"/>
        <v>2.96</v>
      </c>
      <c r="H117" s="123">
        <f t="shared" si="25"/>
        <v>2.96</v>
      </c>
      <c r="I117" s="123">
        <f t="shared" si="25"/>
        <v>2.96</v>
      </c>
      <c r="J117" s="123">
        <f t="shared" si="25"/>
        <v>2.96</v>
      </c>
      <c r="K117" s="123">
        <f t="shared" si="25"/>
        <v>2.96</v>
      </c>
      <c r="L117" s="123">
        <f t="shared" si="25"/>
        <v>2.96</v>
      </c>
      <c r="M117" s="123">
        <f t="shared" si="25"/>
        <v>2.96</v>
      </c>
      <c r="N117" s="123">
        <f t="shared" si="25"/>
        <v>2.96</v>
      </c>
      <c r="O117" s="123">
        <f t="shared" si="25"/>
        <v>2.96</v>
      </c>
      <c r="P117" s="123">
        <f t="shared" si="25"/>
        <v>2.96</v>
      </c>
      <c r="Q117" s="123">
        <f t="shared" si="25"/>
        <v>2.96</v>
      </c>
      <c r="R117" s="123">
        <f t="shared" si="25"/>
        <v>2.96</v>
      </c>
      <c r="S117" s="123">
        <f t="shared" si="25"/>
        <v>2.96</v>
      </c>
      <c r="T117" s="123">
        <f t="shared" si="26"/>
        <v>2.96</v>
      </c>
      <c r="U117" s="123">
        <f t="shared" si="26"/>
        <v>2.96</v>
      </c>
      <c r="V117" s="123">
        <f t="shared" si="26"/>
        <v>2.96</v>
      </c>
      <c r="W117" s="123">
        <f t="shared" si="26"/>
        <v>2.96</v>
      </c>
      <c r="X117" s="123">
        <f t="shared" si="26"/>
        <v>2.96</v>
      </c>
      <c r="Y117" s="123">
        <f t="shared" si="26"/>
        <v>2.96</v>
      </c>
      <c r="Z117" s="123">
        <f t="shared" si="26"/>
        <v>2.96</v>
      </c>
      <c r="AA117" s="123">
        <f t="shared" si="26"/>
        <v>2.96</v>
      </c>
      <c r="AB117" s="123">
        <f t="shared" si="26"/>
        <v>2.96</v>
      </c>
      <c r="AC117" s="123">
        <f t="shared" si="26"/>
        <v>2.96</v>
      </c>
      <c r="AD117" s="123">
        <f t="shared" si="26"/>
        <v>2.96</v>
      </c>
      <c r="AE117" s="123">
        <f t="shared" si="26"/>
        <v>2.96</v>
      </c>
      <c r="AF117" s="123">
        <f t="shared" si="26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4"/>
        <v>8</v>
      </c>
      <c r="C118" s="124">
        <v>8</v>
      </c>
      <c r="D118" s="123">
        <f t="shared" si="25"/>
        <v>8</v>
      </c>
      <c r="E118" s="123">
        <f t="shared" si="25"/>
        <v>8</v>
      </c>
      <c r="F118" s="123">
        <f t="shared" si="25"/>
        <v>8</v>
      </c>
      <c r="G118" s="123">
        <f t="shared" si="25"/>
        <v>8</v>
      </c>
      <c r="H118" s="123">
        <f t="shared" si="25"/>
        <v>8</v>
      </c>
      <c r="I118" s="123">
        <f t="shared" si="25"/>
        <v>8</v>
      </c>
      <c r="J118" s="123">
        <f t="shared" si="25"/>
        <v>8</v>
      </c>
      <c r="K118" s="123">
        <f t="shared" si="25"/>
        <v>8</v>
      </c>
      <c r="L118" s="123">
        <f t="shared" si="25"/>
        <v>8</v>
      </c>
      <c r="M118" s="123">
        <f t="shared" si="25"/>
        <v>8</v>
      </c>
      <c r="N118" s="123">
        <f t="shared" si="25"/>
        <v>8</v>
      </c>
      <c r="O118" s="123">
        <f t="shared" si="25"/>
        <v>8</v>
      </c>
      <c r="P118" s="123">
        <f t="shared" si="25"/>
        <v>8</v>
      </c>
      <c r="Q118" s="123">
        <f t="shared" si="25"/>
        <v>8</v>
      </c>
      <c r="R118" s="123">
        <f t="shared" si="25"/>
        <v>8</v>
      </c>
      <c r="S118" s="123">
        <f t="shared" si="25"/>
        <v>8</v>
      </c>
      <c r="T118" s="123">
        <f t="shared" si="26"/>
        <v>8</v>
      </c>
      <c r="U118" s="123">
        <f t="shared" si="26"/>
        <v>8</v>
      </c>
      <c r="V118" s="123">
        <f t="shared" si="26"/>
        <v>8</v>
      </c>
      <c r="W118" s="123">
        <f t="shared" si="26"/>
        <v>8</v>
      </c>
      <c r="X118" s="123">
        <f t="shared" si="26"/>
        <v>8</v>
      </c>
      <c r="Y118" s="123">
        <f t="shared" si="26"/>
        <v>8</v>
      </c>
      <c r="Z118" s="123">
        <f t="shared" si="26"/>
        <v>8</v>
      </c>
      <c r="AA118" s="123">
        <f t="shared" si="26"/>
        <v>8</v>
      </c>
      <c r="AB118" s="123">
        <f t="shared" si="26"/>
        <v>8</v>
      </c>
      <c r="AC118" s="123">
        <f t="shared" si="26"/>
        <v>8</v>
      </c>
      <c r="AD118" s="123">
        <f t="shared" si="26"/>
        <v>8</v>
      </c>
      <c r="AE118" s="123">
        <f t="shared" si="26"/>
        <v>8</v>
      </c>
      <c r="AF118" s="123">
        <f t="shared" si="26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4"/>
        <v>7</v>
      </c>
      <c r="C119" s="124">
        <v>7</v>
      </c>
      <c r="D119" s="123">
        <f>C119</f>
        <v>7</v>
      </c>
      <c r="E119" s="123">
        <f t="shared" si="25"/>
        <v>7</v>
      </c>
      <c r="F119" s="123">
        <f t="shared" si="25"/>
        <v>7</v>
      </c>
      <c r="G119" s="123">
        <f t="shared" si="25"/>
        <v>7</v>
      </c>
      <c r="H119" s="123">
        <f t="shared" si="25"/>
        <v>7</v>
      </c>
      <c r="I119" s="123">
        <f t="shared" si="25"/>
        <v>7</v>
      </c>
      <c r="J119" s="123">
        <f t="shared" si="25"/>
        <v>7</v>
      </c>
      <c r="K119" s="123">
        <f t="shared" si="25"/>
        <v>7</v>
      </c>
      <c r="L119" s="123">
        <f t="shared" si="25"/>
        <v>7</v>
      </c>
      <c r="M119" s="123">
        <f t="shared" si="25"/>
        <v>7</v>
      </c>
      <c r="N119" s="123">
        <f t="shared" si="25"/>
        <v>7</v>
      </c>
      <c r="O119" s="123">
        <f t="shared" si="25"/>
        <v>7</v>
      </c>
      <c r="P119" s="123">
        <f t="shared" si="25"/>
        <v>7</v>
      </c>
      <c r="Q119" s="123">
        <f t="shared" si="25"/>
        <v>7</v>
      </c>
      <c r="R119" s="123">
        <f t="shared" si="25"/>
        <v>7</v>
      </c>
      <c r="S119" s="123">
        <f t="shared" si="25"/>
        <v>7</v>
      </c>
      <c r="T119" s="123">
        <f t="shared" si="26"/>
        <v>7</v>
      </c>
      <c r="U119" s="123">
        <f t="shared" si="26"/>
        <v>7</v>
      </c>
      <c r="V119" s="123">
        <f t="shared" si="26"/>
        <v>7</v>
      </c>
      <c r="W119" s="123">
        <f t="shared" si="26"/>
        <v>7</v>
      </c>
      <c r="X119" s="123">
        <f t="shared" si="26"/>
        <v>7</v>
      </c>
      <c r="Y119" s="123">
        <f t="shared" si="26"/>
        <v>7</v>
      </c>
      <c r="Z119" s="123">
        <f t="shared" si="26"/>
        <v>7</v>
      </c>
      <c r="AA119" s="123">
        <f t="shared" si="26"/>
        <v>7</v>
      </c>
      <c r="AB119" s="123">
        <f t="shared" si="26"/>
        <v>7</v>
      </c>
      <c r="AC119" s="123">
        <f t="shared" si="26"/>
        <v>7</v>
      </c>
      <c r="AD119" s="123">
        <f t="shared" si="26"/>
        <v>7</v>
      </c>
      <c r="AE119" s="123">
        <f t="shared" si="26"/>
        <v>7</v>
      </c>
      <c r="AF119" s="123">
        <f t="shared" si="26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4"/>
        <v>3.47</v>
      </c>
      <c r="C120" s="124">
        <v>3.47</v>
      </c>
      <c r="D120" s="123">
        <f t="shared" ref="D120:S129" si="27">C120</f>
        <v>3.47</v>
      </c>
      <c r="E120" s="123">
        <f t="shared" si="27"/>
        <v>3.47</v>
      </c>
      <c r="F120" s="123">
        <f t="shared" si="27"/>
        <v>3.47</v>
      </c>
      <c r="G120" s="123">
        <f t="shared" si="27"/>
        <v>3.47</v>
      </c>
      <c r="H120" s="123">
        <f t="shared" si="27"/>
        <v>3.47</v>
      </c>
      <c r="I120" s="123">
        <f t="shared" si="27"/>
        <v>3.47</v>
      </c>
      <c r="J120" s="123">
        <f t="shared" si="27"/>
        <v>3.47</v>
      </c>
      <c r="K120" s="123">
        <f t="shared" si="27"/>
        <v>3.47</v>
      </c>
      <c r="L120" s="123">
        <f t="shared" si="27"/>
        <v>3.47</v>
      </c>
      <c r="M120" s="123">
        <f t="shared" si="27"/>
        <v>3.47</v>
      </c>
      <c r="N120" s="123">
        <f t="shared" si="27"/>
        <v>3.47</v>
      </c>
      <c r="O120" s="123">
        <f t="shared" si="27"/>
        <v>3.47</v>
      </c>
      <c r="P120" s="123">
        <f t="shared" si="27"/>
        <v>3.47</v>
      </c>
      <c r="Q120" s="123">
        <f t="shared" si="27"/>
        <v>3.47</v>
      </c>
      <c r="R120" s="123">
        <f t="shared" si="27"/>
        <v>3.47</v>
      </c>
      <c r="S120" s="123">
        <f t="shared" si="27"/>
        <v>3.47</v>
      </c>
      <c r="T120" s="123">
        <f t="shared" si="26"/>
        <v>3.47</v>
      </c>
      <c r="U120" s="123">
        <f t="shared" si="26"/>
        <v>3.47</v>
      </c>
      <c r="V120" s="123">
        <f t="shared" si="26"/>
        <v>3.47</v>
      </c>
      <c r="W120" s="123">
        <f t="shared" si="26"/>
        <v>3.47</v>
      </c>
      <c r="X120" s="123">
        <f t="shared" si="26"/>
        <v>3.47</v>
      </c>
      <c r="Y120" s="123">
        <f t="shared" si="26"/>
        <v>3.47</v>
      </c>
      <c r="Z120" s="123">
        <f t="shared" si="26"/>
        <v>3.47</v>
      </c>
      <c r="AA120" s="123">
        <f t="shared" si="26"/>
        <v>3.47</v>
      </c>
      <c r="AB120" s="123">
        <f t="shared" si="26"/>
        <v>3.47</v>
      </c>
      <c r="AC120" s="123">
        <f t="shared" si="26"/>
        <v>3.47</v>
      </c>
      <c r="AD120" s="123">
        <f t="shared" si="26"/>
        <v>3.47</v>
      </c>
      <c r="AE120" s="123">
        <f t="shared" si="26"/>
        <v>3.47</v>
      </c>
      <c r="AF120" s="123">
        <f t="shared" si="26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4"/>
        <v>2.1</v>
      </c>
      <c r="C121" s="124">
        <v>2.1</v>
      </c>
      <c r="D121" s="123">
        <f t="shared" si="27"/>
        <v>2.1</v>
      </c>
      <c r="E121" s="123">
        <f t="shared" si="27"/>
        <v>2.1</v>
      </c>
      <c r="F121" s="123">
        <f t="shared" si="27"/>
        <v>2.1</v>
      </c>
      <c r="G121" s="123">
        <f t="shared" si="27"/>
        <v>2.1</v>
      </c>
      <c r="H121" s="123">
        <f t="shared" si="27"/>
        <v>2.1</v>
      </c>
      <c r="I121" s="123">
        <f t="shared" si="27"/>
        <v>2.1</v>
      </c>
      <c r="J121" s="123">
        <f t="shared" si="27"/>
        <v>2.1</v>
      </c>
      <c r="K121" s="123">
        <f t="shared" si="27"/>
        <v>2.1</v>
      </c>
      <c r="L121" s="123">
        <f t="shared" si="27"/>
        <v>2.1</v>
      </c>
      <c r="M121" s="123">
        <f t="shared" si="27"/>
        <v>2.1</v>
      </c>
      <c r="N121" s="123">
        <f t="shared" si="27"/>
        <v>2.1</v>
      </c>
      <c r="O121" s="123">
        <f t="shared" si="27"/>
        <v>2.1</v>
      </c>
      <c r="P121" s="123">
        <f t="shared" si="27"/>
        <v>2.1</v>
      </c>
      <c r="Q121" s="123">
        <f t="shared" si="27"/>
        <v>2.1</v>
      </c>
      <c r="R121" s="123">
        <f t="shared" si="27"/>
        <v>2.1</v>
      </c>
      <c r="S121" s="123">
        <f t="shared" si="27"/>
        <v>2.1</v>
      </c>
      <c r="T121" s="123">
        <f t="shared" si="26"/>
        <v>2.1</v>
      </c>
      <c r="U121" s="123">
        <f t="shared" si="26"/>
        <v>2.1</v>
      </c>
      <c r="V121" s="123">
        <f t="shared" si="26"/>
        <v>2.1</v>
      </c>
      <c r="W121" s="123">
        <f t="shared" si="26"/>
        <v>2.1</v>
      </c>
      <c r="X121" s="123">
        <f t="shared" si="26"/>
        <v>2.1</v>
      </c>
      <c r="Y121" s="123">
        <f t="shared" si="26"/>
        <v>2.1</v>
      </c>
      <c r="Z121" s="123">
        <f t="shared" si="26"/>
        <v>2.1</v>
      </c>
      <c r="AA121" s="123">
        <f t="shared" si="26"/>
        <v>2.1</v>
      </c>
      <c r="AB121" s="123">
        <f t="shared" si="26"/>
        <v>2.1</v>
      </c>
      <c r="AC121" s="123">
        <f t="shared" si="26"/>
        <v>2.1</v>
      </c>
      <c r="AD121" s="123">
        <f t="shared" si="26"/>
        <v>2.1</v>
      </c>
      <c r="AE121" s="123">
        <f t="shared" si="26"/>
        <v>2.1</v>
      </c>
      <c r="AF121" s="123">
        <f t="shared" si="26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4"/>
        <v>9.3000000000000007</v>
      </c>
      <c r="C122" s="124">
        <v>9.3000000000000007</v>
      </c>
      <c r="D122" s="123">
        <f t="shared" si="27"/>
        <v>9.3000000000000007</v>
      </c>
      <c r="E122" s="123">
        <f t="shared" si="27"/>
        <v>9.3000000000000007</v>
      </c>
      <c r="F122" s="123">
        <f t="shared" si="27"/>
        <v>9.3000000000000007</v>
      </c>
      <c r="G122" s="123">
        <f t="shared" si="27"/>
        <v>9.3000000000000007</v>
      </c>
      <c r="H122" s="123">
        <f t="shared" si="27"/>
        <v>9.3000000000000007</v>
      </c>
      <c r="I122" s="123">
        <f t="shared" si="27"/>
        <v>9.3000000000000007</v>
      </c>
      <c r="J122" s="123">
        <f t="shared" si="27"/>
        <v>9.3000000000000007</v>
      </c>
      <c r="K122" s="123">
        <f t="shared" si="27"/>
        <v>9.3000000000000007</v>
      </c>
      <c r="L122" s="123">
        <f t="shared" si="27"/>
        <v>9.3000000000000007</v>
      </c>
      <c r="M122" s="123">
        <f t="shared" si="27"/>
        <v>9.3000000000000007</v>
      </c>
      <c r="N122" s="123">
        <f t="shared" si="27"/>
        <v>9.3000000000000007</v>
      </c>
      <c r="O122" s="123">
        <f t="shared" si="27"/>
        <v>9.3000000000000007</v>
      </c>
      <c r="P122" s="123">
        <f t="shared" si="27"/>
        <v>9.3000000000000007</v>
      </c>
      <c r="Q122" s="123">
        <f t="shared" si="27"/>
        <v>9.3000000000000007</v>
      </c>
      <c r="R122" s="123">
        <f t="shared" si="27"/>
        <v>9.3000000000000007</v>
      </c>
      <c r="S122" s="123">
        <f t="shared" si="27"/>
        <v>9.3000000000000007</v>
      </c>
      <c r="T122" s="123">
        <f t="shared" si="26"/>
        <v>9.3000000000000007</v>
      </c>
      <c r="U122" s="123">
        <f t="shared" si="26"/>
        <v>9.3000000000000007</v>
      </c>
      <c r="V122" s="123">
        <f t="shared" si="26"/>
        <v>9.3000000000000007</v>
      </c>
      <c r="W122" s="123">
        <f t="shared" si="26"/>
        <v>9.3000000000000007</v>
      </c>
      <c r="X122" s="123">
        <f t="shared" si="26"/>
        <v>9.3000000000000007</v>
      </c>
      <c r="Y122" s="123">
        <f t="shared" si="26"/>
        <v>9.3000000000000007</v>
      </c>
      <c r="Z122" s="123">
        <f t="shared" si="26"/>
        <v>9.3000000000000007</v>
      </c>
      <c r="AA122" s="123">
        <f t="shared" si="26"/>
        <v>9.3000000000000007</v>
      </c>
      <c r="AB122" s="123">
        <f t="shared" si="26"/>
        <v>9.3000000000000007</v>
      </c>
      <c r="AC122" s="123">
        <f t="shared" si="26"/>
        <v>9.3000000000000007</v>
      </c>
      <c r="AD122" s="123">
        <f t="shared" si="26"/>
        <v>9.3000000000000007</v>
      </c>
      <c r="AE122" s="123">
        <f t="shared" si="26"/>
        <v>9.3000000000000007</v>
      </c>
      <c r="AF122" s="123">
        <f t="shared" si="26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4"/>
        <v>0</v>
      </c>
      <c r="C123" s="124">
        <v>0</v>
      </c>
      <c r="D123" s="123">
        <f t="shared" si="27"/>
        <v>0</v>
      </c>
      <c r="E123" s="123">
        <f t="shared" si="27"/>
        <v>0</v>
      </c>
      <c r="F123" s="123">
        <f t="shared" si="27"/>
        <v>0</v>
      </c>
      <c r="G123" s="123">
        <f t="shared" si="27"/>
        <v>0</v>
      </c>
      <c r="H123" s="123">
        <f t="shared" si="27"/>
        <v>0</v>
      </c>
      <c r="I123" s="123">
        <f t="shared" si="27"/>
        <v>0</v>
      </c>
      <c r="J123" s="123">
        <f t="shared" si="27"/>
        <v>0</v>
      </c>
      <c r="K123" s="123">
        <f t="shared" si="27"/>
        <v>0</v>
      </c>
      <c r="L123" s="123">
        <f t="shared" si="27"/>
        <v>0</v>
      </c>
      <c r="M123" s="123">
        <f t="shared" si="27"/>
        <v>0</v>
      </c>
      <c r="N123" s="123">
        <f t="shared" si="27"/>
        <v>0</v>
      </c>
      <c r="O123" s="123">
        <f t="shared" si="27"/>
        <v>0</v>
      </c>
      <c r="P123" s="123">
        <f t="shared" si="27"/>
        <v>0</v>
      </c>
      <c r="Q123" s="123">
        <f t="shared" si="27"/>
        <v>0</v>
      </c>
      <c r="R123" s="123">
        <f t="shared" si="27"/>
        <v>0</v>
      </c>
      <c r="S123" s="123">
        <f t="shared" si="27"/>
        <v>0</v>
      </c>
      <c r="T123" s="123">
        <f t="shared" si="26"/>
        <v>0</v>
      </c>
      <c r="U123" s="123">
        <f t="shared" si="26"/>
        <v>0</v>
      </c>
      <c r="V123" s="123">
        <f t="shared" si="26"/>
        <v>0</v>
      </c>
      <c r="W123" s="123">
        <f t="shared" si="26"/>
        <v>0</v>
      </c>
      <c r="X123" s="123">
        <f t="shared" si="26"/>
        <v>0</v>
      </c>
      <c r="Y123" s="123">
        <f t="shared" si="26"/>
        <v>0</v>
      </c>
      <c r="Z123" s="123">
        <f t="shared" si="26"/>
        <v>0</v>
      </c>
      <c r="AA123" s="123">
        <f t="shared" si="26"/>
        <v>0</v>
      </c>
      <c r="AB123" s="123">
        <f t="shared" si="26"/>
        <v>0</v>
      </c>
      <c r="AC123" s="123">
        <f t="shared" si="26"/>
        <v>0</v>
      </c>
      <c r="AD123" s="123">
        <f t="shared" si="26"/>
        <v>0</v>
      </c>
      <c r="AE123" s="123">
        <f t="shared" si="26"/>
        <v>0</v>
      </c>
      <c r="AF123" s="123">
        <f t="shared" si="26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4"/>
        <v>0</v>
      </c>
      <c r="C124" s="124">
        <v>0</v>
      </c>
      <c r="D124" s="123">
        <f t="shared" si="27"/>
        <v>0</v>
      </c>
      <c r="E124" s="123">
        <f t="shared" si="27"/>
        <v>0</v>
      </c>
      <c r="F124" s="123">
        <f t="shared" si="27"/>
        <v>0</v>
      </c>
      <c r="G124" s="123">
        <f t="shared" si="27"/>
        <v>0</v>
      </c>
      <c r="H124" s="123">
        <f t="shared" si="27"/>
        <v>0</v>
      </c>
      <c r="I124" s="123">
        <f t="shared" si="27"/>
        <v>0</v>
      </c>
      <c r="J124" s="123">
        <f t="shared" si="27"/>
        <v>0</v>
      </c>
      <c r="K124" s="123">
        <f t="shared" si="27"/>
        <v>0</v>
      </c>
      <c r="L124" s="123">
        <f t="shared" si="27"/>
        <v>0</v>
      </c>
      <c r="M124" s="123">
        <f t="shared" si="27"/>
        <v>0</v>
      </c>
      <c r="N124" s="123">
        <f t="shared" si="27"/>
        <v>0</v>
      </c>
      <c r="O124" s="123">
        <f t="shared" si="27"/>
        <v>0</v>
      </c>
      <c r="P124" s="123">
        <f t="shared" si="27"/>
        <v>0</v>
      </c>
      <c r="Q124" s="123">
        <f t="shared" si="27"/>
        <v>0</v>
      </c>
      <c r="R124" s="123">
        <f t="shared" si="27"/>
        <v>0</v>
      </c>
      <c r="S124" s="123">
        <f t="shared" si="27"/>
        <v>0</v>
      </c>
      <c r="T124" s="123">
        <f t="shared" si="26"/>
        <v>0</v>
      </c>
      <c r="U124" s="123">
        <f t="shared" si="26"/>
        <v>0</v>
      </c>
      <c r="V124" s="123">
        <f t="shared" si="26"/>
        <v>0</v>
      </c>
      <c r="W124" s="123">
        <f t="shared" si="26"/>
        <v>0</v>
      </c>
      <c r="X124" s="123">
        <f t="shared" si="26"/>
        <v>0</v>
      </c>
      <c r="Y124" s="123">
        <f t="shared" si="26"/>
        <v>0</v>
      </c>
      <c r="Z124" s="123">
        <f t="shared" si="26"/>
        <v>0</v>
      </c>
      <c r="AA124" s="123">
        <f t="shared" si="26"/>
        <v>0</v>
      </c>
      <c r="AB124" s="123">
        <f t="shared" si="26"/>
        <v>0</v>
      </c>
      <c r="AC124" s="123">
        <f t="shared" si="26"/>
        <v>0</v>
      </c>
      <c r="AD124" s="123">
        <f t="shared" si="26"/>
        <v>0</v>
      </c>
      <c r="AE124" s="123">
        <f t="shared" si="26"/>
        <v>0</v>
      </c>
      <c r="AF124" s="123">
        <f t="shared" si="26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4"/>
        <v>;/</v>
      </c>
      <c r="C125" s="124">
        <v>5</v>
      </c>
      <c r="D125" s="123">
        <f t="shared" si="27"/>
        <v>5</v>
      </c>
      <c r="E125" s="123">
        <f t="shared" si="27"/>
        <v>5</v>
      </c>
      <c r="F125" s="123">
        <f t="shared" si="27"/>
        <v>5</v>
      </c>
      <c r="G125" s="123">
        <f t="shared" si="27"/>
        <v>5</v>
      </c>
      <c r="H125" s="123">
        <f t="shared" si="27"/>
        <v>5</v>
      </c>
      <c r="I125" s="123" t="s">
        <v>131</v>
      </c>
      <c r="J125" s="123" t="str">
        <f t="shared" si="27"/>
        <v>;/</v>
      </c>
      <c r="K125" s="123" t="str">
        <f t="shared" si="27"/>
        <v>;/</v>
      </c>
      <c r="L125" s="123" t="str">
        <f t="shared" si="27"/>
        <v>;/</v>
      </c>
      <c r="M125" s="123" t="str">
        <f t="shared" si="27"/>
        <v>;/</v>
      </c>
      <c r="N125" s="123" t="str">
        <f t="shared" si="27"/>
        <v>;/</v>
      </c>
      <c r="O125" s="123" t="str">
        <f t="shared" si="27"/>
        <v>;/</v>
      </c>
      <c r="P125" s="123" t="str">
        <f t="shared" si="27"/>
        <v>;/</v>
      </c>
      <c r="Q125" s="123" t="str">
        <f t="shared" si="27"/>
        <v>;/</v>
      </c>
      <c r="R125" s="123" t="str">
        <f t="shared" si="27"/>
        <v>;/</v>
      </c>
      <c r="S125" s="123" t="str">
        <f t="shared" si="27"/>
        <v>;/</v>
      </c>
      <c r="T125" s="123" t="str">
        <f t="shared" si="26"/>
        <v>;/</v>
      </c>
      <c r="U125" s="123" t="str">
        <f t="shared" si="26"/>
        <v>;/</v>
      </c>
      <c r="V125" s="123" t="str">
        <f t="shared" si="26"/>
        <v>;/</v>
      </c>
      <c r="W125" s="123" t="str">
        <f t="shared" si="26"/>
        <v>;/</v>
      </c>
      <c r="X125" s="123" t="str">
        <f t="shared" si="26"/>
        <v>;/</v>
      </c>
      <c r="Y125" s="123" t="str">
        <f t="shared" si="26"/>
        <v>;/</v>
      </c>
      <c r="Z125" s="123" t="str">
        <f t="shared" si="26"/>
        <v>;/</v>
      </c>
      <c r="AA125" s="123" t="str">
        <f t="shared" si="26"/>
        <v>;/</v>
      </c>
      <c r="AB125" s="123" t="str">
        <f t="shared" si="26"/>
        <v>;/</v>
      </c>
      <c r="AC125" s="123" t="str">
        <f t="shared" si="26"/>
        <v>;/</v>
      </c>
      <c r="AD125" s="123" t="str">
        <f t="shared" si="26"/>
        <v>;/</v>
      </c>
      <c r="AE125" s="123" t="str">
        <f t="shared" si="26"/>
        <v>;/</v>
      </c>
      <c r="AF125" s="123" t="str">
        <f t="shared" si="26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4"/>
        <v>1</v>
      </c>
      <c r="C126" s="124">
        <v>1</v>
      </c>
      <c r="D126" s="123">
        <f t="shared" si="27"/>
        <v>1</v>
      </c>
      <c r="E126" s="123">
        <f t="shared" si="27"/>
        <v>1</v>
      </c>
      <c r="F126" s="123">
        <f t="shared" si="27"/>
        <v>1</v>
      </c>
      <c r="G126" s="123">
        <f t="shared" si="27"/>
        <v>1</v>
      </c>
      <c r="H126" s="123">
        <f t="shared" si="27"/>
        <v>1</v>
      </c>
      <c r="I126" s="123">
        <f t="shared" si="27"/>
        <v>1</v>
      </c>
      <c r="J126" s="123">
        <f t="shared" si="27"/>
        <v>1</v>
      </c>
      <c r="K126" s="123">
        <f t="shared" si="27"/>
        <v>1</v>
      </c>
      <c r="L126" s="123">
        <f t="shared" si="27"/>
        <v>1</v>
      </c>
      <c r="M126" s="123">
        <f t="shared" si="27"/>
        <v>1</v>
      </c>
      <c r="N126" s="123">
        <f t="shared" si="27"/>
        <v>1</v>
      </c>
      <c r="O126" s="123">
        <f t="shared" si="27"/>
        <v>1</v>
      </c>
      <c r="P126" s="123">
        <f t="shared" si="27"/>
        <v>1</v>
      </c>
      <c r="Q126" s="123">
        <f t="shared" si="27"/>
        <v>1</v>
      </c>
      <c r="R126" s="123">
        <f t="shared" si="27"/>
        <v>1</v>
      </c>
      <c r="S126" s="123">
        <f t="shared" si="27"/>
        <v>1</v>
      </c>
      <c r="T126" s="123">
        <f t="shared" si="26"/>
        <v>1</v>
      </c>
      <c r="U126" s="123">
        <f t="shared" si="26"/>
        <v>1</v>
      </c>
      <c r="V126" s="123">
        <f t="shared" si="26"/>
        <v>1</v>
      </c>
      <c r="W126" s="123">
        <f t="shared" si="26"/>
        <v>1</v>
      </c>
      <c r="X126" s="123">
        <f t="shared" si="26"/>
        <v>1</v>
      </c>
      <c r="Y126" s="123">
        <f t="shared" si="26"/>
        <v>1</v>
      </c>
      <c r="Z126" s="123">
        <f t="shared" si="26"/>
        <v>1</v>
      </c>
      <c r="AA126" s="123">
        <f t="shared" si="26"/>
        <v>1</v>
      </c>
      <c r="AB126" s="123">
        <f t="shared" si="26"/>
        <v>1</v>
      </c>
      <c r="AC126" s="123">
        <f t="shared" si="26"/>
        <v>1</v>
      </c>
      <c r="AD126" s="123">
        <f t="shared" si="26"/>
        <v>1</v>
      </c>
      <c r="AE126" s="123">
        <f t="shared" si="26"/>
        <v>1</v>
      </c>
      <c r="AF126" s="123">
        <f t="shared" si="26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4"/>
        <v>1.58</v>
      </c>
      <c r="C127" s="124">
        <v>1.58</v>
      </c>
      <c r="D127" s="123">
        <f t="shared" si="27"/>
        <v>1.58</v>
      </c>
      <c r="E127" s="123">
        <f t="shared" si="27"/>
        <v>1.58</v>
      </c>
      <c r="F127" s="123">
        <f t="shared" si="27"/>
        <v>1.58</v>
      </c>
      <c r="G127" s="123">
        <f t="shared" si="27"/>
        <v>1.58</v>
      </c>
      <c r="H127" s="123">
        <f t="shared" si="27"/>
        <v>1.58</v>
      </c>
      <c r="I127" s="123">
        <f t="shared" si="27"/>
        <v>1.58</v>
      </c>
      <c r="J127" s="123">
        <f t="shared" si="27"/>
        <v>1.58</v>
      </c>
      <c r="K127" s="123">
        <f t="shared" si="27"/>
        <v>1.58</v>
      </c>
      <c r="L127" s="123">
        <f t="shared" si="27"/>
        <v>1.58</v>
      </c>
      <c r="M127" s="123">
        <f t="shared" si="27"/>
        <v>1.58</v>
      </c>
      <c r="N127" s="123">
        <f t="shared" si="27"/>
        <v>1.58</v>
      </c>
      <c r="O127" s="123">
        <f t="shared" si="27"/>
        <v>1.58</v>
      </c>
      <c r="P127" s="123">
        <f t="shared" si="27"/>
        <v>1.58</v>
      </c>
      <c r="Q127" s="123">
        <f t="shared" si="27"/>
        <v>1.58</v>
      </c>
      <c r="R127" s="123">
        <f t="shared" si="27"/>
        <v>1.58</v>
      </c>
      <c r="S127" s="123">
        <f t="shared" si="27"/>
        <v>1.58</v>
      </c>
      <c r="T127" s="123">
        <f t="shared" si="26"/>
        <v>1.58</v>
      </c>
      <c r="U127" s="123">
        <f t="shared" si="26"/>
        <v>1.58</v>
      </c>
      <c r="V127" s="123">
        <f t="shared" si="26"/>
        <v>1.58</v>
      </c>
      <c r="W127" s="123">
        <f t="shared" si="26"/>
        <v>1.58</v>
      </c>
      <c r="X127" s="123">
        <f t="shared" si="26"/>
        <v>1.58</v>
      </c>
      <c r="Y127" s="123">
        <f t="shared" si="26"/>
        <v>1.58</v>
      </c>
      <c r="Z127" s="123">
        <f t="shared" si="26"/>
        <v>1.58</v>
      </c>
      <c r="AA127" s="123">
        <f t="shared" si="26"/>
        <v>1.58</v>
      </c>
      <c r="AB127" s="123">
        <f t="shared" si="26"/>
        <v>1.58</v>
      </c>
      <c r="AC127" s="123">
        <f t="shared" si="26"/>
        <v>1.58</v>
      </c>
      <c r="AD127" s="123">
        <f t="shared" si="26"/>
        <v>1.58</v>
      </c>
      <c r="AE127" s="123">
        <f t="shared" si="26"/>
        <v>1.58</v>
      </c>
      <c r="AF127" s="123">
        <f t="shared" si="26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4"/>
        <v>1.46</v>
      </c>
      <c r="C128" s="124">
        <v>1.46</v>
      </c>
      <c r="D128" s="123">
        <f t="shared" si="27"/>
        <v>1.46</v>
      </c>
      <c r="E128" s="123">
        <f t="shared" si="27"/>
        <v>1.46</v>
      </c>
      <c r="F128" s="123">
        <f t="shared" si="27"/>
        <v>1.46</v>
      </c>
      <c r="G128" s="123">
        <f t="shared" si="27"/>
        <v>1.46</v>
      </c>
      <c r="H128" s="123">
        <f t="shared" si="27"/>
        <v>1.46</v>
      </c>
      <c r="I128" s="123">
        <f t="shared" si="27"/>
        <v>1.46</v>
      </c>
      <c r="J128" s="123">
        <f t="shared" si="27"/>
        <v>1.46</v>
      </c>
      <c r="K128" s="123">
        <f t="shared" si="27"/>
        <v>1.46</v>
      </c>
      <c r="L128" s="123">
        <f t="shared" si="27"/>
        <v>1.46</v>
      </c>
      <c r="M128" s="123">
        <f t="shared" si="27"/>
        <v>1.46</v>
      </c>
      <c r="N128" s="123">
        <f t="shared" si="27"/>
        <v>1.46</v>
      </c>
      <c r="O128" s="123">
        <f t="shared" si="27"/>
        <v>1.46</v>
      </c>
      <c r="P128" s="123">
        <f t="shared" si="27"/>
        <v>1.46</v>
      </c>
      <c r="Q128" s="123">
        <f t="shared" si="27"/>
        <v>1.46</v>
      </c>
      <c r="R128" s="123">
        <f t="shared" si="27"/>
        <v>1.46</v>
      </c>
      <c r="S128" s="123">
        <f t="shared" si="27"/>
        <v>1.46</v>
      </c>
      <c r="T128" s="123">
        <f t="shared" ref="T128:AF129" si="28">S128</f>
        <v>1.46</v>
      </c>
      <c r="U128" s="123">
        <f t="shared" si="28"/>
        <v>1.46</v>
      </c>
      <c r="V128" s="123">
        <f t="shared" si="28"/>
        <v>1.46</v>
      </c>
      <c r="W128" s="123">
        <f t="shared" si="28"/>
        <v>1.46</v>
      </c>
      <c r="X128" s="123">
        <f t="shared" si="28"/>
        <v>1.46</v>
      </c>
      <c r="Y128" s="123">
        <f t="shared" si="28"/>
        <v>1.46</v>
      </c>
      <c r="Z128" s="123">
        <f t="shared" si="28"/>
        <v>1.46</v>
      </c>
      <c r="AA128" s="123">
        <f t="shared" si="28"/>
        <v>1.46</v>
      </c>
      <c r="AB128" s="123">
        <f t="shared" si="28"/>
        <v>1.46</v>
      </c>
      <c r="AC128" s="123">
        <f t="shared" si="28"/>
        <v>1.46</v>
      </c>
      <c r="AD128" s="123">
        <f t="shared" si="28"/>
        <v>1.46</v>
      </c>
      <c r="AE128" s="123">
        <f t="shared" si="28"/>
        <v>1.46</v>
      </c>
      <c r="AF128" s="123">
        <f t="shared" si="28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4"/>
        <v>1.48</v>
      </c>
      <c r="C129" s="124">
        <v>1.48</v>
      </c>
      <c r="D129" s="123">
        <f t="shared" si="27"/>
        <v>1.48</v>
      </c>
      <c r="E129" s="123">
        <f t="shared" si="27"/>
        <v>1.48</v>
      </c>
      <c r="F129" s="123">
        <f t="shared" si="27"/>
        <v>1.48</v>
      </c>
      <c r="G129" s="123">
        <f t="shared" si="27"/>
        <v>1.48</v>
      </c>
      <c r="H129" s="123">
        <f t="shared" si="27"/>
        <v>1.48</v>
      </c>
      <c r="I129" s="123">
        <f t="shared" si="27"/>
        <v>1.48</v>
      </c>
      <c r="J129" s="123">
        <f t="shared" si="27"/>
        <v>1.48</v>
      </c>
      <c r="K129" s="123">
        <f t="shared" si="27"/>
        <v>1.48</v>
      </c>
      <c r="L129" s="123">
        <f t="shared" si="27"/>
        <v>1.48</v>
      </c>
      <c r="M129" s="123">
        <f t="shared" si="27"/>
        <v>1.48</v>
      </c>
      <c r="N129" s="123">
        <f t="shared" si="27"/>
        <v>1.48</v>
      </c>
      <c r="O129" s="123">
        <f t="shared" si="27"/>
        <v>1.48</v>
      </c>
      <c r="P129" s="123">
        <f t="shared" si="27"/>
        <v>1.48</v>
      </c>
      <c r="Q129" s="123">
        <f t="shared" si="27"/>
        <v>1.48</v>
      </c>
      <c r="R129" s="123">
        <f t="shared" si="27"/>
        <v>1.48</v>
      </c>
      <c r="S129" s="123">
        <f t="shared" si="27"/>
        <v>1.48</v>
      </c>
      <c r="T129" s="123">
        <f t="shared" si="28"/>
        <v>1.48</v>
      </c>
      <c r="U129" s="123">
        <f t="shared" si="28"/>
        <v>1.48</v>
      </c>
      <c r="V129" s="123">
        <f t="shared" si="28"/>
        <v>1.48</v>
      </c>
      <c r="W129" s="123">
        <f t="shared" si="28"/>
        <v>1.48</v>
      </c>
      <c r="X129" s="123">
        <f t="shared" si="28"/>
        <v>1.48</v>
      </c>
      <c r="Y129" s="123">
        <f t="shared" si="28"/>
        <v>1.48</v>
      </c>
      <c r="Z129" s="123">
        <f t="shared" si="28"/>
        <v>1.48</v>
      </c>
      <c r="AA129" s="123">
        <f t="shared" si="28"/>
        <v>1.48</v>
      </c>
      <c r="AB129" s="123">
        <f t="shared" si="28"/>
        <v>1.48</v>
      </c>
      <c r="AC129" s="123">
        <f t="shared" si="28"/>
        <v>1.48</v>
      </c>
      <c r="AD129" s="123">
        <f t="shared" si="28"/>
        <v>1.48</v>
      </c>
      <c r="AE129" s="123">
        <f t="shared" si="28"/>
        <v>1.48</v>
      </c>
      <c r="AF129" s="123">
        <f t="shared" si="28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9">AF131</f>
        <v>2.2000000000000002</v>
      </c>
      <c r="C131" s="124">
        <v>2.2000000000000002</v>
      </c>
      <c r="D131" s="123">
        <f t="shared" ref="D131:S138" si="30">C131</f>
        <v>2.2000000000000002</v>
      </c>
      <c r="E131" s="123">
        <f t="shared" si="30"/>
        <v>2.2000000000000002</v>
      </c>
      <c r="F131" s="123">
        <f t="shared" si="30"/>
        <v>2.2000000000000002</v>
      </c>
      <c r="G131" s="123">
        <f t="shared" si="30"/>
        <v>2.2000000000000002</v>
      </c>
      <c r="H131" s="123">
        <f t="shared" si="30"/>
        <v>2.2000000000000002</v>
      </c>
      <c r="I131" s="123">
        <f t="shared" si="30"/>
        <v>2.2000000000000002</v>
      </c>
      <c r="J131" s="123">
        <f t="shared" si="30"/>
        <v>2.2000000000000002</v>
      </c>
      <c r="K131" s="123">
        <f t="shared" si="30"/>
        <v>2.2000000000000002</v>
      </c>
      <c r="L131" s="123">
        <f t="shared" si="30"/>
        <v>2.2000000000000002</v>
      </c>
      <c r="M131" s="123">
        <f t="shared" si="30"/>
        <v>2.2000000000000002</v>
      </c>
      <c r="N131" s="123">
        <f t="shared" si="30"/>
        <v>2.2000000000000002</v>
      </c>
      <c r="O131" s="123">
        <f t="shared" si="30"/>
        <v>2.2000000000000002</v>
      </c>
      <c r="P131" s="123">
        <f t="shared" si="30"/>
        <v>2.2000000000000002</v>
      </c>
      <c r="Q131" s="123">
        <f t="shared" si="30"/>
        <v>2.2000000000000002</v>
      </c>
      <c r="R131" s="123">
        <f t="shared" si="30"/>
        <v>2.2000000000000002</v>
      </c>
      <c r="S131" s="123">
        <f t="shared" si="30"/>
        <v>2.2000000000000002</v>
      </c>
      <c r="T131" s="123">
        <f t="shared" ref="T131:AF138" si="31">S131</f>
        <v>2.2000000000000002</v>
      </c>
      <c r="U131" s="123">
        <f t="shared" si="31"/>
        <v>2.2000000000000002</v>
      </c>
      <c r="V131" s="123">
        <f t="shared" si="31"/>
        <v>2.2000000000000002</v>
      </c>
      <c r="W131" s="123">
        <f t="shared" si="31"/>
        <v>2.2000000000000002</v>
      </c>
      <c r="X131" s="123">
        <f t="shared" si="31"/>
        <v>2.2000000000000002</v>
      </c>
      <c r="Y131" s="123">
        <f t="shared" si="31"/>
        <v>2.2000000000000002</v>
      </c>
      <c r="Z131" s="123">
        <f t="shared" si="31"/>
        <v>2.2000000000000002</v>
      </c>
      <c r="AA131" s="123">
        <f t="shared" si="31"/>
        <v>2.2000000000000002</v>
      </c>
      <c r="AB131" s="123">
        <f t="shared" si="31"/>
        <v>2.2000000000000002</v>
      </c>
      <c r="AC131" s="123">
        <f t="shared" si="31"/>
        <v>2.2000000000000002</v>
      </c>
      <c r="AD131" s="123">
        <f t="shared" si="31"/>
        <v>2.2000000000000002</v>
      </c>
      <c r="AE131" s="123">
        <f t="shared" si="31"/>
        <v>2.2000000000000002</v>
      </c>
      <c r="AF131" s="123">
        <f t="shared" si="31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9"/>
        <v>2</v>
      </c>
      <c r="C132" s="124">
        <v>2</v>
      </c>
      <c r="D132" s="123">
        <f t="shared" si="30"/>
        <v>2</v>
      </c>
      <c r="E132" s="123">
        <f t="shared" si="30"/>
        <v>2</v>
      </c>
      <c r="F132" s="123">
        <f t="shared" si="30"/>
        <v>2</v>
      </c>
      <c r="G132" s="123">
        <f t="shared" si="30"/>
        <v>2</v>
      </c>
      <c r="H132" s="123">
        <f t="shared" si="30"/>
        <v>2</v>
      </c>
      <c r="I132" s="123">
        <f t="shared" si="30"/>
        <v>2</v>
      </c>
      <c r="J132" s="123">
        <f t="shared" si="30"/>
        <v>2</v>
      </c>
      <c r="K132" s="123">
        <f t="shared" si="30"/>
        <v>2</v>
      </c>
      <c r="L132" s="123">
        <f t="shared" si="30"/>
        <v>2</v>
      </c>
      <c r="M132" s="123">
        <f t="shared" si="30"/>
        <v>2</v>
      </c>
      <c r="N132" s="123">
        <f t="shared" si="30"/>
        <v>2</v>
      </c>
      <c r="O132" s="123">
        <f t="shared" si="30"/>
        <v>2</v>
      </c>
      <c r="P132" s="123">
        <f t="shared" si="30"/>
        <v>2</v>
      </c>
      <c r="Q132" s="123">
        <f t="shared" si="30"/>
        <v>2</v>
      </c>
      <c r="R132" s="123">
        <f t="shared" si="30"/>
        <v>2</v>
      </c>
      <c r="S132" s="123">
        <f t="shared" si="30"/>
        <v>2</v>
      </c>
      <c r="T132" s="123">
        <f t="shared" si="31"/>
        <v>2</v>
      </c>
      <c r="U132" s="123">
        <f t="shared" si="31"/>
        <v>2</v>
      </c>
      <c r="V132" s="123">
        <f t="shared" si="31"/>
        <v>2</v>
      </c>
      <c r="W132" s="123">
        <f t="shared" si="31"/>
        <v>2</v>
      </c>
      <c r="X132" s="123">
        <f t="shared" si="31"/>
        <v>2</v>
      </c>
      <c r="Y132" s="123">
        <f t="shared" si="31"/>
        <v>2</v>
      </c>
      <c r="Z132" s="123">
        <f t="shared" si="31"/>
        <v>2</v>
      </c>
      <c r="AA132" s="123">
        <f t="shared" si="31"/>
        <v>2</v>
      </c>
      <c r="AB132" s="123">
        <f t="shared" si="31"/>
        <v>2</v>
      </c>
      <c r="AC132" s="123">
        <f t="shared" si="31"/>
        <v>2</v>
      </c>
      <c r="AD132" s="123">
        <f t="shared" si="31"/>
        <v>2</v>
      </c>
      <c r="AE132" s="123">
        <f t="shared" si="31"/>
        <v>2</v>
      </c>
      <c r="AF132" s="123">
        <f t="shared" si="31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9"/>
        <v>1.25</v>
      </c>
      <c r="C133" s="124">
        <v>1.25</v>
      </c>
      <c r="D133" s="123">
        <f t="shared" si="30"/>
        <v>1.25</v>
      </c>
      <c r="E133" s="123">
        <f t="shared" si="30"/>
        <v>1.25</v>
      </c>
      <c r="F133" s="123">
        <f t="shared" si="30"/>
        <v>1.25</v>
      </c>
      <c r="G133" s="123">
        <f t="shared" si="30"/>
        <v>1.25</v>
      </c>
      <c r="H133" s="123">
        <f t="shared" si="30"/>
        <v>1.25</v>
      </c>
      <c r="I133" s="123">
        <f t="shared" si="30"/>
        <v>1.25</v>
      </c>
      <c r="J133" s="123">
        <f t="shared" si="30"/>
        <v>1.25</v>
      </c>
      <c r="K133" s="123">
        <f t="shared" si="30"/>
        <v>1.25</v>
      </c>
      <c r="L133" s="123">
        <f t="shared" si="30"/>
        <v>1.25</v>
      </c>
      <c r="M133" s="123">
        <f t="shared" si="30"/>
        <v>1.25</v>
      </c>
      <c r="N133" s="123">
        <f t="shared" si="30"/>
        <v>1.25</v>
      </c>
      <c r="O133" s="123">
        <f t="shared" si="30"/>
        <v>1.25</v>
      </c>
      <c r="P133" s="123">
        <f t="shared" si="30"/>
        <v>1.25</v>
      </c>
      <c r="Q133" s="123">
        <f t="shared" si="30"/>
        <v>1.25</v>
      </c>
      <c r="R133" s="123">
        <f t="shared" si="30"/>
        <v>1.25</v>
      </c>
      <c r="S133" s="123">
        <f t="shared" si="30"/>
        <v>1.25</v>
      </c>
      <c r="T133" s="123">
        <f t="shared" si="31"/>
        <v>1.25</v>
      </c>
      <c r="U133" s="123">
        <f t="shared" si="31"/>
        <v>1.25</v>
      </c>
      <c r="V133" s="123">
        <f t="shared" si="31"/>
        <v>1.25</v>
      </c>
      <c r="W133" s="123">
        <f t="shared" si="31"/>
        <v>1.25</v>
      </c>
      <c r="X133" s="123">
        <f t="shared" si="31"/>
        <v>1.25</v>
      </c>
      <c r="Y133" s="123">
        <f t="shared" si="31"/>
        <v>1.25</v>
      </c>
      <c r="Z133" s="123">
        <f t="shared" si="31"/>
        <v>1.25</v>
      </c>
      <c r="AA133" s="123">
        <f t="shared" si="31"/>
        <v>1.25</v>
      </c>
      <c r="AB133" s="123">
        <f t="shared" si="31"/>
        <v>1.25</v>
      </c>
      <c r="AC133" s="123">
        <f t="shared" si="31"/>
        <v>1.25</v>
      </c>
      <c r="AD133" s="123">
        <f t="shared" si="31"/>
        <v>1.25</v>
      </c>
      <c r="AE133" s="123">
        <f t="shared" si="31"/>
        <v>1.25</v>
      </c>
      <c r="AF133" s="123">
        <f t="shared" si="31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9"/>
        <v>1.1499999999999999</v>
      </c>
      <c r="C134" s="124">
        <v>1.1499999999999999</v>
      </c>
      <c r="D134" s="123">
        <f t="shared" si="30"/>
        <v>1.1499999999999999</v>
      </c>
      <c r="E134" s="123">
        <f t="shared" si="30"/>
        <v>1.1499999999999999</v>
      </c>
      <c r="F134" s="123">
        <f t="shared" si="30"/>
        <v>1.1499999999999999</v>
      </c>
      <c r="G134" s="123">
        <f t="shared" si="30"/>
        <v>1.1499999999999999</v>
      </c>
      <c r="H134" s="123">
        <f t="shared" si="30"/>
        <v>1.1499999999999999</v>
      </c>
      <c r="I134" s="123">
        <f t="shared" si="30"/>
        <v>1.1499999999999999</v>
      </c>
      <c r="J134" s="123">
        <f t="shared" si="30"/>
        <v>1.1499999999999999</v>
      </c>
      <c r="K134" s="123">
        <f t="shared" si="30"/>
        <v>1.1499999999999999</v>
      </c>
      <c r="L134" s="123">
        <f t="shared" si="30"/>
        <v>1.1499999999999999</v>
      </c>
      <c r="M134" s="123">
        <f t="shared" si="30"/>
        <v>1.1499999999999999</v>
      </c>
      <c r="N134" s="123">
        <f t="shared" si="30"/>
        <v>1.1499999999999999</v>
      </c>
      <c r="O134" s="123">
        <f t="shared" si="30"/>
        <v>1.1499999999999999</v>
      </c>
      <c r="P134" s="123">
        <f t="shared" si="30"/>
        <v>1.1499999999999999</v>
      </c>
      <c r="Q134" s="123">
        <f t="shared" si="30"/>
        <v>1.1499999999999999</v>
      </c>
      <c r="R134" s="123">
        <f t="shared" si="30"/>
        <v>1.1499999999999999</v>
      </c>
      <c r="S134" s="123">
        <f t="shared" si="30"/>
        <v>1.1499999999999999</v>
      </c>
      <c r="T134" s="123">
        <f t="shared" si="31"/>
        <v>1.1499999999999999</v>
      </c>
      <c r="U134" s="123">
        <f t="shared" si="31"/>
        <v>1.1499999999999999</v>
      </c>
      <c r="V134" s="123">
        <f t="shared" si="31"/>
        <v>1.1499999999999999</v>
      </c>
      <c r="W134" s="123">
        <f t="shared" si="31"/>
        <v>1.1499999999999999</v>
      </c>
      <c r="X134" s="123">
        <f t="shared" si="31"/>
        <v>1.1499999999999999</v>
      </c>
      <c r="Y134" s="123">
        <f t="shared" si="31"/>
        <v>1.1499999999999999</v>
      </c>
      <c r="Z134" s="123">
        <f t="shared" si="31"/>
        <v>1.1499999999999999</v>
      </c>
      <c r="AA134" s="123">
        <f t="shared" si="31"/>
        <v>1.1499999999999999</v>
      </c>
      <c r="AB134" s="123">
        <f t="shared" si="31"/>
        <v>1.1499999999999999</v>
      </c>
      <c r="AC134" s="123">
        <f t="shared" si="31"/>
        <v>1.1499999999999999</v>
      </c>
      <c r="AD134" s="123">
        <f t="shared" si="31"/>
        <v>1.1499999999999999</v>
      </c>
      <c r="AE134" s="123">
        <f t="shared" si="31"/>
        <v>1.1499999999999999</v>
      </c>
      <c r="AF134" s="123">
        <f t="shared" si="31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9"/>
        <v>2.133</v>
      </c>
      <c r="C135" s="124">
        <v>2.133</v>
      </c>
      <c r="D135" s="123">
        <f t="shared" si="30"/>
        <v>2.133</v>
      </c>
      <c r="E135" s="123">
        <f t="shared" si="30"/>
        <v>2.133</v>
      </c>
      <c r="F135" s="123">
        <f t="shared" si="30"/>
        <v>2.133</v>
      </c>
      <c r="G135" s="123">
        <f t="shared" si="30"/>
        <v>2.133</v>
      </c>
      <c r="H135" s="123">
        <f t="shared" si="30"/>
        <v>2.133</v>
      </c>
      <c r="I135" s="123">
        <f t="shared" si="30"/>
        <v>2.133</v>
      </c>
      <c r="J135" s="123">
        <f t="shared" si="30"/>
        <v>2.133</v>
      </c>
      <c r="K135" s="123">
        <f t="shared" si="30"/>
        <v>2.133</v>
      </c>
      <c r="L135" s="123">
        <f t="shared" si="30"/>
        <v>2.133</v>
      </c>
      <c r="M135" s="123">
        <f t="shared" si="30"/>
        <v>2.133</v>
      </c>
      <c r="N135" s="123">
        <f t="shared" si="30"/>
        <v>2.133</v>
      </c>
      <c r="O135" s="123">
        <f t="shared" si="30"/>
        <v>2.133</v>
      </c>
      <c r="P135" s="123">
        <f t="shared" si="30"/>
        <v>2.133</v>
      </c>
      <c r="Q135" s="123">
        <f t="shared" si="30"/>
        <v>2.133</v>
      </c>
      <c r="R135" s="123">
        <f t="shared" si="30"/>
        <v>2.133</v>
      </c>
      <c r="S135" s="123">
        <f t="shared" si="30"/>
        <v>2.133</v>
      </c>
      <c r="T135" s="123">
        <f t="shared" si="31"/>
        <v>2.133</v>
      </c>
      <c r="U135" s="123">
        <f t="shared" si="31"/>
        <v>2.133</v>
      </c>
      <c r="V135" s="123">
        <f t="shared" si="31"/>
        <v>2.133</v>
      </c>
      <c r="W135" s="123">
        <f t="shared" si="31"/>
        <v>2.133</v>
      </c>
      <c r="X135" s="123">
        <f t="shared" si="31"/>
        <v>2.133</v>
      </c>
      <c r="Y135" s="123">
        <f t="shared" si="31"/>
        <v>2.133</v>
      </c>
      <c r="Z135" s="123">
        <f t="shared" si="31"/>
        <v>2.133</v>
      </c>
      <c r="AA135" s="123">
        <f t="shared" si="31"/>
        <v>2.133</v>
      </c>
      <c r="AB135" s="123">
        <f t="shared" si="31"/>
        <v>2.133</v>
      </c>
      <c r="AC135" s="123">
        <f t="shared" si="31"/>
        <v>2.133</v>
      </c>
      <c r="AD135" s="123">
        <f t="shared" si="31"/>
        <v>2.133</v>
      </c>
      <c r="AE135" s="123">
        <f t="shared" si="31"/>
        <v>2.133</v>
      </c>
      <c r="AF135" s="123">
        <f t="shared" si="31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9"/>
        <v>2.09</v>
      </c>
      <c r="C136" s="124">
        <v>2.09</v>
      </c>
      <c r="D136" s="123">
        <f t="shared" si="30"/>
        <v>2.09</v>
      </c>
      <c r="E136" s="123">
        <f t="shared" si="30"/>
        <v>2.09</v>
      </c>
      <c r="F136" s="123">
        <f t="shared" si="30"/>
        <v>2.09</v>
      </c>
      <c r="G136" s="123">
        <f t="shared" si="30"/>
        <v>2.09</v>
      </c>
      <c r="H136" s="123">
        <f t="shared" si="30"/>
        <v>2.09</v>
      </c>
      <c r="I136" s="123">
        <f t="shared" si="30"/>
        <v>2.09</v>
      </c>
      <c r="J136" s="123">
        <f t="shared" si="30"/>
        <v>2.09</v>
      </c>
      <c r="K136" s="123">
        <f t="shared" si="30"/>
        <v>2.09</v>
      </c>
      <c r="L136" s="123">
        <f t="shared" si="30"/>
        <v>2.09</v>
      </c>
      <c r="M136" s="123">
        <f t="shared" si="30"/>
        <v>2.09</v>
      </c>
      <c r="N136" s="123">
        <f t="shared" si="30"/>
        <v>2.09</v>
      </c>
      <c r="O136" s="123">
        <f t="shared" si="30"/>
        <v>2.09</v>
      </c>
      <c r="P136" s="123">
        <f t="shared" si="30"/>
        <v>2.09</v>
      </c>
      <c r="Q136" s="123">
        <f t="shared" si="30"/>
        <v>2.09</v>
      </c>
      <c r="R136" s="123">
        <f t="shared" si="30"/>
        <v>2.09</v>
      </c>
      <c r="S136" s="123">
        <f t="shared" si="30"/>
        <v>2.09</v>
      </c>
      <c r="T136" s="123">
        <f t="shared" si="31"/>
        <v>2.09</v>
      </c>
      <c r="U136" s="123">
        <f t="shared" si="31"/>
        <v>2.09</v>
      </c>
      <c r="V136" s="123">
        <f t="shared" si="31"/>
        <v>2.09</v>
      </c>
      <c r="W136" s="123">
        <f t="shared" si="31"/>
        <v>2.09</v>
      </c>
      <c r="X136" s="123">
        <f t="shared" si="31"/>
        <v>2.09</v>
      </c>
      <c r="Y136" s="123">
        <f t="shared" si="31"/>
        <v>2.09</v>
      </c>
      <c r="Z136" s="123">
        <f t="shared" si="31"/>
        <v>2.09</v>
      </c>
      <c r="AA136" s="123">
        <f t="shared" si="31"/>
        <v>2.09</v>
      </c>
      <c r="AB136" s="123">
        <f t="shared" si="31"/>
        <v>2.09</v>
      </c>
      <c r="AC136" s="123">
        <f t="shared" si="31"/>
        <v>2.09</v>
      </c>
      <c r="AD136" s="123">
        <f t="shared" si="31"/>
        <v>2.09</v>
      </c>
      <c r="AE136" s="123">
        <f t="shared" si="31"/>
        <v>2.09</v>
      </c>
      <c r="AF136" s="123">
        <f t="shared" si="31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9"/>
        <v>1.1399999999999999</v>
      </c>
      <c r="C137" s="124">
        <v>1.1399999999999999</v>
      </c>
      <c r="D137" s="123">
        <f t="shared" si="30"/>
        <v>1.1399999999999999</v>
      </c>
      <c r="E137" s="123">
        <f t="shared" si="30"/>
        <v>1.1399999999999999</v>
      </c>
      <c r="F137" s="123">
        <f t="shared" si="30"/>
        <v>1.1399999999999999</v>
      </c>
      <c r="G137" s="123">
        <f t="shared" si="30"/>
        <v>1.1399999999999999</v>
      </c>
      <c r="H137" s="123">
        <f t="shared" si="30"/>
        <v>1.1399999999999999</v>
      </c>
      <c r="I137" s="123">
        <f t="shared" si="30"/>
        <v>1.1399999999999999</v>
      </c>
      <c r="J137" s="123">
        <f t="shared" si="30"/>
        <v>1.1399999999999999</v>
      </c>
      <c r="K137" s="123">
        <f t="shared" si="30"/>
        <v>1.1399999999999999</v>
      </c>
      <c r="L137" s="123">
        <f t="shared" si="30"/>
        <v>1.1399999999999999</v>
      </c>
      <c r="M137" s="123">
        <f t="shared" si="30"/>
        <v>1.1399999999999999</v>
      </c>
      <c r="N137" s="123">
        <f t="shared" si="30"/>
        <v>1.1399999999999999</v>
      </c>
      <c r="O137" s="123">
        <f t="shared" si="30"/>
        <v>1.1399999999999999</v>
      </c>
      <c r="P137" s="123">
        <f t="shared" si="30"/>
        <v>1.1399999999999999</v>
      </c>
      <c r="Q137" s="123">
        <f t="shared" si="30"/>
        <v>1.1399999999999999</v>
      </c>
      <c r="R137" s="123">
        <f t="shared" si="30"/>
        <v>1.1399999999999999</v>
      </c>
      <c r="S137" s="123">
        <f t="shared" si="30"/>
        <v>1.1399999999999999</v>
      </c>
      <c r="T137" s="123">
        <f t="shared" si="31"/>
        <v>1.1399999999999999</v>
      </c>
      <c r="U137" s="123">
        <f t="shared" si="31"/>
        <v>1.1399999999999999</v>
      </c>
      <c r="V137" s="123">
        <f t="shared" si="31"/>
        <v>1.1399999999999999</v>
      </c>
      <c r="W137" s="123">
        <f t="shared" si="31"/>
        <v>1.1399999999999999</v>
      </c>
      <c r="X137" s="123">
        <f t="shared" si="31"/>
        <v>1.1399999999999999</v>
      </c>
      <c r="Y137" s="123">
        <f t="shared" si="31"/>
        <v>1.1399999999999999</v>
      </c>
      <c r="Z137" s="123">
        <f t="shared" si="31"/>
        <v>1.1399999999999999</v>
      </c>
      <c r="AA137" s="123">
        <f t="shared" si="31"/>
        <v>1.1399999999999999</v>
      </c>
      <c r="AB137" s="123">
        <f t="shared" si="31"/>
        <v>1.1399999999999999</v>
      </c>
      <c r="AC137" s="123">
        <f t="shared" si="31"/>
        <v>1.1399999999999999</v>
      </c>
      <c r="AD137" s="123">
        <f t="shared" si="31"/>
        <v>1.1399999999999999</v>
      </c>
      <c r="AE137" s="123">
        <f t="shared" si="31"/>
        <v>1.1399999999999999</v>
      </c>
      <c r="AF137" s="123">
        <f t="shared" si="31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9"/>
        <v>0.82</v>
      </c>
      <c r="C138" s="124">
        <v>0.82</v>
      </c>
      <c r="D138" s="123">
        <f t="shared" si="30"/>
        <v>0.82</v>
      </c>
      <c r="E138" s="123">
        <f t="shared" si="30"/>
        <v>0.82</v>
      </c>
      <c r="F138" s="123">
        <f t="shared" si="30"/>
        <v>0.82</v>
      </c>
      <c r="G138" s="123">
        <f t="shared" si="30"/>
        <v>0.82</v>
      </c>
      <c r="H138" s="123">
        <f t="shared" si="30"/>
        <v>0.82</v>
      </c>
      <c r="I138" s="123">
        <f t="shared" si="30"/>
        <v>0.82</v>
      </c>
      <c r="J138" s="123">
        <f t="shared" si="30"/>
        <v>0.82</v>
      </c>
      <c r="K138" s="123">
        <f t="shared" si="30"/>
        <v>0.82</v>
      </c>
      <c r="L138" s="123">
        <f t="shared" si="30"/>
        <v>0.82</v>
      </c>
      <c r="M138" s="123">
        <f t="shared" si="30"/>
        <v>0.82</v>
      </c>
      <c r="N138" s="123">
        <f t="shared" si="30"/>
        <v>0.82</v>
      </c>
      <c r="O138" s="123">
        <f t="shared" si="30"/>
        <v>0.82</v>
      </c>
      <c r="P138" s="123">
        <f t="shared" si="30"/>
        <v>0.82</v>
      </c>
      <c r="Q138" s="123">
        <f t="shared" si="30"/>
        <v>0.82</v>
      </c>
      <c r="R138" s="123">
        <f t="shared" si="30"/>
        <v>0.82</v>
      </c>
      <c r="S138" s="123">
        <f t="shared" si="30"/>
        <v>0.82</v>
      </c>
      <c r="T138" s="123">
        <f t="shared" si="31"/>
        <v>0.82</v>
      </c>
      <c r="U138" s="123">
        <f t="shared" si="31"/>
        <v>0.82</v>
      </c>
      <c r="V138" s="123">
        <f t="shared" si="31"/>
        <v>0.82</v>
      </c>
      <c r="W138" s="123">
        <f t="shared" si="31"/>
        <v>0.82</v>
      </c>
      <c r="X138" s="123">
        <f t="shared" si="31"/>
        <v>0.82</v>
      </c>
      <c r="Y138" s="123">
        <f t="shared" si="31"/>
        <v>0.82</v>
      </c>
      <c r="Z138" s="123">
        <f t="shared" si="31"/>
        <v>0.82</v>
      </c>
      <c r="AA138" s="123">
        <f t="shared" si="31"/>
        <v>0.82</v>
      </c>
      <c r="AB138" s="123">
        <f t="shared" si="31"/>
        <v>0.82</v>
      </c>
      <c r="AC138" s="123">
        <f t="shared" si="31"/>
        <v>0.82</v>
      </c>
      <c r="AD138" s="123">
        <f t="shared" si="31"/>
        <v>0.82</v>
      </c>
      <c r="AE138" s="123">
        <f t="shared" si="31"/>
        <v>0.82</v>
      </c>
      <c r="AF138" s="123">
        <f t="shared" si="31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2">AF140</f>
        <v>2</v>
      </c>
      <c r="C140" s="124">
        <v>2</v>
      </c>
      <c r="D140" s="123">
        <f t="shared" ref="D140:S146" si="33">C140</f>
        <v>2</v>
      </c>
      <c r="E140" s="123">
        <f t="shared" si="33"/>
        <v>2</v>
      </c>
      <c r="F140" s="123">
        <f t="shared" si="33"/>
        <v>2</v>
      </c>
      <c r="G140" s="123">
        <f t="shared" si="33"/>
        <v>2</v>
      </c>
      <c r="H140" s="123">
        <f t="shared" si="33"/>
        <v>2</v>
      </c>
      <c r="I140" s="123">
        <f t="shared" si="33"/>
        <v>2</v>
      </c>
      <c r="J140" s="123">
        <f t="shared" si="33"/>
        <v>2</v>
      </c>
      <c r="K140" s="123">
        <f t="shared" si="33"/>
        <v>2</v>
      </c>
      <c r="L140" s="123">
        <f t="shared" si="33"/>
        <v>2</v>
      </c>
      <c r="M140" s="123">
        <f t="shared" si="33"/>
        <v>2</v>
      </c>
      <c r="N140" s="123">
        <f t="shared" si="33"/>
        <v>2</v>
      </c>
      <c r="O140" s="123">
        <f t="shared" si="33"/>
        <v>2</v>
      </c>
      <c r="P140" s="123">
        <f t="shared" si="33"/>
        <v>2</v>
      </c>
      <c r="Q140" s="123">
        <f t="shared" si="33"/>
        <v>2</v>
      </c>
      <c r="R140" s="123">
        <f t="shared" si="33"/>
        <v>2</v>
      </c>
      <c r="S140" s="123">
        <f t="shared" si="33"/>
        <v>2</v>
      </c>
      <c r="T140" s="123">
        <f t="shared" ref="T140:AF146" si="34">S140</f>
        <v>2</v>
      </c>
      <c r="U140" s="123">
        <f t="shared" si="34"/>
        <v>2</v>
      </c>
      <c r="V140" s="123">
        <f t="shared" si="34"/>
        <v>2</v>
      </c>
      <c r="W140" s="123">
        <f t="shared" si="34"/>
        <v>2</v>
      </c>
      <c r="X140" s="123">
        <f t="shared" si="34"/>
        <v>2</v>
      </c>
      <c r="Y140" s="123">
        <f t="shared" si="34"/>
        <v>2</v>
      </c>
      <c r="Z140" s="123">
        <f t="shared" si="34"/>
        <v>2</v>
      </c>
      <c r="AA140" s="123">
        <f t="shared" si="34"/>
        <v>2</v>
      </c>
      <c r="AB140" s="123">
        <f t="shared" si="34"/>
        <v>2</v>
      </c>
      <c r="AC140" s="123">
        <f t="shared" si="34"/>
        <v>2</v>
      </c>
      <c r="AD140" s="123">
        <f t="shared" si="34"/>
        <v>2</v>
      </c>
      <c r="AE140" s="123">
        <f t="shared" si="34"/>
        <v>2</v>
      </c>
      <c r="AF140" s="123">
        <f t="shared" si="34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2"/>
        <v>5.61</v>
      </c>
      <c r="C141" s="124">
        <v>5.61</v>
      </c>
      <c r="D141" s="123">
        <f t="shared" si="33"/>
        <v>5.61</v>
      </c>
      <c r="E141" s="123">
        <f t="shared" si="33"/>
        <v>5.61</v>
      </c>
      <c r="F141" s="123">
        <f t="shared" si="33"/>
        <v>5.61</v>
      </c>
      <c r="G141" s="123">
        <f t="shared" si="33"/>
        <v>5.61</v>
      </c>
      <c r="H141" s="123">
        <f t="shared" si="33"/>
        <v>5.61</v>
      </c>
      <c r="I141" s="123">
        <f t="shared" si="33"/>
        <v>5.61</v>
      </c>
      <c r="J141" s="123">
        <f t="shared" si="33"/>
        <v>5.61</v>
      </c>
      <c r="K141" s="123">
        <f t="shared" si="33"/>
        <v>5.61</v>
      </c>
      <c r="L141" s="123">
        <f t="shared" si="33"/>
        <v>5.61</v>
      </c>
      <c r="M141" s="123">
        <f t="shared" si="33"/>
        <v>5.61</v>
      </c>
      <c r="N141" s="123">
        <f t="shared" si="33"/>
        <v>5.61</v>
      </c>
      <c r="O141" s="123">
        <f t="shared" si="33"/>
        <v>5.61</v>
      </c>
      <c r="P141" s="123">
        <f t="shared" si="33"/>
        <v>5.61</v>
      </c>
      <c r="Q141" s="123">
        <f t="shared" si="33"/>
        <v>5.61</v>
      </c>
      <c r="R141" s="123">
        <f t="shared" si="33"/>
        <v>5.61</v>
      </c>
      <c r="S141" s="123">
        <f t="shared" si="33"/>
        <v>5.61</v>
      </c>
      <c r="T141" s="123">
        <f t="shared" si="34"/>
        <v>5.61</v>
      </c>
      <c r="U141" s="123">
        <f t="shared" si="34"/>
        <v>5.61</v>
      </c>
      <c r="V141" s="123">
        <f t="shared" si="34"/>
        <v>5.61</v>
      </c>
      <c r="W141" s="123">
        <f t="shared" si="34"/>
        <v>5.61</v>
      </c>
      <c r="X141" s="123">
        <f t="shared" si="34"/>
        <v>5.61</v>
      </c>
      <c r="Y141" s="123">
        <f t="shared" si="34"/>
        <v>5.61</v>
      </c>
      <c r="Z141" s="123">
        <f t="shared" si="34"/>
        <v>5.61</v>
      </c>
      <c r="AA141" s="123">
        <f t="shared" si="34"/>
        <v>5.61</v>
      </c>
      <c r="AB141" s="123">
        <f t="shared" si="34"/>
        <v>5.61</v>
      </c>
      <c r="AC141" s="123">
        <f t="shared" si="34"/>
        <v>5.61</v>
      </c>
      <c r="AD141" s="123">
        <f t="shared" si="34"/>
        <v>5.61</v>
      </c>
      <c r="AE141" s="123">
        <f t="shared" si="34"/>
        <v>5.61</v>
      </c>
      <c r="AF141" s="123">
        <f t="shared" si="34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2"/>
        <v>1.25</v>
      </c>
      <c r="C142" s="124">
        <v>1.25</v>
      </c>
      <c r="D142" s="123">
        <f t="shared" si="33"/>
        <v>1.25</v>
      </c>
      <c r="E142" s="123">
        <f t="shared" si="33"/>
        <v>1.25</v>
      </c>
      <c r="F142" s="123">
        <f t="shared" si="33"/>
        <v>1.25</v>
      </c>
      <c r="G142" s="123">
        <f t="shared" si="33"/>
        <v>1.25</v>
      </c>
      <c r="H142" s="123">
        <f t="shared" si="33"/>
        <v>1.25</v>
      </c>
      <c r="I142" s="123">
        <f t="shared" si="33"/>
        <v>1.25</v>
      </c>
      <c r="J142" s="123">
        <f t="shared" si="33"/>
        <v>1.25</v>
      </c>
      <c r="K142" s="123">
        <f t="shared" si="33"/>
        <v>1.25</v>
      </c>
      <c r="L142" s="123">
        <f t="shared" si="33"/>
        <v>1.25</v>
      </c>
      <c r="M142" s="123">
        <f t="shared" si="33"/>
        <v>1.25</v>
      </c>
      <c r="N142" s="123">
        <f t="shared" si="33"/>
        <v>1.25</v>
      </c>
      <c r="O142" s="123">
        <f t="shared" si="33"/>
        <v>1.25</v>
      </c>
      <c r="P142" s="123">
        <f t="shared" si="33"/>
        <v>1.25</v>
      </c>
      <c r="Q142" s="123">
        <f t="shared" si="33"/>
        <v>1.25</v>
      </c>
      <c r="R142" s="123">
        <f t="shared" si="33"/>
        <v>1.25</v>
      </c>
      <c r="S142" s="123">
        <f t="shared" si="33"/>
        <v>1.25</v>
      </c>
      <c r="T142" s="123">
        <f t="shared" si="34"/>
        <v>1.25</v>
      </c>
      <c r="U142" s="123">
        <f t="shared" si="34"/>
        <v>1.25</v>
      </c>
      <c r="V142" s="123">
        <f t="shared" si="34"/>
        <v>1.25</v>
      </c>
      <c r="W142" s="123">
        <f t="shared" si="34"/>
        <v>1.25</v>
      </c>
      <c r="X142" s="123">
        <f t="shared" si="34"/>
        <v>1.25</v>
      </c>
      <c r="Y142" s="123">
        <f t="shared" si="34"/>
        <v>1.25</v>
      </c>
      <c r="Z142" s="123">
        <f t="shared" si="34"/>
        <v>1.25</v>
      </c>
      <c r="AA142" s="123">
        <f t="shared" si="34"/>
        <v>1.25</v>
      </c>
      <c r="AB142" s="123">
        <f t="shared" si="34"/>
        <v>1.25</v>
      </c>
      <c r="AC142" s="123">
        <f t="shared" si="34"/>
        <v>1.25</v>
      </c>
      <c r="AD142" s="123">
        <f t="shared" si="34"/>
        <v>1.25</v>
      </c>
      <c r="AE142" s="123">
        <f t="shared" si="34"/>
        <v>1.25</v>
      </c>
      <c r="AF142" s="123">
        <f t="shared" si="34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2"/>
        <v>1.25</v>
      </c>
      <c r="C143" s="124">
        <v>1.25</v>
      </c>
      <c r="D143" s="123">
        <f t="shared" si="33"/>
        <v>1.25</v>
      </c>
      <c r="E143" s="123">
        <f t="shared" si="33"/>
        <v>1.25</v>
      </c>
      <c r="F143" s="123">
        <f t="shared" si="33"/>
        <v>1.25</v>
      </c>
      <c r="G143" s="123">
        <f t="shared" si="33"/>
        <v>1.25</v>
      </c>
      <c r="H143" s="123">
        <f t="shared" si="33"/>
        <v>1.25</v>
      </c>
      <c r="I143" s="123">
        <f t="shared" si="33"/>
        <v>1.25</v>
      </c>
      <c r="J143" s="123">
        <f t="shared" si="33"/>
        <v>1.25</v>
      </c>
      <c r="K143" s="123">
        <f t="shared" si="33"/>
        <v>1.25</v>
      </c>
      <c r="L143" s="123">
        <f t="shared" si="33"/>
        <v>1.25</v>
      </c>
      <c r="M143" s="123">
        <f t="shared" si="33"/>
        <v>1.25</v>
      </c>
      <c r="N143" s="123">
        <f t="shared" si="33"/>
        <v>1.25</v>
      </c>
      <c r="O143" s="123">
        <f t="shared" si="33"/>
        <v>1.25</v>
      </c>
      <c r="P143" s="123">
        <f t="shared" si="33"/>
        <v>1.25</v>
      </c>
      <c r="Q143" s="123">
        <f t="shared" si="33"/>
        <v>1.25</v>
      </c>
      <c r="R143" s="123">
        <f t="shared" si="33"/>
        <v>1.25</v>
      </c>
      <c r="S143" s="123">
        <f t="shared" si="33"/>
        <v>1.25</v>
      </c>
      <c r="T143" s="123">
        <f t="shared" si="34"/>
        <v>1.25</v>
      </c>
      <c r="U143" s="123">
        <f t="shared" si="34"/>
        <v>1.25</v>
      </c>
      <c r="V143" s="123">
        <f t="shared" si="34"/>
        <v>1.25</v>
      </c>
      <c r="W143" s="123">
        <f t="shared" si="34"/>
        <v>1.25</v>
      </c>
      <c r="X143" s="123">
        <f t="shared" si="34"/>
        <v>1.25</v>
      </c>
      <c r="Y143" s="123">
        <f t="shared" si="34"/>
        <v>1.25</v>
      </c>
      <c r="Z143" s="123">
        <f t="shared" si="34"/>
        <v>1.25</v>
      </c>
      <c r="AA143" s="123">
        <f t="shared" si="34"/>
        <v>1.25</v>
      </c>
      <c r="AB143" s="123">
        <f t="shared" si="34"/>
        <v>1.25</v>
      </c>
      <c r="AC143" s="123">
        <f t="shared" si="34"/>
        <v>1.25</v>
      </c>
      <c r="AD143" s="123">
        <f t="shared" si="34"/>
        <v>1.25</v>
      </c>
      <c r="AE143" s="123">
        <f t="shared" si="34"/>
        <v>1.25</v>
      </c>
      <c r="AF143" s="123">
        <f t="shared" si="34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2"/>
        <v>1.46</v>
      </c>
      <c r="C144" s="124">
        <v>1.46</v>
      </c>
      <c r="D144" s="123">
        <f t="shared" si="33"/>
        <v>1.46</v>
      </c>
      <c r="E144" s="123">
        <f t="shared" si="33"/>
        <v>1.46</v>
      </c>
      <c r="F144" s="123">
        <f t="shared" si="33"/>
        <v>1.46</v>
      </c>
      <c r="G144" s="123">
        <f t="shared" si="33"/>
        <v>1.46</v>
      </c>
      <c r="H144" s="123">
        <f t="shared" si="33"/>
        <v>1.46</v>
      </c>
      <c r="I144" s="123">
        <f t="shared" si="33"/>
        <v>1.46</v>
      </c>
      <c r="J144" s="123">
        <f t="shared" si="33"/>
        <v>1.46</v>
      </c>
      <c r="K144" s="123">
        <f t="shared" si="33"/>
        <v>1.46</v>
      </c>
      <c r="L144" s="123">
        <f t="shared" si="33"/>
        <v>1.46</v>
      </c>
      <c r="M144" s="123">
        <f t="shared" si="33"/>
        <v>1.46</v>
      </c>
      <c r="N144" s="123">
        <f t="shared" si="33"/>
        <v>1.46</v>
      </c>
      <c r="O144" s="123">
        <f t="shared" si="33"/>
        <v>1.46</v>
      </c>
      <c r="P144" s="123">
        <f t="shared" si="33"/>
        <v>1.46</v>
      </c>
      <c r="Q144" s="123">
        <f t="shared" si="33"/>
        <v>1.46</v>
      </c>
      <c r="R144" s="123">
        <f t="shared" si="33"/>
        <v>1.46</v>
      </c>
      <c r="S144" s="123">
        <f t="shared" si="33"/>
        <v>1.46</v>
      </c>
      <c r="T144" s="123">
        <f t="shared" si="34"/>
        <v>1.46</v>
      </c>
      <c r="U144" s="123">
        <f t="shared" si="34"/>
        <v>1.46</v>
      </c>
      <c r="V144" s="123">
        <f t="shared" si="34"/>
        <v>1.46</v>
      </c>
      <c r="W144" s="123">
        <f t="shared" si="34"/>
        <v>1.46</v>
      </c>
      <c r="X144" s="123">
        <f t="shared" si="34"/>
        <v>1.46</v>
      </c>
      <c r="Y144" s="123">
        <f t="shared" si="34"/>
        <v>1.46</v>
      </c>
      <c r="Z144" s="123">
        <f t="shared" si="34"/>
        <v>1.46</v>
      </c>
      <c r="AA144" s="123">
        <f t="shared" si="34"/>
        <v>1.46</v>
      </c>
      <c r="AB144" s="123">
        <f t="shared" si="34"/>
        <v>1.46</v>
      </c>
      <c r="AC144" s="123">
        <f t="shared" si="34"/>
        <v>1.46</v>
      </c>
      <c r="AD144" s="123">
        <f t="shared" si="34"/>
        <v>1.46</v>
      </c>
      <c r="AE144" s="123">
        <f t="shared" si="34"/>
        <v>1.46</v>
      </c>
      <c r="AF144" s="123">
        <f t="shared" si="34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2"/>
        <v>3</v>
      </c>
      <c r="C145" s="124">
        <v>3</v>
      </c>
      <c r="D145" s="123">
        <f t="shared" si="33"/>
        <v>3</v>
      </c>
      <c r="E145" s="123">
        <f t="shared" si="33"/>
        <v>3</v>
      </c>
      <c r="F145" s="123">
        <f t="shared" si="33"/>
        <v>3</v>
      </c>
      <c r="G145" s="123">
        <f t="shared" si="33"/>
        <v>3</v>
      </c>
      <c r="H145" s="123">
        <f t="shared" si="33"/>
        <v>3</v>
      </c>
      <c r="I145" s="123">
        <f t="shared" si="33"/>
        <v>3</v>
      </c>
      <c r="J145" s="123">
        <f t="shared" si="33"/>
        <v>3</v>
      </c>
      <c r="K145" s="123">
        <f t="shared" si="33"/>
        <v>3</v>
      </c>
      <c r="L145" s="123">
        <f t="shared" si="33"/>
        <v>3</v>
      </c>
      <c r="M145" s="123">
        <f t="shared" si="33"/>
        <v>3</v>
      </c>
      <c r="N145" s="123">
        <f t="shared" si="33"/>
        <v>3</v>
      </c>
      <c r="O145" s="123">
        <f t="shared" si="33"/>
        <v>3</v>
      </c>
      <c r="P145" s="123">
        <f t="shared" si="33"/>
        <v>3</v>
      </c>
      <c r="Q145" s="123">
        <f t="shared" si="33"/>
        <v>3</v>
      </c>
      <c r="R145" s="123">
        <f t="shared" si="33"/>
        <v>3</v>
      </c>
      <c r="S145" s="123">
        <f t="shared" si="33"/>
        <v>3</v>
      </c>
      <c r="T145" s="123">
        <f t="shared" si="34"/>
        <v>3</v>
      </c>
      <c r="U145" s="123">
        <f t="shared" si="34"/>
        <v>3</v>
      </c>
      <c r="V145" s="123">
        <f t="shared" si="34"/>
        <v>3</v>
      </c>
      <c r="W145" s="123">
        <f t="shared" si="34"/>
        <v>3</v>
      </c>
      <c r="X145" s="123">
        <f t="shared" si="34"/>
        <v>3</v>
      </c>
      <c r="Y145" s="123">
        <f t="shared" si="34"/>
        <v>3</v>
      </c>
      <c r="Z145" s="123">
        <f t="shared" si="34"/>
        <v>3</v>
      </c>
      <c r="AA145" s="123">
        <f t="shared" si="34"/>
        <v>3</v>
      </c>
      <c r="AB145" s="123">
        <f t="shared" si="34"/>
        <v>3</v>
      </c>
      <c r="AC145" s="123">
        <f t="shared" si="34"/>
        <v>3</v>
      </c>
      <c r="AD145" s="123">
        <f t="shared" si="34"/>
        <v>3</v>
      </c>
      <c r="AE145" s="123">
        <f t="shared" si="34"/>
        <v>3</v>
      </c>
      <c r="AF145" s="123">
        <f t="shared" si="34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2"/>
        <v>3.3</v>
      </c>
      <c r="C146" s="124">
        <v>3.3</v>
      </c>
      <c r="D146" s="123">
        <f t="shared" si="33"/>
        <v>3.3</v>
      </c>
      <c r="E146" s="123">
        <f t="shared" si="33"/>
        <v>3.3</v>
      </c>
      <c r="F146" s="123">
        <f t="shared" si="33"/>
        <v>3.3</v>
      </c>
      <c r="G146" s="123">
        <f t="shared" si="33"/>
        <v>3.3</v>
      </c>
      <c r="H146" s="123">
        <f t="shared" si="33"/>
        <v>3.3</v>
      </c>
      <c r="I146" s="123">
        <f t="shared" si="33"/>
        <v>3.3</v>
      </c>
      <c r="J146" s="123">
        <f t="shared" si="33"/>
        <v>3.3</v>
      </c>
      <c r="K146" s="123">
        <f t="shared" si="33"/>
        <v>3.3</v>
      </c>
      <c r="L146" s="123">
        <f t="shared" si="33"/>
        <v>3.3</v>
      </c>
      <c r="M146" s="123">
        <f t="shared" si="33"/>
        <v>3.3</v>
      </c>
      <c r="N146" s="123">
        <f t="shared" si="33"/>
        <v>3.3</v>
      </c>
      <c r="O146" s="123">
        <f t="shared" si="33"/>
        <v>3.3</v>
      </c>
      <c r="P146" s="123">
        <f t="shared" si="33"/>
        <v>3.3</v>
      </c>
      <c r="Q146" s="123">
        <f t="shared" si="33"/>
        <v>3.3</v>
      </c>
      <c r="R146" s="123">
        <f t="shared" si="33"/>
        <v>3.3</v>
      </c>
      <c r="S146" s="123">
        <f t="shared" si="33"/>
        <v>3.3</v>
      </c>
      <c r="T146" s="123">
        <f t="shared" si="34"/>
        <v>3.3</v>
      </c>
      <c r="U146" s="123">
        <f t="shared" si="34"/>
        <v>3.3</v>
      </c>
      <c r="V146" s="123">
        <f t="shared" si="34"/>
        <v>3.3</v>
      </c>
      <c r="W146" s="123">
        <f t="shared" si="34"/>
        <v>3.3</v>
      </c>
      <c r="X146" s="123">
        <f t="shared" si="34"/>
        <v>3.3</v>
      </c>
      <c r="Y146" s="123">
        <f t="shared" si="34"/>
        <v>3.3</v>
      </c>
      <c r="Z146" s="123">
        <f t="shared" si="34"/>
        <v>3.3</v>
      </c>
      <c r="AA146" s="123">
        <f t="shared" si="34"/>
        <v>3.3</v>
      </c>
      <c r="AB146" s="123">
        <f t="shared" si="34"/>
        <v>3.3</v>
      </c>
      <c r="AC146" s="123">
        <f t="shared" si="34"/>
        <v>3.3</v>
      </c>
      <c r="AD146" s="123">
        <f t="shared" si="34"/>
        <v>3.3</v>
      </c>
      <c r="AE146" s="123">
        <f t="shared" si="34"/>
        <v>3.3</v>
      </c>
      <c r="AF146" s="123">
        <f t="shared" si="34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5">C148</f>
        <v>1.76</v>
      </c>
      <c r="E148" s="123">
        <f t="shared" si="35"/>
        <v>1.76</v>
      </c>
      <c r="F148" s="123">
        <f t="shared" si="35"/>
        <v>1.76</v>
      </c>
      <c r="G148" s="123">
        <f t="shared" si="35"/>
        <v>1.76</v>
      </c>
      <c r="H148" s="123">
        <f t="shared" si="35"/>
        <v>1.76</v>
      </c>
      <c r="I148" s="123">
        <f t="shared" si="35"/>
        <v>1.76</v>
      </c>
      <c r="J148" s="123">
        <f t="shared" si="35"/>
        <v>1.76</v>
      </c>
      <c r="K148" s="123">
        <f t="shared" si="35"/>
        <v>1.76</v>
      </c>
      <c r="L148" s="123">
        <f t="shared" si="35"/>
        <v>1.76</v>
      </c>
      <c r="M148" s="123">
        <f t="shared" si="35"/>
        <v>1.76</v>
      </c>
      <c r="N148" s="123">
        <f t="shared" si="35"/>
        <v>1.76</v>
      </c>
      <c r="O148" s="123">
        <f t="shared" si="35"/>
        <v>1.76</v>
      </c>
      <c r="P148" s="123">
        <f t="shared" si="35"/>
        <v>1.76</v>
      </c>
      <c r="Q148" s="123">
        <f t="shared" si="35"/>
        <v>1.76</v>
      </c>
      <c r="R148" s="123">
        <f t="shared" si="35"/>
        <v>1.76</v>
      </c>
      <c r="S148" s="123">
        <f t="shared" si="35"/>
        <v>1.76</v>
      </c>
      <c r="T148" s="123">
        <f t="shared" ref="T148:AF149" si="36">S148</f>
        <v>1.76</v>
      </c>
      <c r="U148" s="123">
        <f t="shared" si="36"/>
        <v>1.76</v>
      </c>
      <c r="V148" s="123">
        <f t="shared" si="36"/>
        <v>1.76</v>
      </c>
      <c r="W148" s="123">
        <f t="shared" si="36"/>
        <v>1.76</v>
      </c>
      <c r="X148" s="123">
        <f t="shared" si="36"/>
        <v>1.76</v>
      </c>
      <c r="Y148" s="123">
        <f t="shared" si="36"/>
        <v>1.76</v>
      </c>
      <c r="Z148" s="123">
        <f t="shared" si="36"/>
        <v>1.76</v>
      </c>
      <c r="AA148" s="123">
        <f t="shared" si="36"/>
        <v>1.76</v>
      </c>
      <c r="AB148" s="123">
        <f t="shared" si="36"/>
        <v>1.76</v>
      </c>
      <c r="AC148" s="123">
        <f t="shared" si="36"/>
        <v>1.76</v>
      </c>
      <c r="AD148" s="123">
        <f t="shared" si="36"/>
        <v>1.76</v>
      </c>
      <c r="AE148" s="123">
        <f t="shared" si="36"/>
        <v>1.76</v>
      </c>
      <c r="AF148" s="123">
        <f t="shared" si="36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5"/>
        <v>0</v>
      </c>
      <c r="E149" s="123">
        <f t="shared" si="35"/>
        <v>0</v>
      </c>
      <c r="F149" s="123">
        <f t="shared" si="35"/>
        <v>0</v>
      </c>
      <c r="G149" s="123">
        <f t="shared" si="35"/>
        <v>0</v>
      </c>
      <c r="H149" s="123">
        <f t="shared" si="35"/>
        <v>0</v>
      </c>
      <c r="I149" s="123">
        <f t="shared" si="35"/>
        <v>0</v>
      </c>
      <c r="J149" s="123">
        <f t="shared" si="35"/>
        <v>0</v>
      </c>
      <c r="K149" s="123">
        <f t="shared" si="35"/>
        <v>0</v>
      </c>
      <c r="L149" s="123">
        <f t="shared" si="35"/>
        <v>0</v>
      </c>
      <c r="M149" s="123">
        <f t="shared" si="35"/>
        <v>0</v>
      </c>
      <c r="N149" s="123">
        <f t="shared" si="35"/>
        <v>0</v>
      </c>
      <c r="O149" s="123">
        <f t="shared" si="35"/>
        <v>0</v>
      </c>
      <c r="P149" s="123">
        <f t="shared" si="35"/>
        <v>0</v>
      </c>
      <c r="Q149" s="123">
        <f t="shared" si="35"/>
        <v>0</v>
      </c>
      <c r="R149" s="123">
        <f t="shared" si="35"/>
        <v>0</v>
      </c>
      <c r="S149" s="123">
        <f t="shared" si="35"/>
        <v>0</v>
      </c>
      <c r="T149" s="123">
        <f t="shared" si="36"/>
        <v>0</v>
      </c>
      <c r="U149" s="123">
        <f t="shared" si="36"/>
        <v>0</v>
      </c>
      <c r="V149" s="123">
        <f t="shared" si="36"/>
        <v>0</v>
      </c>
      <c r="W149" s="123">
        <f t="shared" si="36"/>
        <v>0</v>
      </c>
      <c r="X149" s="123">
        <f t="shared" si="36"/>
        <v>0</v>
      </c>
      <c r="Y149" s="123">
        <f t="shared" si="36"/>
        <v>0</v>
      </c>
      <c r="Z149" s="123">
        <f t="shared" si="36"/>
        <v>0</v>
      </c>
      <c r="AA149" s="123">
        <f t="shared" si="36"/>
        <v>0</v>
      </c>
      <c r="AB149" s="123">
        <f t="shared" si="36"/>
        <v>0</v>
      </c>
      <c r="AC149" s="123">
        <f t="shared" si="36"/>
        <v>0</v>
      </c>
      <c r="AD149" s="123">
        <f t="shared" si="36"/>
        <v>0</v>
      </c>
      <c r="AE149" s="123">
        <f t="shared" si="36"/>
        <v>0</v>
      </c>
      <c r="AF149" s="123">
        <f t="shared" si="36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7">C151</f>
        <v>0.1</v>
      </c>
      <c r="E151" s="123">
        <f t="shared" si="37"/>
        <v>0.1</v>
      </c>
      <c r="F151" s="123">
        <f t="shared" si="37"/>
        <v>0.1</v>
      </c>
      <c r="G151" s="123">
        <f t="shared" si="37"/>
        <v>0.1</v>
      </c>
      <c r="H151" s="123">
        <f t="shared" si="37"/>
        <v>0.1</v>
      </c>
      <c r="I151" s="123">
        <f t="shared" si="37"/>
        <v>0.1</v>
      </c>
      <c r="J151" s="123">
        <f t="shared" si="37"/>
        <v>0.1</v>
      </c>
      <c r="K151" s="123">
        <f t="shared" si="37"/>
        <v>0.1</v>
      </c>
      <c r="L151" s="123">
        <f t="shared" si="37"/>
        <v>0.1</v>
      </c>
      <c r="M151" s="123">
        <f t="shared" si="37"/>
        <v>0.1</v>
      </c>
      <c r="N151" s="123">
        <f t="shared" si="37"/>
        <v>0.1</v>
      </c>
      <c r="O151" s="123">
        <f t="shared" si="37"/>
        <v>0.1</v>
      </c>
      <c r="P151" s="123">
        <f t="shared" si="37"/>
        <v>0.1</v>
      </c>
      <c r="Q151" s="123">
        <f t="shared" si="37"/>
        <v>0.1</v>
      </c>
      <c r="R151" s="123">
        <f t="shared" si="37"/>
        <v>0.1</v>
      </c>
      <c r="S151" s="123">
        <f t="shared" si="37"/>
        <v>0.1</v>
      </c>
      <c r="T151" s="123">
        <f t="shared" ref="T151:AF154" si="38">S151</f>
        <v>0.1</v>
      </c>
      <c r="U151" s="123">
        <f t="shared" si="38"/>
        <v>0.1</v>
      </c>
      <c r="V151" s="123">
        <f t="shared" si="38"/>
        <v>0.1</v>
      </c>
      <c r="W151" s="123">
        <f t="shared" si="38"/>
        <v>0.1</v>
      </c>
      <c r="X151" s="123">
        <f t="shared" si="38"/>
        <v>0.1</v>
      </c>
      <c r="Y151" s="123">
        <f t="shared" si="38"/>
        <v>0.1</v>
      </c>
      <c r="Z151" s="123">
        <f t="shared" si="38"/>
        <v>0.1</v>
      </c>
      <c r="AA151" s="123">
        <f t="shared" si="38"/>
        <v>0.1</v>
      </c>
      <c r="AB151" s="123">
        <f t="shared" si="38"/>
        <v>0.1</v>
      </c>
      <c r="AC151" s="123">
        <f t="shared" si="38"/>
        <v>0.1</v>
      </c>
      <c r="AD151" s="123">
        <f t="shared" si="38"/>
        <v>0.1</v>
      </c>
      <c r="AE151" s="123">
        <f t="shared" si="38"/>
        <v>0.1</v>
      </c>
      <c r="AF151" s="123">
        <f t="shared" si="38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7"/>
        <v>2.0499999999999998</v>
      </c>
      <c r="E152" s="123">
        <f t="shared" si="37"/>
        <v>2.0499999999999998</v>
      </c>
      <c r="F152" s="123">
        <f t="shared" si="37"/>
        <v>2.0499999999999998</v>
      </c>
      <c r="G152" s="123">
        <f t="shared" si="37"/>
        <v>2.0499999999999998</v>
      </c>
      <c r="H152" s="123">
        <f t="shared" si="37"/>
        <v>2.0499999999999998</v>
      </c>
      <c r="I152" s="123">
        <f t="shared" si="37"/>
        <v>2.0499999999999998</v>
      </c>
      <c r="J152" s="123">
        <f t="shared" si="37"/>
        <v>2.0499999999999998</v>
      </c>
      <c r="K152" s="123">
        <f t="shared" si="37"/>
        <v>2.0499999999999998</v>
      </c>
      <c r="L152" s="123">
        <f t="shared" si="37"/>
        <v>2.0499999999999998</v>
      </c>
      <c r="M152" s="123">
        <f t="shared" si="37"/>
        <v>2.0499999999999998</v>
      </c>
      <c r="N152" s="123">
        <f t="shared" si="37"/>
        <v>2.0499999999999998</v>
      </c>
      <c r="O152" s="123">
        <f t="shared" si="37"/>
        <v>2.0499999999999998</v>
      </c>
      <c r="P152" s="123">
        <f t="shared" si="37"/>
        <v>2.0499999999999998</v>
      </c>
      <c r="Q152" s="123">
        <f t="shared" si="37"/>
        <v>2.0499999999999998</v>
      </c>
      <c r="R152" s="123">
        <f t="shared" si="37"/>
        <v>2.0499999999999998</v>
      </c>
      <c r="S152" s="123">
        <f t="shared" si="37"/>
        <v>2.0499999999999998</v>
      </c>
      <c r="T152" s="123">
        <f t="shared" si="38"/>
        <v>2.0499999999999998</v>
      </c>
      <c r="U152" s="123">
        <f t="shared" si="38"/>
        <v>2.0499999999999998</v>
      </c>
      <c r="V152" s="123">
        <f t="shared" si="38"/>
        <v>2.0499999999999998</v>
      </c>
      <c r="W152" s="123">
        <f t="shared" si="38"/>
        <v>2.0499999999999998</v>
      </c>
      <c r="X152" s="123">
        <f t="shared" si="38"/>
        <v>2.0499999999999998</v>
      </c>
      <c r="Y152" s="123">
        <f t="shared" si="38"/>
        <v>2.0499999999999998</v>
      </c>
      <c r="Z152" s="123">
        <f t="shared" si="38"/>
        <v>2.0499999999999998</v>
      </c>
      <c r="AA152" s="123">
        <f t="shared" si="38"/>
        <v>2.0499999999999998</v>
      </c>
      <c r="AB152" s="123">
        <f t="shared" si="38"/>
        <v>2.0499999999999998</v>
      </c>
      <c r="AC152" s="123">
        <f t="shared" si="38"/>
        <v>2.0499999999999998</v>
      </c>
      <c r="AD152" s="123">
        <f t="shared" si="38"/>
        <v>2.0499999999999998</v>
      </c>
      <c r="AE152" s="123">
        <f t="shared" si="38"/>
        <v>2.0499999999999998</v>
      </c>
      <c r="AF152" s="123">
        <f t="shared" si="38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7"/>
        <v>2.7</v>
      </c>
      <c r="E153" s="123">
        <f t="shared" si="37"/>
        <v>2.7</v>
      </c>
      <c r="F153" s="123">
        <f t="shared" si="37"/>
        <v>2.7</v>
      </c>
      <c r="G153" s="123">
        <f t="shared" si="37"/>
        <v>2.7</v>
      </c>
      <c r="H153" s="123">
        <f t="shared" si="37"/>
        <v>2.7</v>
      </c>
      <c r="I153" s="123">
        <f t="shared" si="37"/>
        <v>2.7</v>
      </c>
      <c r="J153" s="123">
        <f t="shared" si="37"/>
        <v>2.7</v>
      </c>
      <c r="K153" s="123">
        <f t="shared" si="37"/>
        <v>2.7</v>
      </c>
      <c r="L153" s="123">
        <f t="shared" si="37"/>
        <v>2.7</v>
      </c>
      <c r="M153" s="123">
        <f t="shared" si="37"/>
        <v>2.7</v>
      </c>
      <c r="N153" s="123">
        <f t="shared" si="37"/>
        <v>2.7</v>
      </c>
      <c r="O153" s="123">
        <f t="shared" si="37"/>
        <v>2.7</v>
      </c>
      <c r="P153" s="123">
        <f t="shared" si="37"/>
        <v>2.7</v>
      </c>
      <c r="Q153" s="123">
        <f t="shared" si="37"/>
        <v>2.7</v>
      </c>
      <c r="R153" s="123">
        <f t="shared" si="37"/>
        <v>2.7</v>
      </c>
      <c r="S153" s="123">
        <f t="shared" si="37"/>
        <v>2.7</v>
      </c>
      <c r="T153" s="123">
        <f t="shared" si="38"/>
        <v>2.7</v>
      </c>
      <c r="U153" s="123">
        <f t="shared" si="38"/>
        <v>2.7</v>
      </c>
      <c r="V153" s="123">
        <f t="shared" si="38"/>
        <v>2.7</v>
      </c>
      <c r="W153" s="123">
        <f t="shared" si="38"/>
        <v>2.7</v>
      </c>
      <c r="X153" s="123">
        <f t="shared" si="38"/>
        <v>2.7</v>
      </c>
      <c r="Y153" s="123">
        <f t="shared" si="38"/>
        <v>2.7</v>
      </c>
      <c r="Z153" s="123">
        <f t="shared" si="38"/>
        <v>2.7</v>
      </c>
      <c r="AA153" s="123">
        <f t="shared" si="38"/>
        <v>2.7</v>
      </c>
      <c r="AB153" s="123">
        <f t="shared" si="38"/>
        <v>2.7</v>
      </c>
      <c r="AC153" s="123">
        <f t="shared" si="38"/>
        <v>2.7</v>
      </c>
      <c r="AD153" s="123">
        <f t="shared" si="38"/>
        <v>2.7</v>
      </c>
      <c r="AE153" s="123">
        <f t="shared" si="38"/>
        <v>2.7</v>
      </c>
      <c r="AF153" s="123">
        <f t="shared" si="38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7"/>
        <v>2.15</v>
      </c>
      <c r="E154" s="123">
        <f t="shared" si="37"/>
        <v>2.15</v>
      </c>
      <c r="F154" s="123">
        <f t="shared" si="37"/>
        <v>2.15</v>
      </c>
      <c r="G154" s="123">
        <f t="shared" si="37"/>
        <v>2.15</v>
      </c>
      <c r="H154" s="123">
        <f t="shared" si="37"/>
        <v>2.15</v>
      </c>
      <c r="I154" s="123">
        <f t="shared" si="37"/>
        <v>2.15</v>
      </c>
      <c r="J154" s="123">
        <f t="shared" si="37"/>
        <v>2.15</v>
      </c>
      <c r="K154" s="123">
        <f t="shared" si="37"/>
        <v>2.15</v>
      </c>
      <c r="L154" s="123">
        <f t="shared" si="37"/>
        <v>2.15</v>
      </c>
      <c r="M154" s="123">
        <f t="shared" si="37"/>
        <v>2.15</v>
      </c>
      <c r="N154" s="123">
        <f t="shared" si="37"/>
        <v>2.15</v>
      </c>
      <c r="O154" s="123">
        <f t="shared" si="37"/>
        <v>2.15</v>
      </c>
      <c r="P154" s="123">
        <f t="shared" si="37"/>
        <v>2.15</v>
      </c>
      <c r="Q154" s="123">
        <f t="shared" si="37"/>
        <v>2.15</v>
      </c>
      <c r="R154" s="123">
        <f t="shared" si="37"/>
        <v>2.15</v>
      </c>
      <c r="S154" s="123">
        <f t="shared" si="37"/>
        <v>2.15</v>
      </c>
      <c r="T154" s="123">
        <f t="shared" si="38"/>
        <v>2.15</v>
      </c>
      <c r="U154" s="123">
        <f t="shared" si="38"/>
        <v>2.15</v>
      </c>
      <c r="V154" s="123">
        <f t="shared" si="38"/>
        <v>2.15</v>
      </c>
      <c r="W154" s="123">
        <f t="shared" si="38"/>
        <v>2.15</v>
      </c>
      <c r="X154" s="123">
        <f t="shared" si="38"/>
        <v>2.15</v>
      </c>
      <c r="Y154" s="123">
        <f t="shared" si="38"/>
        <v>2.15</v>
      </c>
      <c r="Z154" s="123">
        <f t="shared" si="38"/>
        <v>2.15</v>
      </c>
      <c r="AA154" s="123">
        <f t="shared" si="38"/>
        <v>2.15</v>
      </c>
      <c r="AB154" s="123">
        <f t="shared" si="38"/>
        <v>2.15</v>
      </c>
      <c r="AC154" s="123">
        <f t="shared" si="38"/>
        <v>2.15</v>
      </c>
      <c r="AD154" s="123">
        <f t="shared" si="38"/>
        <v>2.15</v>
      </c>
      <c r="AE154" s="123">
        <f t="shared" si="38"/>
        <v>2.15</v>
      </c>
      <c r="AF154" s="123">
        <f t="shared" si="38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9">AF156</f>
        <v>0.9</v>
      </c>
      <c r="C156" s="124">
        <v>0.9</v>
      </c>
      <c r="D156" s="123">
        <f t="shared" ref="D156:S168" si="40">C156</f>
        <v>0.9</v>
      </c>
      <c r="E156" s="123">
        <f t="shared" si="40"/>
        <v>0.9</v>
      </c>
      <c r="F156" s="123">
        <f t="shared" si="40"/>
        <v>0.9</v>
      </c>
      <c r="G156" s="123">
        <f t="shared" si="40"/>
        <v>0.9</v>
      </c>
      <c r="H156" s="123">
        <f t="shared" si="40"/>
        <v>0.9</v>
      </c>
      <c r="I156" s="123">
        <f t="shared" si="40"/>
        <v>0.9</v>
      </c>
      <c r="J156" s="123">
        <f t="shared" si="40"/>
        <v>0.9</v>
      </c>
      <c r="K156" s="123">
        <f t="shared" si="40"/>
        <v>0.9</v>
      </c>
      <c r="L156" s="123">
        <f t="shared" si="40"/>
        <v>0.9</v>
      </c>
      <c r="M156" s="123">
        <f t="shared" si="40"/>
        <v>0.9</v>
      </c>
      <c r="N156" s="123">
        <f t="shared" si="40"/>
        <v>0.9</v>
      </c>
      <c r="O156" s="123">
        <f t="shared" si="40"/>
        <v>0.9</v>
      </c>
      <c r="P156" s="123">
        <f t="shared" si="40"/>
        <v>0.9</v>
      </c>
      <c r="Q156" s="123">
        <f t="shared" si="40"/>
        <v>0.9</v>
      </c>
      <c r="R156" s="123">
        <f t="shared" si="40"/>
        <v>0.9</v>
      </c>
      <c r="S156" s="123">
        <f t="shared" si="40"/>
        <v>0.9</v>
      </c>
      <c r="T156" s="123">
        <f t="shared" ref="S156:AF168" si="41">S156</f>
        <v>0.9</v>
      </c>
      <c r="U156" s="123">
        <f t="shared" si="41"/>
        <v>0.9</v>
      </c>
      <c r="V156" s="123">
        <f t="shared" si="41"/>
        <v>0.9</v>
      </c>
      <c r="W156" s="123">
        <f t="shared" si="41"/>
        <v>0.9</v>
      </c>
      <c r="X156" s="123">
        <f t="shared" si="41"/>
        <v>0.9</v>
      </c>
      <c r="Y156" s="123">
        <f t="shared" si="41"/>
        <v>0.9</v>
      </c>
      <c r="Z156" s="123">
        <f t="shared" si="41"/>
        <v>0.9</v>
      </c>
      <c r="AA156" s="123">
        <f t="shared" si="41"/>
        <v>0.9</v>
      </c>
      <c r="AB156" s="123">
        <f t="shared" si="41"/>
        <v>0.9</v>
      </c>
      <c r="AC156" s="123">
        <f t="shared" si="41"/>
        <v>0.9</v>
      </c>
      <c r="AD156" s="123">
        <f t="shared" si="41"/>
        <v>0.9</v>
      </c>
      <c r="AE156" s="123">
        <f t="shared" si="41"/>
        <v>0.9</v>
      </c>
      <c r="AF156" s="123">
        <f t="shared" si="41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9"/>
        <v>1.08</v>
      </c>
      <c r="C157" s="124">
        <v>1.08</v>
      </c>
      <c r="D157" s="123">
        <f t="shared" si="40"/>
        <v>1.08</v>
      </c>
      <c r="E157" s="123">
        <f t="shared" si="40"/>
        <v>1.08</v>
      </c>
      <c r="F157" s="123">
        <f t="shared" si="40"/>
        <v>1.08</v>
      </c>
      <c r="G157" s="123">
        <f t="shared" si="40"/>
        <v>1.08</v>
      </c>
      <c r="H157" s="123">
        <f t="shared" si="40"/>
        <v>1.08</v>
      </c>
      <c r="I157" s="123">
        <f t="shared" si="40"/>
        <v>1.08</v>
      </c>
      <c r="J157" s="123">
        <f t="shared" si="40"/>
        <v>1.08</v>
      </c>
      <c r="K157" s="123">
        <f t="shared" si="40"/>
        <v>1.08</v>
      </c>
      <c r="L157" s="123">
        <f t="shared" si="40"/>
        <v>1.08</v>
      </c>
      <c r="M157" s="123">
        <f t="shared" si="40"/>
        <v>1.08</v>
      </c>
      <c r="N157" s="123">
        <f t="shared" si="40"/>
        <v>1.08</v>
      </c>
      <c r="O157" s="123">
        <f t="shared" si="40"/>
        <v>1.08</v>
      </c>
      <c r="P157" s="123">
        <f t="shared" si="40"/>
        <v>1.08</v>
      </c>
      <c r="Q157" s="123">
        <f t="shared" si="40"/>
        <v>1.08</v>
      </c>
      <c r="R157" s="123">
        <f t="shared" si="40"/>
        <v>1.08</v>
      </c>
      <c r="S157" s="123">
        <f t="shared" si="40"/>
        <v>1.08</v>
      </c>
      <c r="T157" s="123">
        <f t="shared" si="41"/>
        <v>1.08</v>
      </c>
      <c r="U157" s="123">
        <f t="shared" si="41"/>
        <v>1.08</v>
      </c>
      <c r="V157" s="123">
        <f t="shared" si="41"/>
        <v>1.08</v>
      </c>
      <c r="W157" s="123">
        <f t="shared" si="41"/>
        <v>1.08</v>
      </c>
      <c r="X157" s="123">
        <f t="shared" si="41"/>
        <v>1.08</v>
      </c>
      <c r="Y157" s="123">
        <f t="shared" si="41"/>
        <v>1.08</v>
      </c>
      <c r="Z157" s="123">
        <f t="shared" si="41"/>
        <v>1.08</v>
      </c>
      <c r="AA157" s="123">
        <f t="shared" si="41"/>
        <v>1.08</v>
      </c>
      <c r="AB157" s="123">
        <f t="shared" si="41"/>
        <v>1.08</v>
      </c>
      <c r="AC157" s="123">
        <f t="shared" si="41"/>
        <v>1.08</v>
      </c>
      <c r="AD157" s="123">
        <f t="shared" si="41"/>
        <v>1.08</v>
      </c>
      <c r="AE157" s="123">
        <f t="shared" si="41"/>
        <v>1.08</v>
      </c>
      <c r="AF157" s="123">
        <f t="shared" si="41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9"/>
        <v>2.37</v>
      </c>
      <c r="C158" s="124">
        <v>2.37</v>
      </c>
      <c r="D158" s="123">
        <f t="shared" si="40"/>
        <v>2.37</v>
      </c>
      <c r="E158" s="123">
        <f t="shared" si="40"/>
        <v>2.37</v>
      </c>
      <c r="F158" s="123">
        <f t="shared" si="40"/>
        <v>2.37</v>
      </c>
      <c r="G158" s="123">
        <f t="shared" si="40"/>
        <v>2.37</v>
      </c>
      <c r="H158" s="123">
        <f t="shared" si="40"/>
        <v>2.37</v>
      </c>
      <c r="I158" s="123">
        <f t="shared" si="40"/>
        <v>2.37</v>
      </c>
      <c r="J158" s="123">
        <f t="shared" si="40"/>
        <v>2.37</v>
      </c>
      <c r="K158" s="123">
        <f t="shared" si="40"/>
        <v>2.37</v>
      </c>
      <c r="L158" s="123">
        <f t="shared" si="40"/>
        <v>2.37</v>
      </c>
      <c r="M158" s="123">
        <f t="shared" si="40"/>
        <v>2.37</v>
      </c>
      <c r="N158" s="123">
        <f t="shared" si="40"/>
        <v>2.37</v>
      </c>
      <c r="O158" s="123">
        <f t="shared" si="40"/>
        <v>2.37</v>
      </c>
      <c r="P158" s="123">
        <f t="shared" si="40"/>
        <v>2.37</v>
      </c>
      <c r="Q158" s="123">
        <f t="shared" si="40"/>
        <v>2.37</v>
      </c>
      <c r="R158" s="123">
        <f t="shared" si="40"/>
        <v>2.37</v>
      </c>
      <c r="S158" s="123">
        <f t="shared" si="40"/>
        <v>2.37</v>
      </c>
      <c r="T158" s="123">
        <f t="shared" si="41"/>
        <v>2.37</v>
      </c>
      <c r="U158" s="123">
        <f t="shared" si="41"/>
        <v>2.37</v>
      </c>
      <c r="V158" s="123">
        <f t="shared" si="41"/>
        <v>2.37</v>
      </c>
      <c r="W158" s="123">
        <f t="shared" si="41"/>
        <v>2.37</v>
      </c>
      <c r="X158" s="123">
        <f t="shared" si="41"/>
        <v>2.37</v>
      </c>
      <c r="Y158" s="123">
        <f t="shared" si="41"/>
        <v>2.37</v>
      </c>
      <c r="Z158" s="123">
        <f t="shared" si="41"/>
        <v>2.37</v>
      </c>
      <c r="AA158" s="123">
        <f t="shared" si="41"/>
        <v>2.37</v>
      </c>
      <c r="AB158" s="123">
        <f t="shared" si="41"/>
        <v>2.37</v>
      </c>
      <c r="AC158" s="123">
        <f t="shared" si="41"/>
        <v>2.37</v>
      </c>
      <c r="AD158" s="123">
        <f t="shared" si="41"/>
        <v>2.37</v>
      </c>
      <c r="AE158" s="123">
        <f t="shared" si="41"/>
        <v>2.37</v>
      </c>
      <c r="AF158" s="123">
        <f t="shared" si="41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9"/>
        <v>1.81</v>
      </c>
      <c r="C159" s="124">
        <v>1.81</v>
      </c>
      <c r="D159" s="123">
        <f t="shared" si="40"/>
        <v>1.81</v>
      </c>
      <c r="E159" s="123">
        <f t="shared" si="40"/>
        <v>1.81</v>
      </c>
      <c r="F159" s="123">
        <f t="shared" si="40"/>
        <v>1.81</v>
      </c>
      <c r="G159" s="123">
        <f t="shared" si="40"/>
        <v>1.81</v>
      </c>
      <c r="H159" s="123">
        <f t="shared" si="40"/>
        <v>1.81</v>
      </c>
      <c r="I159" s="123">
        <f t="shared" si="40"/>
        <v>1.81</v>
      </c>
      <c r="J159" s="123">
        <f t="shared" si="40"/>
        <v>1.81</v>
      </c>
      <c r="K159" s="123">
        <f t="shared" si="40"/>
        <v>1.81</v>
      </c>
      <c r="L159" s="123">
        <f t="shared" si="40"/>
        <v>1.81</v>
      </c>
      <c r="M159" s="123">
        <f t="shared" si="40"/>
        <v>1.81</v>
      </c>
      <c r="N159" s="123">
        <f t="shared" si="40"/>
        <v>1.81</v>
      </c>
      <c r="O159" s="123">
        <f t="shared" si="40"/>
        <v>1.81</v>
      </c>
      <c r="P159" s="123">
        <f t="shared" si="40"/>
        <v>1.81</v>
      </c>
      <c r="Q159" s="123">
        <f t="shared" si="40"/>
        <v>1.81</v>
      </c>
      <c r="R159" s="123">
        <f t="shared" si="40"/>
        <v>1.81</v>
      </c>
      <c r="S159" s="123">
        <f t="shared" si="40"/>
        <v>1.81</v>
      </c>
      <c r="T159" s="123">
        <f t="shared" si="41"/>
        <v>1.81</v>
      </c>
      <c r="U159" s="123">
        <f t="shared" si="41"/>
        <v>1.81</v>
      </c>
      <c r="V159" s="123">
        <f t="shared" si="41"/>
        <v>1.81</v>
      </c>
      <c r="W159" s="123">
        <f t="shared" si="41"/>
        <v>1.81</v>
      </c>
      <c r="X159" s="123">
        <f t="shared" si="41"/>
        <v>1.81</v>
      </c>
      <c r="Y159" s="123">
        <f t="shared" si="41"/>
        <v>1.81</v>
      </c>
      <c r="Z159" s="123">
        <f t="shared" si="41"/>
        <v>1.81</v>
      </c>
      <c r="AA159" s="123">
        <f t="shared" si="41"/>
        <v>1.81</v>
      </c>
      <c r="AB159" s="123">
        <f t="shared" si="41"/>
        <v>1.81</v>
      </c>
      <c r="AC159" s="123">
        <f t="shared" si="41"/>
        <v>1.81</v>
      </c>
      <c r="AD159" s="123">
        <f t="shared" si="41"/>
        <v>1.81</v>
      </c>
      <c r="AE159" s="123">
        <f t="shared" si="41"/>
        <v>1.81</v>
      </c>
      <c r="AF159" s="123">
        <f t="shared" si="41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9"/>
        <v>1.0900000000000001</v>
      </c>
      <c r="C160" s="124">
        <v>1.0900000000000001</v>
      </c>
      <c r="D160" s="123">
        <f t="shared" si="40"/>
        <v>1.0900000000000001</v>
      </c>
      <c r="E160" s="123">
        <f t="shared" si="40"/>
        <v>1.0900000000000001</v>
      </c>
      <c r="F160" s="123">
        <f t="shared" si="40"/>
        <v>1.0900000000000001</v>
      </c>
      <c r="G160" s="123">
        <f t="shared" si="40"/>
        <v>1.0900000000000001</v>
      </c>
      <c r="H160" s="123">
        <f t="shared" si="40"/>
        <v>1.0900000000000001</v>
      </c>
      <c r="I160" s="123">
        <f t="shared" si="40"/>
        <v>1.0900000000000001</v>
      </c>
      <c r="J160" s="123">
        <f t="shared" si="40"/>
        <v>1.0900000000000001</v>
      </c>
      <c r="K160" s="123">
        <f t="shared" si="40"/>
        <v>1.0900000000000001</v>
      </c>
      <c r="L160" s="123">
        <f t="shared" si="40"/>
        <v>1.0900000000000001</v>
      </c>
      <c r="M160" s="123">
        <f t="shared" si="40"/>
        <v>1.0900000000000001</v>
      </c>
      <c r="N160" s="123">
        <f t="shared" si="40"/>
        <v>1.0900000000000001</v>
      </c>
      <c r="O160" s="123">
        <f t="shared" si="40"/>
        <v>1.0900000000000001</v>
      </c>
      <c r="P160" s="123">
        <f t="shared" si="40"/>
        <v>1.0900000000000001</v>
      </c>
      <c r="Q160" s="123">
        <f t="shared" si="40"/>
        <v>1.0900000000000001</v>
      </c>
      <c r="R160" s="123">
        <f t="shared" si="40"/>
        <v>1.0900000000000001</v>
      </c>
      <c r="S160" s="123">
        <f t="shared" si="40"/>
        <v>1.0900000000000001</v>
      </c>
      <c r="T160" s="123">
        <f t="shared" si="41"/>
        <v>1.0900000000000001</v>
      </c>
      <c r="U160" s="123">
        <f t="shared" si="41"/>
        <v>1.0900000000000001</v>
      </c>
      <c r="V160" s="123">
        <f t="shared" si="41"/>
        <v>1.0900000000000001</v>
      </c>
      <c r="W160" s="123">
        <f t="shared" si="41"/>
        <v>1.0900000000000001</v>
      </c>
      <c r="X160" s="123">
        <f t="shared" si="41"/>
        <v>1.0900000000000001</v>
      </c>
      <c r="Y160" s="123">
        <f t="shared" si="41"/>
        <v>1.0900000000000001</v>
      </c>
      <c r="Z160" s="123">
        <f t="shared" si="41"/>
        <v>1.0900000000000001</v>
      </c>
      <c r="AA160" s="123">
        <f t="shared" si="41"/>
        <v>1.0900000000000001</v>
      </c>
      <c r="AB160" s="123">
        <f t="shared" si="41"/>
        <v>1.0900000000000001</v>
      </c>
      <c r="AC160" s="123">
        <f t="shared" si="41"/>
        <v>1.0900000000000001</v>
      </c>
      <c r="AD160" s="123">
        <f t="shared" si="41"/>
        <v>1.0900000000000001</v>
      </c>
      <c r="AE160" s="123">
        <f t="shared" si="41"/>
        <v>1.0900000000000001</v>
      </c>
      <c r="AF160" s="123">
        <f t="shared" si="41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9"/>
        <v>1.58</v>
      </c>
      <c r="C161" s="124">
        <v>1.58</v>
      </c>
      <c r="D161" s="123">
        <f t="shared" si="40"/>
        <v>1.58</v>
      </c>
      <c r="E161" s="123">
        <f t="shared" si="40"/>
        <v>1.58</v>
      </c>
      <c r="F161" s="123">
        <f t="shared" si="40"/>
        <v>1.58</v>
      </c>
      <c r="G161" s="123">
        <f t="shared" si="40"/>
        <v>1.58</v>
      </c>
      <c r="H161" s="123">
        <f t="shared" si="40"/>
        <v>1.58</v>
      </c>
      <c r="I161" s="123">
        <f t="shared" si="40"/>
        <v>1.58</v>
      </c>
      <c r="J161" s="123">
        <f t="shared" si="40"/>
        <v>1.58</v>
      </c>
      <c r="K161" s="123">
        <f t="shared" si="40"/>
        <v>1.58</v>
      </c>
      <c r="L161" s="123">
        <f t="shared" si="40"/>
        <v>1.58</v>
      </c>
      <c r="M161" s="123">
        <f t="shared" si="40"/>
        <v>1.58</v>
      </c>
      <c r="N161" s="123">
        <f t="shared" si="40"/>
        <v>1.58</v>
      </c>
      <c r="O161" s="123">
        <f t="shared" si="40"/>
        <v>1.58</v>
      </c>
      <c r="P161" s="123">
        <f t="shared" si="40"/>
        <v>1.58</v>
      </c>
      <c r="Q161" s="123">
        <f t="shared" si="40"/>
        <v>1.58</v>
      </c>
      <c r="R161" s="123">
        <f t="shared" si="40"/>
        <v>1.58</v>
      </c>
      <c r="S161" s="123">
        <f t="shared" si="40"/>
        <v>1.58</v>
      </c>
      <c r="T161" s="123">
        <f t="shared" si="41"/>
        <v>1.58</v>
      </c>
      <c r="U161" s="123">
        <f t="shared" si="41"/>
        <v>1.58</v>
      </c>
      <c r="V161" s="123">
        <f t="shared" si="41"/>
        <v>1.58</v>
      </c>
      <c r="W161" s="123">
        <f t="shared" si="41"/>
        <v>1.58</v>
      </c>
      <c r="X161" s="123">
        <f t="shared" si="41"/>
        <v>1.58</v>
      </c>
      <c r="Y161" s="123">
        <f t="shared" si="41"/>
        <v>1.58</v>
      </c>
      <c r="Z161" s="123">
        <f t="shared" si="41"/>
        <v>1.58</v>
      </c>
      <c r="AA161" s="123">
        <f t="shared" si="41"/>
        <v>1.58</v>
      </c>
      <c r="AB161" s="123">
        <f t="shared" si="41"/>
        <v>1.58</v>
      </c>
      <c r="AC161" s="123">
        <f t="shared" si="41"/>
        <v>1.58</v>
      </c>
      <c r="AD161" s="123">
        <f t="shared" si="41"/>
        <v>1.58</v>
      </c>
      <c r="AE161" s="123">
        <f t="shared" si="41"/>
        <v>1.58</v>
      </c>
      <c r="AF161" s="123">
        <f t="shared" si="41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9"/>
        <v>2</v>
      </c>
      <c r="C162" s="124">
        <v>2</v>
      </c>
      <c r="D162" s="123">
        <f t="shared" si="40"/>
        <v>2</v>
      </c>
      <c r="E162" s="123">
        <f t="shared" si="40"/>
        <v>2</v>
      </c>
      <c r="F162" s="123">
        <f t="shared" si="40"/>
        <v>2</v>
      </c>
      <c r="G162" s="123">
        <f t="shared" si="40"/>
        <v>2</v>
      </c>
      <c r="H162" s="123">
        <f t="shared" si="40"/>
        <v>2</v>
      </c>
      <c r="I162" s="123">
        <f t="shared" si="40"/>
        <v>2</v>
      </c>
      <c r="J162" s="123">
        <f t="shared" si="40"/>
        <v>2</v>
      </c>
      <c r="K162" s="123">
        <f t="shared" si="40"/>
        <v>2</v>
      </c>
      <c r="L162" s="123">
        <f t="shared" si="40"/>
        <v>2</v>
      </c>
      <c r="M162" s="123">
        <f t="shared" si="40"/>
        <v>2</v>
      </c>
      <c r="N162" s="123">
        <f t="shared" si="40"/>
        <v>2</v>
      </c>
      <c r="O162" s="123">
        <f t="shared" si="40"/>
        <v>2</v>
      </c>
      <c r="P162" s="123">
        <f t="shared" si="40"/>
        <v>2</v>
      </c>
      <c r="Q162" s="123">
        <f t="shared" si="40"/>
        <v>2</v>
      </c>
      <c r="R162" s="123">
        <f t="shared" si="40"/>
        <v>2</v>
      </c>
      <c r="S162" s="123">
        <f t="shared" si="40"/>
        <v>2</v>
      </c>
      <c r="T162" s="123">
        <f t="shared" si="41"/>
        <v>2</v>
      </c>
      <c r="U162" s="123">
        <f t="shared" si="41"/>
        <v>2</v>
      </c>
      <c r="V162" s="123">
        <f t="shared" si="41"/>
        <v>2</v>
      </c>
      <c r="W162" s="123">
        <f t="shared" si="41"/>
        <v>2</v>
      </c>
      <c r="X162" s="123">
        <f t="shared" si="41"/>
        <v>2</v>
      </c>
      <c r="Y162" s="123">
        <f t="shared" si="41"/>
        <v>2</v>
      </c>
      <c r="Z162" s="123">
        <f t="shared" si="41"/>
        <v>2</v>
      </c>
      <c r="AA162" s="123">
        <f t="shared" si="41"/>
        <v>2</v>
      </c>
      <c r="AB162" s="123">
        <f t="shared" si="41"/>
        <v>2</v>
      </c>
      <c r="AC162" s="123">
        <f t="shared" si="41"/>
        <v>2</v>
      </c>
      <c r="AD162" s="123">
        <f t="shared" si="41"/>
        <v>2</v>
      </c>
      <c r="AE162" s="123">
        <f t="shared" si="41"/>
        <v>2</v>
      </c>
      <c r="AF162" s="123">
        <f t="shared" si="41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9"/>
        <v>0.47</v>
      </c>
      <c r="C163" s="124">
        <v>0.47</v>
      </c>
      <c r="D163" s="123">
        <f t="shared" si="40"/>
        <v>0.47</v>
      </c>
      <c r="E163" s="123">
        <f t="shared" si="40"/>
        <v>0.47</v>
      </c>
      <c r="F163" s="123">
        <f t="shared" si="40"/>
        <v>0.47</v>
      </c>
      <c r="G163" s="123">
        <f t="shared" si="40"/>
        <v>0.47</v>
      </c>
      <c r="H163" s="123">
        <f t="shared" si="40"/>
        <v>0.47</v>
      </c>
      <c r="I163" s="123">
        <f t="shared" si="40"/>
        <v>0.47</v>
      </c>
      <c r="J163" s="123">
        <f t="shared" si="40"/>
        <v>0.47</v>
      </c>
      <c r="K163" s="123">
        <f t="shared" si="40"/>
        <v>0.47</v>
      </c>
      <c r="L163" s="123">
        <f t="shared" si="40"/>
        <v>0.47</v>
      </c>
      <c r="M163" s="123">
        <f t="shared" si="40"/>
        <v>0.47</v>
      </c>
      <c r="N163" s="123">
        <f t="shared" si="40"/>
        <v>0.47</v>
      </c>
      <c r="O163" s="123">
        <f t="shared" si="40"/>
        <v>0.47</v>
      </c>
      <c r="P163" s="123">
        <f t="shared" si="40"/>
        <v>0.47</v>
      </c>
      <c r="Q163" s="123">
        <f t="shared" si="40"/>
        <v>0.47</v>
      </c>
      <c r="R163" s="123">
        <f t="shared" si="40"/>
        <v>0.47</v>
      </c>
      <c r="S163" s="123">
        <f t="shared" si="40"/>
        <v>0.47</v>
      </c>
      <c r="T163" s="123">
        <f t="shared" si="41"/>
        <v>0.47</v>
      </c>
      <c r="U163" s="123">
        <f t="shared" si="41"/>
        <v>0.47</v>
      </c>
      <c r="V163" s="123">
        <f t="shared" si="41"/>
        <v>0.47</v>
      </c>
      <c r="W163" s="123">
        <f t="shared" si="41"/>
        <v>0.47</v>
      </c>
      <c r="X163" s="123">
        <f t="shared" si="41"/>
        <v>0.47</v>
      </c>
      <c r="Y163" s="123">
        <f t="shared" si="41"/>
        <v>0.47</v>
      </c>
      <c r="Z163" s="123">
        <f t="shared" si="41"/>
        <v>0.47</v>
      </c>
      <c r="AA163" s="123">
        <f t="shared" si="41"/>
        <v>0.47</v>
      </c>
      <c r="AB163" s="123">
        <f t="shared" si="41"/>
        <v>0.47</v>
      </c>
      <c r="AC163" s="123">
        <f t="shared" si="41"/>
        <v>0.47</v>
      </c>
      <c r="AD163" s="123">
        <f t="shared" si="41"/>
        <v>0.47</v>
      </c>
      <c r="AE163" s="123">
        <f t="shared" si="41"/>
        <v>0.47</v>
      </c>
      <c r="AF163" s="123">
        <f t="shared" si="41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9"/>
        <v>0</v>
      </c>
      <c r="C164" s="124">
        <v>0</v>
      </c>
      <c r="D164" s="123">
        <f t="shared" si="40"/>
        <v>0</v>
      </c>
      <c r="E164" s="123">
        <f t="shared" si="40"/>
        <v>0</v>
      </c>
      <c r="F164" s="123">
        <f t="shared" si="40"/>
        <v>0</v>
      </c>
      <c r="G164" s="123">
        <f t="shared" si="40"/>
        <v>0</v>
      </c>
      <c r="H164" s="123">
        <f t="shared" si="40"/>
        <v>0</v>
      </c>
      <c r="I164" s="123">
        <f t="shared" si="40"/>
        <v>0</v>
      </c>
      <c r="J164" s="123">
        <f t="shared" si="40"/>
        <v>0</v>
      </c>
      <c r="K164" s="123">
        <f t="shared" si="40"/>
        <v>0</v>
      </c>
      <c r="L164" s="123">
        <f t="shared" si="40"/>
        <v>0</v>
      </c>
      <c r="M164" s="123">
        <f t="shared" si="40"/>
        <v>0</v>
      </c>
      <c r="N164" s="123">
        <f t="shared" si="40"/>
        <v>0</v>
      </c>
      <c r="O164" s="123">
        <f t="shared" si="40"/>
        <v>0</v>
      </c>
      <c r="P164" s="123">
        <f t="shared" si="40"/>
        <v>0</v>
      </c>
      <c r="Q164" s="123">
        <f t="shared" si="40"/>
        <v>0</v>
      </c>
      <c r="R164" s="123">
        <f t="shared" si="40"/>
        <v>0</v>
      </c>
      <c r="S164" s="123">
        <f t="shared" si="40"/>
        <v>0</v>
      </c>
      <c r="T164" s="123">
        <f t="shared" si="41"/>
        <v>0</v>
      </c>
      <c r="U164" s="123">
        <f t="shared" si="41"/>
        <v>0</v>
      </c>
      <c r="V164" s="123">
        <f t="shared" si="41"/>
        <v>0</v>
      </c>
      <c r="W164" s="123">
        <f t="shared" si="41"/>
        <v>0</v>
      </c>
      <c r="X164" s="123">
        <f t="shared" si="41"/>
        <v>0</v>
      </c>
      <c r="Y164" s="123">
        <f t="shared" si="41"/>
        <v>0</v>
      </c>
      <c r="Z164" s="123">
        <f t="shared" si="41"/>
        <v>0</v>
      </c>
      <c r="AA164" s="123">
        <f t="shared" si="41"/>
        <v>0</v>
      </c>
      <c r="AB164" s="123">
        <f t="shared" si="41"/>
        <v>0</v>
      </c>
      <c r="AC164" s="123">
        <f t="shared" si="41"/>
        <v>0</v>
      </c>
      <c r="AD164" s="123">
        <f t="shared" si="41"/>
        <v>0</v>
      </c>
      <c r="AE164" s="123">
        <f t="shared" si="41"/>
        <v>0</v>
      </c>
      <c r="AF164" s="123">
        <f t="shared" si="41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9"/>
        <v>0</v>
      </c>
      <c r="C165" s="124">
        <v>0</v>
      </c>
      <c r="D165" s="123">
        <f t="shared" si="40"/>
        <v>0</v>
      </c>
      <c r="E165" s="123">
        <f t="shared" si="40"/>
        <v>0</v>
      </c>
      <c r="F165" s="123">
        <f t="shared" si="40"/>
        <v>0</v>
      </c>
      <c r="G165" s="123">
        <f t="shared" si="40"/>
        <v>0</v>
      </c>
      <c r="H165" s="123">
        <f t="shared" si="40"/>
        <v>0</v>
      </c>
      <c r="I165" s="123">
        <f t="shared" si="40"/>
        <v>0</v>
      </c>
      <c r="J165" s="123">
        <f t="shared" si="40"/>
        <v>0</v>
      </c>
      <c r="K165" s="123">
        <f t="shared" si="40"/>
        <v>0</v>
      </c>
      <c r="L165" s="123">
        <f t="shared" si="40"/>
        <v>0</v>
      </c>
      <c r="M165" s="123">
        <f t="shared" si="40"/>
        <v>0</v>
      </c>
      <c r="N165" s="123">
        <f t="shared" si="40"/>
        <v>0</v>
      </c>
      <c r="O165" s="123">
        <f t="shared" si="40"/>
        <v>0</v>
      </c>
      <c r="P165" s="123">
        <f t="shared" si="40"/>
        <v>0</v>
      </c>
      <c r="Q165" s="123">
        <f t="shared" si="40"/>
        <v>0</v>
      </c>
      <c r="R165" s="123">
        <f t="shared" si="40"/>
        <v>0</v>
      </c>
      <c r="S165" s="123">
        <f t="shared" si="41"/>
        <v>0</v>
      </c>
      <c r="T165" s="123">
        <f t="shared" si="41"/>
        <v>0</v>
      </c>
      <c r="U165" s="123">
        <f t="shared" si="41"/>
        <v>0</v>
      </c>
      <c r="V165" s="123">
        <f t="shared" si="41"/>
        <v>0</v>
      </c>
      <c r="W165" s="123">
        <f t="shared" si="41"/>
        <v>0</v>
      </c>
      <c r="X165" s="123">
        <f t="shared" si="41"/>
        <v>0</v>
      </c>
      <c r="Y165" s="123">
        <f t="shared" si="41"/>
        <v>0</v>
      </c>
      <c r="Z165" s="123">
        <f t="shared" si="41"/>
        <v>0</v>
      </c>
      <c r="AA165" s="123">
        <f t="shared" si="41"/>
        <v>0</v>
      </c>
      <c r="AB165" s="123">
        <f t="shared" si="41"/>
        <v>0</v>
      </c>
      <c r="AC165" s="123">
        <f t="shared" si="41"/>
        <v>0</v>
      </c>
      <c r="AD165" s="123">
        <f t="shared" si="41"/>
        <v>0</v>
      </c>
      <c r="AE165" s="123">
        <f t="shared" si="41"/>
        <v>0</v>
      </c>
      <c r="AF165" s="123">
        <f t="shared" si="41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9"/>
        <v>0.8</v>
      </c>
      <c r="C166" s="124">
        <v>0.8</v>
      </c>
      <c r="D166" s="123">
        <f t="shared" si="40"/>
        <v>0.8</v>
      </c>
      <c r="E166" s="123">
        <f t="shared" si="40"/>
        <v>0.8</v>
      </c>
      <c r="F166" s="123">
        <f t="shared" si="40"/>
        <v>0.8</v>
      </c>
      <c r="G166" s="123">
        <f t="shared" si="40"/>
        <v>0.8</v>
      </c>
      <c r="H166" s="123">
        <f t="shared" si="40"/>
        <v>0.8</v>
      </c>
      <c r="I166" s="123">
        <f t="shared" si="40"/>
        <v>0.8</v>
      </c>
      <c r="J166" s="123">
        <f t="shared" si="40"/>
        <v>0.8</v>
      </c>
      <c r="K166" s="123">
        <f t="shared" si="40"/>
        <v>0.8</v>
      </c>
      <c r="L166" s="123">
        <f t="shared" si="40"/>
        <v>0.8</v>
      </c>
      <c r="M166" s="123">
        <f t="shared" si="40"/>
        <v>0.8</v>
      </c>
      <c r="N166" s="123">
        <f t="shared" si="40"/>
        <v>0.8</v>
      </c>
      <c r="O166" s="123">
        <f t="shared" si="40"/>
        <v>0.8</v>
      </c>
      <c r="P166" s="123">
        <f t="shared" si="40"/>
        <v>0.8</v>
      </c>
      <c r="Q166" s="123">
        <f t="shared" si="40"/>
        <v>0.8</v>
      </c>
      <c r="R166" s="123">
        <f t="shared" si="40"/>
        <v>0.8</v>
      </c>
      <c r="S166" s="123">
        <f t="shared" si="41"/>
        <v>0.8</v>
      </c>
      <c r="T166" s="123">
        <f t="shared" si="41"/>
        <v>0.8</v>
      </c>
      <c r="U166" s="123">
        <f t="shared" si="41"/>
        <v>0.8</v>
      </c>
      <c r="V166" s="123">
        <f t="shared" si="41"/>
        <v>0.8</v>
      </c>
      <c r="W166" s="123">
        <f t="shared" si="41"/>
        <v>0.8</v>
      </c>
      <c r="X166" s="123">
        <f t="shared" si="41"/>
        <v>0.8</v>
      </c>
      <c r="Y166" s="123">
        <f t="shared" si="41"/>
        <v>0.8</v>
      </c>
      <c r="Z166" s="123">
        <f t="shared" si="41"/>
        <v>0.8</v>
      </c>
      <c r="AA166" s="123">
        <f t="shared" si="41"/>
        <v>0.8</v>
      </c>
      <c r="AB166" s="123">
        <f t="shared" si="41"/>
        <v>0.8</v>
      </c>
      <c r="AC166" s="123">
        <f t="shared" si="41"/>
        <v>0.8</v>
      </c>
      <c r="AD166" s="123">
        <f t="shared" si="41"/>
        <v>0.8</v>
      </c>
      <c r="AE166" s="123">
        <f t="shared" si="41"/>
        <v>0.8</v>
      </c>
      <c r="AF166" s="123">
        <f t="shared" si="41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9"/>
        <v>1.5</v>
      </c>
      <c r="C167" s="124">
        <v>1.5</v>
      </c>
      <c r="D167" s="123">
        <f t="shared" si="40"/>
        <v>1.5</v>
      </c>
      <c r="E167" s="123">
        <f t="shared" si="40"/>
        <v>1.5</v>
      </c>
      <c r="F167" s="123">
        <f t="shared" si="40"/>
        <v>1.5</v>
      </c>
      <c r="G167" s="123">
        <f t="shared" si="40"/>
        <v>1.5</v>
      </c>
      <c r="H167" s="123">
        <f t="shared" si="40"/>
        <v>1.5</v>
      </c>
      <c r="I167" s="123">
        <f t="shared" si="40"/>
        <v>1.5</v>
      </c>
      <c r="J167" s="123">
        <f t="shared" si="40"/>
        <v>1.5</v>
      </c>
      <c r="K167" s="123">
        <f t="shared" si="40"/>
        <v>1.5</v>
      </c>
      <c r="L167" s="123">
        <f t="shared" si="40"/>
        <v>1.5</v>
      </c>
      <c r="M167" s="123">
        <f t="shared" si="40"/>
        <v>1.5</v>
      </c>
      <c r="N167" s="123">
        <f t="shared" si="40"/>
        <v>1.5</v>
      </c>
      <c r="O167" s="123">
        <f t="shared" si="40"/>
        <v>1.5</v>
      </c>
      <c r="P167" s="123">
        <f t="shared" si="40"/>
        <v>1.5</v>
      </c>
      <c r="Q167" s="123">
        <f t="shared" si="40"/>
        <v>1.5</v>
      </c>
      <c r="R167" s="123">
        <f t="shared" si="40"/>
        <v>1.5</v>
      </c>
      <c r="S167" s="123">
        <f t="shared" si="41"/>
        <v>1.5</v>
      </c>
      <c r="T167" s="123">
        <f t="shared" si="41"/>
        <v>1.5</v>
      </c>
      <c r="U167" s="123">
        <f t="shared" si="41"/>
        <v>1.5</v>
      </c>
      <c r="V167" s="123">
        <f t="shared" si="41"/>
        <v>1.5</v>
      </c>
      <c r="W167" s="123">
        <f t="shared" si="41"/>
        <v>1.5</v>
      </c>
      <c r="X167" s="123">
        <f t="shared" si="41"/>
        <v>1.5</v>
      </c>
      <c r="Y167" s="123">
        <f t="shared" si="41"/>
        <v>1.5</v>
      </c>
      <c r="Z167" s="123">
        <f t="shared" si="41"/>
        <v>1.5</v>
      </c>
      <c r="AA167" s="123">
        <f t="shared" si="41"/>
        <v>1.5</v>
      </c>
      <c r="AB167" s="123">
        <f t="shared" si="41"/>
        <v>1.5</v>
      </c>
      <c r="AC167" s="123">
        <f t="shared" si="41"/>
        <v>1.5</v>
      </c>
      <c r="AD167" s="123">
        <f t="shared" si="41"/>
        <v>1.5</v>
      </c>
      <c r="AE167" s="123">
        <f t="shared" si="41"/>
        <v>1.5</v>
      </c>
      <c r="AF167" s="123">
        <f t="shared" si="41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9"/>
        <v>1</v>
      </c>
      <c r="C168" s="124">
        <v>1</v>
      </c>
      <c r="D168" s="123">
        <f t="shared" si="40"/>
        <v>1</v>
      </c>
      <c r="E168" s="123">
        <f t="shared" si="40"/>
        <v>1</v>
      </c>
      <c r="F168" s="123">
        <f t="shared" si="40"/>
        <v>1</v>
      </c>
      <c r="G168" s="123">
        <f t="shared" si="40"/>
        <v>1</v>
      </c>
      <c r="H168" s="123">
        <f t="shared" si="40"/>
        <v>1</v>
      </c>
      <c r="I168" s="123">
        <f t="shared" si="40"/>
        <v>1</v>
      </c>
      <c r="J168" s="123">
        <f t="shared" si="40"/>
        <v>1</v>
      </c>
      <c r="K168" s="123">
        <f t="shared" si="40"/>
        <v>1</v>
      </c>
      <c r="L168" s="123">
        <f t="shared" si="40"/>
        <v>1</v>
      </c>
      <c r="M168" s="123">
        <f t="shared" si="40"/>
        <v>1</v>
      </c>
      <c r="N168" s="123">
        <f t="shared" si="40"/>
        <v>1</v>
      </c>
      <c r="O168" s="123">
        <f t="shared" si="40"/>
        <v>1</v>
      </c>
      <c r="P168" s="123">
        <f t="shared" si="40"/>
        <v>1</v>
      </c>
      <c r="Q168" s="123">
        <f t="shared" si="40"/>
        <v>1</v>
      </c>
      <c r="R168" s="123">
        <f t="shared" si="40"/>
        <v>1</v>
      </c>
      <c r="S168" s="123">
        <f t="shared" si="41"/>
        <v>1</v>
      </c>
      <c r="T168" s="123">
        <f t="shared" si="41"/>
        <v>1</v>
      </c>
      <c r="U168" s="123">
        <f t="shared" si="41"/>
        <v>1</v>
      </c>
      <c r="V168" s="123">
        <f t="shared" si="41"/>
        <v>1</v>
      </c>
      <c r="W168" s="123">
        <f t="shared" si="41"/>
        <v>1</v>
      </c>
      <c r="X168" s="123">
        <f t="shared" si="41"/>
        <v>1</v>
      </c>
      <c r="Y168" s="123">
        <f t="shared" si="41"/>
        <v>1</v>
      </c>
      <c r="Z168" s="123">
        <f t="shared" si="41"/>
        <v>1</v>
      </c>
      <c r="AA168" s="123">
        <f t="shared" si="41"/>
        <v>1</v>
      </c>
      <c r="AB168" s="123">
        <f t="shared" si="41"/>
        <v>1</v>
      </c>
      <c r="AC168" s="123">
        <f t="shared" si="41"/>
        <v>1</v>
      </c>
      <c r="AD168" s="123">
        <f t="shared" si="41"/>
        <v>1</v>
      </c>
      <c r="AE168" s="123">
        <f t="shared" si="41"/>
        <v>1</v>
      </c>
      <c r="AF168" s="123">
        <f t="shared" si="41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2">AF170</f>
        <v>1</v>
      </c>
      <c r="C170" s="124">
        <v>1</v>
      </c>
      <c r="D170" s="123">
        <f t="shared" ref="D170:S177" si="43">C170</f>
        <v>1</v>
      </c>
      <c r="E170" s="123">
        <f t="shared" si="43"/>
        <v>1</v>
      </c>
      <c r="F170" s="123">
        <f t="shared" si="43"/>
        <v>1</v>
      </c>
      <c r="G170" s="123">
        <f t="shared" si="43"/>
        <v>1</v>
      </c>
      <c r="H170" s="123">
        <f t="shared" si="43"/>
        <v>1</v>
      </c>
      <c r="I170" s="123">
        <f t="shared" si="43"/>
        <v>1</v>
      </c>
      <c r="J170" s="123">
        <f t="shared" si="43"/>
        <v>1</v>
      </c>
      <c r="K170" s="123">
        <f t="shared" si="43"/>
        <v>1</v>
      </c>
      <c r="L170" s="123">
        <f t="shared" si="43"/>
        <v>1</v>
      </c>
      <c r="M170" s="123">
        <f t="shared" si="43"/>
        <v>1</v>
      </c>
      <c r="N170" s="123">
        <f t="shared" si="43"/>
        <v>1</v>
      </c>
      <c r="O170" s="123">
        <f t="shared" si="43"/>
        <v>1</v>
      </c>
      <c r="P170" s="123">
        <f t="shared" si="43"/>
        <v>1</v>
      </c>
      <c r="Q170" s="123">
        <f t="shared" si="43"/>
        <v>1</v>
      </c>
      <c r="R170" s="123">
        <f t="shared" si="43"/>
        <v>1</v>
      </c>
      <c r="S170" s="123">
        <f t="shared" si="43"/>
        <v>1</v>
      </c>
      <c r="T170" s="123">
        <f t="shared" ref="S170:AF177" si="44">S170</f>
        <v>1</v>
      </c>
      <c r="U170" s="123">
        <f t="shared" si="44"/>
        <v>1</v>
      </c>
      <c r="V170" s="123">
        <f t="shared" si="44"/>
        <v>1</v>
      </c>
      <c r="W170" s="123">
        <f t="shared" si="44"/>
        <v>1</v>
      </c>
      <c r="X170" s="123">
        <f t="shared" si="44"/>
        <v>1</v>
      </c>
      <c r="Y170" s="123">
        <f t="shared" si="44"/>
        <v>1</v>
      </c>
      <c r="Z170" s="123">
        <f t="shared" si="44"/>
        <v>1</v>
      </c>
      <c r="AA170" s="123">
        <f t="shared" si="44"/>
        <v>1</v>
      </c>
      <c r="AB170" s="123">
        <f t="shared" si="44"/>
        <v>1</v>
      </c>
      <c r="AC170" s="123">
        <f t="shared" si="44"/>
        <v>1</v>
      </c>
      <c r="AD170" s="123">
        <f t="shared" si="44"/>
        <v>1</v>
      </c>
      <c r="AE170" s="123">
        <f t="shared" si="44"/>
        <v>1</v>
      </c>
      <c r="AF170" s="123">
        <f t="shared" si="44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2"/>
        <v>0.42</v>
      </c>
      <c r="C171" s="124">
        <v>0.42</v>
      </c>
      <c r="D171" s="123">
        <f t="shared" si="43"/>
        <v>0.42</v>
      </c>
      <c r="E171" s="123">
        <f t="shared" si="43"/>
        <v>0.42</v>
      </c>
      <c r="F171" s="123">
        <f t="shared" si="43"/>
        <v>0.42</v>
      </c>
      <c r="G171" s="123">
        <f t="shared" si="43"/>
        <v>0.42</v>
      </c>
      <c r="H171" s="123">
        <f t="shared" si="43"/>
        <v>0.42</v>
      </c>
      <c r="I171" s="123">
        <f t="shared" si="43"/>
        <v>0.42</v>
      </c>
      <c r="J171" s="123">
        <f t="shared" si="43"/>
        <v>0.42</v>
      </c>
      <c r="K171" s="123">
        <f t="shared" si="43"/>
        <v>0.42</v>
      </c>
      <c r="L171" s="123">
        <f t="shared" si="43"/>
        <v>0.42</v>
      </c>
      <c r="M171" s="123">
        <f t="shared" si="43"/>
        <v>0.42</v>
      </c>
      <c r="N171" s="123">
        <f t="shared" si="43"/>
        <v>0.42</v>
      </c>
      <c r="O171" s="123">
        <f t="shared" si="43"/>
        <v>0.42</v>
      </c>
      <c r="P171" s="123">
        <f t="shared" si="43"/>
        <v>0.42</v>
      </c>
      <c r="Q171" s="123">
        <f t="shared" si="43"/>
        <v>0.42</v>
      </c>
      <c r="R171" s="123">
        <f t="shared" si="43"/>
        <v>0.42</v>
      </c>
      <c r="S171" s="123">
        <f t="shared" si="44"/>
        <v>0.42</v>
      </c>
      <c r="T171" s="123">
        <f t="shared" si="44"/>
        <v>0.42</v>
      </c>
      <c r="U171" s="123">
        <f t="shared" si="44"/>
        <v>0.42</v>
      </c>
      <c r="V171" s="123">
        <f t="shared" si="44"/>
        <v>0.42</v>
      </c>
      <c r="W171" s="123">
        <f t="shared" si="44"/>
        <v>0.42</v>
      </c>
      <c r="X171" s="123">
        <f t="shared" si="44"/>
        <v>0.42</v>
      </c>
      <c r="Y171" s="123">
        <f t="shared" si="44"/>
        <v>0.42</v>
      </c>
      <c r="Z171" s="123">
        <f t="shared" si="44"/>
        <v>0.42</v>
      </c>
      <c r="AA171" s="123">
        <f t="shared" si="44"/>
        <v>0.42</v>
      </c>
      <c r="AB171" s="123">
        <f t="shared" si="44"/>
        <v>0.42</v>
      </c>
      <c r="AC171" s="123">
        <f t="shared" si="44"/>
        <v>0.42</v>
      </c>
      <c r="AD171" s="123">
        <f t="shared" si="44"/>
        <v>0.42</v>
      </c>
      <c r="AE171" s="123">
        <f t="shared" si="44"/>
        <v>0.42</v>
      </c>
      <c r="AF171" s="123">
        <f t="shared" si="44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2"/>
        <v>0.46</v>
      </c>
      <c r="C172" s="124">
        <v>0.46</v>
      </c>
      <c r="D172" s="123">
        <f t="shared" si="43"/>
        <v>0.46</v>
      </c>
      <c r="E172" s="123">
        <f t="shared" si="43"/>
        <v>0.46</v>
      </c>
      <c r="F172" s="123">
        <f t="shared" si="43"/>
        <v>0.46</v>
      </c>
      <c r="G172" s="123">
        <f t="shared" si="43"/>
        <v>0.46</v>
      </c>
      <c r="H172" s="123">
        <f t="shared" si="43"/>
        <v>0.46</v>
      </c>
      <c r="I172" s="123">
        <f t="shared" si="43"/>
        <v>0.46</v>
      </c>
      <c r="J172" s="123">
        <f t="shared" si="43"/>
        <v>0.46</v>
      </c>
      <c r="K172" s="123">
        <f t="shared" si="43"/>
        <v>0.46</v>
      </c>
      <c r="L172" s="123">
        <f t="shared" si="43"/>
        <v>0.46</v>
      </c>
      <c r="M172" s="123">
        <f t="shared" si="43"/>
        <v>0.46</v>
      </c>
      <c r="N172" s="123">
        <f t="shared" si="43"/>
        <v>0.46</v>
      </c>
      <c r="O172" s="123">
        <f t="shared" si="43"/>
        <v>0.46</v>
      </c>
      <c r="P172" s="123">
        <f t="shared" si="43"/>
        <v>0.46</v>
      </c>
      <c r="Q172" s="123">
        <f t="shared" si="43"/>
        <v>0.46</v>
      </c>
      <c r="R172" s="123">
        <f t="shared" si="43"/>
        <v>0.46</v>
      </c>
      <c r="S172" s="123">
        <f t="shared" si="44"/>
        <v>0.46</v>
      </c>
      <c r="T172" s="123">
        <f t="shared" si="44"/>
        <v>0.46</v>
      </c>
      <c r="U172" s="123">
        <f t="shared" si="44"/>
        <v>0.46</v>
      </c>
      <c r="V172" s="123">
        <f t="shared" si="44"/>
        <v>0.46</v>
      </c>
      <c r="W172" s="123">
        <f t="shared" si="44"/>
        <v>0.46</v>
      </c>
      <c r="X172" s="123">
        <f t="shared" si="44"/>
        <v>0.46</v>
      </c>
      <c r="Y172" s="123">
        <f t="shared" si="44"/>
        <v>0.46</v>
      </c>
      <c r="Z172" s="123">
        <f t="shared" si="44"/>
        <v>0.46</v>
      </c>
      <c r="AA172" s="123">
        <f t="shared" si="44"/>
        <v>0.46</v>
      </c>
      <c r="AB172" s="123">
        <f t="shared" si="44"/>
        <v>0.46</v>
      </c>
      <c r="AC172" s="123">
        <f t="shared" si="44"/>
        <v>0.46</v>
      </c>
      <c r="AD172" s="123">
        <f t="shared" si="44"/>
        <v>0.46</v>
      </c>
      <c r="AE172" s="123">
        <f t="shared" si="44"/>
        <v>0.46</v>
      </c>
      <c r="AF172" s="123">
        <f t="shared" si="44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2"/>
        <v>0.85</v>
      </c>
      <c r="C173" s="124">
        <v>0.85</v>
      </c>
      <c r="D173" s="123">
        <f t="shared" si="43"/>
        <v>0.85</v>
      </c>
      <c r="E173" s="123">
        <f t="shared" si="43"/>
        <v>0.85</v>
      </c>
      <c r="F173" s="123">
        <f t="shared" si="43"/>
        <v>0.85</v>
      </c>
      <c r="G173" s="123">
        <f t="shared" si="43"/>
        <v>0.85</v>
      </c>
      <c r="H173" s="123">
        <f t="shared" si="43"/>
        <v>0.85</v>
      </c>
      <c r="I173" s="123">
        <f t="shared" si="43"/>
        <v>0.85</v>
      </c>
      <c r="J173" s="123">
        <f t="shared" si="43"/>
        <v>0.85</v>
      </c>
      <c r="K173" s="123">
        <f t="shared" si="43"/>
        <v>0.85</v>
      </c>
      <c r="L173" s="123">
        <f t="shared" si="43"/>
        <v>0.85</v>
      </c>
      <c r="M173" s="123">
        <f t="shared" si="43"/>
        <v>0.85</v>
      </c>
      <c r="N173" s="123">
        <f t="shared" si="43"/>
        <v>0.85</v>
      </c>
      <c r="O173" s="123">
        <f t="shared" si="43"/>
        <v>0.85</v>
      </c>
      <c r="P173" s="123">
        <f t="shared" si="43"/>
        <v>0.85</v>
      </c>
      <c r="Q173" s="123">
        <f t="shared" si="43"/>
        <v>0.85</v>
      </c>
      <c r="R173" s="123">
        <f t="shared" si="43"/>
        <v>0.85</v>
      </c>
      <c r="S173" s="123">
        <f t="shared" si="44"/>
        <v>0.85</v>
      </c>
      <c r="T173" s="123">
        <f t="shared" si="44"/>
        <v>0.85</v>
      </c>
      <c r="U173" s="123">
        <f t="shared" si="44"/>
        <v>0.85</v>
      </c>
      <c r="V173" s="123">
        <f t="shared" si="44"/>
        <v>0.85</v>
      </c>
      <c r="W173" s="123">
        <f t="shared" si="44"/>
        <v>0.85</v>
      </c>
      <c r="X173" s="123">
        <f t="shared" si="44"/>
        <v>0.85</v>
      </c>
      <c r="Y173" s="123">
        <f t="shared" si="44"/>
        <v>0.85</v>
      </c>
      <c r="Z173" s="123">
        <f t="shared" si="44"/>
        <v>0.85</v>
      </c>
      <c r="AA173" s="123">
        <f t="shared" si="44"/>
        <v>0.85</v>
      </c>
      <c r="AB173" s="123">
        <f t="shared" si="44"/>
        <v>0.85</v>
      </c>
      <c r="AC173" s="123">
        <f t="shared" si="44"/>
        <v>0.85</v>
      </c>
      <c r="AD173" s="123">
        <f t="shared" si="44"/>
        <v>0.85</v>
      </c>
      <c r="AE173" s="123">
        <f t="shared" si="44"/>
        <v>0.85</v>
      </c>
      <c r="AF173" s="123">
        <f t="shared" si="44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2"/>
        <v>0.9</v>
      </c>
      <c r="C174" s="124">
        <v>0.9</v>
      </c>
      <c r="D174" s="123">
        <f t="shared" si="43"/>
        <v>0.9</v>
      </c>
      <c r="E174" s="123">
        <f t="shared" si="43"/>
        <v>0.9</v>
      </c>
      <c r="F174" s="123">
        <f t="shared" si="43"/>
        <v>0.9</v>
      </c>
      <c r="G174" s="123">
        <f t="shared" si="43"/>
        <v>0.9</v>
      </c>
      <c r="H174" s="123">
        <f t="shared" si="43"/>
        <v>0.9</v>
      </c>
      <c r="I174" s="123">
        <f t="shared" si="43"/>
        <v>0.9</v>
      </c>
      <c r="J174" s="123">
        <f t="shared" si="43"/>
        <v>0.9</v>
      </c>
      <c r="K174" s="123">
        <f t="shared" si="43"/>
        <v>0.9</v>
      </c>
      <c r="L174" s="123">
        <f t="shared" si="43"/>
        <v>0.9</v>
      </c>
      <c r="M174" s="123">
        <f t="shared" si="43"/>
        <v>0.9</v>
      </c>
      <c r="N174" s="123">
        <f t="shared" si="43"/>
        <v>0.9</v>
      </c>
      <c r="O174" s="123">
        <f t="shared" si="43"/>
        <v>0.9</v>
      </c>
      <c r="P174" s="123">
        <f t="shared" si="43"/>
        <v>0.9</v>
      </c>
      <c r="Q174" s="123">
        <f t="shared" si="43"/>
        <v>0.9</v>
      </c>
      <c r="R174" s="123">
        <f t="shared" si="43"/>
        <v>0.9</v>
      </c>
      <c r="S174" s="123">
        <f t="shared" si="44"/>
        <v>0.9</v>
      </c>
      <c r="T174" s="123">
        <f t="shared" si="44"/>
        <v>0.9</v>
      </c>
      <c r="U174" s="123">
        <f t="shared" si="44"/>
        <v>0.9</v>
      </c>
      <c r="V174" s="123">
        <f t="shared" si="44"/>
        <v>0.9</v>
      </c>
      <c r="W174" s="123">
        <f t="shared" si="44"/>
        <v>0.9</v>
      </c>
      <c r="X174" s="123">
        <f t="shared" si="44"/>
        <v>0.9</v>
      </c>
      <c r="Y174" s="123">
        <f t="shared" si="44"/>
        <v>0.9</v>
      </c>
      <c r="Z174" s="123">
        <f t="shared" si="44"/>
        <v>0.9</v>
      </c>
      <c r="AA174" s="123">
        <f t="shared" si="44"/>
        <v>0.9</v>
      </c>
      <c r="AB174" s="123">
        <f t="shared" si="44"/>
        <v>0.9</v>
      </c>
      <c r="AC174" s="123">
        <f t="shared" si="44"/>
        <v>0.9</v>
      </c>
      <c r="AD174" s="123">
        <f t="shared" si="44"/>
        <v>0.9</v>
      </c>
      <c r="AE174" s="123">
        <f t="shared" si="44"/>
        <v>0.9</v>
      </c>
      <c r="AF174" s="123">
        <f t="shared" si="44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2"/>
        <v>0.44</v>
      </c>
      <c r="C175" s="124">
        <v>0.44</v>
      </c>
      <c r="D175" s="123">
        <f t="shared" si="43"/>
        <v>0.44</v>
      </c>
      <c r="E175" s="123">
        <f t="shared" si="43"/>
        <v>0.44</v>
      </c>
      <c r="F175" s="123">
        <f t="shared" si="43"/>
        <v>0.44</v>
      </c>
      <c r="G175" s="123">
        <f t="shared" si="43"/>
        <v>0.44</v>
      </c>
      <c r="H175" s="123">
        <f t="shared" si="43"/>
        <v>0.44</v>
      </c>
      <c r="I175" s="123">
        <f t="shared" si="43"/>
        <v>0.44</v>
      </c>
      <c r="J175" s="123">
        <f t="shared" si="43"/>
        <v>0.44</v>
      </c>
      <c r="K175" s="123">
        <f t="shared" si="43"/>
        <v>0.44</v>
      </c>
      <c r="L175" s="123">
        <f t="shared" si="43"/>
        <v>0.44</v>
      </c>
      <c r="M175" s="123">
        <f t="shared" si="43"/>
        <v>0.44</v>
      </c>
      <c r="N175" s="123">
        <f t="shared" si="43"/>
        <v>0.44</v>
      </c>
      <c r="O175" s="123">
        <f t="shared" si="43"/>
        <v>0.44</v>
      </c>
      <c r="P175" s="123">
        <f t="shared" si="43"/>
        <v>0.44</v>
      </c>
      <c r="Q175" s="123">
        <f t="shared" si="43"/>
        <v>0.44</v>
      </c>
      <c r="R175" s="123">
        <f t="shared" si="43"/>
        <v>0.44</v>
      </c>
      <c r="S175" s="123">
        <f t="shared" si="44"/>
        <v>0.44</v>
      </c>
      <c r="T175" s="123">
        <f t="shared" si="44"/>
        <v>0.44</v>
      </c>
      <c r="U175" s="123">
        <f t="shared" si="44"/>
        <v>0.44</v>
      </c>
      <c r="V175" s="123">
        <f t="shared" si="44"/>
        <v>0.44</v>
      </c>
      <c r="W175" s="123">
        <f t="shared" si="44"/>
        <v>0.44</v>
      </c>
      <c r="X175" s="123">
        <f t="shared" si="44"/>
        <v>0.44</v>
      </c>
      <c r="Y175" s="123">
        <f t="shared" si="44"/>
        <v>0.44</v>
      </c>
      <c r="Z175" s="123">
        <f t="shared" si="44"/>
        <v>0.44</v>
      </c>
      <c r="AA175" s="123">
        <f t="shared" si="44"/>
        <v>0.44</v>
      </c>
      <c r="AB175" s="123">
        <f t="shared" si="44"/>
        <v>0.44</v>
      </c>
      <c r="AC175" s="123">
        <f t="shared" si="44"/>
        <v>0.44</v>
      </c>
      <c r="AD175" s="123">
        <f t="shared" si="44"/>
        <v>0.44</v>
      </c>
      <c r="AE175" s="123">
        <f t="shared" si="44"/>
        <v>0.44</v>
      </c>
      <c r="AF175" s="123">
        <f t="shared" si="44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2"/>
        <v>2.1</v>
      </c>
      <c r="C176" s="124">
        <v>2.1</v>
      </c>
      <c r="D176" s="123">
        <f t="shared" si="43"/>
        <v>2.1</v>
      </c>
      <c r="E176" s="123">
        <f t="shared" si="43"/>
        <v>2.1</v>
      </c>
      <c r="F176" s="123">
        <f t="shared" si="43"/>
        <v>2.1</v>
      </c>
      <c r="G176" s="123">
        <f t="shared" si="43"/>
        <v>2.1</v>
      </c>
      <c r="H176" s="123">
        <f t="shared" si="43"/>
        <v>2.1</v>
      </c>
      <c r="I176" s="123">
        <f t="shared" si="43"/>
        <v>2.1</v>
      </c>
      <c r="J176" s="123">
        <f t="shared" si="43"/>
        <v>2.1</v>
      </c>
      <c r="K176" s="123">
        <f t="shared" si="43"/>
        <v>2.1</v>
      </c>
      <c r="L176" s="123">
        <f t="shared" si="43"/>
        <v>2.1</v>
      </c>
      <c r="M176" s="123">
        <f t="shared" si="43"/>
        <v>2.1</v>
      </c>
      <c r="N176" s="123">
        <f t="shared" si="43"/>
        <v>2.1</v>
      </c>
      <c r="O176" s="123">
        <f t="shared" si="43"/>
        <v>2.1</v>
      </c>
      <c r="P176" s="123">
        <f t="shared" si="43"/>
        <v>2.1</v>
      </c>
      <c r="Q176" s="123">
        <f t="shared" si="43"/>
        <v>2.1</v>
      </c>
      <c r="R176" s="123">
        <f t="shared" si="43"/>
        <v>2.1</v>
      </c>
      <c r="S176" s="123">
        <f t="shared" si="44"/>
        <v>2.1</v>
      </c>
      <c r="T176" s="123">
        <f t="shared" si="44"/>
        <v>2.1</v>
      </c>
      <c r="U176" s="123">
        <f t="shared" si="44"/>
        <v>2.1</v>
      </c>
      <c r="V176" s="123">
        <f t="shared" si="44"/>
        <v>2.1</v>
      </c>
      <c r="W176" s="123">
        <f t="shared" si="44"/>
        <v>2.1</v>
      </c>
      <c r="X176" s="123">
        <f t="shared" si="44"/>
        <v>2.1</v>
      </c>
      <c r="Y176" s="123">
        <f t="shared" si="44"/>
        <v>2.1</v>
      </c>
      <c r="Z176" s="123">
        <f t="shared" si="44"/>
        <v>2.1</v>
      </c>
      <c r="AA176" s="123">
        <f t="shared" si="44"/>
        <v>2.1</v>
      </c>
      <c r="AB176" s="123">
        <f t="shared" si="44"/>
        <v>2.1</v>
      </c>
      <c r="AC176" s="123">
        <f t="shared" si="44"/>
        <v>2.1</v>
      </c>
      <c r="AD176" s="123">
        <f t="shared" si="44"/>
        <v>2.1</v>
      </c>
      <c r="AE176" s="123">
        <f t="shared" si="44"/>
        <v>2.1</v>
      </c>
      <c r="AF176" s="123">
        <f t="shared" si="44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2"/>
        <v>0.9</v>
      </c>
      <c r="C177" s="124">
        <v>0.9</v>
      </c>
      <c r="D177" s="123">
        <f t="shared" si="43"/>
        <v>0.9</v>
      </c>
      <c r="E177" s="123">
        <f t="shared" si="43"/>
        <v>0.9</v>
      </c>
      <c r="F177" s="123">
        <f t="shared" si="43"/>
        <v>0.9</v>
      </c>
      <c r="G177" s="123">
        <f t="shared" si="43"/>
        <v>0.9</v>
      </c>
      <c r="H177" s="123">
        <f t="shared" si="43"/>
        <v>0.9</v>
      </c>
      <c r="I177" s="123">
        <f t="shared" si="43"/>
        <v>0.9</v>
      </c>
      <c r="J177" s="123">
        <f t="shared" si="43"/>
        <v>0.9</v>
      </c>
      <c r="K177" s="123">
        <f t="shared" si="43"/>
        <v>0.9</v>
      </c>
      <c r="L177" s="123">
        <f t="shared" si="43"/>
        <v>0.9</v>
      </c>
      <c r="M177" s="123">
        <f t="shared" si="43"/>
        <v>0.9</v>
      </c>
      <c r="N177" s="123">
        <f t="shared" si="43"/>
        <v>0.9</v>
      </c>
      <c r="O177" s="123">
        <f t="shared" si="43"/>
        <v>0.9</v>
      </c>
      <c r="P177" s="123">
        <f t="shared" si="43"/>
        <v>0.9</v>
      </c>
      <c r="Q177" s="123">
        <f t="shared" si="43"/>
        <v>0.9</v>
      </c>
      <c r="R177" s="123">
        <f t="shared" si="43"/>
        <v>0.9</v>
      </c>
      <c r="S177" s="123">
        <f t="shared" si="44"/>
        <v>0.9</v>
      </c>
      <c r="T177" s="123">
        <f t="shared" si="44"/>
        <v>0.9</v>
      </c>
      <c r="U177" s="123">
        <f t="shared" si="44"/>
        <v>0.9</v>
      </c>
      <c r="V177" s="123">
        <f t="shared" si="44"/>
        <v>0.9</v>
      </c>
      <c r="W177" s="123">
        <f t="shared" si="44"/>
        <v>0.9</v>
      </c>
      <c r="X177" s="123">
        <f t="shared" si="44"/>
        <v>0.9</v>
      </c>
      <c r="Y177" s="123">
        <f t="shared" si="44"/>
        <v>0.9</v>
      </c>
      <c r="Z177" s="123">
        <f t="shared" si="44"/>
        <v>0.9</v>
      </c>
      <c r="AA177" s="123">
        <f t="shared" si="44"/>
        <v>0.9</v>
      </c>
      <c r="AB177" s="123">
        <f t="shared" si="44"/>
        <v>0.9</v>
      </c>
      <c r="AC177" s="123">
        <f t="shared" si="44"/>
        <v>0.9</v>
      </c>
      <c r="AD177" s="123">
        <f t="shared" si="44"/>
        <v>0.9</v>
      </c>
      <c r="AE177" s="123">
        <f t="shared" si="44"/>
        <v>0.9</v>
      </c>
      <c r="AF177" s="123">
        <f t="shared" si="44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5">AF179</f>
        <v>0.57999999999999996</v>
      </c>
      <c r="C179" s="124">
        <v>0.57999999999999996</v>
      </c>
      <c r="D179" s="123">
        <f t="shared" ref="D179:S191" si="46">C179</f>
        <v>0.57999999999999996</v>
      </c>
      <c r="E179" s="123">
        <f t="shared" si="46"/>
        <v>0.57999999999999996</v>
      </c>
      <c r="F179" s="123">
        <f t="shared" si="46"/>
        <v>0.57999999999999996</v>
      </c>
      <c r="G179" s="123">
        <f t="shared" si="46"/>
        <v>0.57999999999999996</v>
      </c>
      <c r="H179" s="123">
        <f t="shared" si="46"/>
        <v>0.57999999999999996</v>
      </c>
      <c r="I179" s="123">
        <f t="shared" si="46"/>
        <v>0.57999999999999996</v>
      </c>
      <c r="J179" s="123">
        <f t="shared" si="46"/>
        <v>0.57999999999999996</v>
      </c>
      <c r="K179" s="123">
        <f t="shared" si="46"/>
        <v>0.57999999999999996</v>
      </c>
      <c r="L179" s="123">
        <f t="shared" si="46"/>
        <v>0.57999999999999996</v>
      </c>
      <c r="M179" s="123">
        <f t="shared" si="46"/>
        <v>0.57999999999999996</v>
      </c>
      <c r="N179" s="123">
        <f t="shared" si="46"/>
        <v>0.57999999999999996</v>
      </c>
      <c r="O179" s="123">
        <f t="shared" si="46"/>
        <v>0.57999999999999996</v>
      </c>
      <c r="P179" s="123">
        <f t="shared" si="46"/>
        <v>0.57999999999999996</v>
      </c>
      <c r="Q179" s="123">
        <f t="shared" si="46"/>
        <v>0.57999999999999996</v>
      </c>
      <c r="R179" s="123">
        <f t="shared" si="46"/>
        <v>0.57999999999999996</v>
      </c>
      <c r="S179" s="123">
        <f t="shared" si="46"/>
        <v>0.57999999999999996</v>
      </c>
      <c r="T179" s="123">
        <f t="shared" ref="S179:AF191" si="47">S179</f>
        <v>0.57999999999999996</v>
      </c>
      <c r="U179" s="123">
        <f t="shared" si="47"/>
        <v>0.57999999999999996</v>
      </c>
      <c r="V179" s="123">
        <f t="shared" si="47"/>
        <v>0.57999999999999996</v>
      </c>
      <c r="W179" s="123">
        <f t="shared" si="47"/>
        <v>0.57999999999999996</v>
      </c>
      <c r="X179" s="123">
        <f t="shared" si="47"/>
        <v>0.57999999999999996</v>
      </c>
      <c r="Y179" s="123">
        <f t="shared" si="47"/>
        <v>0.57999999999999996</v>
      </c>
      <c r="Z179" s="123">
        <f t="shared" si="47"/>
        <v>0.57999999999999996</v>
      </c>
      <c r="AA179" s="123">
        <f t="shared" si="47"/>
        <v>0.57999999999999996</v>
      </c>
      <c r="AB179" s="123">
        <f t="shared" si="47"/>
        <v>0.57999999999999996</v>
      </c>
      <c r="AC179" s="123">
        <f t="shared" si="47"/>
        <v>0.57999999999999996</v>
      </c>
      <c r="AD179" s="123">
        <f t="shared" si="47"/>
        <v>0.57999999999999996</v>
      </c>
      <c r="AE179" s="123">
        <f t="shared" si="47"/>
        <v>0.57999999999999996</v>
      </c>
      <c r="AF179" s="123">
        <f t="shared" si="47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5"/>
        <v>0.8</v>
      </c>
      <c r="C180" s="124">
        <v>0.8</v>
      </c>
      <c r="D180" s="123">
        <f t="shared" si="46"/>
        <v>0.8</v>
      </c>
      <c r="E180" s="123">
        <f t="shared" si="46"/>
        <v>0.8</v>
      </c>
      <c r="F180" s="123">
        <f t="shared" si="46"/>
        <v>0.8</v>
      </c>
      <c r="G180" s="123">
        <f t="shared" si="46"/>
        <v>0.8</v>
      </c>
      <c r="H180" s="123">
        <f t="shared" si="46"/>
        <v>0.8</v>
      </c>
      <c r="I180" s="123">
        <f t="shared" si="46"/>
        <v>0.8</v>
      </c>
      <c r="J180" s="123">
        <f t="shared" si="46"/>
        <v>0.8</v>
      </c>
      <c r="K180" s="123">
        <f t="shared" si="46"/>
        <v>0.8</v>
      </c>
      <c r="L180" s="123">
        <f t="shared" si="46"/>
        <v>0.8</v>
      </c>
      <c r="M180" s="123">
        <f t="shared" si="46"/>
        <v>0.8</v>
      </c>
      <c r="N180" s="123">
        <f t="shared" si="46"/>
        <v>0.8</v>
      </c>
      <c r="O180" s="123">
        <f t="shared" si="46"/>
        <v>0.8</v>
      </c>
      <c r="P180" s="123">
        <f t="shared" si="46"/>
        <v>0.8</v>
      </c>
      <c r="Q180" s="123">
        <f t="shared" si="46"/>
        <v>0.8</v>
      </c>
      <c r="R180" s="123">
        <f t="shared" si="46"/>
        <v>0.8</v>
      </c>
      <c r="S180" s="123">
        <f t="shared" si="46"/>
        <v>0.8</v>
      </c>
      <c r="T180" s="123">
        <f t="shared" si="47"/>
        <v>0.8</v>
      </c>
      <c r="U180" s="123">
        <f t="shared" si="47"/>
        <v>0.8</v>
      </c>
      <c r="V180" s="123">
        <f t="shared" si="47"/>
        <v>0.8</v>
      </c>
      <c r="W180" s="123">
        <f t="shared" si="47"/>
        <v>0.8</v>
      </c>
      <c r="X180" s="123">
        <f t="shared" si="47"/>
        <v>0.8</v>
      </c>
      <c r="Y180" s="123">
        <f t="shared" si="47"/>
        <v>0.8</v>
      </c>
      <c r="Z180" s="123">
        <f t="shared" si="47"/>
        <v>0.8</v>
      </c>
      <c r="AA180" s="123">
        <f t="shared" si="47"/>
        <v>0.8</v>
      </c>
      <c r="AB180" s="123">
        <f t="shared" si="47"/>
        <v>0.8</v>
      </c>
      <c r="AC180" s="123">
        <f t="shared" si="47"/>
        <v>0.8</v>
      </c>
      <c r="AD180" s="123">
        <f t="shared" si="47"/>
        <v>0.8</v>
      </c>
      <c r="AE180" s="123">
        <f t="shared" si="47"/>
        <v>0.8</v>
      </c>
      <c r="AF180" s="123">
        <f t="shared" si="47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5"/>
        <v>0</v>
      </c>
      <c r="C181" s="124">
        <v>0</v>
      </c>
      <c r="D181" s="123">
        <f t="shared" si="46"/>
        <v>0</v>
      </c>
      <c r="E181" s="123">
        <f t="shared" si="46"/>
        <v>0</v>
      </c>
      <c r="F181" s="123">
        <f t="shared" si="46"/>
        <v>0</v>
      </c>
      <c r="G181" s="123">
        <f t="shared" si="46"/>
        <v>0</v>
      </c>
      <c r="H181" s="123">
        <f t="shared" si="46"/>
        <v>0</v>
      </c>
      <c r="I181" s="123">
        <f t="shared" si="46"/>
        <v>0</v>
      </c>
      <c r="J181" s="123">
        <f t="shared" si="46"/>
        <v>0</v>
      </c>
      <c r="K181" s="123">
        <f t="shared" si="46"/>
        <v>0</v>
      </c>
      <c r="L181" s="123">
        <f t="shared" si="46"/>
        <v>0</v>
      </c>
      <c r="M181" s="123">
        <f t="shared" si="46"/>
        <v>0</v>
      </c>
      <c r="N181" s="123">
        <f t="shared" si="46"/>
        <v>0</v>
      </c>
      <c r="O181" s="123">
        <f t="shared" si="46"/>
        <v>0</v>
      </c>
      <c r="P181" s="123">
        <f t="shared" si="46"/>
        <v>0</v>
      </c>
      <c r="Q181" s="123">
        <f t="shared" si="46"/>
        <v>0</v>
      </c>
      <c r="R181" s="123">
        <f t="shared" si="46"/>
        <v>0</v>
      </c>
      <c r="S181" s="123">
        <f t="shared" si="46"/>
        <v>0</v>
      </c>
      <c r="T181" s="123">
        <f t="shared" si="47"/>
        <v>0</v>
      </c>
      <c r="U181" s="123">
        <f t="shared" si="47"/>
        <v>0</v>
      </c>
      <c r="V181" s="123">
        <f t="shared" si="47"/>
        <v>0</v>
      </c>
      <c r="W181" s="123">
        <f t="shared" si="47"/>
        <v>0</v>
      </c>
      <c r="X181" s="123">
        <f t="shared" si="47"/>
        <v>0</v>
      </c>
      <c r="Y181" s="123">
        <f t="shared" si="47"/>
        <v>0</v>
      </c>
      <c r="Z181" s="123">
        <f t="shared" si="47"/>
        <v>0</v>
      </c>
      <c r="AA181" s="123">
        <f t="shared" si="47"/>
        <v>0</v>
      </c>
      <c r="AB181" s="123">
        <f t="shared" si="47"/>
        <v>0</v>
      </c>
      <c r="AC181" s="123">
        <f t="shared" si="47"/>
        <v>0</v>
      </c>
      <c r="AD181" s="123">
        <f t="shared" si="47"/>
        <v>0</v>
      </c>
      <c r="AE181" s="123">
        <f t="shared" si="47"/>
        <v>0</v>
      </c>
      <c r="AF181" s="123">
        <f t="shared" si="47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5"/>
        <v>0.6</v>
      </c>
      <c r="C182" s="124">
        <v>0.6</v>
      </c>
      <c r="D182" s="123">
        <f t="shared" si="46"/>
        <v>0.6</v>
      </c>
      <c r="E182" s="123">
        <f t="shared" si="46"/>
        <v>0.6</v>
      </c>
      <c r="F182" s="123">
        <f t="shared" si="46"/>
        <v>0.6</v>
      </c>
      <c r="G182" s="123">
        <f t="shared" si="46"/>
        <v>0.6</v>
      </c>
      <c r="H182" s="123">
        <f t="shared" si="46"/>
        <v>0.6</v>
      </c>
      <c r="I182" s="123">
        <f t="shared" si="46"/>
        <v>0.6</v>
      </c>
      <c r="J182" s="123">
        <f t="shared" si="46"/>
        <v>0.6</v>
      </c>
      <c r="K182" s="123">
        <f t="shared" si="46"/>
        <v>0.6</v>
      </c>
      <c r="L182" s="123">
        <f t="shared" si="46"/>
        <v>0.6</v>
      </c>
      <c r="M182" s="123">
        <f t="shared" si="46"/>
        <v>0.6</v>
      </c>
      <c r="N182" s="123">
        <f t="shared" si="46"/>
        <v>0.6</v>
      </c>
      <c r="O182" s="123">
        <f t="shared" si="46"/>
        <v>0.6</v>
      </c>
      <c r="P182" s="123">
        <f t="shared" si="46"/>
        <v>0.6</v>
      </c>
      <c r="Q182" s="123">
        <f t="shared" si="46"/>
        <v>0.6</v>
      </c>
      <c r="R182" s="123">
        <f t="shared" si="46"/>
        <v>0.6</v>
      </c>
      <c r="S182" s="123">
        <f t="shared" si="46"/>
        <v>0.6</v>
      </c>
      <c r="T182" s="123">
        <f t="shared" si="47"/>
        <v>0.6</v>
      </c>
      <c r="U182" s="123">
        <f t="shared" si="47"/>
        <v>0.6</v>
      </c>
      <c r="V182" s="123">
        <f t="shared" si="47"/>
        <v>0.6</v>
      </c>
      <c r="W182" s="123">
        <f t="shared" si="47"/>
        <v>0.6</v>
      </c>
      <c r="X182" s="123">
        <f t="shared" si="47"/>
        <v>0.6</v>
      </c>
      <c r="Y182" s="123">
        <f t="shared" si="47"/>
        <v>0.6</v>
      </c>
      <c r="Z182" s="123">
        <f t="shared" si="47"/>
        <v>0.6</v>
      </c>
      <c r="AA182" s="123">
        <f t="shared" si="47"/>
        <v>0.6</v>
      </c>
      <c r="AB182" s="123">
        <f t="shared" si="47"/>
        <v>0.6</v>
      </c>
      <c r="AC182" s="123">
        <f t="shared" si="47"/>
        <v>0.6</v>
      </c>
      <c r="AD182" s="123">
        <f t="shared" si="47"/>
        <v>0.6</v>
      </c>
      <c r="AE182" s="123">
        <f t="shared" si="47"/>
        <v>0.6</v>
      </c>
      <c r="AF182" s="123">
        <f t="shared" si="47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5"/>
        <v>0.6</v>
      </c>
      <c r="C183" s="124">
        <v>0.6</v>
      </c>
      <c r="D183" s="123">
        <f t="shared" si="46"/>
        <v>0.6</v>
      </c>
      <c r="E183" s="123">
        <f t="shared" si="46"/>
        <v>0.6</v>
      </c>
      <c r="F183" s="123">
        <f t="shared" si="46"/>
        <v>0.6</v>
      </c>
      <c r="G183" s="123">
        <f t="shared" si="46"/>
        <v>0.6</v>
      </c>
      <c r="H183" s="123">
        <f t="shared" si="46"/>
        <v>0.6</v>
      </c>
      <c r="I183" s="123">
        <f t="shared" si="46"/>
        <v>0.6</v>
      </c>
      <c r="J183" s="123">
        <f t="shared" si="46"/>
        <v>0.6</v>
      </c>
      <c r="K183" s="123">
        <f t="shared" si="46"/>
        <v>0.6</v>
      </c>
      <c r="L183" s="123">
        <f t="shared" si="46"/>
        <v>0.6</v>
      </c>
      <c r="M183" s="123">
        <f t="shared" si="46"/>
        <v>0.6</v>
      </c>
      <c r="N183" s="123">
        <f t="shared" si="46"/>
        <v>0.6</v>
      </c>
      <c r="O183" s="123">
        <f t="shared" si="46"/>
        <v>0.6</v>
      </c>
      <c r="P183" s="123">
        <f t="shared" si="46"/>
        <v>0.6</v>
      </c>
      <c r="Q183" s="123">
        <f t="shared" si="46"/>
        <v>0.6</v>
      </c>
      <c r="R183" s="123">
        <f t="shared" si="46"/>
        <v>0.6</v>
      </c>
      <c r="S183" s="123">
        <f t="shared" si="46"/>
        <v>0.6</v>
      </c>
      <c r="T183" s="123">
        <f t="shared" si="47"/>
        <v>0.6</v>
      </c>
      <c r="U183" s="123">
        <f t="shared" si="47"/>
        <v>0.6</v>
      </c>
      <c r="V183" s="123">
        <f t="shared" si="47"/>
        <v>0.6</v>
      </c>
      <c r="W183" s="123">
        <f t="shared" si="47"/>
        <v>0.6</v>
      </c>
      <c r="X183" s="123">
        <f t="shared" si="47"/>
        <v>0.6</v>
      </c>
      <c r="Y183" s="123">
        <f t="shared" si="47"/>
        <v>0.6</v>
      </c>
      <c r="Z183" s="123">
        <f t="shared" si="47"/>
        <v>0.6</v>
      </c>
      <c r="AA183" s="123">
        <f t="shared" si="47"/>
        <v>0.6</v>
      </c>
      <c r="AB183" s="123">
        <f t="shared" si="47"/>
        <v>0.6</v>
      </c>
      <c r="AC183" s="123">
        <f t="shared" si="47"/>
        <v>0.6</v>
      </c>
      <c r="AD183" s="123">
        <f t="shared" si="47"/>
        <v>0.6</v>
      </c>
      <c r="AE183" s="123">
        <f t="shared" si="47"/>
        <v>0.6</v>
      </c>
      <c r="AF183" s="123">
        <f t="shared" si="47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5"/>
        <v>0.35</v>
      </c>
      <c r="C184" s="124">
        <v>0.35</v>
      </c>
      <c r="D184" s="123">
        <f t="shared" si="46"/>
        <v>0.35</v>
      </c>
      <c r="E184" s="123">
        <f t="shared" si="46"/>
        <v>0.35</v>
      </c>
      <c r="F184" s="123">
        <f t="shared" si="46"/>
        <v>0.35</v>
      </c>
      <c r="G184" s="123">
        <f t="shared" si="46"/>
        <v>0.35</v>
      </c>
      <c r="H184" s="123">
        <f t="shared" si="46"/>
        <v>0.35</v>
      </c>
      <c r="I184" s="123">
        <f t="shared" si="46"/>
        <v>0.35</v>
      </c>
      <c r="J184" s="123">
        <f t="shared" si="46"/>
        <v>0.35</v>
      </c>
      <c r="K184" s="123">
        <f t="shared" si="46"/>
        <v>0.35</v>
      </c>
      <c r="L184" s="123">
        <f t="shared" si="46"/>
        <v>0.35</v>
      </c>
      <c r="M184" s="123">
        <f t="shared" si="46"/>
        <v>0.35</v>
      </c>
      <c r="N184" s="123">
        <f t="shared" si="46"/>
        <v>0.35</v>
      </c>
      <c r="O184" s="123">
        <f t="shared" si="46"/>
        <v>0.35</v>
      </c>
      <c r="P184" s="123">
        <f t="shared" si="46"/>
        <v>0.35</v>
      </c>
      <c r="Q184" s="123">
        <f t="shared" si="46"/>
        <v>0.35</v>
      </c>
      <c r="R184" s="123">
        <f t="shared" si="46"/>
        <v>0.35</v>
      </c>
      <c r="S184" s="123">
        <f t="shared" si="46"/>
        <v>0.35</v>
      </c>
      <c r="T184" s="123">
        <f t="shared" si="47"/>
        <v>0.35</v>
      </c>
      <c r="U184" s="123">
        <f t="shared" si="47"/>
        <v>0.35</v>
      </c>
      <c r="V184" s="123">
        <f t="shared" si="47"/>
        <v>0.35</v>
      </c>
      <c r="W184" s="123">
        <f t="shared" si="47"/>
        <v>0.35</v>
      </c>
      <c r="X184" s="123">
        <f t="shared" si="47"/>
        <v>0.35</v>
      </c>
      <c r="Y184" s="123">
        <f t="shared" si="47"/>
        <v>0.35</v>
      </c>
      <c r="Z184" s="123">
        <f t="shared" si="47"/>
        <v>0.35</v>
      </c>
      <c r="AA184" s="123">
        <f t="shared" si="47"/>
        <v>0.35</v>
      </c>
      <c r="AB184" s="123">
        <f t="shared" si="47"/>
        <v>0.35</v>
      </c>
      <c r="AC184" s="123">
        <f t="shared" si="47"/>
        <v>0.35</v>
      </c>
      <c r="AD184" s="123">
        <f t="shared" si="47"/>
        <v>0.35</v>
      </c>
      <c r="AE184" s="123">
        <f t="shared" si="47"/>
        <v>0.35</v>
      </c>
      <c r="AF184" s="123">
        <f t="shared" si="47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5"/>
        <v>0.28999999999999998</v>
      </c>
      <c r="C185" s="124">
        <v>0.28999999999999998</v>
      </c>
      <c r="D185" s="123">
        <f t="shared" si="46"/>
        <v>0.28999999999999998</v>
      </c>
      <c r="E185" s="123">
        <f t="shared" si="46"/>
        <v>0.28999999999999998</v>
      </c>
      <c r="F185" s="123">
        <f t="shared" si="46"/>
        <v>0.28999999999999998</v>
      </c>
      <c r="G185" s="123">
        <f t="shared" si="46"/>
        <v>0.28999999999999998</v>
      </c>
      <c r="H185" s="123">
        <f t="shared" si="46"/>
        <v>0.28999999999999998</v>
      </c>
      <c r="I185" s="123">
        <f t="shared" si="46"/>
        <v>0.28999999999999998</v>
      </c>
      <c r="J185" s="123">
        <f t="shared" si="46"/>
        <v>0.28999999999999998</v>
      </c>
      <c r="K185" s="123">
        <f t="shared" si="46"/>
        <v>0.28999999999999998</v>
      </c>
      <c r="L185" s="123">
        <f t="shared" si="46"/>
        <v>0.28999999999999998</v>
      </c>
      <c r="M185" s="123">
        <f t="shared" si="46"/>
        <v>0.28999999999999998</v>
      </c>
      <c r="N185" s="123">
        <f t="shared" si="46"/>
        <v>0.28999999999999998</v>
      </c>
      <c r="O185" s="123">
        <f t="shared" si="46"/>
        <v>0.28999999999999998</v>
      </c>
      <c r="P185" s="123">
        <f t="shared" si="46"/>
        <v>0.28999999999999998</v>
      </c>
      <c r="Q185" s="123">
        <f t="shared" si="46"/>
        <v>0.28999999999999998</v>
      </c>
      <c r="R185" s="123">
        <f t="shared" si="46"/>
        <v>0.28999999999999998</v>
      </c>
      <c r="S185" s="123">
        <f t="shared" si="46"/>
        <v>0.28999999999999998</v>
      </c>
      <c r="T185" s="123">
        <f t="shared" si="47"/>
        <v>0.28999999999999998</v>
      </c>
      <c r="U185" s="123">
        <f t="shared" si="47"/>
        <v>0.28999999999999998</v>
      </c>
      <c r="V185" s="123">
        <f t="shared" si="47"/>
        <v>0.28999999999999998</v>
      </c>
      <c r="W185" s="123">
        <f t="shared" si="47"/>
        <v>0.28999999999999998</v>
      </c>
      <c r="X185" s="123">
        <f t="shared" si="47"/>
        <v>0.28999999999999998</v>
      </c>
      <c r="Y185" s="123">
        <f t="shared" si="47"/>
        <v>0.28999999999999998</v>
      </c>
      <c r="Z185" s="123">
        <f t="shared" si="47"/>
        <v>0.28999999999999998</v>
      </c>
      <c r="AA185" s="123">
        <f t="shared" si="47"/>
        <v>0.28999999999999998</v>
      </c>
      <c r="AB185" s="123">
        <f t="shared" si="47"/>
        <v>0.28999999999999998</v>
      </c>
      <c r="AC185" s="123">
        <f t="shared" si="47"/>
        <v>0.28999999999999998</v>
      </c>
      <c r="AD185" s="123">
        <f t="shared" si="47"/>
        <v>0.28999999999999998</v>
      </c>
      <c r="AE185" s="123">
        <f t="shared" si="47"/>
        <v>0.28999999999999998</v>
      </c>
      <c r="AF185" s="123">
        <f t="shared" si="47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5"/>
        <v>0.06</v>
      </c>
      <c r="C186" s="124">
        <v>0.06</v>
      </c>
      <c r="D186" s="123">
        <f t="shared" si="46"/>
        <v>0.06</v>
      </c>
      <c r="E186" s="123">
        <f t="shared" si="46"/>
        <v>0.06</v>
      </c>
      <c r="F186" s="123">
        <f t="shared" si="46"/>
        <v>0.06</v>
      </c>
      <c r="G186" s="123">
        <f t="shared" si="46"/>
        <v>0.06</v>
      </c>
      <c r="H186" s="123">
        <f t="shared" si="46"/>
        <v>0.06</v>
      </c>
      <c r="I186" s="123">
        <f t="shared" si="46"/>
        <v>0.06</v>
      </c>
      <c r="J186" s="123">
        <f t="shared" si="46"/>
        <v>0.06</v>
      </c>
      <c r="K186" s="123">
        <f t="shared" si="46"/>
        <v>0.06</v>
      </c>
      <c r="L186" s="123">
        <f t="shared" si="46"/>
        <v>0.06</v>
      </c>
      <c r="M186" s="123">
        <f t="shared" si="46"/>
        <v>0.06</v>
      </c>
      <c r="N186" s="123">
        <f t="shared" si="46"/>
        <v>0.06</v>
      </c>
      <c r="O186" s="123">
        <f t="shared" si="46"/>
        <v>0.06</v>
      </c>
      <c r="P186" s="123">
        <f t="shared" si="46"/>
        <v>0.06</v>
      </c>
      <c r="Q186" s="123">
        <f t="shared" si="46"/>
        <v>0.06</v>
      </c>
      <c r="R186" s="123">
        <f t="shared" si="46"/>
        <v>0.06</v>
      </c>
      <c r="S186" s="123">
        <f t="shared" si="46"/>
        <v>0.06</v>
      </c>
      <c r="T186" s="123">
        <f t="shared" si="47"/>
        <v>0.06</v>
      </c>
      <c r="U186" s="123">
        <f t="shared" si="47"/>
        <v>0.06</v>
      </c>
      <c r="V186" s="123">
        <f t="shared" si="47"/>
        <v>0.06</v>
      </c>
      <c r="W186" s="123">
        <f t="shared" si="47"/>
        <v>0.06</v>
      </c>
      <c r="X186" s="123">
        <f t="shared" si="47"/>
        <v>0.06</v>
      </c>
      <c r="Y186" s="123">
        <f t="shared" si="47"/>
        <v>0.06</v>
      </c>
      <c r="Z186" s="123">
        <f t="shared" si="47"/>
        <v>0.06</v>
      </c>
      <c r="AA186" s="123">
        <f t="shared" si="47"/>
        <v>0.06</v>
      </c>
      <c r="AB186" s="123">
        <f t="shared" si="47"/>
        <v>0.06</v>
      </c>
      <c r="AC186" s="123">
        <f t="shared" si="47"/>
        <v>0.06</v>
      </c>
      <c r="AD186" s="123">
        <f t="shared" si="47"/>
        <v>0.06</v>
      </c>
      <c r="AE186" s="123">
        <f t="shared" si="47"/>
        <v>0.06</v>
      </c>
      <c r="AF186" s="123">
        <f t="shared" si="47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5"/>
        <v>0.11</v>
      </c>
      <c r="C187" s="124">
        <v>0.11</v>
      </c>
      <c r="D187" s="123">
        <f t="shared" si="46"/>
        <v>0.11</v>
      </c>
      <c r="E187" s="123">
        <f t="shared" si="46"/>
        <v>0.11</v>
      </c>
      <c r="F187" s="123">
        <f t="shared" si="46"/>
        <v>0.11</v>
      </c>
      <c r="G187" s="123">
        <f t="shared" si="46"/>
        <v>0.11</v>
      </c>
      <c r="H187" s="123">
        <f t="shared" si="46"/>
        <v>0.11</v>
      </c>
      <c r="I187" s="123">
        <f t="shared" si="46"/>
        <v>0.11</v>
      </c>
      <c r="J187" s="123">
        <f t="shared" si="46"/>
        <v>0.11</v>
      </c>
      <c r="K187" s="123">
        <f t="shared" si="46"/>
        <v>0.11</v>
      </c>
      <c r="L187" s="123">
        <f t="shared" si="46"/>
        <v>0.11</v>
      </c>
      <c r="M187" s="123">
        <f t="shared" si="46"/>
        <v>0.11</v>
      </c>
      <c r="N187" s="123">
        <f t="shared" si="46"/>
        <v>0.11</v>
      </c>
      <c r="O187" s="123">
        <f t="shared" si="46"/>
        <v>0.11</v>
      </c>
      <c r="P187" s="123">
        <f t="shared" si="46"/>
        <v>0.11</v>
      </c>
      <c r="Q187" s="123">
        <f t="shared" si="46"/>
        <v>0.11</v>
      </c>
      <c r="R187" s="123">
        <f t="shared" si="46"/>
        <v>0.11</v>
      </c>
      <c r="S187" s="123">
        <f t="shared" si="46"/>
        <v>0.11</v>
      </c>
      <c r="T187" s="123">
        <f t="shared" si="47"/>
        <v>0.11</v>
      </c>
      <c r="U187" s="123">
        <f t="shared" si="47"/>
        <v>0.11</v>
      </c>
      <c r="V187" s="123">
        <f t="shared" si="47"/>
        <v>0.11</v>
      </c>
      <c r="W187" s="123">
        <f t="shared" si="47"/>
        <v>0.11</v>
      </c>
      <c r="X187" s="123">
        <f t="shared" si="47"/>
        <v>0.11</v>
      </c>
      <c r="Y187" s="123">
        <f t="shared" si="47"/>
        <v>0.11</v>
      </c>
      <c r="Z187" s="123">
        <f t="shared" si="47"/>
        <v>0.11</v>
      </c>
      <c r="AA187" s="123">
        <f t="shared" si="47"/>
        <v>0.11</v>
      </c>
      <c r="AB187" s="123">
        <f t="shared" si="47"/>
        <v>0.11</v>
      </c>
      <c r="AC187" s="123">
        <f t="shared" si="47"/>
        <v>0.11</v>
      </c>
      <c r="AD187" s="123">
        <f t="shared" si="47"/>
        <v>0.11</v>
      </c>
      <c r="AE187" s="123">
        <f t="shared" si="47"/>
        <v>0.11</v>
      </c>
      <c r="AF187" s="123">
        <f t="shared" si="47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5"/>
        <v>0.1</v>
      </c>
      <c r="C188" s="124">
        <v>0.1</v>
      </c>
      <c r="D188" s="123">
        <f t="shared" si="46"/>
        <v>0.1</v>
      </c>
      <c r="E188" s="123">
        <f t="shared" si="46"/>
        <v>0.1</v>
      </c>
      <c r="F188" s="123">
        <f t="shared" si="46"/>
        <v>0.1</v>
      </c>
      <c r="G188" s="123">
        <f t="shared" si="46"/>
        <v>0.1</v>
      </c>
      <c r="H188" s="123">
        <f t="shared" si="46"/>
        <v>0.1</v>
      </c>
      <c r="I188" s="123">
        <f t="shared" si="46"/>
        <v>0.1</v>
      </c>
      <c r="J188" s="123">
        <f t="shared" si="46"/>
        <v>0.1</v>
      </c>
      <c r="K188" s="123">
        <f t="shared" si="46"/>
        <v>0.1</v>
      </c>
      <c r="L188" s="123">
        <f t="shared" si="46"/>
        <v>0.1</v>
      </c>
      <c r="M188" s="123">
        <f t="shared" si="46"/>
        <v>0.1</v>
      </c>
      <c r="N188" s="123">
        <f t="shared" si="46"/>
        <v>0.1</v>
      </c>
      <c r="O188" s="123">
        <f t="shared" si="46"/>
        <v>0.1</v>
      </c>
      <c r="P188" s="123">
        <f t="shared" si="46"/>
        <v>0.1</v>
      </c>
      <c r="Q188" s="123">
        <f t="shared" si="46"/>
        <v>0.1</v>
      </c>
      <c r="R188" s="123">
        <f t="shared" si="46"/>
        <v>0.1</v>
      </c>
      <c r="S188" s="123">
        <f t="shared" si="47"/>
        <v>0.1</v>
      </c>
      <c r="T188" s="123">
        <f t="shared" si="47"/>
        <v>0.1</v>
      </c>
      <c r="U188" s="123">
        <f t="shared" si="47"/>
        <v>0.1</v>
      </c>
      <c r="V188" s="123">
        <f t="shared" si="47"/>
        <v>0.1</v>
      </c>
      <c r="W188" s="123">
        <f t="shared" si="47"/>
        <v>0.1</v>
      </c>
      <c r="X188" s="123">
        <f t="shared" si="47"/>
        <v>0.1</v>
      </c>
      <c r="Y188" s="123">
        <f t="shared" si="47"/>
        <v>0.1</v>
      </c>
      <c r="Z188" s="123">
        <f t="shared" si="47"/>
        <v>0.1</v>
      </c>
      <c r="AA188" s="123">
        <f t="shared" si="47"/>
        <v>0.1</v>
      </c>
      <c r="AB188" s="123">
        <f t="shared" si="47"/>
        <v>0.1</v>
      </c>
      <c r="AC188" s="123">
        <f t="shared" si="47"/>
        <v>0.1</v>
      </c>
      <c r="AD188" s="123">
        <f t="shared" si="47"/>
        <v>0.1</v>
      </c>
      <c r="AE188" s="123">
        <f t="shared" si="47"/>
        <v>0.1</v>
      </c>
      <c r="AF188" s="123">
        <f t="shared" si="47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5"/>
        <v>0.09</v>
      </c>
      <c r="C189" s="124">
        <v>0.09</v>
      </c>
      <c r="D189" s="123">
        <f t="shared" si="46"/>
        <v>0.09</v>
      </c>
      <c r="E189" s="123">
        <f t="shared" si="46"/>
        <v>0.09</v>
      </c>
      <c r="F189" s="123">
        <f t="shared" si="46"/>
        <v>0.09</v>
      </c>
      <c r="G189" s="123">
        <f t="shared" si="46"/>
        <v>0.09</v>
      </c>
      <c r="H189" s="123">
        <f t="shared" si="46"/>
        <v>0.09</v>
      </c>
      <c r="I189" s="123">
        <f t="shared" si="46"/>
        <v>0.09</v>
      </c>
      <c r="J189" s="123">
        <f t="shared" si="46"/>
        <v>0.09</v>
      </c>
      <c r="K189" s="123">
        <f t="shared" si="46"/>
        <v>0.09</v>
      </c>
      <c r="L189" s="123">
        <f t="shared" si="46"/>
        <v>0.09</v>
      </c>
      <c r="M189" s="123">
        <f t="shared" si="46"/>
        <v>0.09</v>
      </c>
      <c r="N189" s="123">
        <f t="shared" si="46"/>
        <v>0.09</v>
      </c>
      <c r="O189" s="123">
        <f t="shared" si="46"/>
        <v>0.09</v>
      </c>
      <c r="P189" s="123">
        <f t="shared" si="46"/>
        <v>0.09</v>
      </c>
      <c r="Q189" s="123">
        <f t="shared" si="46"/>
        <v>0.09</v>
      </c>
      <c r="R189" s="123">
        <f t="shared" si="46"/>
        <v>0.09</v>
      </c>
      <c r="S189" s="123">
        <f t="shared" si="47"/>
        <v>0.09</v>
      </c>
      <c r="T189" s="123">
        <f t="shared" si="47"/>
        <v>0.09</v>
      </c>
      <c r="U189" s="123">
        <f t="shared" si="47"/>
        <v>0.09</v>
      </c>
      <c r="V189" s="123">
        <f t="shared" si="47"/>
        <v>0.09</v>
      </c>
      <c r="W189" s="123">
        <f t="shared" si="47"/>
        <v>0.09</v>
      </c>
      <c r="X189" s="123">
        <f t="shared" si="47"/>
        <v>0.09</v>
      </c>
      <c r="Y189" s="123">
        <f t="shared" si="47"/>
        <v>0.09</v>
      </c>
      <c r="Z189" s="123">
        <f t="shared" si="47"/>
        <v>0.09</v>
      </c>
      <c r="AA189" s="123">
        <f t="shared" si="47"/>
        <v>0.09</v>
      </c>
      <c r="AB189" s="123">
        <f t="shared" si="47"/>
        <v>0.09</v>
      </c>
      <c r="AC189" s="123">
        <f t="shared" si="47"/>
        <v>0.09</v>
      </c>
      <c r="AD189" s="123">
        <f t="shared" si="47"/>
        <v>0.09</v>
      </c>
      <c r="AE189" s="123">
        <f t="shared" si="47"/>
        <v>0.09</v>
      </c>
      <c r="AF189" s="123">
        <f t="shared" si="47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5"/>
        <v>0.04</v>
      </c>
      <c r="C190" s="53">
        <v>0.04</v>
      </c>
      <c r="D190" s="123">
        <f t="shared" si="46"/>
        <v>0.04</v>
      </c>
      <c r="E190" s="123">
        <f t="shared" si="46"/>
        <v>0.04</v>
      </c>
      <c r="F190" s="123">
        <f t="shared" si="46"/>
        <v>0.04</v>
      </c>
      <c r="G190" s="123">
        <f t="shared" si="46"/>
        <v>0.04</v>
      </c>
      <c r="H190" s="123">
        <f t="shared" si="46"/>
        <v>0.04</v>
      </c>
      <c r="I190" s="123">
        <f t="shared" si="46"/>
        <v>0.04</v>
      </c>
      <c r="J190" s="123">
        <f t="shared" si="46"/>
        <v>0.04</v>
      </c>
      <c r="K190" s="123">
        <f t="shared" si="46"/>
        <v>0.04</v>
      </c>
      <c r="L190" s="123">
        <f t="shared" si="46"/>
        <v>0.04</v>
      </c>
      <c r="M190" s="123">
        <f t="shared" si="46"/>
        <v>0.04</v>
      </c>
      <c r="N190" s="123">
        <f t="shared" si="46"/>
        <v>0.04</v>
      </c>
      <c r="O190" s="123">
        <f t="shared" si="46"/>
        <v>0.04</v>
      </c>
      <c r="P190" s="123">
        <f t="shared" si="46"/>
        <v>0.04</v>
      </c>
      <c r="Q190" s="123">
        <f t="shared" si="46"/>
        <v>0.04</v>
      </c>
      <c r="R190" s="123">
        <f t="shared" si="46"/>
        <v>0.04</v>
      </c>
      <c r="S190" s="123">
        <f t="shared" si="47"/>
        <v>0.04</v>
      </c>
      <c r="T190" s="123">
        <f t="shared" si="47"/>
        <v>0.04</v>
      </c>
      <c r="U190" s="123">
        <f t="shared" si="47"/>
        <v>0.04</v>
      </c>
      <c r="V190" s="123">
        <f t="shared" si="47"/>
        <v>0.04</v>
      </c>
      <c r="W190" s="123">
        <f t="shared" si="47"/>
        <v>0.04</v>
      </c>
      <c r="X190" s="123">
        <f t="shared" si="47"/>
        <v>0.04</v>
      </c>
      <c r="Y190" s="123">
        <f t="shared" si="47"/>
        <v>0.04</v>
      </c>
      <c r="Z190" s="123">
        <f t="shared" si="47"/>
        <v>0.04</v>
      </c>
      <c r="AA190" s="123">
        <f t="shared" si="47"/>
        <v>0.04</v>
      </c>
      <c r="AB190" s="123">
        <f t="shared" si="47"/>
        <v>0.04</v>
      </c>
      <c r="AC190" s="123">
        <f t="shared" si="47"/>
        <v>0.04</v>
      </c>
      <c r="AD190" s="123">
        <f t="shared" si="47"/>
        <v>0.04</v>
      </c>
      <c r="AE190" s="123">
        <f t="shared" si="47"/>
        <v>0.04</v>
      </c>
      <c r="AF190" s="123">
        <f t="shared" si="47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5"/>
        <v>2.3E-2</v>
      </c>
      <c r="C191" s="53">
        <v>2.3E-2</v>
      </c>
      <c r="D191" s="123">
        <f>C191</f>
        <v>2.3E-2</v>
      </c>
      <c r="E191" s="123">
        <f t="shared" si="46"/>
        <v>2.3E-2</v>
      </c>
      <c r="F191" s="123">
        <f t="shared" si="46"/>
        <v>2.3E-2</v>
      </c>
      <c r="G191" s="123">
        <f t="shared" si="46"/>
        <v>2.3E-2</v>
      </c>
      <c r="H191" s="123">
        <f t="shared" si="46"/>
        <v>2.3E-2</v>
      </c>
      <c r="I191" s="123">
        <f t="shared" si="46"/>
        <v>2.3E-2</v>
      </c>
      <c r="J191" s="123">
        <f t="shared" si="46"/>
        <v>2.3E-2</v>
      </c>
      <c r="K191" s="123">
        <f t="shared" si="46"/>
        <v>2.3E-2</v>
      </c>
      <c r="L191" s="123">
        <f t="shared" si="46"/>
        <v>2.3E-2</v>
      </c>
      <c r="M191" s="123">
        <f t="shared" si="46"/>
        <v>2.3E-2</v>
      </c>
      <c r="N191" s="123">
        <f t="shared" si="46"/>
        <v>2.3E-2</v>
      </c>
      <c r="O191" s="123">
        <f t="shared" si="46"/>
        <v>2.3E-2</v>
      </c>
      <c r="P191" s="123">
        <f t="shared" si="46"/>
        <v>2.3E-2</v>
      </c>
      <c r="Q191" s="123">
        <f t="shared" si="46"/>
        <v>2.3E-2</v>
      </c>
      <c r="R191" s="123">
        <f t="shared" si="46"/>
        <v>2.3E-2</v>
      </c>
      <c r="S191" s="123">
        <f t="shared" si="47"/>
        <v>2.3E-2</v>
      </c>
      <c r="T191" s="123">
        <f t="shared" si="47"/>
        <v>2.3E-2</v>
      </c>
      <c r="U191" s="123">
        <f t="shared" si="47"/>
        <v>2.3E-2</v>
      </c>
      <c r="V191" s="123">
        <f t="shared" si="47"/>
        <v>2.3E-2</v>
      </c>
      <c r="W191" s="123">
        <f t="shared" si="47"/>
        <v>2.3E-2</v>
      </c>
      <c r="X191" s="123">
        <f t="shared" si="47"/>
        <v>2.3E-2</v>
      </c>
      <c r="Y191" s="123">
        <f t="shared" si="47"/>
        <v>2.3E-2</v>
      </c>
      <c r="Z191" s="123">
        <f t="shared" si="47"/>
        <v>2.3E-2</v>
      </c>
      <c r="AA191" s="123">
        <f t="shared" si="47"/>
        <v>2.3E-2</v>
      </c>
      <c r="AB191" s="123">
        <f t="shared" si="47"/>
        <v>2.3E-2</v>
      </c>
      <c r="AC191" s="123">
        <f t="shared" si="47"/>
        <v>2.3E-2</v>
      </c>
      <c r="AD191" s="123">
        <f t="shared" si="47"/>
        <v>2.3E-2</v>
      </c>
      <c r="AE191" s="123">
        <f t="shared" si="47"/>
        <v>2.3E-2</v>
      </c>
      <c r="AF191" s="123">
        <f t="shared" si="47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8">SUM(C102:C191)</f>
        <v>194.70600000000002</v>
      </c>
      <c r="D192" s="128">
        <f t="shared" si="48"/>
        <v>194.70600000000002</v>
      </c>
      <c r="E192" s="128">
        <f t="shared" si="48"/>
        <v>194.70600000000002</v>
      </c>
      <c r="F192" s="128">
        <f t="shared" si="48"/>
        <v>194.70600000000002</v>
      </c>
      <c r="G192" s="128">
        <f t="shared" si="48"/>
        <v>194.70600000000002</v>
      </c>
      <c r="H192" s="128">
        <f t="shared" si="48"/>
        <v>194.70600000000002</v>
      </c>
      <c r="I192" s="128">
        <f t="shared" si="48"/>
        <v>189.70600000000005</v>
      </c>
      <c r="J192" s="128">
        <f t="shared" si="48"/>
        <v>187.10600000000005</v>
      </c>
      <c r="K192" s="128">
        <f t="shared" si="48"/>
        <v>187.10600000000005</v>
      </c>
      <c r="L192" s="128">
        <f t="shared" si="48"/>
        <v>187.10600000000005</v>
      </c>
      <c r="M192" s="128">
        <f t="shared" si="48"/>
        <v>187.10600000000005</v>
      </c>
      <c r="N192" s="128">
        <f t="shared" si="48"/>
        <v>187.10600000000005</v>
      </c>
      <c r="O192" s="128">
        <f t="shared" si="48"/>
        <v>187.10600000000005</v>
      </c>
      <c r="P192" s="128">
        <f t="shared" si="48"/>
        <v>187.10600000000005</v>
      </c>
      <c r="Q192" s="128">
        <f t="shared" si="48"/>
        <v>187.10600000000005</v>
      </c>
      <c r="R192" s="128">
        <f t="shared" si="48"/>
        <v>187.10600000000005</v>
      </c>
      <c r="S192" s="128">
        <f t="shared" si="48"/>
        <v>187.10600000000005</v>
      </c>
      <c r="T192" s="128">
        <f t="shared" si="48"/>
        <v>187.10600000000005</v>
      </c>
      <c r="U192" s="128">
        <f t="shared" si="48"/>
        <v>187.10600000000005</v>
      </c>
      <c r="V192" s="128">
        <f t="shared" si="48"/>
        <v>187.10600000000005</v>
      </c>
      <c r="W192" s="128">
        <f t="shared" si="48"/>
        <v>187.10600000000005</v>
      </c>
      <c r="X192" s="128">
        <f t="shared" si="48"/>
        <v>187.10600000000005</v>
      </c>
      <c r="Y192" s="128">
        <f t="shared" si="48"/>
        <v>187.10600000000005</v>
      </c>
      <c r="Z192" s="128">
        <f t="shared" si="48"/>
        <v>187.10600000000005</v>
      </c>
      <c r="AA192" s="128">
        <f t="shared" si="48"/>
        <v>187.10600000000005</v>
      </c>
      <c r="AB192" s="128">
        <f t="shared" si="48"/>
        <v>187.10600000000005</v>
      </c>
      <c r="AC192" s="128">
        <f t="shared" si="48"/>
        <v>187.10600000000005</v>
      </c>
      <c r="AD192" s="128">
        <f t="shared" si="48"/>
        <v>187.10600000000005</v>
      </c>
      <c r="AE192" s="128">
        <f t="shared" si="48"/>
        <v>187.10600000000005</v>
      </c>
      <c r="AF192" s="128">
        <f t="shared" si="48"/>
        <v>187.10600000000005</v>
      </c>
      <c r="AG192" s="129">
        <f t="shared" si="48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9">AF194</f>
        <v>0.3</v>
      </c>
      <c r="C194" s="130">
        <v>0.3</v>
      </c>
      <c r="D194" s="130">
        <f t="shared" ref="D194:S199" si="50">C194</f>
        <v>0.3</v>
      </c>
      <c r="E194" s="130">
        <f t="shared" si="50"/>
        <v>0.3</v>
      </c>
      <c r="F194" s="130">
        <f t="shared" si="50"/>
        <v>0.3</v>
      </c>
      <c r="G194" s="130">
        <f t="shared" si="50"/>
        <v>0.3</v>
      </c>
      <c r="H194" s="130">
        <f t="shared" si="50"/>
        <v>0.3</v>
      </c>
      <c r="I194" s="130">
        <f t="shared" si="50"/>
        <v>0.3</v>
      </c>
      <c r="J194" s="130">
        <f t="shared" si="50"/>
        <v>0.3</v>
      </c>
      <c r="K194" s="130">
        <f t="shared" si="50"/>
        <v>0.3</v>
      </c>
      <c r="L194" s="130">
        <f t="shared" si="50"/>
        <v>0.3</v>
      </c>
      <c r="M194" s="130">
        <f t="shared" si="50"/>
        <v>0.3</v>
      </c>
      <c r="N194" s="130">
        <f t="shared" si="50"/>
        <v>0.3</v>
      </c>
      <c r="O194" s="130">
        <f t="shared" si="50"/>
        <v>0.3</v>
      </c>
      <c r="P194" s="130">
        <f t="shared" si="50"/>
        <v>0.3</v>
      </c>
      <c r="Q194" s="130">
        <f t="shared" si="50"/>
        <v>0.3</v>
      </c>
      <c r="R194" s="130">
        <f t="shared" si="50"/>
        <v>0.3</v>
      </c>
      <c r="S194" s="130">
        <f t="shared" si="50"/>
        <v>0.3</v>
      </c>
      <c r="T194" s="130">
        <f t="shared" ref="T194:AF199" si="51">S194</f>
        <v>0.3</v>
      </c>
      <c r="U194" s="130">
        <f t="shared" si="51"/>
        <v>0.3</v>
      </c>
      <c r="V194" s="130">
        <f t="shared" si="51"/>
        <v>0.3</v>
      </c>
      <c r="W194" s="130">
        <f t="shared" si="51"/>
        <v>0.3</v>
      </c>
      <c r="X194" s="130">
        <f t="shared" si="51"/>
        <v>0.3</v>
      </c>
      <c r="Y194" s="130">
        <f t="shared" si="51"/>
        <v>0.3</v>
      </c>
      <c r="Z194" s="130">
        <f t="shared" si="51"/>
        <v>0.3</v>
      </c>
      <c r="AA194" s="130">
        <f t="shared" si="51"/>
        <v>0.3</v>
      </c>
      <c r="AB194" s="130">
        <f t="shared" si="51"/>
        <v>0.3</v>
      </c>
      <c r="AC194" s="130">
        <f t="shared" si="51"/>
        <v>0.3</v>
      </c>
      <c r="AD194" s="130">
        <f t="shared" si="51"/>
        <v>0.3</v>
      </c>
      <c r="AE194" s="130">
        <f t="shared" si="51"/>
        <v>0.3</v>
      </c>
      <c r="AF194" s="130">
        <f t="shared" si="51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9"/>
        <v>0.4</v>
      </c>
      <c r="C195" s="123">
        <v>0.4</v>
      </c>
      <c r="D195" s="123">
        <f t="shared" si="50"/>
        <v>0.4</v>
      </c>
      <c r="E195" s="123">
        <f t="shared" si="50"/>
        <v>0.4</v>
      </c>
      <c r="F195" s="123">
        <f t="shared" si="50"/>
        <v>0.4</v>
      </c>
      <c r="G195" s="123">
        <f t="shared" si="50"/>
        <v>0.4</v>
      </c>
      <c r="H195" s="123">
        <f t="shared" si="50"/>
        <v>0.4</v>
      </c>
      <c r="I195" s="123">
        <f t="shared" si="50"/>
        <v>0.4</v>
      </c>
      <c r="J195" s="123">
        <f t="shared" si="50"/>
        <v>0.4</v>
      </c>
      <c r="K195" s="123">
        <f t="shared" si="50"/>
        <v>0.4</v>
      </c>
      <c r="L195" s="123">
        <f t="shared" si="50"/>
        <v>0.4</v>
      </c>
      <c r="M195" s="123">
        <f t="shared" si="50"/>
        <v>0.4</v>
      </c>
      <c r="N195" s="123">
        <f t="shared" si="50"/>
        <v>0.4</v>
      </c>
      <c r="O195" s="123">
        <f t="shared" si="50"/>
        <v>0.4</v>
      </c>
      <c r="P195" s="123">
        <f t="shared" si="50"/>
        <v>0.4</v>
      </c>
      <c r="Q195" s="123">
        <f t="shared" si="50"/>
        <v>0.4</v>
      </c>
      <c r="R195" s="123">
        <f t="shared" si="50"/>
        <v>0.4</v>
      </c>
      <c r="S195" s="123">
        <f t="shared" si="50"/>
        <v>0.4</v>
      </c>
      <c r="T195" s="123">
        <f t="shared" si="51"/>
        <v>0.4</v>
      </c>
      <c r="U195" s="123">
        <f t="shared" si="51"/>
        <v>0.4</v>
      </c>
      <c r="V195" s="123">
        <f t="shared" si="51"/>
        <v>0.4</v>
      </c>
      <c r="W195" s="123">
        <f>V195</f>
        <v>0.4</v>
      </c>
      <c r="X195" s="123">
        <f>W195</f>
        <v>0.4</v>
      </c>
      <c r="Y195" s="123">
        <f t="shared" si="51"/>
        <v>0.4</v>
      </c>
      <c r="Z195" s="123">
        <f t="shared" si="51"/>
        <v>0.4</v>
      </c>
      <c r="AA195" s="123">
        <f t="shared" si="51"/>
        <v>0.4</v>
      </c>
      <c r="AB195" s="123">
        <f t="shared" si="51"/>
        <v>0.4</v>
      </c>
      <c r="AC195" s="123">
        <f t="shared" si="51"/>
        <v>0.4</v>
      </c>
      <c r="AD195" s="123">
        <f t="shared" si="51"/>
        <v>0.4</v>
      </c>
      <c r="AE195" s="123">
        <f t="shared" si="51"/>
        <v>0.4</v>
      </c>
      <c r="AF195" s="123">
        <f t="shared" si="51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9"/>
        <v>1.5</v>
      </c>
      <c r="C196" s="123">
        <v>1.5</v>
      </c>
      <c r="D196" s="123">
        <f t="shared" si="50"/>
        <v>1.5</v>
      </c>
      <c r="E196" s="123">
        <f t="shared" si="50"/>
        <v>1.5</v>
      </c>
      <c r="F196" s="123">
        <f t="shared" si="50"/>
        <v>1.5</v>
      </c>
      <c r="G196" s="123">
        <f t="shared" si="50"/>
        <v>1.5</v>
      </c>
      <c r="H196" s="123">
        <f t="shared" si="50"/>
        <v>1.5</v>
      </c>
      <c r="I196" s="123">
        <f t="shared" si="50"/>
        <v>1.5</v>
      </c>
      <c r="J196" s="123">
        <f t="shared" si="50"/>
        <v>1.5</v>
      </c>
      <c r="K196" s="123">
        <f t="shared" si="50"/>
        <v>1.5</v>
      </c>
      <c r="L196" s="123">
        <f t="shared" si="50"/>
        <v>1.5</v>
      </c>
      <c r="M196" s="123">
        <f t="shared" si="50"/>
        <v>1.5</v>
      </c>
      <c r="N196" s="123">
        <f t="shared" si="50"/>
        <v>1.5</v>
      </c>
      <c r="O196" s="123">
        <f t="shared" si="50"/>
        <v>1.5</v>
      </c>
      <c r="P196" s="123">
        <f t="shared" si="50"/>
        <v>1.5</v>
      </c>
      <c r="Q196" s="123">
        <f t="shared" si="50"/>
        <v>1.5</v>
      </c>
      <c r="R196" s="123">
        <f t="shared" si="50"/>
        <v>1.5</v>
      </c>
      <c r="S196" s="123">
        <f t="shared" si="50"/>
        <v>1.5</v>
      </c>
      <c r="T196" s="123">
        <f t="shared" si="51"/>
        <v>1.5</v>
      </c>
      <c r="U196" s="123">
        <f t="shared" si="51"/>
        <v>1.5</v>
      </c>
      <c r="V196" s="123">
        <f t="shared" si="51"/>
        <v>1.5</v>
      </c>
      <c r="W196" s="123">
        <f t="shared" si="51"/>
        <v>1.5</v>
      </c>
      <c r="X196" s="123">
        <f t="shared" si="51"/>
        <v>1.5</v>
      </c>
      <c r="Y196" s="123">
        <f t="shared" si="51"/>
        <v>1.5</v>
      </c>
      <c r="Z196" s="123">
        <f t="shared" si="51"/>
        <v>1.5</v>
      </c>
      <c r="AA196" s="123">
        <f t="shared" si="51"/>
        <v>1.5</v>
      </c>
      <c r="AB196" s="123">
        <f t="shared" si="51"/>
        <v>1.5</v>
      </c>
      <c r="AC196" s="123">
        <f t="shared" si="51"/>
        <v>1.5</v>
      </c>
      <c r="AD196" s="123">
        <f t="shared" si="51"/>
        <v>1.5</v>
      </c>
      <c r="AE196" s="123">
        <f t="shared" si="51"/>
        <v>1.5</v>
      </c>
      <c r="AF196" s="123">
        <f t="shared" si="51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9"/>
        <v>0.3</v>
      </c>
      <c r="C197" s="123">
        <v>0.3</v>
      </c>
      <c r="D197" s="123">
        <f t="shared" si="50"/>
        <v>0.3</v>
      </c>
      <c r="E197" s="123">
        <f t="shared" si="50"/>
        <v>0.3</v>
      </c>
      <c r="F197" s="123">
        <f t="shared" si="50"/>
        <v>0.3</v>
      </c>
      <c r="G197" s="123">
        <f t="shared" si="50"/>
        <v>0.3</v>
      </c>
      <c r="H197" s="123">
        <f t="shared" si="50"/>
        <v>0.3</v>
      </c>
      <c r="I197" s="123">
        <f t="shared" si="50"/>
        <v>0.3</v>
      </c>
      <c r="J197" s="123">
        <f t="shared" si="50"/>
        <v>0.3</v>
      </c>
      <c r="K197" s="123">
        <f t="shared" si="50"/>
        <v>0.3</v>
      </c>
      <c r="L197" s="123">
        <f t="shared" si="50"/>
        <v>0.3</v>
      </c>
      <c r="M197" s="123">
        <f t="shared" si="50"/>
        <v>0.3</v>
      </c>
      <c r="N197" s="123">
        <f t="shared" si="50"/>
        <v>0.3</v>
      </c>
      <c r="O197" s="123">
        <f t="shared" si="50"/>
        <v>0.3</v>
      </c>
      <c r="P197" s="123">
        <f t="shared" si="50"/>
        <v>0.3</v>
      </c>
      <c r="Q197" s="123">
        <f t="shared" si="50"/>
        <v>0.3</v>
      </c>
      <c r="R197" s="123">
        <f t="shared" si="50"/>
        <v>0.3</v>
      </c>
      <c r="S197" s="123">
        <f t="shared" si="50"/>
        <v>0.3</v>
      </c>
      <c r="T197" s="123">
        <f t="shared" si="51"/>
        <v>0.3</v>
      </c>
      <c r="U197" s="123">
        <f t="shared" si="51"/>
        <v>0.3</v>
      </c>
      <c r="V197" s="123">
        <f t="shared" si="51"/>
        <v>0.3</v>
      </c>
      <c r="W197" s="123">
        <f t="shared" si="51"/>
        <v>0.3</v>
      </c>
      <c r="X197" s="123">
        <f t="shared" si="51"/>
        <v>0.3</v>
      </c>
      <c r="Y197" s="123">
        <f t="shared" si="51"/>
        <v>0.3</v>
      </c>
      <c r="Z197" s="123">
        <f t="shared" si="51"/>
        <v>0.3</v>
      </c>
      <c r="AA197" s="123">
        <f t="shared" si="51"/>
        <v>0.3</v>
      </c>
      <c r="AB197" s="123">
        <f t="shared" si="51"/>
        <v>0.3</v>
      </c>
      <c r="AC197" s="123">
        <f t="shared" si="51"/>
        <v>0.3</v>
      </c>
      <c r="AD197" s="123">
        <f t="shared" si="51"/>
        <v>0.3</v>
      </c>
      <c r="AE197" s="123">
        <f t="shared" si="51"/>
        <v>0.3</v>
      </c>
      <c r="AF197" s="123">
        <f t="shared" si="51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9"/>
        <v>0.4</v>
      </c>
      <c r="C198" s="123">
        <v>0.4</v>
      </c>
      <c r="D198" s="123">
        <f t="shared" si="50"/>
        <v>0.4</v>
      </c>
      <c r="E198" s="123">
        <f t="shared" si="50"/>
        <v>0.4</v>
      </c>
      <c r="F198" s="123">
        <f t="shared" si="50"/>
        <v>0.4</v>
      </c>
      <c r="G198" s="123">
        <f t="shared" si="50"/>
        <v>0.4</v>
      </c>
      <c r="H198" s="123">
        <f t="shared" si="50"/>
        <v>0.4</v>
      </c>
      <c r="I198" s="123">
        <f t="shared" si="50"/>
        <v>0.4</v>
      </c>
      <c r="J198" s="123">
        <f t="shared" si="50"/>
        <v>0.4</v>
      </c>
      <c r="K198" s="123">
        <f t="shared" si="50"/>
        <v>0.4</v>
      </c>
      <c r="L198" s="123">
        <f t="shared" si="50"/>
        <v>0.4</v>
      </c>
      <c r="M198" s="123">
        <f t="shared" si="50"/>
        <v>0.4</v>
      </c>
      <c r="N198" s="123">
        <f t="shared" si="50"/>
        <v>0.4</v>
      </c>
      <c r="O198" s="123">
        <f t="shared" si="50"/>
        <v>0.4</v>
      </c>
      <c r="P198" s="123">
        <f t="shared" si="50"/>
        <v>0.4</v>
      </c>
      <c r="Q198" s="123">
        <f t="shared" si="50"/>
        <v>0.4</v>
      </c>
      <c r="R198" s="123">
        <f t="shared" si="50"/>
        <v>0.4</v>
      </c>
      <c r="S198" s="123">
        <f t="shared" si="50"/>
        <v>0.4</v>
      </c>
      <c r="T198" s="123">
        <f t="shared" si="51"/>
        <v>0.4</v>
      </c>
      <c r="U198" s="123">
        <f t="shared" si="51"/>
        <v>0.4</v>
      </c>
      <c r="V198" s="123">
        <f t="shared" si="51"/>
        <v>0.4</v>
      </c>
      <c r="W198" s="123">
        <f t="shared" si="51"/>
        <v>0.4</v>
      </c>
      <c r="X198" s="123">
        <f t="shared" si="51"/>
        <v>0.4</v>
      </c>
      <c r="Y198" s="123">
        <f t="shared" si="51"/>
        <v>0.4</v>
      </c>
      <c r="Z198" s="123">
        <f t="shared" si="51"/>
        <v>0.4</v>
      </c>
      <c r="AA198" s="123">
        <f t="shared" si="51"/>
        <v>0.4</v>
      </c>
      <c r="AB198" s="123">
        <f t="shared" si="51"/>
        <v>0.4</v>
      </c>
      <c r="AC198" s="123">
        <f t="shared" si="51"/>
        <v>0.4</v>
      </c>
      <c r="AD198" s="123">
        <f t="shared" si="51"/>
        <v>0.4</v>
      </c>
      <c r="AE198" s="123">
        <f t="shared" si="51"/>
        <v>0.4</v>
      </c>
      <c r="AF198" s="123">
        <f t="shared" si="51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9"/>
        <v>0.64</v>
      </c>
      <c r="C199" s="133">
        <v>0.64</v>
      </c>
      <c r="D199" s="133">
        <f t="shared" si="50"/>
        <v>0.64</v>
      </c>
      <c r="E199" s="133">
        <f t="shared" si="50"/>
        <v>0.64</v>
      </c>
      <c r="F199" s="133">
        <f t="shared" si="50"/>
        <v>0.64</v>
      </c>
      <c r="G199" s="133">
        <f t="shared" si="50"/>
        <v>0.64</v>
      </c>
      <c r="H199" s="133">
        <f t="shared" si="50"/>
        <v>0.64</v>
      </c>
      <c r="I199" s="133">
        <f t="shared" si="50"/>
        <v>0.64</v>
      </c>
      <c r="J199" s="133">
        <f t="shared" si="50"/>
        <v>0.64</v>
      </c>
      <c r="K199" s="133">
        <f t="shared" si="50"/>
        <v>0.64</v>
      </c>
      <c r="L199" s="133">
        <f t="shared" si="50"/>
        <v>0.64</v>
      </c>
      <c r="M199" s="133">
        <f t="shared" si="50"/>
        <v>0.64</v>
      </c>
      <c r="N199" s="133">
        <f t="shared" si="50"/>
        <v>0.64</v>
      </c>
      <c r="O199" s="133">
        <f t="shared" si="50"/>
        <v>0.64</v>
      </c>
      <c r="P199" s="133">
        <f t="shared" si="50"/>
        <v>0.64</v>
      </c>
      <c r="Q199" s="133">
        <f t="shared" si="50"/>
        <v>0.64</v>
      </c>
      <c r="R199" s="133">
        <f t="shared" si="50"/>
        <v>0.64</v>
      </c>
      <c r="S199" s="133">
        <f t="shared" si="50"/>
        <v>0.64</v>
      </c>
      <c r="T199" s="133">
        <f t="shared" si="51"/>
        <v>0.64</v>
      </c>
      <c r="U199" s="133">
        <f t="shared" si="51"/>
        <v>0.64</v>
      </c>
      <c r="V199" s="133">
        <f t="shared" si="51"/>
        <v>0.64</v>
      </c>
      <c r="W199" s="133">
        <f t="shared" si="51"/>
        <v>0.64</v>
      </c>
      <c r="X199" s="133">
        <f t="shared" si="51"/>
        <v>0.64</v>
      </c>
      <c r="Y199" s="133">
        <f t="shared" si="51"/>
        <v>0.64</v>
      </c>
      <c r="Z199" s="133">
        <f t="shared" si="51"/>
        <v>0.64</v>
      </c>
      <c r="AA199" s="133">
        <f t="shared" si="51"/>
        <v>0.64</v>
      </c>
      <c r="AB199" s="133">
        <f t="shared" si="51"/>
        <v>0.64</v>
      </c>
      <c r="AC199" s="133">
        <f t="shared" si="51"/>
        <v>0.64</v>
      </c>
      <c r="AD199" s="133">
        <f t="shared" si="51"/>
        <v>0.64</v>
      </c>
      <c r="AE199" s="133">
        <f t="shared" si="51"/>
        <v>0.64</v>
      </c>
      <c r="AF199" s="133">
        <f t="shared" si="51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2">SUM(D194:D199)</f>
        <v>3.54</v>
      </c>
      <c r="E200" s="136">
        <f t="shared" si="52"/>
        <v>3.54</v>
      </c>
      <c r="F200" s="136">
        <f t="shared" si="52"/>
        <v>3.54</v>
      </c>
      <c r="G200" s="136">
        <f t="shared" si="52"/>
        <v>3.54</v>
      </c>
      <c r="H200" s="136">
        <f t="shared" si="52"/>
        <v>3.54</v>
      </c>
      <c r="I200" s="136">
        <f t="shared" si="52"/>
        <v>3.54</v>
      </c>
      <c r="J200" s="136">
        <f t="shared" si="52"/>
        <v>3.54</v>
      </c>
      <c r="K200" s="136">
        <f t="shared" si="52"/>
        <v>3.54</v>
      </c>
      <c r="L200" s="136">
        <f t="shared" si="52"/>
        <v>3.54</v>
      </c>
      <c r="M200" s="136">
        <f>SUM(M194:M199)</f>
        <v>3.54</v>
      </c>
      <c r="N200" s="136">
        <f t="shared" ref="N200:S200" si="53">SUM(N194:N199)</f>
        <v>3.54</v>
      </c>
      <c r="O200" s="136">
        <f t="shared" si="53"/>
        <v>3.54</v>
      </c>
      <c r="P200" s="136">
        <f t="shared" si="53"/>
        <v>3.54</v>
      </c>
      <c r="Q200" s="136">
        <f t="shared" si="53"/>
        <v>3.54</v>
      </c>
      <c r="R200" s="136">
        <f t="shared" si="53"/>
        <v>3.54</v>
      </c>
      <c r="S200" s="136">
        <f t="shared" si="53"/>
        <v>3.54</v>
      </c>
      <c r="T200" s="136">
        <f>SUM(T194:T199)</f>
        <v>3.54</v>
      </c>
      <c r="U200" s="136">
        <f t="shared" ref="U200:AG200" si="54">SUM(U194:U199)</f>
        <v>3.54</v>
      </c>
      <c r="V200" s="136">
        <f t="shared" si="54"/>
        <v>3.54</v>
      </c>
      <c r="W200" s="136">
        <f t="shared" si="54"/>
        <v>3.54</v>
      </c>
      <c r="X200" s="136">
        <f t="shared" si="54"/>
        <v>3.54</v>
      </c>
      <c r="Y200" s="136">
        <f t="shared" si="54"/>
        <v>3.54</v>
      </c>
      <c r="Z200" s="136">
        <f t="shared" si="54"/>
        <v>3.54</v>
      </c>
      <c r="AA200" s="136">
        <f t="shared" si="54"/>
        <v>3.54</v>
      </c>
      <c r="AB200" s="136">
        <f t="shared" si="54"/>
        <v>3.54</v>
      </c>
      <c r="AC200" s="136">
        <f t="shared" si="54"/>
        <v>3.54</v>
      </c>
      <c r="AD200" s="136">
        <f t="shared" si="54"/>
        <v>3.54</v>
      </c>
      <c r="AE200" s="136">
        <f t="shared" si="54"/>
        <v>3.54</v>
      </c>
      <c r="AF200" s="136">
        <f t="shared" si="54"/>
        <v>3.54</v>
      </c>
      <c r="AG200" s="137">
        <f t="shared" si="54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1387.74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23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2079/02/23)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2079/02/23)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5">B75</f>
        <v>1264.7400000000002</v>
      </c>
      <c r="U214" s="161">
        <f t="shared" si="55"/>
        <v>1314.64</v>
      </c>
      <c r="V214" s="161">
        <f t="shared" si="55"/>
        <v>1308.2400000000002</v>
      </c>
      <c r="W214" s="161">
        <f t="shared" si="55"/>
        <v>1267.3200000000002</v>
      </c>
      <c r="X214" s="161">
        <f t="shared" si="55"/>
        <v>1261.3400000000001</v>
      </c>
      <c r="Y214" s="161">
        <f t="shared" si="55"/>
        <v>1251.24</v>
      </c>
      <c r="Z214" s="161">
        <f t="shared" si="55"/>
        <v>1248.94</v>
      </c>
      <c r="AA214" s="161">
        <f t="shared" si="55"/>
        <v>1218.04</v>
      </c>
      <c r="AB214" s="161">
        <f t="shared" si="55"/>
        <v>1265.3499999999999</v>
      </c>
      <c r="AC214" s="161">
        <f t="shared" si="55"/>
        <v>1322.64</v>
      </c>
      <c r="AD214" s="161">
        <f t="shared" si="55"/>
        <v>1354.96</v>
      </c>
      <c r="AE214" s="161">
        <f t="shared" si="55"/>
        <v>1387.74</v>
      </c>
      <c r="AF214" s="161">
        <f t="shared" si="55"/>
        <v>1383.3000000000002</v>
      </c>
      <c r="AG214" s="161">
        <f t="shared" si="55"/>
        <v>1407.3400000000001</v>
      </c>
      <c r="AH214" s="161">
        <f t="shared" si="55"/>
        <v>1426.34</v>
      </c>
      <c r="AI214" s="161">
        <f t="shared" si="55"/>
        <v>1435.6400000000003</v>
      </c>
      <c r="AJ214" s="161">
        <f t="shared" si="55"/>
        <v>1416.0400000000004</v>
      </c>
      <c r="AK214" s="161">
        <f t="shared" si="55"/>
        <v>1438.64</v>
      </c>
      <c r="AL214" s="161">
        <f t="shared" si="55"/>
        <v>1424.64</v>
      </c>
      <c r="AM214" s="161">
        <f t="shared" si="55"/>
        <v>1427.2400000000002</v>
      </c>
      <c r="AN214" s="161">
        <f t="shared" si="55"/>
        <v>621.14</v>
      </c>
      <c r="AO214" s="161">
        <f t="shared" si="55"/>
        <v>1394.1399999999999</v>
      </c>
      <c r="AP214" s="161">
        <f t="shared" si="55"/>
        <v>1348.74</v>
      </c>
      <c r="AQ214" s="161">
        <f t="shared" si="55"/>
        <v>1356.74</v>
      </c>
      <c r="AR214" s="161">
        <f t="shared" si="55"/>
        <v>1422.7400000000002</v>
      </c>
      <c r="AS214" s="161">
        <f t="shared" si="55"/>
        <v>1466.7400000000002</v>
      </c>
      <c r="AT214" s="161">
        <f t="shared" si="55"/>
        <v>1516.14</v>
      </c>
      <c r="AU214" s="161">
        <f t="shared" si="55"/>
        <v>1498.5400000000002</v>
      </c>
      <c r="AV214" s="161">
        <f t="shared" si="55"/>
        <v>1488.5400000000002</v>
      </c>
      <c r="AW214" s="161">
        <f t="shared" si="55"/>
        <v>1388.0400000000002</v>
      </c>
      <c r="AX214" s="161">
        <f t="shared" si="55"/>
        <v>1342.3400000000001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6">C199</f>
        <v>0.64</v>
      </c>
      <c r="C235" s="164">
        <f t="shared" si="56"/>
        <v>0.64</v>
      </c>
      <c r="D235" s="164">
        <f t="shared" si="56"/>
        <v>0.64</v>
      </c>
      <c r="E235" s="164">
        <f t="shared" si="56"/>
        <v>0.64</v>
      </c>
      <c r="F235" s="164">
        <f t="shared" si="56"/>
        <v>0.64</v>
      </c>
      <c r="G235" s="164">
        <f t="shared" si="56"/>
        <v>0.64</v>
      </c>
      <c r="H235" s="164">
        <f t="shared" si="56"/>
        <v>0.64</v>
      </c>
      <c r="I235" s="164">
        <f t="shared" si="56"/>
        <v>0.64</v>
      </c>
      <c r="J235" s="164">
        <f t="shared" si="56"/>
        <v>0.64</v>
      </c>
      <c r="K235" s="164">
        <f t="shared" si="56"/>
        <v>0.64</v>
      </c>
      <c r="L235" s="164">
        <f t="shared" si="56"/>
        <v>0.64</v>
      </c>
      <c r="M235" s="164">
        <f t="shared" si="56"/>
        <v>0.64</v>
      </c>
      <c r="N235" s="164">
        <f t="shared" si="56"/>
        <v>0.64</v>
      </c>
      <c r="O235" s="164">
        <f t="shared" si="56"/>
        <v>0.64</v>
      </c>
      <c r="P235" s="164">
        <f t="shared" si="56"/>
        <v>0.64</v>
      </c>
      <c r="Q235" s="164">
        <f t="shared" si="56"/>
        <v>0.64</v>
      </c>
      <c r="R235" s="164">
        <f t="shared" si="56"/>
        <v>0.64</v>
      </c>
      <c r="S235" s="164">
        <f t="shared" si="56"/>
        <v>0.64</v>
      </c>
      <c r="T235" s="164">
        <f t="shared" si="56"/>
        <v>0.64</v>
      </c>
      <c r="U235" s="164">
        <f t="shared" si="56"/>
        <v>0.64</v>
      </c>
      <c r="V235" s="164">
        <f t="shared" si="56"/>
        <v>0.64</v>
      </c>
      <c r="W235" s="164">
        <f t="shared" si="56"/>
        <v>0.64</v>
      </c>
      <c r="X235" s="164">
        <f t="shared" si="56"/>
        <v>0.64</v>
      </c>
      <c r="Y235" s="164">
        <f t="shared" si="56"/>
        <v>0.64</v>
      </c>
      <c r="Z235" s="164">
        <f t="shared" si="56"/>
        <v>0.64</v>
      </c>
      <c r="AA235" s="164">
        <f t="shared" si="56"/>
        <v>0.64</v>
      </c>
      <c r="AB235" s="164">
        <f t="shared" si="56"/>
        <v>0.64</v>
      </c>
      <c r="AC235" s="164">
        <f t="shared" si="56"/>
        <v>0.64</v>
      </c>
      <c r="AD235" s="164">
        <f t="shared" si="56"/>
        <v>0.64</v>
      </c>
      <c r="AE235" s="164">
        <f t="shared" si="56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7">IF(C203&lt;100,"",C203-520)</f>
        <v/>
      </c>
      <c r="D236" s="107" t="str">
        <f t="shared" si="57"/>
        <v/>
      </c>
      <c r="E236" s="107" t="str">
        <f t="shared" si="57"/>
        <v/>
      </c>
      <c r="F236" s="107" t="str">
        <f t="shared" si="57"/>
        <v/>
      </c>
      <c r="G236" s="107" t="str">
        <f t="shared" si="57"/>
        <v/>
      </c>
      <c r="H236" s="107" t="str">
        <f t="shared" si="57"/>
        <v/>
      </c>
      <c r="I236" s="107" t="str">
        <f t="shared" si="57"/>
        <v/>
      </c>
      <c r="J236" s="107" t="str">
        <f t="shared" si="57"/>
        <v/>
      </c>
      <c r="K236" s="107" t="str">
        <f t="shared" si="57"/>
        <v/>
      </c>
      <c r="L236" s="107" t="str">
        <f t="shared" si="57"/>
        <v/>
      </c>
      <c r="M236" s="107" t="str">
        <f t="shared" si="57"/>
        <v/>
      </c>
      <c r="N236" s="107" t="str">
        <f t="shared" si="57"/>
        <v/>
      </c>
      <c r="O236" s="107" t="str">
        <f t="shared" si="57"/>
        <v/>
      </c>
      <c r="P236" s="107" t="str">
        <f t="shared" si="57"/>
        <v/>
      </c>
      <c r="Q236" s="107" t="str">
        <f t="shared" si="57"/>
        <v/>
      </c>
      <c r="R236" s="107" t="str">
        <f t="shared" si="57"/>
        <v/>
      </c>
      <c r="S236" s="107" t="str">
        <f t="shared" si="57"/>
        <v/>
      </c>
      <c r="T236" s="107" t="str">
        <f t="shared" si="57"/>
        <v/>
      </c>
      <c r="U236" s="107" t="str">
        <f t="shared" si="57"/>
        <v/>
      </c>
      <c r="V236" s="107" t="str">
        <f t="shared" si="57"/>
        <v/>
      </c>
      <c r="W236" s="107" t="str">
        <f t="shared" si="57"/>
        <v/>
      </c>
      <c r="X236" s="107" t="str">
        <f t="shared" si="57"/>
        <v/>
      </c>
      <c r="Y236" s="107" t="str">
        <f t="shared" si="57"/>
        <v/>
      </c>
      <c r="Z236" s="107" t="str">
        <f t="shared" si="57"/>
        <v/>
      </c>
      <c r="AA236" s="107" t="str">
        <f t="shared" si="57"/>
        <v/>
      </c>
      <c r="AB236" s="107" t="str">
        <f t="shared" si="57"/>
        <v/>
      </c>
      <c r="AC236" s="107" t="str">
        <f t="shared" si="57"/>
        <v/>
      </c>
      <c r="AD236" s="107" t="str">
        <f t="shared" si="57"/>
        <v/>
      </c>
      <c r="AE236" s="107" t="str">
        <f t="shared" si="57"/>
        <v/>
      </c>
      <c r="AF236" s="107" t="str">
        <f t="shared" si="57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8">IF(B204&lt;100,"",B204-620)</f>
        <v/>
      </c>
      <c r="C237" s="107" t="str">
        <f t="shared" si="58"/>
        <v/>
      </c>
      <c r="D237" s="107" t="str">
        <f t="shared" si="58"/>
        <v/>
      </c>
      <c r="E237" s="107" t="str">
        <f t="shared" si="58"/>
        <v/>
      </c>
      <c r="F237" s="107" t="str">
        <f t="shared" si="58"/>
        <v/>
      </c>
      <c r="G237" s="107" t="str">
        <f t="shared" si="58"/>
        <v/>
      </c>
      <c r="H237" s="107" t="str">
        <f t="shared" si="58"/>
        <v/>
      </c>
      <c r="I237" s="107" t="str">
        <f t="shared" si="58"/>
        <v/>
      </c>
      <c r="J237" s="107" t="str">
        <f t="shared" si="58"/>
        <v/>
      </c>
      <c r="K237" s="107" t="str">
        <f t="shared" si="58"/>
        <v/>
      </c>
      <c r="L237" s="107" t="str">
        <f t="shared" si="58"/>
        <v/>
      </c>
      <c r="M237" s="107" t="str">
        <f t="shared" si="58"/>
        <v/>
      </c>
      <c r="N237" s="107" t="str">
        <f t="shared" si="58"/>
        <v/>
      </c>
      <c r="O237" s="107" t="str">
        <f t="shared" si="58"/>
        <v/>
      </c>
      <c r="P237" s="107" t="str">
        <f t="shared" si="58"/>
        <v/>
      </c>
      <c r="Q237" s="107" t="str">
        <f t="shared" si="58"/>
        <v/>
      </c>
      <c r="R237" s="107" t="str">
        <f t="shared" si="58"/>
        <v/>
      </c>
      <c r="S237" s="107" t="str">
        <f t="shared" si="58"/>
        <v/>
      </c>
      <c r="T237" s="107" t="str">
        <f t="shared" si="58"/>
        <v/>
      </c>
      <c r="U237" s="107" t="str">
        <f t="shared" si="58"/>
        <v/>
      </c>
      <c r="V237" s="107" t="str">
        <f t="shared" si="58"/>
        <v/>
      </c>
      <c r="W237" s="107" t="str">
        <f t="shared" si="58"/>
        <v/>
      </c>
      <c r="X237" s="107" t="str">
        <f t="shared" si="58"/>
        <v/>
      </c>
      <c r="Y237" s="107" t="str">
        <f t="shared" si="58"/>
        <v/>
      </c>
      <c r="Z237" s="107" t="str">
        <f t="shared" si="58"/>
        <v/>
      </c>
      <c r="AA237" s="107" t="str">
        <f t="shared" si="58"/>
        <v/>
      </c>
      <c r="AB237" s="107" t="str">
        <f t="shared" si="58"/>
        <v/>
      </c>
      <c r="AC237" s="107" t="str">
        <f t="shared" si="58"/>
        <v/>
      </c>
      <c r="AD237" s="107" t="str">
        <f t="shared" si="58"/>
        <v/>
      </c>
      <c r="AE237" s="107" t="str">
        <f t="shared" si="58"/>
        <v/>
      </c>
      <c r="AF237" s="107" t="str">
        <f t="shared" si="58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9">IF(B205&lt;100,"",B205-330)</f>
        <v/>
      </c>
      <c r="C238" s="107" t="str">
        <f t="shared" si="59"/>
        <v/>
      </c>
      <c r="D238" s="107" t="str">
        <f t="shared" si="59"/>
        <v/>
      </c>
      <c r="E238" s="107" t="str">
        <f t="shared" si="59"/>
        <v/>
      </c>
      <c r="F238" s="107" t="str">
        <f t="shared" si="59"/>
        <v/>
      </c>
      <c r="G238" s="107" t="str">
        <f t="shared" si="59"/>
        <v/>
      </c>
      <c r="H238" s="107" t="str">
        <f t="shared" si="59"/>
        <v/>
      </c>
      <c r="I238" s="107" t="str">
        <f t="shared" si="59"/>
        <v/>
      </c>
      <c r="J238" s="107" t="str">
        <f t="shared" si="59"/>
        <v/>
      </c>
      <c r="K238" s="107" t="str">
        <f t="shared" si="59"/>
        <v/>
      </c>
      <c r="L238" s="107" t="str">
        <f t="shared" si="59"/>
        <v/>
      </c>
      <c r="M238" s="107" t="str">
        <f t="shared" si="59"/>
        <v/>
      </c>
      <c r="N238" s="107" t="str">
        <f t="shared" si="59"/>
        <v/>
      </c>
      <c r="O238" s="107" t="str">
        <f t="shared" si="59"/>
        <v/>
      </c>
      <c r="P238" s="107" t="str">
        <f t="shared" si="59"/>
        <v/>
      </c>
      <c r="Q238" s="107" t="str">
        <f t="shared" si="59"/>
        <v/>
      </c>
      <c r="R238" s="107" t="str">
        <f t="shared" si="59"/>
        <v/>
      </c>
      <c r="S238" s="107" t="str">
        <f t="shared" si="59"/>
        <v/>
      </c>
      <c r="T238" s="107" t="str">
        <f t="shared" si="59"/>
        <v/>
      </c>
      <c r="U238" s="107" t="str">
        <f t="shared" si="59"/>
        <v/>
      </c>
      <c r="V238" s="107" t="str">
        <f t="shared" si="59"/>
        <v/>
      </c>
      <c r="W238" s="107" t="str">
        <f t="shared" si="59"/>
        <v/>
      </c>
      <c r="X238" s="107" t="str">
        <f t="shared" si="59"/>
        <v/>
      </c>
      <c r="Y238" s="107" t="str">
        <f t="shared" si="59"/>
        <v/>
      </c>
      <c r="Z238" s="107" t="str">
        <f t="shared" si="59"/>
        <v/>
      </c>
      <c r="AA238" s="107" t="str">
        <f t="shared" si="59"/>
        <v/>
      </c>
      <c r="AB238" s="107" t="str">
        <f t="shared" si="59"/>
        <v/>
      </c>
      <c r="AC238" s="107" t="str">
        <f t="shared" si="59"/>
        <v/>
      </c>
      <c r="AD238" s="107" t="str">
        <f t="shared" si="59"/>
        <v/>
      </c>
      <c r="AE238" s="107" t="str">
        <f t="shared" si="59"/>
        <v/>
      </c>
      <c r="AF238" s="107" t="str">
        <f t="shared" si="59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0">IF(C206&lt;100,"",C206-1500)</f>
        <v/>
      </c>
      <c r="D239" s="107" t="str">
        <f t="shared" si="60"/>
        <v/>
      </c>
      <c r="E239" s="107" t="str">
        <f t="shared" si="60"/>
        <v/>
      </c>
      <c r="F239" s="107" t="str">
        <f t="shared" si="60"/>
        <v/>
      </c>
      <c r="G239" s="107" t="str">
        <f t="shared" si="60"/>
        <v/>
      </c>
      <c r="H239" s="107" t="str">
        <f t="shared" si="60"/>
        <v/>
      </c>
      <c r="I239" s="107" t="str">
        <f t="shared" si="60"/>
        <v/>
      </c>
      <c r="J239" s="107" t="str">
        <f t="shared" si="60"/>
        <v/>
      </c>
      <c r="K239" s="107" t="str">
        <f t="shared" si="60"/>
        <v/>
      </c>
      <c r="L239" s="107" t="str">
        <f t="shared" si="60"/>
        <v/>
      </c>
      <c r="M239" s="107" t="str">
        <f t="shared" si="60"/>
        <v/>
      </c>
      <c r="N239" s="107" t="str">
        <f t="shared" si="60"/>
        <v/>
      </c>
      <c r="O239" s="107" t="str">
        <f t="shared" si="60"/>
        <v/>
      </c>
      <c r="P239" s="107" t="str">
        <f t="shared" si="60"/>
        <v/>
      </c>
      <c r="Q239" s="107" t="str">
        <f t="shared" si="60"/>
        <v/>
      </c>
      <c r="R239" s="107" t="str">
        <f t="shared" si="60"/>
        <v/>
      </c>
      <c r="S239" s="107" t="str">
        <f t="shared" si="60"/>
        <v/>
      </c>
      <c r="T239" s="107" t="str">
        <f t="shared" si="60"/>
        <v/>
      </c>
      <c r="U239" s="107" t="str">
        <f t="shared" si="60"/>
        <v/>
      </c>
      <c r="V239" s="107" t="str">
        <f t="shared" si="60"/>
        <v/>
      </c>
      <c r="W239" s="107" t="str">
        <f t="shared" si="60"/>
        <v/>
      </c>
      <c r="X239" s="107" t="str">
        <f t="shared" si="60"/>
        <v/>
      </c>
      <c r="Y239" s="107" t="str">
        <f t="shared" si="60"/>
        <v/>
      </c>
      <c r="Z239" s="107" t="str">
        <f t="shared" si="60"/>
        <v/>
      </c>
      <c r="AA239" s="107" t="str">
        <f t="shared" si="60"/>
        <v/>
      </c>
      <c r="AB239" s="107" t="str">
        <f t="shared" si="60"/>
        <v/>
      </c>
      <c r="AC239" s="107" t="str">
        <f t="shared" si="60"/>
        <v/>
      </c>
      <c r="AD239" s="107" t="str">
        <f t="shared" si="60"/>
        <v/>
      </c>
      <c r="AE239" s="107" t="str">
        <f t="shared" si="60"/>
        <v/>
      </c>
      <c r="AF239" s="107" t="str">
        <f t="shared" si="60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V11:AF11 J74:AF74">
    <cfRule type="expression" dxfId="1836" priority="202">
      <formula>B$9&gt;=20/24</formula>
    </cfRule>
    <cfRule type="expression" dxfId="1835" priority="203">
      <formula>AND(B$9&gt;=14/24,B$9&lt;20/24)</formula>
    </cfRule>
    <cfRule type="expression" dxfId="1834" priority="204">
      <formula>AND(B$9&gt;=8/24,B$9&lt;14/24)</formula>
    </cfRule>
    <cfRule type="expression" dxfId="1833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G51 J11:AF11">
    <cfRule type="expression" dxfId="1832" priority="196">
      <formula>J11&gt;$AG11</formula>
    </cfRule>
  </conditionalFormatting>
  <conditionalFormatting sqref="A101:A157 A84:A97 A11:A14 A16:A32 A45:A72 A80:A82 A74:A78 A35:A43 A170:A200">
    <cfRule type="expression" dxfId="1831" priority="195">
      <formula>$AH11=0</formula>
    </cfRule>
  </conditionalFormatting>
  <conditionalFormatting sqref="A98">
    <cfRule type="expression" dxfId="1830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829" priority="192">
      <formula>$AH34=0</formula>
    </cfRule>
  </conditionalFormatting>
  <conditionalFormatting sqref="A83">
    <cfRule type="expression" dxfId="1828" priority="191">
      <formula>$AH83=0</formula>
    </cfRule>
  </conditionalFormatting>
  <conditionalFormatting sqref="A15">
    <cfRule type="expression" dxfId="1827" priority="190">
      <formula>$AH15=0</formula>
    </cfRule>
  </conditionalFormatting>
  <conditionalFormatting sqref="A164:A169">
    <cfRule type="expression" dxfId="1826" priority="189">
      <formula>$AH164=0</formula>
    </cfRule>
  </conditionalFormatting>
  <conditionalFormatting sqref="A158:A163">
    <cfRule type="expression" dxfId="1825" priority="188">
      <formula>$AH158=0</formula>
    </cfRule>
  </conditionalFormatting>
  <conditionalFormatting sqref="A44">
    <cfRule type="expression" dxfId="1824" priority="187">
      <formula>$AH44=0</formula>
    </cfRule>
  </conditionalFormatting>
  <conditionalFormatting sqref="A79">
    <cfRule type="expression" dxfId="1823" priority="186">
      <formula>$AH79=0</formula>
    </cfRule>
  </conditionalFormatting>
  <conditionalFormatting sqref="A73">
    <cfRule type="expression" dxfId="1822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821" priority="181">
      <formula>C$9&gt;=20/24</formula>
    </cfRule>
    <cfRule type="expression" dxfId="1820" priority="182">
      <formula>AND(C$9&gt;=14/24,C$9&lt;20/24)</formula>
    </cfRule>
    <cfRule type="expression" dxfId="1819" priority="183">
      <formula>AND(C$9&gt;=8/24,C$9&lt;14/24)</formula>
    </cfRule>
    <cfRule type="expression" dxfId="1818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17" priority="209">
      <formula>C$9&gt;=20/24</formula>
    </cfRule>
    <cfRule type="expression" dxfId="1816" priority="210">
      <formula>AND(C$9&gt;=14/24,C$9&lt;20/24)</formula>
    </cfRule>
    <cfRule type="expression" dxfId="1815" priority="211">
      <formula>AND(C$9&gt;=8/24,C$9&lt;14/24)</formula>
    </cfRule>
    <cfRule type="expression" dxfId="1814" priority="212">
      <formula>C$9&lt;8/24</formula>
    </cfRule>
  </conditionalFormatting>
  <conditionalFormatting sqref="A201">
    <cfRule type="expression" dxfId="1813" priority="213">
      <formula>$AH201=0</formula>
    </cfRule>
  </conditionalFormatting>
  <conditionalFormatting sqref="AG213">
    <cfRule type="expression" dxfId="1812" priority="214">
      <formula>B$9&gt;=20/24</formula>
    </cfRule>
    <cfRule type="expression" dxfId="1811" priority="215">
      <formula>AND(B$9&gt;=14/24,B$9&lt;20/24)</formula>
    </cfRule>
    <cfRule type="expression" dxfId="1810" priority="216">
      <formula>AND(B$9&gt;=8/24,B$9&lt;14/24)</formula>
    </cfRule>
    <cfRule type="expression" dxfId="1809" priority="217">
      <formula>B$9&lt;8/24</formula>
    </cfRule>
  </conditionalFormatting>
  <conditionalFormatting sqref="S8">
    <cfRule type="expression" dxfId="1808" priority="175">
      <formula>U$9&gt;=20/24</formula>
    </cfRule>
    <cfRule type="expression" dxfId="1807" priority="176">
      <formula>AND(U$9&gt;=14/24,U$9&lt;20/24)</formula>
    </cfRule>
    <cfRule type="expression" dxfId="1806" priority="177">
      <formula>AND(U$9&gt;=8/24,U$9&lt;14/24)</formula>
    </cfRule>
    <cfRule type="expression" dxfId="1805" priority="178">
      <formula>U$9&lt;8/24</formula>
    </cfRule>
  </conditionalFormatting>
  <conditionalFormatting sqref="AB8">
    <cfRule type="expression" dxfId="1804" priority="171">
      <formula>AD$9&gt;=20/24</formula>
    </cfRule>
    <cfRule type="expression" dxfId="1803" priority="172">
      <formula>AND(AD$9&gt;=14/24,AD$9&lt;20/24)</formula>
    </cfRule>
    <cfRule type="expression" dxfId="1802" priority="173">
      <formula>AND(AD$9&gt;=8/24,AD$9&lt;14/24)</formula>
    </cfRule>
    <cfRule type="expression" dxfId="1801" priority="174">
      <formula>AD$9&lt;8/24</formula>
    </cfRule>
  </conditionalFormatting>
  <conditionalFormatting sqref="AH213:AX213">
    <cfRule type="expression" dxfId="1800" priority="218">
      <formula>AG$9&gt;=20/24</formula>
    </cfRule>
    <cfRule type="expression" dxfId="1799" priority="219">
      <formula>AND(AG$9&gt;=14/24,AG$9&lt;20/24)</formula>
    </cfRule>
    <cfRule type="expression" dxfId="1798" priority="220">
      <formula>AND(AG$9&gt;=8/24,AG$9&lt;14/24)</formula>
    </cfRule>
    <cfRule type="expression" dxfId="1797" priority="221">
      <formula>AG$9&lt;8/24</formula>
    </cfRule>
  </conditionalFormatting>
  <conditionalFormatting sqref="T213">
    <cfRule type="expression" dxfId="1796" priority="222">
      <formula>AX$9&gt;=20/24</formula>
    </cfRule>
    <cfRule type="expression" dxfId="1795" priority="223">
      <formula>AND(AX$9&gt;=14/24,AX$9&lt;20/24)</formula>
    </cfRule>
    <cfRule type="expression" dxfId="1794" priority="224">
      <formula>AND(AX$9&gt;=8/24,AX$9&lt;14/24)</formula>
    </cfRule>
    <cfRule type="expression" dxfId="1793" priority="225">
      <formula>AX$9&lt;8/24</formula>
    </cfRule>
  </conditionalFormatting>
  <conditionalFormatting sqref="A99:A100">
    <cfRule type="expression" dxfId="1792" priority="170">
      <formula>$AH99=0</formula>
    </cfRule>
  </conditionalFormatting>
  <conditionalFormatting sqref="E11:I11 E40:L41 E57:AF57 V40:AF41">
    <cfRule type="expression" dxfId="1791" priority="166">
      <formula>E$9&gt;=20/24</formula>
    </cfRule>
    <cfRule type="expression" dxfId="1790" priority="167">
      <formula>AND(E$9&gt;=14/24,E$9&lt;20/24)</formula>
    </cfRule>
    <cfRule type="expression" dxfId="1789" priority="168">
      <formula>AND(E$9&gt;=8/24,E$9&lt;14/24)</formula>
    </cfRule>
    <cfRule type="expression" dxfId="1788" priority="169">
      <formula>E$9&lt;8/24</formula>
    </cfRule>
  </conditionalFormatting>
  <conditionalFormatting sqref="E39:L39 V39:AF39">
    <cfRule type="expression" dxfId="1787" priority="162">
      <formula>E$9&gt;=20/24</formula>
    </cfRule>
    <cfRule type="expression" dxfId="1786" priority="163">
      <formula>AND(E$9&gt;=14/24,E$9&lt;20/24)</formula>
    </cfRule>
    <cfRule type="expression" dxfId="1785" priority="164">
      <formula>AND(E$9&gt;=8/24,E$9&lt;14/24)</formula>
    </cfRule>
    <cfRule type="expression" dxfId="1784" priority="165">
      <formula>E$9&lt;8/24</formula>
    </cfRule>
  </conditionalFormatting>
  <conditionalFormatting sqref="E11:I11 E39:L41 V39:AF41">
    <cfRule type="expression" dxfId="1783" priority="161">
      <formula>E11&gt;$AG11</formula>
    </cfRule>
  </conditionalFormatting>
  <conditionalFormatting sqref="M11:R11 C83:AF83 C75:AF81 C68:AF73 L12:N12 M13:N13 E60:O62 O12:U13 N14:U14 E58:U59 P60:AC67 C53:AF56 C85:AF91 V12:AF14 N36:AF36 V58:AF67">
    <cfRule type="expression" dxfId="1782" priority="157">
      <formula>C$9&gt;=20/24</formula>
    </cfRule>
    <cfRule type="expression" dxfId="1781" priority="158">
      <formula>AND(C$9&gt;=14/24,C$9&lt;20/24)</formula>
    </cfRule>
    <cfRule type="expression" dxfId="1780" priority="159">
      <formula>AND(C$9&gt;=8/24,C$9&lt;14/24)</formula>
    </cfRule>
    <cfRule type="expression" dxfId="1779" priority="160">
      <formula>C$9&lt;8/24</formula>
    </cfRule>
  </conditionalFormatting>
  <conditionalFormatting sqref="E42:G42 M11:R11 C37:R37 C38:AF38 L12:N12 G43 M13:N13 H42:L44 N14:N15 M43:M44 N36:R36 N44:Q44 C51:AF56 O12:AF15 S36:AF37">
    <cfRule type="expression" dxfId="1778" priority="148">
      <formula>C11&gt;$AG11</formula>
    </cfRule>
  </conditionalFormatting>
  <conditionalFormatting sqref="N15:AF15">
    <cfRule type="expression" dxfId="1777" priority="140">
      <formula>N$9&gt;=20/24</formula>
    </cfRule>
    <cfRule type="expression" dxfId="1776" priority="141">
      <formula>AND(N$9&gt;=14/24,N$9&lt;20/24)</formula>
    </cfRule>
    <cfRule type="expression" dxfId="1775" priority="142">
      <formula>AND(N$9&gt;=8/24,N$9&lt;14/24)</formula>
    </cfRule>
    <cfRule type="expression" dxfId="1774" priority="143">
      <formula>N$9&lt;8/24</formula>
    </cfRule>
  </conditionalFormatting>
  <conditionalFormatting sqref="S11:U11">
    <cfRule type="expression" dxfId="1773" priority="131">
      <formula>S$9&gt;=20/24</formula>
    </cfRule>
    <cfRule type="expression" dxfId="1772" priority="132">
      <formula>AND(S$9&gt;=14/24,S$9&lt;20/24)</formula>
    </cfRule>
    <cfRule type="expression" dxfId="1771" priority="133">
      <formula>AND(S$9&gt;=8/24,S$9&lt;14/24)</formula>
    </cfRule>
    <cfRule type="expression" dxfId="1770" priority="134">
      <formula>S$9&lt;8/24</formula>
    </cfRule>
  </conditionalFormatting>
  <conditionalFormatting sqref="V42:AF43">
    <cfRule type="expression" dxfId="1769" priority="127">
      <formula>V$9&gt;=20/24</formula>
    </cfRule>
    <cfRule type="expression" dxfId="1768" priority="128">
      <formula>AND(V$9&gt;=14/24,V$9&lt;20/24)</formula>
    </cfRule>
    <cfRule type="expression" dxfId="1767" priority="129">
      <formula>AND(V$9&gt;=8/24,V$9&lt;14/24)</formula>
    </cfRule>
    <cfRule type="expression" dxfId="1766" priority="130">
      <formula>V$9&lt;8/24</formula>
    </cfRule>
  </conditionalFormatting>
  <conditionalFormatting sqref="V42:AF43">
    <cfRule type="expression" dxfId="1765" priority="126">
      <formula>V42&gt;$AG42</formula>
    </cfRule>
  </conditionalFormatting>
  <conditionalFormatting sqref="M39:R42 R43:R44 N43:Q43 S39:U44 V44:AF50">
    <cfRule type="expression" dxfId="1764" priority="122">
      <formula>M$9&gt;=20/24</formula>
    </cfRule>
    <cfRule type="expression" dxfId="1763" priority="123">
      <formula>AND(M$9&gt;=14/24,M$9&lt;20/24)</formula>
    </cfRule>
    <cfRule type="expression" dxfId="1762" priority="124">
      <formula>AND(M$9&gt;=8/24,M$9&lt;14/24)</formula>
    </cfRule>
    <cfRule type="expression" dxfId="1761" priority="125">
      <formula>M$9&lt;8/24</formula>
    </cfRule>
  </conditionalFormatting>
  <conditionalFormatting sqref="M39:R42 R43:R44 N43:Q43 S39:U44 V44:AF50">
    <cfRule type="expression" dxfId="1760" priority="121">
      <formula>M39&gt;$AG39</formula>
    </cfRule>
  </conditionalFormatting>
  <conditionalFormatting sqref="C74:I74">
    <cfRule type="expression" dxfId="1759" priority="113">
      <formula>C$9&gt;=20/24</formula>
    </cfRule>
    <cfRule type="expression" dxfId="1758" priority="114">
      <formula>AND(C$9&gt;=14/24,C$9&lt;20/24)</formula>
    </cfRule>
    <cfRule type="expression" dxfId="1757" priority="115">
      <formula>AND(C$9&gt;=8/24,C$9&lt;14/24)</formula>
    </cfRule>
    <cfRule type="expression" dxfId="1756" priority="116">
      <formula>C$9&lt;8/24</formula>
    </cfRule>
  </conditionalFormatting>
  <conditionalFormatting sqref="H45:U45">
    <cfRule type="expression" dxfId="1755" priority="73">
      <formula>H$9&gt;=20/24</formula>
    </cfRule>
    <cfRule type="expression" dxfId="1754" priority="74">
      <formula>AND(H$9&gt;=14/24,H$9&lt;20/24)</formula>
    </cfRule>
    <cfRule type="expression" dxfId="1753" priority="75">
      <formula>AND(H$9&gt;=8/24,H$9&lt;14/24)</formula>
    </cfRule>
    <cfRule type="expression" dxfId="1752" priority="76">
      <formula>H$9&lt;8/24</formula>
    </cfRule>
  </conditionalFormatting>
  <conditionalFormatting sqref="H45:U45">
    <cfRule type="expression" dxfId="1751" priority="72">
      <formula>H45&gt;$AG45</formula>
    </cfRule>
  </conditionalFormatting>
  <conditionalFormatting sqref="B82 B74 B94:B100 B11:D11">
    <cfRule type="expression" dxfId="1750" priority="59">
      <formula>B$9&gt;=20/24</formula>
    </cfRule>
    <cfRule type="expression" dxfId="1749" priority="60">
      <formula>AND(B$9&gt;=14/24,B$9&lt;20/24)</formula>
    </cfRule>
    <cfRule type="expression" dxfId="1748" priority="61">
      <formula>AND(B$9&gt;=8/24,B$9&lt;14/24)</formula>
    </cfRule>
    <cfRule type="expression" dxfId="1747" priority="62">
      <formula>B$9&lt;8/24</formula>
    </cfRule>
  </conditionalFormatting>
  <conditionalFormatting sqref="B37">
    <cfRule type="expression" dxfId="1746" priority="55">
      <formula>B$9&gt;=20/24</formula>
    </cfRule>
    <cfRule type="expression" dxfId="1745" priority="56">
      <formula>AND(B$9&gt;=14/24,B$9&lt;20/24)</formula>
    </cfRule>
    <cfRule type="expression" dxfId="1744" priority="57">
      <formula>AND(B$9&gt;=8/24,B$9&lt;14/24)</formula>
    </cfRule>
    <cfRule type="expression" dxfId="1743" priority="58">
      <formula>B$9&lt;8/24</formula>
    </cfRule>
  </conditionalFormatting>
  <conditionalFormatting sqref="B37 B11:D11">
    <cfRule type="expression" dxfId="1742" priority="54">
      <formula>B11&gt;$AG11</formula>
    </cfRule>
  </conditionalFormatting>
  <conditionalFormatting sqref="B84">
    <cfRule type="expression" dxfId="1741" priority="50">
      <formula>B$9&gt;=20/24</formula>
    </cfRule>
    <cfRule type="expression" dxfId="1740" priority="51">
      <formula>AND(B$9&gt;=14/24,B$9&lt;20/24)</formula>
    </cfRule>
    <cfRule type="expression" dxfId="1739" priority="52">
      <formula>AND(B$9&gt;=8/24,B$9&lt;14/24)</formula>
    </cfRule>
    <cfRule type="expression" dxfId="1738" priority="53">
      <formula>B$9&lt;8/24</formula>
    </cfRule>
  </conditionalFormatting>
  <conditionalFormatting sqref="B40:D41 B57:D57 B36:M36">
    <cfRule type="expression" dxfId="1737" priority="46">
      <formula>B$9&gt;=20/24</formula>
    </cfRule>
    <cfRule type="expression" dxfId="1736" priority="47">
      <formula>AND(B$9&gt;=14/24,B$9&lt;20/24)</formula>
    </cfRule>
    <cfRule type="expression" dxfId="1735" priority="48">
      <formula>AND(B$9&gt;=8/24,B$9&lt;14/24)</formula>
    </cfRule>
    <cfRule type="expression" dxfId="1734" priority="49">
      <formula>B$9&lt;8/24</formula>
    </cfRule>
  </conditionalFormatting>
  <conditionalFormatting sqref="B39:D39">
    <cfRule type="expression" dxfId="1733" priority="42">
      <formula>B$9&gt;=20/24</formula>
    </cfRule>
    <cfRule type="expression" dxfId="1732" priority="43">
      <formula>AND(B$9&gt;=14/24,B$9&lt;20/24)</formula>
    </cfRule>
    <cfRule type="expression" dxfId="1731" priority="44">
      <formula>AND(B$9&gt;=8/24,B$9&lt;14/24)</formula>
    </cfRule>
    <cfRule type="expression" dxfId="1730" priority="45">
      <formula>B$9&lt;8/24</formula>
    </cfRule>
  </conditionalFormatting>
  <conditionalFormatting sqref="B39:D41 B36:M36">
    <cfRule type="expression" dxfId="1729" priority="41">
      <formula>B36&gt;$AG36</formula>
    </cfRule>
  </conditionalFormatting>
  <conditionalFormatting sqref="B83 B75:B81 B85:B91 B53:B56 C61:D67 B61:B73 B58:D60 B12:K14 L13:L14 M14 E63:O67 B18:AF22 B24:AF26 B16:AF16 B28:AF31">
    <cfRule type="expression" dxfId="1728" priority="37">
      <formula>B$9&gt;=20/24</formula>
    </cfRule>
    <cfRule type="expression" dxfId="1727" priority="38">
      <formula>AND(B$9&gt;=14/24,B$9&lt;20/24)</formula>
    </cfRule>
    <cfRule type="expression" dxfId="1726" priority="39">
      <formula>AND(B$9&gt;=8/24,B$9&lt;14/24)</formula>
    </cfRule>
    <cfRule type="expression" dxfId="1725" priority="40">
      <formula>B$9&lt;8/24</formula>
    </cfRule>
  </conditionalFormatting>
  <conditionalFormatting sqref="B32:AF32">
    <cfRule type="expression" dxfId="1724" priority="33">
      <formula>B$9&gt;=20/24</formula>
    </cfRule>
    <cfRule type="expression" dxfId="1723" priority="34">
      <formula>AND(B$9&gt;=14/24,B$9&lt;20/24)</formula>
    </cfRule>
    <cfRule type="expression" dxfId="1722" priority="35">
      <formula>AND(B$9&gt;=8/24,B$9&lt;14/24)</formula>
    </cfRule>
    <cfRule type="expression" dxfId="1721" priority="36">
      <formula>B$9&lt;8/24</formula>
    </cfRule>
  </conditionalFormatting>
  <conditionalFormatting sqref="B35:AF35">
    <cfRule type="expression" dxfId="1720" priority="29">
      <formula>B$9&gt;=20/24</formula>
    </cfRule>
    <cfRule type="expression" dxfId="1719" priority="30">
      <formula>AND(B$9&gt;=14/24,B$9&lt;20/24)</formula>
    </cfRule>
    <cfRule type="expression" dxfId="1718" priority="31">
      <formula>AND(B$9&gt;=8/24,B$9&lt;14/24)</formula>
    </cfRule>
    <cfRule type="expression" dxfId="1717" priority="32">
      <formula>B$9&lt;8/24</formula>
    </cfRule>
  </conditionalFormatting>
  <conditionalFormatting sqref="B38 B51:B56 B42:D43 E43:F43 B12:K16 L13:L16 M14:M16 B34:AF35 B18:AF22 N16:AF16 B24:AF32">
    <cfRule type="expression" dxfId="1716" priority="28">
      <formula>B12&gt;$AG12</formula>
    </cfRule>
  </conditionalFormatting>
  <conditionalFormatting sqref="B34:AF34">
    <cfRule type="expression" dxfId="1715" priority="24">
      <formula>B$9&gt;=20/24</formula>
    </cfRule>
    <cfRule type="expression" dxfId="1714" priority="25">
      <formula>AND(B$9&gt;=14/24,B$9&lt;20/24)</formula>
    </cfRule>
    <cfRule type="expression" dxfId="1713" priority="26">
      <formula>AND(B$9&gt;=8/24,B$9&lt;14/24)</formula>
    </cfRule>
    <cfRule type="expression" dxfId="1712" priority="27">
      <formula>B$9&lt;8/24</formula>
    </cfRule>
  </conditionalFormatting>
  <conditionalFormatting sqref="B15:M15">
    <cfRule type="expression" dxfId="1711" priority="20">
      <formula>B$9&gt;=20/24</formula>
    </cfRule>
    <cfRule type="expression" dxfId="1710" priority="21">
      <formula>AND(B$9&gt;=14/24,B$9&lt;20/24)</formula>
    </cfRule>
    <cfRule type="expression" dxfId="1709" priority="22">
      <formula>AND(B$9&gt;=8/24,B$9&lt;14/24)</formula>
    </cfRule>
    <cfRule type="expression" dxfId="1708" priority="23">
      <formula>B$9&lt;8/24</formula>
    </cfRule>
  </conditionalFormatting>
  <conditionalFormatting sqref="B33:AF33">
    <cfRule type="expression" dxfId="1707" priority="16">
      <formula>B$9&gt;=20/24</formula>
    </cfRule>
    <cfRule type="expression" dxfId="1706" priority="17">
      <formula>AND(B$9&gt;=14/24,B$9&lt;20/24)</formula>
    </cfRule>
    <cfRule type="expression" dxfId="1705" priority="18">
      <formula>AND(B$9&gt;=8/24,B$9&lt;14/24)</formula>
    </cfRule>
    <cfRule type="expression" dxfId="1704" priority="19">
      <formula>B$9&lt;8/24</formula>
    </cfRule>
  </conditionalFormatting>
  <conditionalFormatting sqref="B33:AF33">
    <cfRule type="expression" dxfId="1703" priority="15">
      <formula>B33&gt;$AG33</formula>
    </cfRule>
  </conditionalFormatting>
  <conditionalFormatting sqref="B44:G50 H46:U50">
    <cfRule type="expression" dxfId="1702" priority="11">
      <formula>B$9&gt;=20/24</formula>
    </cfRule>
    <cfRule type="expression" dxfId="1701" priority="12">
      <formula>AND(B$9&gt;=14/24,B$9&lt;20/24)</formula>
    </cfRule>
    <cfRule type="expression" dxfId="1700" priority="13">
      <formula>AND(B$9&gt;=8/24,B$9&lt;14/24)</formula>
    </cfRule>
    <cfRule type="expression" dxfId="1699" priority="14">
      <formula>B$9&lt;8/24</formula>
    </cfRule>
  </conditionalFormatting>
  <conditionalFormatting sqref="B44:G50 H46:U50">
    <cfRule type="expression" dxfId="1698" priority="10">
      <formula>B44&gt;$AG44</formula>
    </cfRule>
  </conditionalFormatting>
  <conditionalFormatting sqref="B27:AF27">
    <cfRule type="expression" dxfId="1697" priority="6">
      <formula>B$9&gt;=20/24</formula>
    </cfRule>
    <cfRule type="expression" dxfId="1696" priority="7">
      <formula>AND(B$9&gt;=14/24,B$9&lt;20/24)</formula>
    </cfRule>
    <cfRule type="expression" dxfId="1695" priority="8">
      <formula>AND(B$9&gt;=8/24,B$9&lt;14/24)</formula>
    </cfRule>
    <cfRule type="expression" dxfId="1694" priority="9">
      <formula>B$9&lt;8/24</formula>
    </cfRule>
  </conditionalFormatting>
  <conditionalFormatting sqref="B17:AF17 B23:AF23">
    <cfRule type="expression" dxfId="1693" priority="2">
      <formula>B$9&gt;=20/24</formula>
    </cfRule>
    <cfRule type="expression" dxfId="1692" priority="3">
      <formula>AND(B$9&gt;=14/24,B$9&lt;20/24)</formula>
    </cfRule>
    <cfRule type="expression" dxfId="1691" priority="4">
      <formula>AND(B$9&gt;=8/24,B$9&lt;14/24)</formula>
    </cfRule>
    <cfRule type="expression" dxfId="1690" priority="5">
      <formula>B$9&lt;8/24</formula>
    </cfRule>
  </conditionalFormatting>
  <conditionalFormatting sqref="B17:AF17 B23:AF23">
    <cfRule type="expression" dxfId="1689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940B678C-C77C-41C1-9767-45E2CD9DFE2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2079/02/24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-135</v>
      </c>
      <c r="C5" s="32">
        <f t="shared" si="0"/>
        <v>-183.4</v>
      </c>
      <c r="D5" s="32">
        <f t="shared" si="0"/>
        <v>-127.4</v>
      </c>
      <c r="E5" s="32">
        <f t="shared" si="0"/>
        <v>-110</v>
      </c>
      <c r="F5" s="32">
        <f t="shared" si="0"/>
        <v>-111.30000000000001</v>
      </c>
      <c r="G5" s="32">
        <f t="shared" si="0"/>
        <v>-98.1</v>
      </c>
      <c r="H5" s="32">
        <f t="shared" si="0"/>
        <v>-99.25</v>
      </c>
      <c r="I5" s="32">
        <f t="shared" si="0"/>
        <v>-105.50999999999999</v>
      </c>
      <c r="J5" s="32">
        <f t="shared" si="0"/>
        <v>-102</v>
      </c>
      <c r="K5" s="32">
        <f t="shared" si="0"/>
        <v>-116</v>
      </c>
      <c r="L5" s="32">
        <f t="shared" si="0"/>
        <v>-84</v>
      </c>
      <c r="M5" s="32">
        <f t="shared" si="0"/>
        <v>-102.14</v>
      </c>
      <c r="N5" s="32">
        <f t="shared" si="0"/>
        <v>-100.9</v>
      </c>
      <c r="O5" s="32">
        <f t="shared" si="0"/>
        <v>-145</v>
      </c>
      <c r="P5" s="32">
        <f t="shared" si="0"/>
        <v>-94.9</v>
      </c>
      <c r="Q5" s="32">
        <f t="shared" si="0"/>
        <v>-103.2</v>
      </c>
      <c r="R5" s="32">
        <f t="shared" si="0"/>
        <v>-101.6</v>
      </c>
      <c r="S5" s="32">
        <f t="shared" si="0"/>
        <v>-107.5</v>
      </c>
      <c r="T5" s="32">
        <f t="shared" si="0"/>
        <v>-117.5</v>
      </c>
      <c r="U5" s="32">
        <f t="shared" si="0"/>
        <v>-117.5</v>
      </c>
      <c r="V5" s="32">
        <f t="shared" si="0"/>
        <v>-117.5</v>
      </c>
      <c r="W5" s="32">
        <f t="shared" si="0"/>
        <v>-111.5</v>
      </c>
      <c r="X5" s="32">
        <f t="shared" si="0"/>
        <v>-109.5</v>
      </c>
      <c r="Y5" s="32">
        <f t="shared" si="0"/>
        <v>-122.5</v>
      </c>
      <c r="Z5" s="32">
        <f t="shared" si="0"/>
        <v>-112.5</v>
      </c>
      <c r="AA5" s="32">
        <f t="shared" si="0"/>
        <v>-131.30000000000001</v>
      </c>
      <c r="AB5" s="32">
        <f t="shared" si="0"/>
        <v>-128.5</v>
      </c>
      <c r="AC5" s="32">
        <f t="shared" si="0"/>
        <v>-178.5</v>
      </c>
      <c r="AD5" s="32">
        <f t="shared" si="0"/>
        <v>-170.6</v>
      </c>
      <c r="AE5" s="32">
        <f t="shared" si="0"/>
        <v>-216</v>
      </c>
      <c r="AF5" s="32">
        <f>B68</f>
        <v>-95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1429MW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Load=1281</v>
      </c>
      <c r="B7" s="37">
        <f>B75</f>
        <v>1394.94</v>
      </c>
      <c r="C7" s="37">
        <f t="shared" ref="C7:AF7" si="1">C75</f>
        <v>1378.14</v>
      </c>
      <c r="D7" s="37">
        <f t="shared" si="1"/>
        <v>1330.8400000000001</v>
      </c>
      <c r="E7" s="37">
        <f t="shared" si="1"/>
        <v>1332.94</v>
      </c>
      <c r="F7" s="37">
        <f t="shared" si="1"/>
        <v>1292.7400000000002</v>
      </c>
      <c r="G7" s="37">
        <f t="shared" si="1"/>
        <v>1281.24</v>
      </c>
      <c r="H7" s="37">
        <f t="shared" si="1"/>
        <v>1290.54</v>
      </c>
      <c r="I7" s="37">
        <f t="shared" si="1"/>
        <v>1300.9900000000002</v>
      </c>
      <c r="J7" s="37">
        <f t="shared" si="1"/>
        <v>1339.8500000000001</v>
      </c>
      <c r="K7" s="37">
        <f t="shared" si="1"/>
        <v>1419.46</v>
      </c>
      <c r="L7" s="37">
        <f t="shared" si="1"/>
        <v>1429.46</v>
      </c>
      <c r="M7" s="37">
        <f t="shared" si="1"/>
        <v>1427.16</v>
      </c>
      <c r="N7" s="37">
        <f t="shared" si="1"/>
        <v>1409.02</v>
      </c>
      <c r="O7" s="37">
        <f t="shared" si="1"/>
        <v>1461.96</v>
      </c>
      <c r="P7" s="37">
        <f t="shared" si="1"/>
        <v>1433.0600000000002</v>
      </c>
      <c r="Q7" s="37">
        <f t="shared" si="1"/>
        <v>1456.3600000000001</v>
      </c>
      <c r="R7" s="37">
        <f t="shared" si="1"/>
        <v>1492.7600000000002</v>
      </c>
      <c r="S7" s="37">
        <f t="shared" si="1"/>
        <v>1494.3600000000001</v>
      </c>
      <c r="T7" s="37">
        <f t="shared" si="1"/>
        <v>1487.5600000000002</v>
      </c>
      <c r="U7" s="37">
        <f t="shared" si="1"/>
        <v>1485.6399999999999</v>
      </c>
      <c r="V7" s="37">
        <f t="shared" si="1"/>
        <v>1395.24</v>
      </c>
      <c r="W7" s="37">
        <f t="shared" si="1"/>
        <v>1409.44</v>
      </c>
      <c r="X7" s="37">
        <f t="shared" si="1"/>
        <v>1412.6399999999999</v>
      </c>
      <c r="Y7" s="37">
        <f t="shared" si="1"/>
        <v>1505.54</v>
      </c>
      <c r="Z7" s="37">
        <f t="shared" si="1"/>
        <v>1515.54</v>
      </c>
      <c r="AA7" s="37">
        <f t="shared" si="1"/>
        <v>1558.8400000000001</v>
      </c>
      <c r="AB7" s="37">
        <f t="shared" si="1"/>
        <v>1542.7400000000002</v>
      </c>
      <c r="AC7" s="37">
        <f t="shared" si="1"/>
        <v>1539.84</v>
      </c>
      <c r="AD7" s="37">
        <f t="shared" si="1"/>
        <v>1503.74</v>
      </c>
      <c r="AE7" s="37">
        <f t="shared" si="1"/>
        <v>1462.2400000000002</v>
      </c>
      <c r="AF7" s="37">
        <f t="shared" si="1"/>
        <v>1376.8400000000001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380</v>
      </c>
      <c r="C11" s="50">
        <v>400</v>
      </c>
      <c r="D11" s="50">
        <v>400</v>
      </c>
      <c r="E11" s="50">
        <v>380</v>
      </c>
      <c r="F11" s="50">
        <v>350</v>
      </c>
      <c r="G11" s="50">
        <v>330</v>
      </c>
      <c r="H11" s="50">
        <v>266</v>
      </c>
      <c r="I11" s="51">
        <v>265</v>
      </c>
      <c r="J11" s="51">
        <v>276</v>
      </c>
      <c r="K11" s="51">
        <v>340</v>
      </c>
      <c r="L11" s="51">
        <v>350</v>
      </c>
      <c r="M11" s="51">
        <v>360</v>
      </c>
      <c r="N11" s="51">
        <v>360</v>
      </c>
      <c r="O11" s="51">
        <v>415</v>
      </c>
      <c r="P11" s="51">
        <v>415</v>
      </c>
      <c r="Q11" s="51">
        <v>380</v>
      </c>
      <c r="R11" s="51">
        <v>400</v>
      </c>
      <c r="S11" s="51">
        <v>400</v>
      </c>
      <c r="T11" s="49">
        <v>400</v>
      </c>
      <c r="U11" s="49">
        <v>410</v>
      </c>
      <c r="V11" s="49">
        <v>410</v>
      </c>
      <c r="W11" s="49">
        <v>410</v>
      </c>
      <c r="X11" s="49">
        <v>400</v>
      </c>
      <c r="Y11" s="49">
        <v>370</v>
      </c>
      <c r="Z11" s="49">
        <v>400</v>
      </c>
      <c r="AA11" s="49">
        <v>450</v>
      </c>
      <c r="AB11" s="49">
        <v>450</v>
      </c>
      <c r="AC11" s="49">
        <v>450.1</v>
      </c>
      <c r="AD11" s="49">
        <v>456</v>
      </c>
      <c r="AE11" s="49">
        <v>456</v>
      </c>
      <c r="AF11" s="49">
        <v>445</v>
      </c>
      <c r="AG11" s="53">
        <v>456</v>
      </c>
      <c r="AH11" s="54">
        <f>MAX(B11:AF11)</f>
        <v>456</v>
      </c>
      <c r="AI11" s="55">
        <f>MIN(B11:AF11)</f>
        <v>265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60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34.799999999999997</v>
      </c>
      <c r="C13" s="51">
        <v>40.5</v>
      </c>
      <c r="D13" s="51">
        <v>40.5</v>
      </c>
      <c r="E13" s="51">
        <v>40.5</v>
      </c>
      <c r="F13" s="51">
        <v>40.5</v>
      </c>
      <c r="G13" s="51">
        <v>40.5</v>
      </c>
      <c r="H13" s="51">
        <v>40.5</v>
      </c>
      <c r="I13" s="51">
        <v>40.5</v>
      </c>
      <c r="J13" s="51">
        <v>40.5</v>
      </c>
      <c r="K13" s="51">
        <v>34.5</v>
      </c>
      <c r="L13" s="51">
        <v>34.5</v>
      </c>
      <c r="M13" s="51">
        <v>34.5</v>
      </c>
      <c r="N13" s="51">
        <v>34.5</v>
      </c>
      <c r="O13" s="51">
        <v>34.5</v>
      </c>
      <c r="P13" s="51">
        <v>34.5</v>
      </c>
      <c r="Q13" s="51">
        <v>34.5</v>
      </c>
      <c r="R13" s="51">
        <v>34.5</v>
      </c>
      <c r="S13" s="51">
        <v>34.5</v>
      </c>
      <c r="T13" s="51">
        <v>34.5</v>
      </c>
      <c r="U13" s="51">
        <v>34.299999999999997</v>
      </c>
      <c r="V13" s="51">
        <v>34.299999999999997</v>
      </c>
      <c r="W13" s="51">
        <v>34.299999999999997</v>
      </c>
      <c r="X13" s="51">
        <v>34.299999999999997</v>
      </c>
      <c r="Y13" s="51">
        <v>34.299999999999997</v>
      </c>
      <c r="Z13" s="51">
        <v>34.299999999999997</v>
      </c>
      <c r="AA13" s="51">
        <v>34.299999999999997</v>
      </c>
      <c r="AB13" s="51">
        <v>37.700000000000003</v>
      </c>
      <c r="AC13" s="51">
        <v>37.700000000000003</v>
      </c>
      <c r="AD13" s="51">
        <v>37.700000000000003</v>
      </c>
      <c r="AE13" s="51">
        <v>37.700000000000003</v>
      </c>
      <c r="AF13" s="51">
        <v>37.700000000000003</v>
      </c>
      <c r="AG13" s="58">
        <v>52.4</v>
      </c>
      <c r="AH13" s="54">
        <f t="shared" si="2"/>
        <v>40.5</v>
      </c>
      <c r="AI13" s="55">
        <f t="shared" si="3"/>
        <v>34.299999999999997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50.6</v>
      </c>
      <c r="C14" s="51">
        <v>50.6</v>
      </c>
      <c r="D14" s="51">
        <v>50.6</v>
      </c>
      <c r="E14" s="51">
        <v>50.6</v>
      </c>
      <c r="F14" s="51">
        <v>50.6</v>
      </c>
      <c r="G14" s="51">
        <v>50.6</v>
      </c>
      <c r="H14" s="51">
        <v>50.6</v>
      </c>
      <c r="I14" s="51">
        <v>50.6</v>
      </c>
      <c r="J14" s="51">
        <v>50.6</v>
      </c>
      <c r="K14" s="51">
        <v>50.6</v>
      </c>
      <c r="L14" s="51">
        <v>50.6</v>
      </c>
      <c r="M14" s="51">
        <v>50.6</v>
      </c>
      <c r="N14" s="51">
        <v>50.6</v>
      </c>
      <c r="O14" s="51">
        <v>50.6</v>
      </c>
      <c r="P14" s="51">
        <v>50.6</v>
      </c>
      <c r="Q14" s="51">
        <v>50.6</v>
      </c>
      <c r="R14" s="51">
        <v>50.6</v>
      </c>
      <c r="S14" s="51">
        <v>50.6</v>
      </c>
      <c r="T14" s="51">
        <v>50.6</v>
      </c>
      <c r="U14" s="51">
        <v>50.5</v>
      </c>
      <c r="V14" s="51">
        <v>0</v>
      </c>
      <c r="W14" s="51">
        <v>0</v>
      </c>
      <c r="X14" s="51">
        <v>0</v>
      </c>
      <c r="Y14" s="51">
        <v>50.7</v>
      </c>
      <c r="Z14" s="51">
        <v>50.7</v>
      </c>
      <c r="AA14" s="51">
        <v>50.7</v>
      </c>
      <c r="AB14" s="51">
        <v>50.7</v>
      </c>
      <c r="AC14" s="51">
        <v>50.7</v>
      </c>
      <c r="AD14" s="51">
        <v>50.7</v>
      </c>
      <c r="AE14" s="51">
        <v>50.7</v>
      </c>
      <c r="AF14" s="51">
        <v>50.7</v>
      </c>
      <c r="AG14" s="58">
        <v>50</v>
      </c>
      <c r="AH14" s="54">
        <f t="shared" si="2"/>
        <v>50.7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45.5</v>
      </c>
      <c r="C15" s="51">
        <v>45.5</v>
      </c>
      <c r="D15" s="51">
        <v>45.5</v>
      </c>
      <c r="E15" s="51">
        <v>45.5</v>
      </c>
      <c r="F15" s="51">
        <v>45.5</v>
      </c>
      <c r="G15" s="51">
        <v>45.5</v>
      </c>
      <c r="H15" s="51">
        <v>45.5</v>
      </c>
      <c r="I15" s="51">
        <v>45.5</v>
      </c>
      <c r="J15" s="51">
        <v>45.5</v>
      </c>
      <c r="K15" s="51">
        <v>45.5</v>
      </c>
      <c r="L15" s="51">
        <v>45.5</v>
      </c>
      <c r="M15" s="51">
        <v>45.5</v>
      </c>
      <c r="N15" s="51">
        <v>45.5</v>
      </c>
      <c r="O15" s="51">
        <v>45.5</v>
      </c>
      <c r="P15" s="51">
        <v>45.5</v>
      </c>
      <c r="Q15" s="51">
        <v>45.5</v>
      </c>
      <c r="R15" s="51">
        <v>45.5</v>
      </c>
      <c r="S15" s="51">
        <v>45.5</v>
      </c>
      <c r="T15" s="51">
        <v>45.5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59">
        <v>45</v>
      </c>
      <c r="AH15" s="54">
        <f t="shared" si="2"/>
        <v>45.7</v>
      </c>
      <c r="AI15" s="55">
        <f t="shared" si="3"/>
        <v>45.5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32</v>
      </c>
      <c r="C16" s="51">
        <v>32</v>
      </c>
      <c r="D16" s="51">
        <v>32</v>
      </c>
      <c r="E16" s="51">
        <v>32</v>
      </c>
      <c r="F16" s="51">
        <v>32</v>
      </c>
      <c r="G16" s="51">
        <v>32</v>
      </c>
      <c r="H16" s="51">
        <v>32</v>
      </c>
      <c r="I16" s="51">
        <v>32</v>
      </c>
      <c r="J16" s="51">
        <v>32</v>
      </c>
      <c r="K16" s="51">
        <v>32</v>
      </c>
      <c r="L16" s="51">
        <v>32</v>
      </c>
      <c r="M16" s="51">
        <v>35</v>
      </c>
      <c r="N16" s="51">
        <v>35</v>
      </c>
      <c r="O16" s="51">
        <v>36</v>
      </c>
      <c r="P16" s="51">
        <v>36</v>
      </c>
      <c r="Q16" s="51">
        <v>32</v>
      </c>
      <c r="R16" s="51">
        <v>32</v>
      </c>
      <c r="S16" s="51">
        <v>32</v>
      </c>
      <c r="T16" s="51">
        <v>32</v>
      </c>
      <c r="U16" s="51">
        <v>32</v>
      </c>
      <c r="V16" s="51">
        <v>32</v>
      </c>
      <c r="W16" s="51">
        <v>32</v>
      </c>
      <c r="X16" s="51">
        <v>32</v>
      </c>
      <c r="Y16" s="51">
        <v>32</v>
      </c>
      <c r="Z16" s="51">
        <v>24</v>
      </c>
      <c r="AA16" s="51">
        <v>24</v>
      </c>
      <c r="AB16" s="51">
        <v>24</v>
      </c>
      <c r="AC16" s="51">
        <v>24</v>
      </c>
      <c r="AD16" s="51">
        <v>24</v>
      </c>
      <c r="AE16" s="51">
        <v>24</v>
      </c>
      <c r="AF16" s="51">
        <v>24</v>
      </c>
      <c r="AG16" s="58">
        <v>45</v>
      </c>
      <c r="AH16" s="54">
        <f t="shared" si="2"/>
        <v>36</v>
      </c>
      <c r="AI16" s="55">
        <f t="shared" si="3"/>
        <v>24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23.6</v>
      </c>
      <c r="C19" s="51">
        <v>23.6</v>
      </c>
      <c r="D19" s="51">
        <v>23.6</v>
      </c>
      <c r="E19" s="51">
        <v>23.6</v>
      </c>
      <c r="F19" s="51">
        <v>23.6</v>
      </c>
      <c r="G19" s="51">
        <v>23.6</v>
      </c>
      <c r="H19" s="51">
        <v>23.6</v>
      </c>
      <c r="I19" s="51">
        <v>23.6</v>
      </c>
      <c r="J19" s="51">
        <v>23.6</v>
      </c>
      <c r="K19" s="51">
        <v>23.6</v>
      </c>
      <c r="L19" s="51">
        <v>23.6</v>
      </c>
      <c r="M19" s="51">
        <v>23.6</v>
      </c>
      <c r="N19" s="51">
        <v>23.6</v>
      </c>
      <c r="O19" s="51">
        <v>23.6</v>
      </c>
      <c r="P19" s="51">
        <v>23.6</v>
      </c>
      <c r="Q19" s="51">
        <v>23.6</v>
      </c>
      <c r="R19" s="51">
        <v>23.6</v>
      </c>
      <c r="S19" s="51">
        <v>23.6</v>
      </c>
      <c r="T19" s="51">
        <v>23.6</v>
      </c>
      <c r="U19" s="51">
        <v>23</v>
      </c>
      <c r="V19" s="51">
        <v>23</v>
      </c>
      <c r="W19" s="51">
        <v>23</v>
      </c>
      <c r="X19" s="51">
        <v>23</v>
      </c>
      <c r="Y19" s="51">
        <v>23</v>
      </c>
      <c r="Z19" s="51">
        <v>23</v>
      </c>
      <c r="AA19" s="51">
        <v>23</v>
      </c>
      <c r="AB19" s="51">
        <v>23</v>
      </c>
      <c r="AC19" s="51">
        <v>23</v>
      </c>
      <c r="AD19" s="51">
        <v>23</v>
      </c>
      <c r="AE19" s="51">
        <v>23</v>
      </c>
      <c r="AF19" s="51">
        <v>23</v>
      </c>
      <c r="AG19" s="58">
        <v>30</v>
      </c>
      <c r="AH19" s="54">
        <f t="shared" si="2"/>
        <v>23.6</v>
      </c>
      <c r="AI19" s="55">
        <f t="shared" si="3"/>
        <v>23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>
        <v>10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10</v>
      </c>
      <c r="N20" s="51">
        <v>10</v>
      </c>
      <c r="O20" s="51">
        <v>10</v>
      </c>
      <c r="P20" s="51">
        <v>10</v>
      </c>
      <c r="Q20" s="51">
        <v>10</v>
      </c>
      <c r="R20" s="51">
        <v>10</v>
      </c>
      <c r="S20" s="51">
        <v>10</v>
      </c>
      <c r="T20" s="51">
        <v>10</v>
      </c>
      <c r="U20" s="51">
        <v>10</v>
      </c>
      <c r="V20" s="51">
        <v>10</v>
      </c>
      <c r="W20" s="51">
        <v>10</v>
      </c>
      <c r="X20" s="51">
        <v>15.5</v>
      </c>
      <c r="Y20" s="51">
        <v>15.5</v>
      </c>
      <c r="Z20" s="51">
        <v>15.5</v>
      </c>
      <c r="AA20" s="51">
        <v>15.5</v>
      </c>
      <c r="AB20" s="51">
        <v>15.5</v>
      </c>
      <c r="AC20" s="51">
        <v>15.5</v>
      </c>
      <c r="AD20" s="51">
        <v>15.5</v>
      </c>
      <c r="AE20" s="51">
        <v>15.5</v>
      </c>
      <c r="AF20" s="51">
        <v>15.5</v>
      </c>
      <c r="AG20" s="58">
        <v>27</v>
      </c>
      <c r="AH20" s="54">
        <f t="shared" si="2"/>
        <v>15.5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23.4</v>
      </c>
      <c r="C22" s="51">
        <v>23.4</v>
      </c>
      <c r="D22" s="51">
        <v>23.4</v>
      </c>
      <c r="E22" s="51">
        <v>23.4</v>
      </c>
      <c r="F22" s="51">
        <v>23.4</v>
      </c>
      <c r="G22" s="51">
        <v>23.4</v>
      </c>
      <c r="H22" s="51">
        <v>23.4</v>
      </c>
      <c r="I22" s="51">
        <v>23.4</v>
      </c>
      <c r="J22" s="51">
        <v>23.4</v>
      </c>
      <c r="K22" s="51">
        <v>23.4</v>
      </c>
      <c r="L22" s="51">
        <v>23.4</v>
      </c>
      <c r="M22" s="51">
        <v>23.4</v>
      </c>
      <c r="N22" s="51">
        <v>23.4</v>
      </c>
      <c r="O22" s="51">
        <v>23.4</v>
      </c>
      <c r="P22" s="51">
        <v>23.4</v>
      </c>
      <c r="Q22" s="51">
        <v>23.4</v>
      </c>
      <c r="R22" s="51">
        <v>23.4</v>
      </c>
      <c r="S22" s="51">
        <v>23.4</v>
      </c>
      <c r="T22" s="51">
        <v>23.4</v>
      </c>
      <c r="U22" s="51">
        <v>24.7</v>
      </c>
      <c r="V22" s="51">
        <v>24.7</v>
      </c>
      <c r="W22" s="51">
        <v>24.7</v>
      </c>
      <c r="X22" s="51">
        <v>24.7</v>
      </c>
      <c r="Y22" s="51">
        <v>24.7</v>
      </c>
      <c r="Z22" s="51">
        <v>24.7</v>
      </c>
      <c r="AA22" s="51">
        <v>24.7</v>
      </c>
      <c r="AB22" s="51">
        <v>24.7</v>
      </c>
      <c r="AC22" s="51">
        <v>24.7</v>
      </c>
      <c r="AD22" s="51">
        <v>24.7</v>
      </c>
      <c r="AE22" s="51">
        <v>24.7</v>
      </c>
      <c r="AF22" s="51">
        <v>24.7</v>
      </c>
      <c r="AG22" s="58">
        <v>25</v>
      </c>
      <c r="AH22" s="54">
        <f t="shared" si="2"/>
        <v>24.7</v>
      </c>
      <c r="AI22" s="55">
        <f t="shared" si="3"/>
        <v>23.4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17.7</v>
      </c>
      <c r="C24" s="51">
        <v>17.7</v>
      </c>
      <c r="D24" s="51">
        <v>17.7</v>
      </c>
      <c r="E24" s="51">
        <v>17.7</v>
      </c>
      <c r="F24" s="51">
        <v>17.7</v>
      </c>
      <c r="G24" s="51">
        <v>17.7</v>
      </c>
      <c r="H24" s="51">
        <v>17.7</v>
      </c>
      <c r="I24" s="51">
        <v>17.7</v>
      </c>
      <c r="J24" s="51">
        <v>17.7</v>
      </c>
      <c r="K24" s="51">
        <v>17.7</v>
      </c>
      <c r="L24" s="51">
        <v>17.7</v>
      </c>
      <c r="M24" s="51">
        <v>17.7</v>
      </c>
      <c r="N24" s="51">
        <v>17.7</v>
      </c>
      <c r="O24" s="51">
        <v>17.7</v>
      </c>
      <c r="P24" s="51">
        <v>17.7</v>
      </c>
      <c r="Q24" s="51">
        <v>17.7</v>
      </c>
      <c r="R24" s="51">
        <v>17.7</v>
      </c>
      <c r="S24" s="51">
        <v>17.7</v>
      </c>
      <c r="T24" s="51">
        <v>17.7</v>
      </c>
      <c r="U24" s="51">
        <v>22.3</v>
      </c>
      <c r="V24" s="51">
        <v>22.3</v>
      </c>
      <c r="W24" s="51">
        <v>22.3</v>
      </c>
      <c r="X24" s="51">
        <v>22.3</v>
      </c>
      <c r="Y24" s="51">
        <v>22.3</v>
      </c>
      <c r="Z24" s="51">
        <v>22.3</v>
      </c>
      <c r="AA24" s="51">
        <v>22.3</v>
      </c>
      <c r="AB24" s="51">
        <v>22.3</v>
      </c>
      <c r="AC24" s="51">
        <v>22.3</v>
      </c>
      <c r="AD24" s="51">
        <v>22.3</v>
      </c>
      <c r="AE24" s="51">
        <v>22.3</v>
      </c>
      <c r="AF24" s="51">
        <v>22.3</v>
      </c>
      <c r="AG24" s="58">
        <v>25</v>
      </c>
      <c r="AH24" s="54">
        <f t="shared" si="2"/>
        <v>22.3</v>
      </c>
      <c r="AI24" s="55">
        <f t="shared" si="3"/>
        <v>17.7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10.5</v>
      </c>
      <c r="C26" s="51">
        <v>8</v>
      </c>
      <c r="D26" s="51">
        <v>8</v>
      </c>
      <c r="E26" s="51">
        <v>8</v>
      </c>
      <c r="F26" s="51">
        <v>8</v>
      </c>
      <c r="G26" s="51">
        <v>8</v>
      </c>
      <c r="H26" s="51">
        <v>8</v>
      </c>
      <c r="I26" s="51">
        <v>8</v>
      </c>
      <c r="J26" s="51">
        <v>8</v>
      </c>
      <c r="K26" s="51">
        <v>8</v>
      </c>
      <c r="L26" s="51">
        <v>8</v>
      </c>
      <c r="M26" s="51">
        <v>8</v>
      </c>
      <c r="N26" s="51">
        <v>8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8">
        <v>20</v>
      </c>
      <c r="AH26" s="54">
        <f t="shared" si="2"/>
        <v>10.5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0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7.1</v>
      </c>
      <c r="C34" s="51">
        <v>7.1</v>
      </c>
      <c r="D34" s="51">
        <v>7.1</v>
      </c>
      <c r="E34" s="51">
        <v>7.1</v>
      </c>
      <c r="F34" s="51">
        <v>7.1</v>
      </c>
      <c r="G34" s="51">
        <v>7.1</v>
      </c>
      <c r="H34" s="51">
        <v>7.1</v>
      </c>
      <c r="I34" s="51">
        <v>7.1</v>
      </c>
      <c r="J34" s="51">
        <v>7.1</v>
      </c>
      <c r="K34" s="51">
        <v>7.1</v>
      </c>
      <c r="L34" s="51">
        <v>7.1</v>
      </c>
      <c r="M34" s="51">
        <v>7.1</v>
      </c>
      <c r="N34" s="51">
        <v>7.1</v>
      </c>
      <c r="O34" s="51">
        <v>7.1</v>
      </c>
      <c r="P34" s="51">
        <v>7.1</v>
      </c>
      <c r="Q34" s="51">
        <v>7.1</v>
      </c>
      <c r="R34" s="51">
        <v>7.1</v>
      </c>
      <c r="S34" s="51">
        <v>7.1</v>
      </c>
      <c r="T34" s="51">
        <v>7.1</v>
      </c>
      <c r="U34" s="51">
        <v>7.1</v>
      </c>
      <c r="V34" s="51">
        <v>7.1</v>
      </c>
      <c r="W34" s="51">
        <v>7.1</v>
      </c>
      <c r="X34" s="51">
        <v>8.8000000000000007</v>
      </c>
      <c r="Y34" s="51">
        <v>8.8000000000000007</v>
      </c>
      <c r="Z34" s="51">
        <v>8.8000000000000007</v>
      </c>
      <c r="AA34" s="51">
        <v>8.8000000000000007</v>
      </c>
      <c r="AB34" s="51">
        <v>8.8000000000000007</v>
      </c>
      <c r="AC34" s="51">
        <v>8.8000000000000007</v>
      </c>
      <c r="AD34" s="51">
        <v>8.8000000000000007</v>
      </c>
      <c r="AE34" s="51">
        <v>8.8000000000000007</v>
      </c>
      <c r="AF34" s="51">
        <v>8.8000000000000007</v>
      </c>
      <c r="AG34" s="63">
        <v>20</v>
      </c>
      <c r="AH34" s="54">
        <f t="shared" si="2"/>
        <v>8.8000000000000007</v>
      </c>
      <c r="AI34" s="55">
        <f t="shared" si="3"/>
        <v>7.1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7</v>
      </c>
      <c r="C35" s="51">
        <v>7</v>
      </c>
      <c r="D35" s="51">
        <v>7</v>
      </c>
      <c r="E35" s="51">
        <v>7</v>
      </c>
      <c r="F35" s="51">
        <v>7</v>
      </c>
      <c r="G35" s="51">
        <v>7</v>
      </c>
      <c r="H35" s="51">
        <v>7</v>
      </c>
      <c r="I35" s="51">
        <v>7</v>
      </c>
      <c r="J35" s="51">
        <v>7</v>
      </c>
      <c r="K35" s="51">
        <v>7</v>
      </c>
      <c r="L35" s="51">
        <v>7</v>
      </c>
      <c r="M35" s="51">
        <v>7</v>
      </c>
      <c r="N35" s="51">
        <v>7</v>
      </c>
      <c r="O35" s="51">
        <v>7</v>
      </c>
      <c r="P35" s="51">
        <v>7</v>
      </c>
      <c r="Q35" s="51">
        <v>7</v>
      </c>
      <c r="R35" s="51">
        <v>7</v>
      </c>
      <c r="S35" s="51">
        <v>7</v>
      </c>
      <c r="T35" s="51">
        <v>7</v>
      </c>
      <c r="U35" s="51">
        <v>7</v>
      </c>
      <c r="V35" s="51">
        <v>7</v>
      </c>
      <c r="W35" s="51">
        <v>7</v>
      </c>
      <c r="X35" s="51">
        <v>7</v>
      </c>
      <c r="Y35" s="51">
        <v>7</v>
      </c>
      <c r="Z35" s="51">
        <v>7</v>
      </c>
      <c r="AA35" s="51">
        <v>7</v>
      </c>
      <c r="AB35" s="51">
        <v>7</v>
      </c>
      <c r="AC35" s="51">
        <v>7</v>
      </c>
      <c r="AD35" s="51">
        <v>7</v>
      </c>
      <c r="AE35" s="51">
        <v>7</v>
      </c>
      <c r="AF35" s="51">
        <v>7</v>
      </c>
      <c r="AG35" s="63">
        <v>15.33</v>
      </c>
      <c r="AH35" s="54">
        <f t="shared" si="2"/>
        <v>7</v>
      </c>
      <c r="AI35" s="55">
        <f t="shared" si="3"/>
        <v>7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260</v>
      </c>
      <c r="C36" s="65">
        <v>260</v>
      </c>
      <c r="D36" s="65">
        <v>260</v>
      </c>
      <c r="E36" s="65">
        <v>260</v>
      </c>
      <c r="F36" s="65">
        <v>260</v>
      </c>
      <c r="G36" s="65">
        <v>260</v>
      </c>
      <c r="H36" s="65">
        <v>260</v>
      </c>
      <c r="I36" s="65">
        <v>260</v>
      </c>
      <c r="J36" s="65">
        <v>260</v>
      </c>
      <c r="K36" s="65">
        <v>260</v>
      </c>
      <c r="L36" s="65">
        <v>260</v>
      </c>
      <c r="M36" s="65">
        <v>260</v>
      </c>
      <c r="N36" s="65">
        <v>260</v>
      </c>
      <c r="O36" s="65">
        <v>260</v>
      </c>
      <c r="P36" s="65">
        <v>260</v>
      </c>
      <c r="Q36" s="65">
        <v>260</v>
      </c>
      <c r="R36" s="65">
        <v>260</v>
      </c>
      <c r="S36" s="65">
        <v>260</v>
      </c>
      <c r="T36" s="65">
        <v>260</v>
      </c>
      <c r="U36" s="65">
        <v>260</v>
      </c>
      <c r="V36" s="65">
        <v>260</v>
      </c>
      <c r="W36" s="65">
        <v>260</v>
      </c>
      <c r="X36" s="65">
        <v>260</v>
      </c>
      <c r="Y36" s="65">
        <v>260</v>
      </c>
      <c r="Z36" s="65">
        <v>260</v>
      </c>
      <c r="AA36" s="65">
        <v>260</v>
      </c>
      <c r="AB36" s="65">
        <v>260</v>
      </c>
      <c r="AC36" s="65">
        <v>260</v>
      </c>
      <c r="AD36" s="65">
        <v>260</v>
      </c>
      <c r="AE36" s="65">
        <v>260</v>
      </c>
      <c r="AF36" s="65">
        <v>260</v>
      </c>
      <c r="AG36" s="63">
        <v>85</v>
      </c>
      <c r="AH36" s="54">
        <f t="shared" si="2"/>
        <v>260</v>
      </c>
      <c r="AI36" s="55">
        <f t="shared" si="3"/>
        <v>260</v>
      </c>
      <c r="AK36" s="56"/>
    </row>
    <row r="37" spans="1:88" ht="15.75" thickBot="1" x14ac:dyDescent="0.3">
      <c r="A37" s="66" t="s">
        <v>45</v>
      </c>
      <c r="B37" s="67">
        <v>145</v>
      </c>
      <c r="C37" s="67">
        <v>151</v>
      </c>
      <c r="D37" s="67">
        <f>72.7+73.2</f>
        <v>145.9</v>
      </c>
      <c r="E37" s="67">
        <f>70.3+75.9</f>
        <v>146.19999999999999</v>
      </c>
      <c r="F37" s="67">
        <f>70.1+77</f>
        <v>147.1</v>
      </c>
      <c r="G37" s="67">
        <f>68.3+75.5</f>
        <v>143.80000000000001</v>
      </c>
      <c r="H37" s="67">
        <f>67.6+71.6</f>
        <v>139.19999999999999</v>
      </c>
      <c r="I37" s="67">
        <f>67.5+70</f>
        <v>137.5</v>
      </c>
      <c r="J37" s="67">
        <f>67.5+70</f>
        <v>137.5</v>
      </c>
      <c r="K37" s="67">
        <f>67.5+70</f>
        <v>137.5</v>
      </c>
      <c r="L37" s="67">
        <f>67.6+70.2</f>
        <v>137.80000000000001</v>
      </c>
      <c r="M37" s="65">
        <f>66+69</f>
        <v>135</v>
      </c>
      <c r="N37" s="65">
        <f>66.4+66.7</f>
        <v>133.10000000000002</v>
      </c>
      <c r="O37" s="65">
        <f>66.2+66.7</f>
        <v>132.9</v>
      </c>
      <c r="P37" s="65">
        <f>66.4+65.4</f>
        <v>131.80000000000001</v>
      </c>
      <c r="Q37" s="65">
        <f>65+65</f>
        <v>130</v>
      </c>
      <c r="R37" s="65">
        <f>64.5+61</f>
        <v>125.5</v>
      </c>
      <c r="S37" s="65">
        <f>64.5+61</f>
        <v>125.5</v>
      </c>
      <c r="T37" s="65">
        <f>64.5+61</f>
        <v>125.5</v>
      </c>
      <c r="U37" s="65">
        <f>64.7+60.8</f>
        <v>125.5</v>
      </c>
      <c r="V37" s="65">
        <f t="shared" ref="V37:Y37" si="4">64.7+60.8</f>
        <v>125.5</v>
      </c>
      <c r="W37" s="65">
        <f t="shared" si="4"/>
        <v>125.5</v>
      </c>
      <c r="X37" s="65">
        <f t="shared" si="4"/>
        <v>125.5</v>
      </c>
      <c r="Y37" s="65">
        <f t="shared" si="4"/>
        <v>125.5</v>
      </c>
      <c r="Z37" s="67">
        <v>128</v>
      </c>
      <c r="AA37" s="67">
        <f>64.8+68.1</f>
        <v>132.89999999999998</v>
      </c>
      <c r="AB37" s="67">
        <f>64.7+67.9</f>
        <v>132.60000000000002</v>
      </c>
      <c r="AC37" s="67">
        <f>64.6+70</f>
        <v>134.6</v>
      </c>
      <c r="AD37" s="67">
        <f>64.6+70</f>
        <v>134.6</v>
      </c>
      <c r="AE37" s="67">
        <f>64.6+70</f>
        <v>134.6</v>
      </c>
      <c r="AF37" s="67">
        <f>64.6+70</f>
        <v>134.6</v>
      </c>
      <c r="AG37" s="63">
        <v>240</v>
      </c>
      <c r="AH37" s="54">
        <f t="shared" si="2"/>
        <v>151</v>
      </c>
      <c r="AI37" s="55">
        <f t="shared" si="3"/>
        <v>125.5</v>
      </c>
      <c r="AK37" s="56"/>
    </row>
    <row r="38" spans="1:88" ht="15.75" thickBot="1" x14ac:dyDescent="0.3">
      <c r="A38" s="68" t="s">
        <v>46</v>
      </c>
      <c r="B38" s="69">
        <f t="shared" ref="B38:AF38" si="5">SUM(B11:B36)</f>
        <v>1080.7</v>
      </c>
      <c r="C38" s="69">
        <f t="shared" si="5"/>
        <v>1103.9000000000001</v>
      </c>
      <c r="D38" s="69">
        <f t="shared" si="5"/>
        <v>1103.9000000000001</v>
      </c>
      <c r="E38" s="69">
        <f t="shared" si="5"/>
        <v>1083.9000000000001</v>
      </c>
      <c r="F38" s="69">
        <f t="shared" si="5"/>
        <v>1053.9000000000001</v>
      </c>
      <c r="G38" s="69">
        <f t="shared" si="5"/>
        <v>1033.9000000000001</v>
      </c>
      <c r="H38" s="69">
        <f t="shared" si="5"/>
        <v>969.90000000000009</v>
      </c>
      <c r="I38" s="69">
        <f t="shared" si="5"/>
        <v>968.90000000000009</v>
      </c>
      <c r="J38" s="69">
        <f t="shared" si="5"/>
        <v>979.90000000000009</v>
      </c>
      <c r="K38" s="69">
        <f t="shared" si="5"/>
        <v>1037.9000000000001</v>
      </c>
      <c r="L38" s="69">
        <f t="shared" si="5"/>
        <v>1047.9000000000001</v>
      </c>
      <c r="M38" s="69">
        <f t="shared" si="5"/>
        <v>1060.9000000000001</v>
      </c>
      <c r="N38" s="69">
        <f t="shared" si="5"/>
        <v>1060.9000000000001</v>
      </c>
      <c r="O38" s="69">
        <f t="shared" si="5"/>
        <v>1101.9000000000001</v>
      </c>
      <c r="P38" s="69">
        <f t="shared" si="5"/>
        <v>1108.9000000000001</v>
      </c>
      <c r="Q38" s="69">
        <f t="shared" si="5"/>
        <v>1069.9000000000001</v>
      </c>
      <c r="R38" s="69">
        <f t="shared" si="5"/>
        <v>1089.9000000000001</v>
      </c>
      <c r="S38" s="69">
        <f t="shared" si="5"/>
        <v>1089.9000000000001</v>
      </c>
      <c r="T38" s="69">
        <f t="shared" si="5"/>
        <v>1089.9000000000001</v>
      </c>
      <c r="U38" s="69">
        <f t="shared" si="5"/>
        <v>1105.0999999999999</v>
      </c>
      <c r="V38" s="69">
        <f t="shared" si="5"/>
        <v>1054.5999999999999</v>
      </c>
      <c r="W38" s="69">
        <f t="shared" si="5"/>
        <v>1054.5999999999999</v>
      </c>
      <c r="X38" s="69">
        <f t="shared" si="5"/>
        <v>1051.8</v>
      </c>
      <c r="Y38" s="69">
        <f t="shared" si="5"/>
        <v>1072.5</v>
      </c>
      <c r="Z38" s="69">
        <f t="shared" si="5"/>
        <v>1094.5</v>
      </c>
      <c r="AA38" s="69">
        <f t="shared" si="5"/>
        <v>1144.5</v>
      </c>
      <c r="AB38" s="69">
        <f t="shared" si="5"/>
        <v>1147.9000000000001</v>
      </c>
      <c r="AC38" s="69">
        <f t="shared" si="5"/>
        <v>1148</v>
      </c>
      <c r="AD38" s="69">
        <f t="shared" si="5"/>
        <v>1153.9000000000001</v>
      </c>
      <c r="AE38" s="69">
        <f t="shared" si="5"/>
        <v>1153.9000000000001</v>
      </c>
      <c r="AF38" s="69">
        <f t="shared" si="5"/>
        <v>1142.9000000000001</v>
      </c>
      <c r="AG38" s="63">
        <f>SUM(AG11:AG37)</f>
        <v>1492.8299999999997</v>
      </c>
      <c r="AH38" s="54">
        <f t="shared" si="2"/>
        <v>1153.9000000000001</v>
      </c>
      <c r="AI38" s="55">
        <f t="shared" si="3"/>
        <v>968.90000000000009</v>
      </c>
      <c r="AK38" s="56"/>
    </row>
    <row r="39" spans="1:88" x14ac:dyDescent="0.25">
      <c r="A39" s="57" t="s">
        <v>47</v>
      </c>
      <c r="B39" s="51">
        <v>146.69999999999999</v>
      </c>
      <c r="C39" s="51">
        <v>146.69999999999999</v>
      </c>
      <c r="D39" s="51">
        <v>146.69999999999999</v>
      </c>
      <c r="E39" s="51">
        <v>146.69999999999999</v>
      </c>
      <c r="F39" s="51">
        <v>146.80000000000001</v>
      </c>
      <c r="G39" s="51">
        <v>147</v>
      </c>
      <c r="H39" s="51">
        <v>146.80000000000001</v>
      </c>
      <c r="I39" s="51">
        <v>146.80000000000001</v>
      </c>
      <c r="J39" s="51">
        <v>146.80000000000001</v>
      </c>
      <c r="K39" s="51">
        <v>146.80000000000001</v>
      </c>
      <c r="L39" s="51">
        <f t="shared" ref="L39:T39" si="6">146.6</f>
        <v>146.6</v>
      </c>
      <c r="M39" s="51">
        <f t="shared" si="6"/>
        <v>146.6</v>
      </c>
      <c r="N39" s="51">
        <f t="shared" si="6"/>
        <v>146.6</v>
      </c>
      <c r="O39" s="51">
        <f t="shared" si="6"/>
        <v>146.6</v>
      </c>
      <c r="P39" s="51">
        <f t="shared" si="6"/>
        <v>146.6</v>
      </c>
      <c r="Q39" s="51">
        <f t="shared" si="6"/>
        <v>146.6</v>
      </c>
      <c r="R39" s="51">
        <f t="shared" si="6"/>
        <v>146.6</v>
      </c>
      <c r="S39" s="51">
        <f t="shared" si="6"/>
        <v>146.6</v>
      </c>
      <c r="T39" s="51">
        <f t="shared" si="6"/>
        <v>146.6</v>
      </c>
      <c r="U39" s="51">
        <v>145.5</v>
      </c>
      <c r="V39" s="51">
        <v>145.5</v>
      </c>
      <c r="W39" s="51">
        <v>145.5</v>
      </c>
      <c r="X39" s="51">
        <v>145.5</v>
      </c>
      <c r="Y39" s="51">
        <v>145.5</v>
      </c>
      <c r="Z39" s="51">
        <v>146.5</v>
      </c>
      <c r="AA39" s="51">
        <v>146.69999999999999</v>
      </c>
      <c r="AB39" s="51">
        <v>146.80000000000001</v>
      </c>
      <c r="AC39" s="51">
        <v>146.6</v>
      </c>
      <c r="AD39" s="51">
        <v>146.6</v>
      </c>
      <c r="AE39" s="51">
        <v>146.6</v>
      </c>
      <c r="AF39" s="51">
        <v>146.6</v>
      </c>
      <c r="AG39" s="59">
        <v>144</v>
      </c>
      <c r="AH39" s="54">
        <f t="shared" si="2"/>
        <v>147</v>
      </c>
      <c r="AI39" s="55">
        <f t="shared" si="3"/>
        <v>145.5</v>
      </c>
      <c r="AK39" s="56"/>
    </row>
    <row r="40" spans="1:88" x14ac:dyDescent="0.25">
      <c r="A40" s="62" t="s">
        <v>48</v>
      </c>
      <c r="B40" s="70">
        <v>72.5</v>
      </c>
      <c r="C40" s="70">
        <v>72.5</v>
      </c>
      <c r="D40" s="70">
        <v>72.5</v>
      </c>
      <c r="E40" s="70">
        <v>48.1</v>
      </c>
      <c r="F40" s="70">
        <v>46.3</v>
      </c>
      <c r="G40" s="70">
        <v>56</v>
      </c>
      <c r="H40" s="70">
        <v>55</v>
      </c>
      <c r="I40" s="70">
        <v>55</v>
      </c>
      <c r="J40" s="70">
        <v>70.2</v>
      </c>
      <c r="K40" s="70">
        <v>70.2</v>
      </c>
      <c r="L40" s="70">
        <v>70.400000000000006</v>
      </c>
      <c r="M40" s="70">
        <v>70.400000000000006</v>
      </c>
      <c r="N40" s="70">
        <v>70.400000000000006</v>
      </c>
      <c r="O40" s="70">
        <v>70.400000000000006</v>
      </c>
      <c r="P40" s="70">
        <v>70.400000000000006</v>
      </c>
      <c r="Q40" s="70">
        <v>70.400000000000006</v>
      </c>
      <c r="R40" s="70">
        <v>70.400000000000006</v>
      </c>
      <c r="S40" s="70">
        <v>70.400000000000006</v>
      </c>
      <c r="T40" s="70">
        <v>70.400000000000006</v>
      </c>
      <c r="U40" s="70">
        <v>69.900000000000006</v>
      </c>
      <c r="V40" s="70">
        <v>30</v>
      </c>
      <c r="W40" s="70">
        <v>30</v>
      </c>
      <c r="X40" s="70">
        <v>30</v>
      </c>
      <c r="Y40" s="70">
        <v>146.6</v>
      </c>
      <c r="Z40" s="70">
        <v>146.6</v>
      </c>
      <c r="AA40" s="70">
        <v>70.099999999999994</v>
      </c>
      <c r="AB40" s="70">
        <v>69.8</v>
      </c>
      <c r="AC40" s="70">
        <v>70.099999999999994</v>
      </c>
      <c r="AD40" s="70">
        <v>70.099999999999994</v>
      </c>
      <c r="AE40" s="70">
        <v>70.099999999999994</v>
      </c>
      <c r="AF40" s="70">
        <v>70.099999999999994</v>
      </c>
      <c r="AG40" s="63">
        <v>70</v>
      </c>
      <c r="AH40" s="54">
        <f t="shared" si="2"/>
        <v>146.6</v>
      </c>
      <c r="AI40" s="55">
        <f t="shared" si="3"/>
        <v>30</v>
      </c>
      <c r="AK40" s="56"/>
    </row>
    <row r="41" spans="1:88" x14ac:dyDescent="0.25">
      <c r="A41" s="62" t="s">
        <v>49</v>
      </c>
      <c r="B41" s="70">
        <v>66.400000000000006</v>
      </c>
      <c r="C41" s="70">
        <v>66.400000000000006</v>
      </c>
      <c r="D41" s="70">
        <v>33</v>
      </c>
      <c r="E41" s="70">
        <v>32.4</v>
      </c>
      <c r="F41" s="70">
        <v>32.299999999999997</v>
      </c>
      <c r="G41" s="70">
        <v>32.200000000000003</v>
      </c>
      <c r="H41" s="70">
        <v>51.5</v>
      </c>
      <c r="I41" s="70">
        <v>51.5</v>
      </c>
      <c r="J41" s="70">
        <v>66.099999999999994</v>
      </c>
      <c r="K41" s="70">
        <v>66.099999999999994</v>
      </c>
      <c r="L41" s="70">
        <v>65.400000000000006</v>
      </c>
      <c r="M41" s="70">
        <v>65.400000000000006</v>
      </c>
      <c r="N41" s="70">
        <v>65.400000000000006</v>
      </c>
      <c r="O41" s="70">
        <v>65.400000000000006</v>
      </c>
      <c r="P41" s="70">
        <v>65</v>
      </c>
      <c r="Q41" s="70">
        <v>65</v>
      </c>
      <c r="R41" s="70">
        <v>66</v>
      </c>
      <c r="S41" s="70">
        <v>66</v>
      </c>
      <c r="T41" s="70">
        <v>66</v>
      </c>
      <c r="U41" s="70">
        <v>67.2</v>
      </c>
      <c r="V41" s="70">
        <v>67.2</v>
      </c>
      <c r="W41" s="70">
        <v>67.2</v>
      </c>
      <c r="X41" s="70">
        <v>67.2</v>
      </c>
      <c r="Y41" s="70">
        <v>67.2</v>
      </c>
      <c r="Z41" s="70">
        <v>67.2</v>
      </c>
      <c r="AA41" s="70">
        <v>66.599999999999994</v>
      </c>
      <c r="AB41" s="70">
        <v>66</v>
      </c>
      <c r="AC41" s="70">
        <v>66.099999999999994</v>
      </c>
      <c r="AD41" s="70">
        <v>66.099999999999994</v>
      </c>
      <c r="AE41" s="70">
        <v>65.400000000000006</v>
      </c>
      <c r="AF41" s="70">
        <v>65.400000000000006</v>
      </c>
      <c r="AG41" s="63">
        <v>69</v>
      </c>
      <c r="AH41" s="54">
        <f t="shared" si="2"/>
        <v>67.2</v>
      </c>
      <c r="AI41" s="55">
        <f t="shared" si="3"/>
        <v>32.200000000000003</v>
      </c>
      <c r="AK41" s="56"/>
    </row>
    <row r="42" spans="1:88" x14ac:dyDescent="0.25">
      <c r="A42" s="62" t="s">
        <v>50</v>
      </c>
      <c r="B42" s="65">
        <v>60.4</v>
      </c>
      <c r="C42" s="65">
        <v>60.4</v>
      </c>
      <c r="D42" s="65">
        <v>54</v>
      </c>
      <c r="E42" s="65">
        <v>55</v>
      </c>
      <c r="F42" s="65">
        <v>60.2</v>
      </c>
      <c r="G42" s="65">
        <v>60.2</v>
      </c>
      <c r="H42" s="65">
        <v>60.7</v>
      </c>
      <c r="I42" s="65">
        <v>60.7</v>
      </c>
      <c r="J42" s="65">
        <v>60.7</v>
      </c>
      <c r="K42" s="65">
        <v>60.7</v>
      </c>
      <c r="L42" s="65">
        <v>60.7</v>
      </c>
      <c r="M42" s="65">
        <v>60.7</v>
      </c>
      <c r="N42" s="65">
        <v>60.7</v>
      </c>
      <c r="O42" s="65">
        <v>60.7</v>
      </c>
      <c r="P42" s="65">
        <v>60.7</v>
      </c>
      <c r="Q42" s="65">
        <v>60.7</v>
      </c>
      <c r="R42" s="65">
        <v>58</v>
      </c>
      <c r="S42" s="65">
        <v>58</v>
      </c>
      <c r="T42" s="65">
        <v>58</v>
      </c>
      <c r="U42" s="51">
        <v>60.4</v>
      </c>
      <c r="V42" s="51">
        <v>60.4</v>
      </c>
      <c r="W42" s="51">
        <v>60.4</v>
      </c>
      <c r="X42" s="51">
        <v>60.4</v>
      </c>
      <c r="Y42" s="51">
        <v>60.4</v>
      </c>
      <c r="Z42" s="51">
        <v>60.4</v>
      </c>
      <c r="AA42" s="70">
        <v>60.7</v>
      </c>
      <c r="AB42" s="65">
        <v>60.9</v>
      </c>
      <c r="AC42" s="65">
        <v>60.9</v>
      </c>
      <c r="AD42" s="65">
        <v>60.9</v>
      </c>
      <c r="AE42" s="65">
        <v>60.9</v>
      </c>
      <c r="AF42" s="65">
        <v>60.9</v>
      </c>
      <c r="AG42" s="63">
        <v>60</v>
      </c>
      <c r="AH42" s="54">
        <f t="shared" si="2"/>
        <v>60.9</v>
      </c>
      <c r="AI42" s="55">
        <f t="shared" si="3"/>
        <v>54</v>
      </c>
      <c r="AK42" s="56"/>
    </row>
    <row r="43" spans="1:88" x14ac:dyDescent="0.25">
      <c r="A43" s="62" t="s">
        <v>51</v>
      </c>
      <c r="B43" s="65">
        <v>10</v>
      </c>
      <c r="C43" s="65">
        <v>10</v>
      </c>
      <c r="D43" s="65">
        <v>10</v>
      </c>
      <c r="E43" s="65">
        <v>10</v>
      </c>
      <c r="F43" s="65">
        <v>10</v>
      </c>
      <c r="G43" s="65">
        <v>10</v>
      </c>
      <c r="H43" s="65">
        <v>30</v>
      </c>
      <c r="I43" s="65">
        <v>30</v>
      </c>
      <c r="J43" s="65">
        <v>30</v>
      </c>
      <c r="K43" s="65">
        <v>30</v>
      </c>
      <c r="L43" s="65">
        <v>30</v>
      </c>
      <c r="M43" s="65">
        <v>24</v>
      </c>
      <c r="N43" s="65">
        <v>24</v>
      </c>
      <c r="O43" s="65">
        <v>30</v>
      </c>
      <c r="P43" s="65">
        <v>30</v>
      </c>
      <c r="Q43" s="65">
        <v>28</v>
      </c>
      <c r="R43" s="65">
        <v>14.2</v>
      </c>
      <c r="S43" s="65">
        <v>14.2</v>
      </c>
      <c r="T43" s="65">
        <v>6</v>
      </c>
      <c r="U43" s="51">
        <v>6.1</v>
      </c>
      <c r="V43" s="51">
        <v>6.1</v>
      </c>
      <c r="W43" s="51">
        <v>6.1</v>
      </c>
      <c r="X43" s="51">
        <v>6.1</v>
      </c>
      <c r="Y43" s="51">
        <v>6.1</v>
      </c>
      <c r="Z43" s="51">
        <v>6.1</v>
      </c>
      <c r="AA43" s="70">
        <v>28.6</v>
      </c>
      <c r="AB43" s="65">
        <v>28.5</v>
      </c>
      <c r="AC43" s="65">
        <v>22.2</v>
      </c>
      <c r="AD43" s="65">
        <v>22.2</v>
      </c>
      <c r="AE43" s="65">
        <v>22.2</v>
      </c>
      <c r="AF43" s="65">
        <v>22.2</v>
      </c>
      <c r="AG43" s="63">
        <v>30</v>
      </c>
      <c r="AH43" s="54">
        <f t="shared" si="2"/>
        <v>30</v>
      </c>
      <c r="AI43" s="55">
        <f t="shared" si="3"/>
        <v>6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65">
        <v>0</v>
      </c>
      <c r="I44" s="65">
        <v>0</v>
      </c>
      <c r="J44" s="65">
        <v>6.12</v>
      </c>
      <c r="K44" s="65">
        <v>6.12</v>
      </c>
      <c r="L44" s="65">
        <v>6.12</v>
      </c>
      <c r="M44" s="65">
        <v>6.12</v>
      </c>
      <c r="N44" s="65">
        <v>6.12</v>
      </c>
      <c r="O44" s="65">
        <v>6.12</v>
      </c>
      <c r="P44" s="65">
        <v>6.12</v>
      </c>
      <c r="Q44" s="65">
        <v>6.12</v>
      </c>
      <c r="R44" s="65">
        <v>6.12</v>
      </c>
      <c r="S44" s="65">
        <v>6.12</v>
      </c>
      <c r="T44" s="65">
        <v>6.12</v>
      </c>
      <c r="U44" s="51">
        <v>8</v>
      </c>
      <c r="V44" s="51">
        <v>8</v>
      </c>
      <c r="W44" s="51">
        <v>8</v>
      </c>
      <c r="X44" s="51">
        <v>8</v>
      </c>
      <c r="Y44" s="51">
        <v>8</v>
      </c>
      <c r="Z44" s="51">
        <v>8</v>
      </c>
      <c r="AA44" s="51">
        <v>8</v>
      </c>
      <c r="AB44" s="51">
        <v>8</v>
      </c>
      <c r="AC44" s="70">
        <v>8</v>
      </c>
      <c r="AD44" s="70">
        <v>8</v>
      </c>
      <c r="AE44" s="70">
        <v>8</v>
      </c>
      <c r="AF44" s="70">
        <v>8</v>
      </c>
      <c r="AG44" s="63">
        <v>25</v>
      </c>
      <c r="AH44" s="54">
        <f t="shared" si="2"/>
        <v>8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</v>
      </c>
      <c r="C45" s="70">
        <v>17</v>
      </c>
      <c r="D45" s="70">
        <v>17</v>
      </c>
      <c r="E45" s="70">
        <v>17</v>
      </c>
      <c r="F45" s="70">
        <v>17</v>
      </c>
      <c r="G45" s="70">
        <v>17</v>
      </c>
      <c r="H45" s="70">
        <v>17</v>
      </c>
      <c r="I45" s="70">
        <v>17</v>
      </c>
      <c r="J45" s="70">
        <v>17</v>
      </c>
      <c r="K45" s="70">
        <v>17</v>
      </c>
      <c r="L45" s="70">
        <v>17</v>
      </c>
      <c r="M45" s="70">
        <v>17</v>
      </c>
      <c r="N45" s="70">
        <v>17</v>
      </c>
      <c r="O45" s="70">
        <v>17</v>
      </c>
      <c r="P45" s="70">
        <v>17</v>
      </c>
      <c r="Q45" s="70">
        <v>17</v>
      </c>
      <c r="R45" s="70">
        <v>17</v>
      </c>
      <c r="S45" s="70">
        <v>17</v>
      </c>
      <c r="T45" s="70">
        <v>17</v>
      </c>
      <c r="U45" s="51">
        <v>14.7</v>
      </c>
      <c r="V45" s="51">
        <v>14.7</v>
      </c>
      <c r="W45" s="51">
        <v>14.7</v>
      </c>
      <c r="X45" s="51">
        <v>14.7</v>
      </c>
      <c r="Y45" s="51">
        <v>14.7</v>
      </c>
      <c r="Z45" s="51">
        <v>14.7</v>
      </c>
      <c r="AA45" s="51">
        <v>14.7</v>
      </c>
      <c r="AB45" s="51">
        <v>14.7</v>
      </c>
      <c r="AC45" s="51">
        <v>14.7</v>
      </c>
      <c r="AD45" s="51">
        <v>14.7</v>
      </c>
      <c r="AE45" s="51">
        <v>14.7</v>
      </c>
      <c r="AF45" s="51">
        <v>14.7</v>
      </c>
      <c r="AG45" s="63">
        <v>24</v>
      </c>
      <c r="AH45" s="54">
        <f t="shared" si="2"/>
        <v>17</v>
      </c>
      <c r="AI45" s="55">
        <f t="shared" si="3"/>
        <v>14.7</v>
      </c>
      <c r="AK45" s="56"/>
    </row>
    <row r="46" spans="1:88" x14ac:dyDescent="0.25">
      <c r="A46" s="62" t="s">
        <v>54</v>
      </c>
      <c r="B46" s="70">
        <v>2</v>
      </c>
      <c r="C46" s="70">
        <v>2</v>
      </c>
      <c r="D46" s="70">
        <v>2</v>
      </c>
      <c r="E46" s="70">
        <v>2</v>
      </c>
      <c r="F46" s="70">
        <v>2</v>
      </c>
      <c r="G46" s="70">
        <v>2</v>
      </c>
      <c r="H46" s="70">
        <v>2</v>
      </c>
      <c r="I46" s="70">
        <v>2</v>
      </c>
      <c r="J46" s="70">
        <v>2</v>
      </c>
      <c r="K46" s="70">
        <v>2</v>
      </c>
      <c r="L46" s="70">
        <v>2</v>
      </c>
      <c r="M46" s="70">
        <v>2</v>
      </c>
      <c r="N46" s="70">
        <v>2</v>
      </c>
      <c r="O46" s="70">
        <v>2</v>
      </c>
      <c r="P46" s="70">
        <v>2</v>
      </c>
      <c r="Q46" s="70">
        <v>2</v>
      </c>
      <c r="R46" s="70">
        <v>2</v>
      </c>
      <c r="S46" s="70">
        <v>2</v>
      </c>
      <c r="T46" s="70">
        <v>2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63">
        <v>15</v>
      </c>
      <c r="AH46" s="54">
        <f t="shared" si="2"/>
        <v>2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</v>
      </c>
      <c r="C47" s="70">
        <v>13</v>
      </c>
      <c r="D47" s="70">
        <v>13</v>
      </c>
      <c r="E47" s="70">
        <v>13</v>
      </c>
      <c r="F47" s="70">
        <v>13</v>
      </c>
      <c r="G47" s="70">
        <v>13</v>
      </c>
      <c r="H47" s="70">
        <v>13</v>
      </c>
      <c r="I47" s="70">
        <v>13</v>
      </c>
      <c r="J47" s="70">
        <v>13</v>
      </c>
      <c r="K47" s="70">
        <v>13</v>
      </c>
      <c r="L47" s="70">
        <v>13</v>
      </c>
      <c r="M47" s="70">
        <v>13</v>
      </c>
      <c r="N47" s="70">
        <v>13</v>
      </c>
      <c r="O47" s="70">
        <v>13</v>
      </c>
      <c r="P47" s="70">
        <v>13</v>
      </c>
      <c r="Q47" s="70">
        <v>13</v>
      </c>
      <c r="R47" s="70">
        <v>13</v>
      </c>
      <c r="S47" s="70">
        <v>13</v>
      </c>
      <c r="T47" s="70">
        <v>13</v>
      </c>
      <c r="U47" s="51">
        <v>13.6</v>
      </c>
      <c r="V47" s="51">
        <v>13.6</v>
      </c>
      <c r="W47" s="51">
        <v>13.6</v>
      </c>
      <c r="X47" s="51">
        <v>13.6</v>
      </c>
      <c r="Y47" s="51">
        <v>13.6</v>
      </c>
      <c r="Z47" s="51">
        <v>13.6</v>
      </c>
      <c r="AA47" s="51">
        <v>13.6</v>
      </c>
      <c r="AB47" s="51">
        <v>13.6</v>
      </c>
      <c r="AC47" s="51">
        <v>13.6</v>
      </c>
      <c r="AD47" s="51">
        <v>13.6</v>
      </c>
      <c r="AE47" s="51">
        <v>13.6</v>
      </c>
      <c r="AF47" s="51">
        <v>13.6</v>
      </c>
      <c r="AG47" s="63">
        <v>14.1</v>
      </c>
      <c r="AH47" s="54">
        <f t="shared" si="2"/>
        <v>13.6</v>
      </c>
      <c r="AI47" s="55">
        <f t="shared" si="3"/>
        <v>13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13.4</v>
      </c>
      <c r="C48" s="70">
        <v>13.4</v>
      </c>
      <c r="D48" s="70">
        <v>13.4</v>
      </c>
      <c r="E48" s="70">
        <v>13.4</v>
      </c>
      <c r="F48" s="70">
        <v>13.4</v>
      </c>
      <c r="G48" s="70">
        <v>13.4</v>
      </c>
      <c r="H48" s="70">
        <v>13.4</v>
      </c>
      <c r="I48" s="70">
        <v>13.4</v>
      </c>
      <c r="J48" s="70">
        <v>13.4</v>
      </c>
      <c r="K48" s="70">
        <v>13.4</v>
      </c>
      <c r="L48" s="70">
        <v>13.4</v>
      </c>
      <c r="M48" s="70">
        <v>13.4</v>
      </c>
      <c r="N48" s="70">
        <v>13.4</v>
      </c>
      <c r="O48" s="70">
        <v>13.4</v>
      </c>
      <c r="P48" s="70">
        <v>13.4</v>
      </c>
      <c r="Q48" s="70">
        <v>13.4</v>
      </c>
      <c r="R48" s="70">
        <v>13.4</v>
      </c>
      <c r="S48" s="70">
        <v>13.4</v>
      </c>
      <c r="T48" s="70">
        <v>13.4</v>
      </c>
      <c r="U48" s="51">
        <v>12.9</v>
      </c>
      <c r="V48" s="51">
        <v>12.9</v>
      </c>
      <c r="W48" s="51">
        <v>12.9</v>
      </c>
      <c r="X48" s="51">
        <v>12.9</v>
      </c>
      <c r="Y48" s="51">
        <v>12.9</v>
      </c>
      <c r="Z48" s="51">
        <v>12.9</v>
      </c>
      <c r="AA48" s="51">
        <v>12.9</v>
      </c>
      <c r="AB48" s="51">
        <v>12.9</v>
      </c>
      <c r="AC48" s="51">
        <v>12.9</v>
      </c>
      <c r="AD48" s="51">
        <v>12.9</v>
      </c>
      <c r="AE48" s="51">
        <v>12.9</v>
      </c>
      <c r="AF48" s="51">
        <v>12.9</v>
      </c>
      <c r="AG48" s="63">
        <v>14</v>
      </c>
      <c r="AH48" s="54">
        <f t="shared" si="2"/>
        <v>13.4</v>
      </c>
      <c r="AI48" s="55">
        <f t="shared" si="3"/>
        <v>12.9</v>
      </c>
      <c r="AK48" s="56"/>
    </row>
    <row r="49" spans="1:37" x14ac:dyDescent="0.25">
      <c r="A49" s="62" t="s">
        <v>57</v>
      </c>
      <c r="B49" s="70">
        <v>1.2</v>
      </c>
      <c r="C49" s="70">
        <v>1.2</v>
      </c>
      <c r="D49" s="70">
        <v>1.2</v>
      </c>
      <c r="E49" s="70">
        <v>1.2</v>
      </c>
      <c r="F49" s="70">
        <v>1.2</v>
      </c>
      <c r="G49" s="70">
        <v>1.2</v>
      </c>
      <c r="H49" s="70">
        <v>1.2</v>
      </c>
      <c r="I49" s="70">
        <v>1.2</v>
      </c>
      <c r="J49" s="70">
        <v>1.2</v>
      </c>
      <c r="K49" s="70">
        <v>1.2</v>
      </c>
      <c r="L49" s="70">
        <v>1.2</v>
      </c>
      <c r="M49" s="70">
        <v>6</v>
      </c>
      <c r="N49" s="70">
        <v>6</v>
      </c>
      <c r="O49" s="70">
        <v>6</v>
      </c>
      <c r="P49" s="70">
        <v>6</v>
      </c>
      <c r="Q49" s="70">
        <v>9</v>
      </c>
      <c r="R49" s="70">
        <v>9</v>
      </c>
      <c r="S49" s="70">
        <v>9</v>
      </c>
      <c r="T49" s="70">
        <v>9</v>
      </c>
      <c r="U49" s="51">
        <v>6.3</v>
      </c>
      <c r="V49" s="51">
        <v>6.3</v>
      </c>
      <c r="W49" s="51">
        <v>6.3</v>
      </c>
      <c r="X49" s="51">
        <v>6.3</v>
      </c>
      <c r="Y49" s="51">
        <v>6.3</v>
      </c>
      <c r="Z49" s="51">
        <v>6.3</v>
      </c>
      <c r="AA49" s="51">
        <v>6.3</v>
      </c>
      <c r="AB49" s="51">
        <v>6.3</v>
      </c>
      <c r="AC49" s="51">
        <v>6.3</v>
      </c>
      <c r="AD49" s="51">
        <v>6.3</v>
      </c>
      <c r="AE49" s="51">
        <v>6.3</v>
      </c>
      <c r="AF49" s="51">
        <v>6.3</v>
      </c>
      <c r="AG49" s="63">
        <v>10.050000000000001</v>
      </c>
      <c r="AH49" s="54">
        <f t="shared" si="2"/>
        <v>9</v>
      </c>
      <c r="AI49" s="55">
        <f t="shared" si="3"/>
        <v>1.2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70">
        <v>3.1</v>
      </c>
      <c r="R50" s="70">
        <v>3.1</v>
      </c>
      <c r="S50" s="70">
        <v>3.1</v>
      </c>
      <c r="T50" s="70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8">SUM(B39:B51)</f>
        <v>409.24</v>
      </c>
      <c r="C52" s="69">
        <f t="shared" si="8"/>
        <v>409.24</v>
      </c>
      <c r="D52" s="69">
        <f t="shared" si="8"/>
        <v>369.44</v>
      </c>
      <c r="E52" s="69">
        <f t="shared" si="8"/>
        <v>345.44</v>
      </c>
      <c r="F52" s="69">
        <f t="shared" si="8"/>
        <v>348.84000000000003</v>
      </c>
      <c r="G52" s="69">
        <f t="shared" si="8"/>
        <v>358.64</v>
      </c>
      <c r="H52" s="69">
        <f t="shared" si="8"/>
        <v>397.24</v>
      </c>
      <c r="I52" s="69">
        <f t="shared" si="8"/>
        <v>397.24</v>
      </c>
      <c r="J52" s="69">
        <f t="shared" si="8"/>
        <v>433.16</v>
      </c>
      <c r="K52" s="69">
        <f t="shared" si="8"/>
        <v>433.16</v>
      </c>
      <c r="L52" s="69">
        <f t="shared" si="8"/>
        <v>432.46</v>
      </c>
      <c r="M52" s="69">
        <f t="shared" si="8"/>
        <v>431.26</v>
      </c>
      <c r="N52" s="69">
        <f t="shared" si="8"/>
        <v>431.26</v>
      </c>
      <c r="O52" s="69">
        <f t="shared" si="8"/>
        <v>437.26</v>
      </c>
      <c r="P52" s="69">
        <f t="shared" si="8"/>
        <v>436.86</v>
      </c>
      <c r="Q52" s="69">
        <f t="shared" si="8"/>
        <v>437.86</v>
      </c>
      <c r="R52" s="69">
        <f t="shared" si="8"/>
        <v>422.36</v>
      </c>
      <c r="S52" s="69">
        <f t="shared" si="8"/>
        <v>422.36</v>
      </c>
      <c r="T52" s="69">
        <f t="shared" si="8"/>
        <v>414.16</v>
      </c>
      <c r="U52" s="69">
        <f t="shared" si="8"/>
        <v>411.24000000000007</v>
      </c>
      <c r="V52" s="69">
        <f t="shared" si="8"/>
        <v>371.34000000000003</v>
      </c>
      <c r="W52" s="69">
        <f t="shared" si="8"/>
        <v>371.34000000000003</v>
      </c>
      <c r="X52" s="69">
        <f>SUM(X39:X51)</f>
        <v>371.34000000000003</v>
      </c>
      <c r="Y52" s="69">
        <f t="shared" si="8"/>
        <v>487.94000000000005</v>
      </c>
      <c r="Z52" s="69">
        <f t="shared" si="8"/>
        <v>488.94000000000005</v>
      </c>
      <c r="AA52" s="69">
        <f t="shared" si="8"/>
        <v>434.84000000000003</v>
      </c>
      <c r="AB52" s="69">
        <f t="shared" si="8"/>
        <v>434.14000000000004</v>
      </c>
      <c r="AC52" s="69">
        <f t="shared" si="8"/>
        <v>428.03999999999996</v>
      </c>
      <c r="AD52" s="69">
        <f t="shared" si="8"/>
        <v>428.03999999999996</v>
      </c>
      <c r="AE52" s="69">
        <f t="shared" si="8"/>
        <v>427.34000000000003</v>
      </c>
      <c r="AF52" s="69">
        <f t="shared" si="8"/>
        <v>427.34000000000003</v>
      </c>
      <c r="AG52" s="74">
        <f>SUM(AG39:AG51)</f>
        <v>489.91</v>
      </c>
      <c r="AH52" s="54">
        <f t="shared" si="2"/>
        <v>488.94000000000005</v>
      </c>
      <c r="AI52" s="55">
        <f t="shared" si="3"/>
        <v>345.44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30</v>
      </c>
      <c r="E53" s="51">
        <v>20</v>
      </c>
      <c r="F53" s="51">
        <v>0</v>
      </c>
      <c r="G53" s="51">
        <v>0</v>
      </c>
      <c r="H53" s="51">
        <v>14</v>
      </c>
      <c r="I53" s="51">
        <v>20</v>
      </c>
      <c r="J53" s="51">
        <v>20</v>
      </c>
      <c r="K53" s="51">
        <v>30</v>
      </c>
      <c r="L53" s="51">
        <v>35</v>
      </c>
      <c r="M53" s="51">
        <v>12.6</v>
      </c>
      <c r="N53" s="51">
        <v>12.6</v>
      </c>
      <c r="O53" s="51">
        <v>14.3</v>
      </c>
      <c r="P53" s="51">
        <v>19.7</v>
      </c>
      <c r="Q53" s="51">
        <v>28.1</v>
      </c>
      <c r="R53" s="51">
        <v>50.4</v>
      </c>
      <c r="S53" s="51">
        <v>50.4</v>
      </c>
      <c r="T53" s="51">
        <v>54</v>
      </c>
      <c r="U53" s="51">
        <v>48.2</v>
      </c>
      <c r="V53" s="51">
        <v>48.2</v>
      </c>
      <c r="W53" s="51">
        <v>59</v>
      </c>
      <c r="X53" s="51">
        <v>59</v>
      </c>
      <c r="Y53" s="51">
        <v>34</v>
      </c>
      <c r="Z53" s="51">
        <v>34</v>
      </c>
      <c r="AA53" s="51">
        <v>55</v>
      </c>
      <c r="AB53" s="51">
        <v>55</v>
      </c>
      <c r="AC53" s="51">
        <v>55</v>
      </c>
      <c r="AD53" s="51">
        <v>60</v>
      </c>
      <c r="AE53" s="51">
        <v>30</v>
      </c>
      <c r="AF53" s="51">
        <v>14</v>
      </c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8</v>
      </c>
      <c r="E54" s="70">
        <v>8</v>
      </c>
      <c r="F54" s="70">
        <v>0</v>
      </c>
      <c r="G54" s="70">
        <v>0</v>
      </c>
      <c r="H54" s="70">
        <v>5.5</v>
      </c>
      <c r="I54" s="70">
        <v>10.3</v>
      </c>
      <c r="J54" s="70">
        <v>9</v>
      </c>
      <c r="K54" s="70">
        <v>15</v>
      </c>
      <c r="L54" s="70">
        <v>22.1</v>
      </c>
      <c r="M54" s="70">
        <v>4.7</v>
      </c>
      <c r="N54" s="70">
        <v>4.7</v>
      </c>
      <c r="O54" s="70">
        <v>6.9</v>
      </c>
      <c r="P54" s="70">
        <v>9.1999999999999993</v>
      </c>
      <c r="Q54" s="70">
        <v>11.3</v>
      </c>
      <c r="R54" s="70">
        <v>24.4</v>
      </c>
      <c r="S54" s="70">
        <v>24.4</v>
      </c>
      <c r="T54" s="70">
        <v>27</v>
      </c>
      <c r="U54" s="70">
        <v>28.3</v>
      </c>
      <c r="V54" s="70">
        <v>28.3</v>
      </c>
      <c r="W54" s="70">
        <v>30</v>
      </c>
      <c r="X54" s="70">
        <v>30</v>
      </c>
      <c r="Y54" s="70">
        <v>15</v>
      </c>
      <c r="Z54" s="70">
        <v>15</v>
      </c>
      <c r="AA54" s="70">
        <v>27.1</v>
      </c>
      <c r="AB54" s="70">
        <v>27.1</v>
      </c>
      <c r="AC54" s="70">
        <v>27.3</v>
      </c>
      <c r="AD54" s="70">
        <v>29.5</v>
      </c>
      <c r="AE54" s="70">
        <v>15.8</v>
      </c>
      <c r="AF54" s="70">
        <v>6.3</v>
      </c>
      <c r="AG54" s="63">
        <v>32</v>
      </c>
      <c r="AH54" s="54">
        <f t="shared" si="2"/>
        <v>30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2.9</v>
      </c>
      <c r="E55" s="75">
        <v>3</v>
      </c>
      <c r="F55" s="75">
        <v>0</v>
      </c>
      <c r="G55" s="75">
        <v>0</v>
      </c>
      <c r="H55" s="75">
        <v>2</v>
      </c>
      <c r="I55" s="75">
        <v>3.8</v>
      </c>
      <c r="J55" s="75">
        <v>3.3</v>
      </c>
      <c r="K55" s="75">
        <v>5.4</v>
      </c>
      <c r="L55" s="75">
        <v>8</v>
      </c>
      <c r="M55" s="75">
        <v>1.7</v>
      </c>
      <c r="N55" s="75">
        <v>1.7</v>
      </c>
      <c r="O55" s="75">
        <v>2.5</v>
      </c>
      <c r="P55" s="75">
        <v>3.4</v>
      </c>
      <c r="Q55" s="75">
        <v>4.0999999999999996</v>
      </c>
      <c r="R55" s="75">
        <v>8.9</v>
      </c>
      <c r="S55" s="75">
        <v>8.9</v>
      </c>
      <c r="T55" s="75">
        <v>10</v>
      </c>
      <c r="U55" s="75">
        <v>10.3</v>
      </c>
      <c r="V55" s="75">
        <v>10.3</v>
      </c>
      <c r="W55" s="75">
        <v>12</v>
      </c>
      <c r="X55" s="75">
        <v>12</v>
      </c>
      <c r="Y55" s="75">
        <v>5.6</v>
      </c>
      <c r="Z55" s="75">
        <v>5.6</v>
      </c>
      <c r="AA55" s="75">
        <v>9.9</v>
      </c>
      <c r="AB55" s="75">
        <v>9.9</v>
      </c>
      <c r="AC55" s="75">
        <v>10</v>
      </c>
      <c r="AD55" s="75">
        <v>10.8</v>
      </c>
      <c r="AE55" s="75">
        <v>5.8</v>
      </c>
      <c r="AF55" s="75">
        <v>2.2999999999999998</v>
      </c>
      <c r="AG55" s="76">
        <v>14</v>
      </c>
      <c r="AH55" s="54">
        <f t="shared" si="2"/>
        <v>12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9">SUM(B53:B55)</f>
        <v>0</v>
      </c>
      <c r="C56" s="69">
        <f t="shared" si="9"/>
        <v>0</v>
      </c>
      <c r="D56" s="69">
        <f t="shared" si="9"/>
        <v>40.9</v>
      </c>
      <c r="E56" s="69">
        <f t="shared" si="9"/>
        <v>31</v>
      </c>
      <c r="F56" s="69">
        <f t="shared" si="9"/>
        <v>0</v>
      </c>
      <c r="G56" s="69">
        <f t="shared" si="9"/>
        <v>0</v>
      </c>
      <c r="H56" s="69">
        <f t="shared" si="9"/>
        <v>21.5</v>
      </c>
      <c r="I56" s="69">
        <f t="shared" si="9"/>
        <v>34.1</v>
      </c>
      <c r="J56" s="69">
        <f t="shared" si="9"/>
        <v>32.299999999999997</v>
      </c>
      <c r="K56" s="69">
        <f t="shared" si="9"/>
        <v>50.4</v>
      </c>
      <c r="L56" s="69">
        <f t="shared" si="9"/>
        <v>65.099999999999994</v>
      </c>
      <c r="M56" s="69">
        <f t="shared" si="9"/>
        <v>19</v>
      </c>
      <c r="N56" s="69">
        <f t="shared" si="9"/>
        <v>19</v>
      </c>
      <c r="O56" s="69">
        <f t="shared" si="9"/>
        <v>23.700000000000003</v>
      </c>
      <c r="P56" s="69">
        <f t="shared" si="9"/>
        <v>32.299999999999997</v>
      </c>
      <c r="Q56" s="69">
        <f t="shared" si="9"/>
        <v>43.500000000000007</v>
      </c>
      <c r="R56" s="69">
        <f t="shared" si="9"/>
        <v>83.7</v>
      </c>
      <c r="S56" s="69">
        <f t="shared" si="9"/>
        <v>83.7</v>
      </c>
      <c r="T56" s="69">
        <f t="shared" si="9"/>
        <v>91</v>
      </c>
      <c r="U56" s="69">
        <f t="shared" si="9"/>
        <v>86.8</v>
      </c>
      <c r="V56" s="69">
        <f t="shared" si="9"/>
        <v>86.8</v>
      </c>
      <c r="W56" s="69">
        <f t="shared" si="9"/>
        <v>101</v>
      </c>
      <c r="X56" s="69">
        <f t="shared" si="9"/>
        <v>101</v>
      </c>
      <c r="Y56" s="69">
        <f t="shared" si="9"/>
        <v>54.6</v>
      </c>
      <c r="Z56" s="69">
        <f t="shared" si="9"/>
        <v>54.6</v>
      </c>
      <c r="AA56" s="69">
        <f t="shared" si="9"/>
        <v>92</v>
      </c>
      <c r="AB56" s="69">
        <f t="shared" si="9"/>
        <v>92</v>
      </c>
      <c r="AC56" s="69">
        <f t="shared" si="9"/>
        <v>92.3</v>
      </c>
      <c r="AD56" s="69">
        <f t="shared" si="9"/>
        <v>100.3</v>
      </c>
      <c r="AE56" s="69">
        <f t="shared" si="9"/>
        <v>51.599999999999994</v>
      </c>
      <c r="AF56" s="69">
        <f t="shared" si="9"/>
        <v>22.6</v>
      </c>
      <c r="AG56" s="74">
        <f>SUM(AG53:AG55)</f>
        <v>106</v>
      </c>
      <c r="AH56" s="54">
        <f t="shared" si="2"/>
        <v>101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66</v>
      </c>
      <c r="C57" s="51">
        <v>65</v>
      </c>
      <c r="D57" s="51">
        <v>64.599999999999994</v>
      </c>
      <c r="E57" s="51">
        <v>64.599999999999994</v>
      </c>
      <c r="F57" s="51">
        <v>52</v>
      </c>
      <c r="G57" s="51">
        <v>50.7</v>
      </c>
      <c r="H57" s="51">
        <v>64</v>
      </c>
      <c r="I57" s="51">
        <v>60.75</v>
      </c>
      <c r="J57" s="51">
        <v>60.49</v>
      </c>
      <c r="K57" s="51">
        <v>61</v>
      </c>
      <c r="L57" s="51">
        <v>61</v>
      </c>
      <c r="M57" s="51">
        <v>75</v>
      </c>
      <c r="N57" s="51">
        <v>69.86</v>
      </c>
      <c r="O57" s="51">
        <v>75.099999999999994</v>
      </c>
      <c r="P57" s="51">
        <v>67.599999999999994</v>
      </c>
      <c r="Q57" s="51">
        <v>69.099999999999994</v>
      </c>
      <c r="R57" s="51">
        <v>65.8</v>
      </c>
      <c r="S57" s="51">
        <v>73.400000000000006</v>
      </c>
      <c r="T57" s="51">
        <v>72</v>
      </c>
      <c r="U57" s="51">
        <v>68</v>
      </c>
      <c r="V57" s="51">
        <v>68</v>
      </c>
      <c r="W57" s="51">
        <v>68</v>
      </c>
      <c r="X57" s="51">
        <v>59</v>
      </c>
      <c r="Y57" s="51">
        <v>71</v>
      </c>
      <c r="Z57" s="51">
        <v>58</v>
      </c>
      <c r="AA57" s="51">
        <v>58</v>
      </c>
      <c r="AB57" s="51">
        <v>67.2</v>
      </c>
      <c r="AC57" s="51">
        <v>62</v>
      </c>
      <c r="AD57" s="51">
        <v>62</v>
      </c>
      <c r="AE57" s="51">
        <v>65.900000000000006</v>
      </c>
      <c r="AF57" s="51">
        <v>53.5</v>
      </c>
      <c r="AG57" s="59"/>
      <c r="AH57" s="54">
        <f t="shared" si="2"/>
        <v>75.099999999999994</v>
      </c>
      <c r="AI57" s="55">
        <f t="shared" si="3"/>
        <v>50.7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-181</v>
      </c>
      <c r="C59" s="70">
        <v>-220</v>
      </c>
      <c r="D59" s="70">
        <v>-268</v>
      </c>
      <c r="E59" s="70">
        <v>-210</v>
      </c>
      <c r="F59" s="70">
        <v>-180</v>
      </c>
      <c r="G59" s="70">
        <v>-180</v>
      </c>
      <c r="H59" s="70">
        <v>-180.1</v>
      </c>
      <c r="I59" s="70">
        <v>-178</v>
      </c>
      <c r="J59" s="70">
        <v>-184</v>
      </c>
      <c r="K59" s="70">
        <v>-181</v>
      </c>
      <c r="L59" s="70">
        <v>-195</v>
      </c>
      <c r="M59" s="70">
        <v>-183</v>
      </c>
      <c r="N59" s="70">
        <v>-196</v>
      </c>
      <c r="O59" s="70">
        <v>-200</v>
      </c>
      <c r="P59" s="70">
        <v>-236.6</v>
      </c>
      <c r="Q59" s="70">
        <v>-188</v>
      </c>
      <c r="R59" s="70">
        <v>-193</v>
      </c>
      <c r="S59" s="70">
        <v>-199</v>
      </c>
      <c r="T59" s="70">
        <v>-200</v>
      </c>
      <c r="U59" s="70">
        <v>-205</v>
      </c>
      <c r="V59" s="70">
        <v>-205</v>
      </c>
      <c r="W59" s="70">
        <v>-205</v>
      </c>
      <c r="X59" s="70">
        <v>-190</v>
      </c>
      <c r="Y59" s="70">
        <v>-200</v>
      </c>
      <c r="Z59" s="70">
        <v>-200</v>
      </c>
      <c r="AA59" s="70">
        <v>-190</v>
      </c>
      <c r="AB59" s="70">
        <v>-218</v>
      </c>
      <c r="AC59" s="70">
        <v>-210</v>
      </c>
      <c r="AD59" s="70">
        <v>-260</v>
      </c>
      <c r="AE59" s="70">
        <v>-251</v>
      </c>
      <c r="AF59" s="70">
        <v>-284</v>
      </c>
      <c r="AG59" s="77"/>
      <c r="AH59" s="54">
        <f t="shared" si="2"/>
        <v>-178</v>
      </c>
      <c r="AI59" s="55">
        <f t="shared" si="3"/>
        <v>-284</v>
      </c>
      <c r="AK59" s="56"/>
    </row>
    <row r="60" spans="1:37" x14ac:dyDescent="0.25">
      <c r="A60" s="62" t="s">
        <v>68</v>
      </c>
      <c r="B60" s="78">
        <v>12</v>
      </c>
      <c r="C60" s="78">
        <v>12</v>
      </c>
      <c r="D60" s="78">
        <v>12</v>
      </c>
      <c r="E60" s="78">
        <v>10</v>
      </c>
      <c r="F60" s="78">
        <v>10</v>
      </c>
      <c r="G60" s="78">
        <v>10</v>
      </c>
      <c r="H60" s="78">
        <v>10</v>
      </c>
      <c r="I60" s="78">
        <v>10</v>
      </c>
      <c r="J60" s="78">
        <v>10</v>
      </c>
      <c r="K60" s="78">
        <v>10</v>
      </c>
      <c r="L60" s="78">
        <v>10</v>
      </c>
      <c r="M60" s="78">
        <v>16</v>
      </c>
      <c r="N60" s="78">
        <v>16</v>
      </c>
      <c r="O60" s="78">
        <v>16</v>
      </c>
      <c r="P60" s="78">
        <v>16</v>
      </c>
      <c r="Q60" s="78">
        <v>16</v>
      </c>
      <c r="R60" s="78">
        <v>16</v>
      </c>
      <c r="S60" s="78">
        <v>16</v>
      </c>
      <c r="T60" s="78">
        <v>16</v>
      </c>
      <c r="U60" s="78">
        <v>15</v>
      </c>
      <c r="V60" s="78">
        <v>15</v>
      </c>
      <c r="W60" s="78">
        <v>15</v>
      </c>
      <c r="X60" s="78">
        <v>15</v>
      </c>
      <c r="Y60" s="78">
        <v>15</v>
      </c>
      <c r="Z60" s="78">
        <v>15</v>
      </c>
      <c r="AA60" s="78">
        <v>15</v>
      </c>
      <c r="AB60" s="78">
        <v>15</v>
      </c>
      <c r="AC60" s="78">
        <v>15</v>
      </c>
      <c r="AD60" s="78">
        <v>15</v>
      </c>
      <c r="AE60" s="78">
        <v>10</v>
      </c>
      <c r="AF60" s="78">
        <v>10</v>
      </c>
      <c r="AG60" s="77"/>
      <c r="AH60" s="54">
        <f t="shared" si="2"/>
        <v>16</v>
      </c>
      <c r="AI60" s="55">
        <f t="shared" si="3"/>
        <v>10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4.5</v>
      </c>
      <c r="U62" s="79">
        <v>4.5</v>
      </c>
      <c r="V62" s="79">
        <v>4.5</v>
      </c>
      <c r="W62" s="79">
        <v>4.5</v>
      </c>
      <c r="X62" s="79">
        <v>4.5</v>
      </c>
      <c r="Y62" s="79">
        <v>4.5</v>
      </c>
      <c r="Z62" s="79">
        <v>4.5</v>
      </c>
      <c r="AA62" s="79">
        <v>4.5</v>
      </c>
      <c r="AB62" s="79">
        <v>4.5</v>
      </c>
      <c r="AC62" s="79">
        <v>4.5</v>
      </c>
      <c r="AD62" s="79">
        <v>4.5</v>
      </c>
      <c r="AE62" s="79">
        <v>4.5</v>
      </c>
      <c r="AF62" s="79">
        <v>4.5</v>
      </c>
      <c r="AG62" s="77"/>
      <c r="AH62" s="54">
        <f t="shared" si="2"/>
        <v>8</v>
      </c>
      <c r="AI62" s="55">
        <f t="shared" si="3"/>
        <v>4.5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9">
        <v>0</v>
      </c>
      <c r="V64" s="79">
        <v>0</v>
      </c>
      <c r="W64" s="79">
        <v>0</v>
      </c>
      <c r="X64" s="79">
        <v>0</v>
      </c>
      <c r="Y64" s="79">
        <v>0</v>
      </c>
      <c r="Z64" s="79">
        <v>0</v>
      </c>
      <c r="AA64" s="79">
        <v>0</v>
      </c>
      <c r="AB64" s="79">
        <v>0</v>
      </c>
      <c r="AC64" s="79">
        <v>0</v>
      </c>
      <c r="AD64" s="79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9">
        <v>0</v>
      </c>
      <c r="V65" s="79">
        <v>0</v>
      </c>
      <c r="W65" s="79">
        <v>0</v>
      </c>
      <c r="X65" s="79">
        <v>0</v>
      </c>
      <c r="Y65" s="79">
        <v>0</v>
      </c>
      <c r="Z65" s="79">
        <v>0</v>
      </c>
      <c r="AA65" s="79">
        <v>0</v>
      </c>
      <c r="AB65" s="79">
        <v>0</v>
      </c>
      <c r="AC65" s="79">
        <v>0</v>
      </c>
      <c r="AD65" s="79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79">
        <v>0</v>
      </c>
      <c r="V66" s="79">
        <v>0</v>
      </c>
      <c r="W66" s="79">
        <v>0</v>
      </c>
      <c r="X66" s="79">
        <v>0</v>
      </c>
      <c r="Y66" s="79">
        <v>0</v>
      </c>
      <c r="Z66" s="79">
        <v>0</v>
      </c>
      <c r="AA66" s="79">
        <v>0</v>
      </c>
      <c r="AB66" s="79">
        <v>0</v>
      </c>
      <c r="AC66" s="79">
        <v>0</v>
      </c>
      <c r="AD66" s="79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79">
        <v>0</v>
      </c>
      <c r="V67" s="79">
        <v>0</v>
      </c>
      <c r="W67" s="79">
        <v>0</v>
      </c>
      <c r="X67" s="79">
        <v>0</v>
      </c>
      <c r="Y67" s="79">
        <v>0</v>
      </c>
      <c r="Z67" s="79">
        <v>0</v>
      </c>
      <c r="AA67" s="79">
        <v>0</v>
      </c>
      <c r="AB67" s="79">
        <v>0</v>
      </c>
      <c r="AC67" s="79">
        <v>0</v>
      </c>
      <c r="AD67" s="79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10">SUM(B57:B67)</f>
        <v>-95</v>
      </c>
      <c r="C68" s="69">
        <f t="shared" si="10"/>
        <v>-135</v>
      </c>
      <c r="D68" s="69">
        <f t="shared" si="10"/>
        <v>-183.4</v>
      </c>
      <c r="E68" s="69">
        <f t="shared" si="10"/>
        <v>-127.4</v>
      </c>
      <c r="F68" s="69">
        <f t="shared" si="10"/>
        <v>-110</v>
      </c>
      <c r="G68" s="69">
        <f t="shared" si="10"/>
        <v>-111.30000000000001</v>
      </c>
      <c r="H68" s="69">
        <f t="shared" si="10"/>
        <v>-98.1</v>
      </c>
      <c r="I68" s="69">
        <f t="shared" si="10"/>
        <v>-99.25</v>
      </c>
      <c r="J68" s="69">
        <f t="shared" si="10"/>
        <v>-105.50999999999999</v>
      </c>
      <c r="K68" s="69">
        <f t="shared" si="10"/>
        <v>-102</v>
      </c>
      <c r="L68" s="69">
        <f t="shared" si="10"/>
        <v>-116</v>
      </c>
      <c r="M68" s="69">
        <f t="shared" si="10"/>
        <v>-84</v>
      </c>
      <c r="N68" s="69">
        <f t="shared" si="10"/>
        <v>-102.14</v>
      </c>
      <c r="O68" s="69">
        <f t="shared" si="10"/>
        <v>-100.9</v>
      </c>
      <c r="P68" s="69">
        <f t="shared" si="10"/>
        <v>-145</v>
      </c>
      <c r="Q68" s="69">
        <f t="shared" si="10"/>
        <v>-94.9</v>
      </c>
      <c r="R68" s="69">
        <f t="shared" si="10"/>
        <v>-103.2</v>
      </c>
      <c r="S68" s="69">
        <f t="shared" si="10"/>
        <v>-101.6</v>
      </c>
      <c r="T68" s="69">
        <f t="shared" si="10"/>
        <v>-107.5</v>
      </c>
      <c r="U68" s="69">
        <f t="shared" si="10"/>
        <v>-117.5</v>
      </c>
      <c r="V68" s="69">
        <f>SUM(V57:V67)</f>
        <v>-117.5</v>
      </c>
      <c r="W68" s="69">
        <f t="shared" si="10"/>
        <v>-117.5</v>
      </c>
      <c r="X68" s="69">
        <f t="shared" si="10"/>
        <v>-111.5</v>
      </c>
      <c r="Y68" s="69">
        <f>SUM(Y57:Y67)</f>
        <v>-109.5</v>
      </c>
      <c r="Z68" s="69">
        <f t="shared" si="10"/>
        <v>-122.5</v>
      </c>
      <c r="AA68" s="69">
        <f t="shared" si="10"/>
        <v>-112.5</v>
      </c>
      <c r="AB68" s="69">
        <f t="shared" si="10"/>
        <v>-131.30000000000001</v>
      </c>
      <c r="AC68" s="69">
        <f t="shared" si="10"/>
        <v>-128.5</v>
      </c>
      <c r="AD68" s="69">
        <f t="shared" si="10"/>
        <v>-178.5</v>
      </c>
      <c r="AE68" s="69">
        <f t="shared" si="10"/>
        <v>-170.6</v>
      </c>
      <c r="AF68" s="69">
        <f t="shared" si="10"/>
        <v>-216</v>
      </c>
      <c r="AG68" s="74">
        <f>SUM(AG57:AG67)</f>
        <v>0</v>
      </c>
      <c r="AH68" s="54">
        <f t="shared" si="2"/>
        <v>-84</v>
      </c>
      <c r="AI68" s="55">
        <f t="shared" si="3"/>
        <v>-216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1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2">B72+B68+B56+B52+B38+B74</f>
        <v>1394.94</v>
      </c>
      <c r="C75" s="84">
        <f t="shared" si="12"/>
        <v>1378.14</v>
      </c>
      <c r="D75" s="84">
        <f t="shared" si="12"/>
        <v>1330.8400000000001</v>
      </c>
      <c r="E75" s="84">
        <f t="shared" si="12"/>
        <v>1332.94</v>
      </c>
      <c r="F75" s="84">
        <f t="shared" si="12"/>
        <v>1292.7400000000002</v>
      </c>
      <c r="G75" s="84">
        <f t="shared" si="12"/>
        <v>1281.24</v>
      </c>
      <c r="H75" s="84">
        <f t="shared" si="12"/>
        <v>1290.54</v>
      </c>
      <c r="I75" s="84">
        <f t="shared" si="12"/>
        <v>1300.9900000000002</v>
      </c>
      <c r="J75" s="84">
        <f t="shared" si="12"/>
        <v>1339.8500000000001</v>
      </c>
      <c r="K75" s="84">
        <f t="shared" si="12"/>
        <v>1419.46</v>
      </c>
      <c r="L75" s="84">
        <f t="shared" si="12"/>
        <v>1429.46</v>
      </c>
      <c r="M75" s="84">
        <f t="shared" si="12"/>
        <v>1427.16</v>
      </c>
      <c r="N75" s="84">
        <f>N72+N68+N56+N52+N38+N74</f>
        <v>1409.02</v>
      </c>
      <c r="O75" s="84">
        <f t="shared" si="12"/>
        <v>1461.96</v>
      </c>
      <c r="P75" s="84">
        <f t="shared" si="12"/>
        <v>1433.0600000000002</v>
      </c>
      <c r="Q75" s="84">
        <f t="shared" si="12"/>
        <v>1456.3600000000001</v>
      </c>
      <c r="R75" s="84">
        <f t="shared" si="12"/>
        <v>1492.7600000000002</v>
      </c>
      <c r="S75" s="84">
        <f t="shared" si="12"/>
        <v>1494.3600000000001</v>
      </c>
      <c r="T75" s="84">
        <f t="shared" si="12"/>
        <v>1487.5600000000002</v>
      </c>
      <c r="U75" s="84">
        <f t="shared" si="12"/>
        <v>1485.6399999999999</v>
      </c>
      <c r="V75" s="84">
        <f t="shared" si="12"/>
        <v>1395.24</v>
      </c>
      <c r="W75" s="84">
        <f t="shared" si="12"/>
        <v>1409.44</v>
      </c>
      <c r="X75" s="84">
        <f t="shared" si="12"/>
        <v>1412.6399999999999</v>
      </c>
      <c r="Y75" s="84">
        <f t="shared" si="12"/>
        <v>1505.54</v>
      </c>
      <c r="Z75" s="84">
        <f t="shared" si="12"/>
        <v>1515.54</v>
      </c>
      <c r="AA75" s="84">
        <f t="shared" si="12"/>
        <v>1558.8400000000001</v>
      </c>
      <c r="AB75" s="84">
        <f t="shared" si="12"/>
        <v>1542.7400000000002</v>
      </c>
      <c r="AC75" s="84">
        <f t="shared" si="12"/>
        <v>1539.84</v>
      </c>
      <c r="AD75" s="84">
        <f t="shared" si="12"/>
        <v>1503.74</v>
      </c>
      <c r="AE75" s="84">
        <f t="shared" si="12"/>
        <v>1462.2400000000002</v>
      </c>
      <c r="AF75" s="84">
        <f t="shared" si="12"/>
        <v>1376.8400000000001</v>
      </c>
      <c r="AG75" s="74">
        <f>AG72+AG68+AG56+AG52+AG38+AG74</f>
        <v>2144.14</v>
      </c>
      <c r="AH75" s="54">
        <f t="shared" si="2"/>
        <v>1558.8400000000001</v>
      </c>
      <c r="AI75" s="55">
        <f t="shared" si="3"/>
        <v>1281.24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3"/>
        <v>0</v>
      </c>
      <c r="AI79" s="55">
        <f t="shared" si="14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5">SUM(AG76:AG81)</f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6">SUM(B70:B82)</f>
        <v>2596.83</v>
      </c>
      <c r="C83" s="69">
        <f t="shared" si="16"/>
        <v>2580.0299999999997</v>
      </c>
      <c r="D83" s="69">
        <f t="shared" si="16"/>
        <v>2532.73</v>
      </c>
      <c r="E83" s="69">
        <f t="shared" si="16"/>
        <v>2534.83</v>
      </c>
      <c r="F83" s="69">
        <f t="shared" si="16"/>
        <v>2494.63</v>
      </c>
      <c r="G83" s="69">
        <f t="shared" si="16"/>
        <v>2483.13</v>
      </c>
      <c r="H83" s="69">
        <f t="shared" si="16"/>
        <v>2492.4299999999998</v>
      </c>
      <c r="I83" s="69">
        <f t="shared" si="16"/>
        <v>2502.88</v>
      </c>
      <c r="J83" s="69">
        <f t="shared" si="16"/>
        <v>2541.7399999999998</v>
      </c>
      <c r="K83" s="69">
        <f t="shared" si="16"/>
        <v>2621.35</v>
      </c>
      <c r="L83" s="69">
        <f t="shared" si="16"/>
        <v>2631.35</v>
      </c>
      <c r="M83" s="69">
        <f t="shared" si="16"/>
        <v>2629.05</v>
      </c>
      <c r="N83" s="69">
        <f t="shared" si="16"/>
        <v>2610.91</v>
      </c>
      <c r="O83" s="69">
        <f t="shared" si="16"/>
        <v>2663.85</v>
      </c>
      <c r="P83" s="69">
        <f t="shared" si="16"/>
        <v>2634.95</v>
      </c>
      <c r="Q83" s="69">
        <f t="shared" si="16"/>
        <v>2658.25</v>
      </c>
      <c r="R83" s="69">
        <f t="shared" si="16"/>
        <v>2694.65</v>
      </c>
      <c r="S83" s="69">
        <f t="shared" si="16"/>
        <v>2696.25</v>
      </c>
      <c r="T83" s="69">
        <f t="shared" si="16"/>
        <v>2689.45</v>
      </c>
      <c r="U83" s="69">
        <f t="shared" si="16"/>
        <v>2687.5299999999997</v>
      </c>
      <c r="V83" s="69">
        <f t="shared" si="16"/>
        <v>2597.13</v>
      </c>
      <c r="W83" s="69">
        <f t="shared" si="16"/>
        <v>2611.33</v>
      </c>
      <c r="X83" s="69">
        <f t="shared" si="16"/>
        <v>2614.5299999999997</v>
      </c>
      <c r="Y83" s="69">
        <f t="shared" si="16"/>
        <v>2707.43</v>
      </c>
      <c r="Z83" s="69">
        <f t="shared" si="16"/>
        <v>2717.43</v>
      </c>
      <c r="AA83" s="69">
        <f t="shared" si="16"/>
        <v>2760.73</v>
      </c>
      <c r="AB83" s="69">
        <f t="shared" si="16"/>
        <v>2744.63</v>
      </c>
      <c r="AC83" s="69">
        <f t="shared" si="16"/>
        <v>2741.7299999999996</v>
      </c>
      <c r="AD83" s="69">
        <f t="shared" si="16"/>
        <v>2705.63</v>
      </c>
      <c r="AE83" s="69">
        <f t="shared" si="16"/>
        <v>2664.13</v>
      </c>
      <c r="AF83" s="69">
        <f t="shared" si="16"/>
        <v>2578.73</v>
      </c>
      <c r="AG83" s="74">
        <f t="shared" si="16"/>
        <v>4360.08</v>
      </c>
      <c r="AH83" s="54">
        <f t="shared" si="13"/>
        <v>2760.73</v>
      </c>
      <c r="AI83" s="55">
        <f t="shared" si="14"/>
        <v>2483.13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49.963000000000001</v>
      </c>
      <c r="C84" s="90">
        <v>49.963000000000001</v>
      </c>
      <c r="D84" s="90">
        <v>64.599999999999994</v>
      </c>
      <c r="E84" s="90">
        <v>49.87</v>
      </c>
      <c r="F84" s="90">
        <v>50.05</v>
      </c>
      <c r="G84" s="90">
        <v>49.86</v>
      </c>
      <c r="H84" s="90">
        <v>49.97</v>
      </c>
      <c r="I84" s="90">
        <v>50</v>
      </c>
      <c r="J84" s="90">
        <v>49.98</v>
      </c>
      <c r="K84" s="90">
        <v>49.944000000000003</v>
      </c>
      <c r="L84" s="90">
        <v>50.24</v>
      </c>
      <c r="M84" s="90">
        <v>50.143999999999998</v>
      </c>
      <c r="N84" s="90">
        <v>49.987000000000002</v>
      </c>
      <c r="O84" s="90">
        <v>50.015999999999998</v>
      </c>
      <c r="P84" s="90">
        <v>50.07</v>
      </c>
      <c r="Q84" s="90">
        <v>50.051000000000002</v>
      </c>
      <c r="R84" s="90">
        <v>49.776000000000003</v>
      </c>
      <c r="S84" s="90">
        <v>49.893000000000001</v>
      </c>
      <c r="T84" s="90">
        <v>49.981000000000002</v>
      </c>
      <c r="U84" s="90">
        <v>49.98</v>
      </c>
      <c r="V84" s="90">
        <v>49.98</v>
      </c>
      <c r="W84" s="90">
        <v>49.98</v>
      </c>
      <c r="X84" s="90">
        <v>50.012999999999998</v>
      </c>
      <c r="Y84" s="90">
        <v>50.012999999999998</v>
      </c>
      <c r="Z84" s="90">
        <v>50.012999999999998</v>
      </c>
      <c r="AA84" s="90">
        <v>49.98</v>
      </c>
      <c r="AB84" s="90">
        <v>50.01</v>
      </c>
      <c r="AC84" s="90">
        <v>50.04</v>
      </c>
      <c r="AD84" s="90">
        <v>50.01</v>
      </c>
      <c r="AE84" s="90">
        <v>50</v>
      </c>
      <c r="AF84" s="90">
        <v>49.85</v>
      </c>
      <c r="AG84" s="91"/>
      <c r="AH84" s="54">
        <f t="shared" si="13"/>
        <v>64.599999999999994</v>
      </c>
      <c r="AI84" s="55">
        <f t="shared" si="14"/>
        <v>49.776000000000003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121</v>
      </c>
      <c r="C85" s="70">
        <v>121</v>
      </c>
      <c r="D85" s="70">
        <v>122.5</v>
      </c>
      <c r="E85" s="70">
        <v>122.9</v>
      </c>
      <c r="F85" s="70">
        <v>123</v>
      </c>
      <c r="G85" s="70">
        <v>123.9</v>
      </c>
      <c r="H85" s="70">
        <v>124.7</v>
      </c>
      <c r="I85" s="70">
        <v>122.2</v>
      </c>
      <c r="J85" s="70">
        <v>122.7</v>
      </c>
      <c r="K85" s="70">
        <v>122.7</v>
      </c>
      <c r="L85" s="70">
        <v>122.2</v>
      </c>
      <c r="M85" s="70">
        <v>121.1</v>
      </c>
      <c r="N85" s="70">
        <v>120.8</v>
      </c>
      <c r="O85" s="70">
        <v>119.1</v>
      </c>
      <c r="P85" s="70">
        <v>120.1</v>
      </c>
      <c r="Q85" s="70">
        <v>120</v>
      </c>
      <c r="R85" s="70">
        <v>118.8</v>
      </c>
      <c r="S85" s="70">
        <v>120.3</v>
      </c>
      <c r="T85" s="70">
        <v>119</v>
      </c>
      <c r="U85" s="70">
        <v>121.5</v>
      </c>
      <c r="V85" s="70">
        <v>121.5</v>
      </c>
      <c r="W85" s="70">
        <v>121.5</v>
      </c>
      <c r="X85" s="70">
        <v>123</v>
      </c>
      <c r="Y85" s="70">
        <v>123</v>
      </c>
      <c r="Z85" s="70">
        <v>123</v>
      </c>
      <c r="AA85" s="70">
        <v>123</v>
      </c>
      <c r="AB85" s="70">
        <v>124.9</v>
      </c>
      <c r="AC85" s="70">
        <v>124.9</v>
      </c>
      <c r="AD85" s="70">
        <v>124.4</v>
      </c>
      <c r="AE85" s="70">
        <v>123.2</v>
      </c>
      <c r="AF85" s="70">
        <v>121.8</v>
      </c>
      <c r="AG85" s="93"/>
      <c r="AH85" s="54">
        <f t="shared" si="13"/>
        <v>124.9</v>
      </c>
      <c r="AI85" s="55">
        <f t="shared" si="14"/>
        <v>118.8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126.5</v>
      </c>
      <c r="C86" s="70">
        <v>126.5</v>
      </c>
      <c r="D86" s="70">
        <v>127.9</v>
      </c>
      <c r="E86" s="70">
        <v>127.8</v>
      </c>
      <c r="F86" s="70">
        <v>128.19999999999999</v>
      </c>
      <c r="G86" s="70">
        <v>127.8</v>
      </c>
      <c r="H86" s="70">
        <v>128.1</v>
      </c>
      <c r="I86" s="70">
        <v>126.1</v>
      </c>
      <c r="J86" s="70">
        <v>126.6</v>
      </c>
      <c r="K86" s="70">
        <v>126.6</v>
      </c>
      <c r="L86" s="70">
        <v>125</v>
      </c>
      <c r="M86" s="70">
        <v>124.2</v>
      </c>
      <c r="N86" s="70">
        <v>124.2</v>
      </c>
      <c r="O86" s="70">
        <v>122.8</v>
      </c>
      <c r="P86" s="70">
        <v>123.3</v>
      </c>
      <c r="Q86" s="70">
        <v>123</v>
      </c>
      <c r="R86" s="70">
        <v>123</v>
      </c>
      <c r="S86" s="70">
        <v>124.1</v>
      </c>
      <c r="T86" s="70">
        <v>124</v>
      </c>
      <c r="U86" s="70">
        <v>125.1</v>
      </c>
      <c r="V86" s="70">
        <v>125.1</v>
      </c>
      <c r="W86" s="70">
        <v>125.1</v>
      </c>
      <c r="X86" s="70">
        <v>126</v>
      </c>
      <c r="Y86" s="70">
        <v>126</v>
      </c>
      <c r="Z86" s="70">
        <v>126</v>
      </c>
      <c r="AA86" s="70">
        <v>126</v>
      </c>
      <c r="AB86" s="70">
        <v>127.7</v>
      </c>
      <c r="AC86" s="70">
        <v>127.6</v>
      </c>
      <c r="AD86" s="70">
        <v>128.19999999999999</v>
      </c>
      <c r="AE86" s="70">
        <v>127.6</v>
      </c>
      <c r="AF86" s="70">
        <v>126.3</v>
      </c>
      <c r="AG86" s="93"/>
      <c r="AH86" s="54">
        <f t="shared" si="13"/>
        <v>128.19999999999999</v>
      </c>
      <c r="AI86" s="55">
        <f t="shared" si="14"/>
        <v>122.8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125.7</v>
      </c>
      <c r="C87" s="70">
        <v>125.7</v>
      </c>
      <c r="D87" s="70">
        <v>127.9</v>
      </c>
      <c r="E87" s="70">
        <v>127.6</v>
      </c>
      <c r="F87" s="70">
        <v>128.1</v>
      </c>
      <c r="G87" s="70">
        <v>129.19999999999999</v>
      </c>
      <c r="H87" s="70">
        <v>130</v>
      </c>
      <c r="I87" s="70">
        <v>129.1</v>
      </c>
      <c r="J87" s="70">
        <v>127.7</v>
      </c>
      <c r="K87" s="70">
        <v>127.7</v>
      </c>
      <c r="L87" s="70">
        <v>128.19999999999999</v>
      </c>
      <c r="M87" s="70">
        <v>128.4</v>
      </c>
      <c r="N87" s="70">
        <v>126.9</v>
      </c>
      <c r="O87" s="70">
        <v>127.5</v>
      </c>
      <c r="P87" s="70">
        <v>127</v>
      </c>
      <c r="Q87" s="70">
        <v>129.1</v>
      </c>
      <c r="R87" s="70">
        <v>126</v>
      </c>
      <c r="S87" s="70">
        <v>126</v>
      </c>
      <c r="T87" s="70">
        <v>128</v>
      </c>
      <c r="U87" s="70">
        <v>128.4</v>
      </c>
      <c r="V87" s="70">
        <v>128.4</v>
      </c>
      <c r="W87" s="70">
        <v>128.4</v>
      </c>
      <c r="X87" s="70">
        <v>129</v>
      </c>
      <c r="Y87" s="70">
        <v>129</v>
      </c>
      <c r="Z87" s="70">
        <v>129</v>
      </c>
      <c r="AA87" s="70">
        <v>129</v>
      </c>
      <c r="AB87" s="70">
        <v>127</v>
      </c>
      <c r="AC87" s="70">
        <v>126</v>
      </c>
      <c r="AD87" s="70">
        <v>129</v>
      </c>
      <c r="AE87" s="70">
        <v>127.7</v>
      </c>
      <c r="AF87" s="70">
        <v>127</v>
      </c>
      <c r="AG87" s="93"/>
      <c r="AH87" s="54">
        <f t="shared" si="13"/>
        <v>130</v>
      </c>
      <c r="AI87" s="55">
        <f t="shared" si="14"/>
        <v>125.7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130.5</v>
      </c>
      <c r="C88" s="70">
        <v>130.5</v>
      </c>
      <c r="D88" s="70">
        <v>131.19999999999999</v>
      </c>
      <c r="E88" s="70">
        <v>131</v>
      </c>
      <c r="F88" s="70">
        <v>130.6</v>
      </c>
      <c r="G88" s="70">
        <v>133.80000000000001</v>
      </c>
      <c r="H88" s="70">
        <v>132.5</v>
      </c>
      <c r="I88" s="70">
        <v>133.6</v>
      </c>
      <c r="J88" s="70">
        <v>132.4</v>
      </c>
      <c r="K88" s="70">
        <v>132.4</v>
      </c>
      <c r="L88" s="70">
        <v>131.4</v>
      </c>
      <c r="M88" s="70">
        <v>130.4</v>
      </c>
      <c r="N88" s="70">
        <v>129.1</v>
      </c>
      <c r="O88" s="70">
        <v>128.80000000000001</v>
      </c>
      <c r="P88" s="70">
        <v>128</v>
      </c>
      <c r="Q88" s="70">
        <v>130.5</v>
      </c>
      <c r="R88" s="70">
        <v>128.4</v>
      </c>
      <c r="S88" s="70">
        <v>127.8</v>
      </c>
      <c r="T88" s="70">
        <v>128</v>
      </c>
      <c r="U88" s="70">
        <v>129.5</v>
      </c>
      <c r="V88" s="70">
        <v>129.5</v>
      </c>
      <c r="W88" s="70">
        <v>129.5</v>
      </c>
      <c r="X88" s="70">
        <v>131</v>
      </c>
      <c r="Y88" s="70">
        <v>131</v>
      </c>
      <c r="Z88" s="70">
        <v>131</v>
      </c>
      <c r="AA88" s="70">
        <v>131</v>
      </c>
      <c r="AB88" s="70">
        <v>129.5</v>
      </c>
      <c r="AC88" s="70">
        <v>129.5</v>
      </c>
      <c r="AD88" s="70">
        <v>132.4</v>
      </c>
      <c r="AE88" s="70">
        <v>128.30000000000001</v>
      </c>
      <c r="AF88" s="70">
        <v>130.9</v>
      </c>
      <c r="AG88" s="93"/>
      <c r="AH88" s="54">
        <f t="shared" si="13"/>
        <v>133.80000000000001</v>
      </c>
      <c r="AI88" s="55">
        <f t="shared" si="14"/>
        <v>127.8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127</v>
      </c>
      <c r="C89" s="95">
        <v>127</v>
      </c>
      <c r="D89" s="95">
        <v>125.1</v>
      </c>
      <c r="E89" s="95">
        <v>132.30000000000001</v>
      </c>
      <c r="F89" s="95">
        <v>132</v>
      </c>
      <c r="G89" s="95">
        <v>131.69999999999999</v>
      </c>
      <c r="H89" s="95">
        <v>135.6</v>
      </c>
      <c r="I89" s="95">
        <v>132.1</v>
      </c>
      <c r="J89" s="95">
        <v>132.5</v>
      </c>
      <c r="K89" s="95">
        <v>132.5</v>
      </c>
      <c r="L89" s="95">
        <v>132.30000000000001</v>
      </c>
      <c r="M89" s="95">
        <v>130.4</v>
      </c>
      <c r="N89" s="95">
        <v>129.30000000000001</v>
      </c>
      <c r="O89" s="95">
        <v>132.6</v>
      </c>
      <c r="P89" s="95">
        <v>131.19999999999999</v>
      </c>
      <c r="Q89" s="95">
        <v>129.19999999999999</v>
      </c>
      <c r="R89" s="95">
        <v>131.30000000000001</v>
      </c>
      <c r="S89" s="95">
        <v>131</v>
      </c>
      <c r="T89" s="95">
        <v>129</v>
      </c>
      <c r="U89" s="95">
        <v>130.5</v>
      </c>
      <c r="V89" s="95">
        <v>130.5</v>
      </c>
      <c r="W89" s="95">
        <v>130.5</v>
      </c>
      <c r="X89" s="95">
        <v>131</v>
      </c>
      <c r="Y89" s="95">
        <v>131</v>
      </c>
      <c r="Z89" s="95">
        <v>131</v>
      </c>
      <c r="AA89" s="95">
        <v>131</v>
      </c>
      <c r="AB89" s="95">
        <v>134.9</v>
      </c>
      <c r="AC89" s="95">
        <v>134.9</v>
      </c>
      <c r="AD89" s="95">
        <v>133.80000000000001</v>
      </c>
      <c r="AE89" s="95">
        <v>132</v>
      </c>
      <c r="AF89" s="95">
        <v>129.69999999999999</v>
      </c>
      <c r="AG89" s="96"/>
      <c r="AH89" s="54">
        <f t="shared" si="13"/>
        <v>135.6</v>
      </c>
      <c r="AI89" s="55">
        <f t="shared" si="14"/>
        <v>125.1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115</v>
      </c>
      <c r="C90" s="70">
        <v>115</v>
      </c>
      <c r="D90" s="70">
        <v>120</v>
      </c>
      <c r="E90" s="70">
        <v>121.5</v>
      </c>
      <c r="F90" s="70">
        <v>124.9</v>
      </c>
      <c r="G90" s="70">
        <v>122.3</v>
      </c>
      <c r="H90" s="70">
        <v>130.69999999999999</v>
      </c>
      <c r="I90" s="70">
        <v>126.3</v>
      </c>
      <c r="J90" s="70">
        <v>126.9</v>
      </c>
      <c r="K90" s="70">
        <v>126.9</v>
      </c>
      <c r="L90" s="70">
        <v>128.30000000000001</v>
      </c>
      <c r="M90" s="70">
        <v>128.30000000000001</v>
      </c>
      <c r="N90" s="70">
        <v>123.2</v>
      </c>
      <c r="O90" s="70">
        <v>130.30000000000001</v>
      </c>
      <c r="P90" s="70">
        <v>128</v>
      </c>
      <c r="Q90" s="70">
        <v>123.6</v>
      </c>
      <c r="R90" s="70">
        <v>125.3</v>
      </c>
      <c r="S90" s="70">
        <v>124.6</v>
      </c>
      <c r="T90" s="70">
        <v>122</v>
      </c>
      <c r="U90" s="70">
        <v>125</v>
      </c>
      <c r="V90" s="70">
        <v>125</v>
      </c>
      <c r="W90" s="70">
        <v>125</v>
      </c>
      <c r="X90" s="70">
        <v>125</v>
      </c>
      <c r="Y90" s="70">
        <v>125</v>
      </c>
      <c r="Z90" s="70">
        <v>125</v>
      </c>
      <c r="AA90" s="70">
        <v>125</v>
      </c>
      <c r="AB90" s="70">
        <v>123.2</v>
      </c>
      <c r="AC90" s="70">
        <v>123.2</v>
      </c>
      <c r="AD90" s="70">
        <v>122.4</v>
      </c>
      <c r="AE90" s="70">
        <v>121.2</v>
      </c>
      <c r="AF90" s="70">
        <v>116</v>
      </c>
      <c r="AG90" s="93"/>
      <c r="AH90" s="54">
        <f t="shared" si="13"/>
        <v>130.69999999999999</v>
      </c>
      <c r="AI90" s="55">
        <f t="shared" si="14"/>
        <v>115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</v>
      </c>
      <c r="C91" s="97">
        <v>64</v>
      </c>
      <c r="D91" s="97">
        <v>65.099999999999994</v>
      </c>
      <c r="E91" s="97">
        <v>64.900000000000006</v>
      </c>
      <c r="F91" s="97">
        <v>64.900000000000006</v>
      </c>
      <c r="G91" s="97">
        <v>64.8</v>
      </c>
      <c r="H91" s="97">
        <v>64.900000000000006</v>
      </c>
      <c r="I91" s="97">
        <v>63.8</v>
      </c>
      <c r="J91" s="97">
        <v>64</v>
      </c>
      <c r="K91" s="97">
        <v>64</v>
      </c>
      <c r="L91" s="97">
        <v>63.3</v>
      </c>
      <c r="M91" s="97">
        <v>63.3</v>
      </c>
      <c r="N91" s="97">
        <v>62.7</v>
      </c>
      <c r="O91" s="97">
        <v>61.9</v>
      </c>
      <c r="P91" s="97">
        <v>62.1</v>
      </c>
      <c r="Q91" s="97">
        <v>62</v>
      </c>
      <c r="R91" s="97">
        <v>61.8</v>
      </c>
      <c r="S91" s="97">
        <v>62.6</v>
      </c>
      <c r="T91" s="97">
        <v>62.6</v>
      </c>
      <c r="U91" s="97">
        <v>63.1</v>
      </c>
      <c r="V91" s="97">
        <v>63.1</v>
      </c>
      <c r="W91" s="97">
        <v>63.1</v>
      </c>
      <c r="X91" s="97">
        <v>64</v>
      </c>
      <c r="Y91" s="97">
        <v>64</v>
      </c>
      <c r="Z91" s="97">
        <v>64</v>
      </c>
      <c r="AA91" s="97">
        <v>64.400000000000006</v>
      </c>
      <c r="AB91" s="97">
        <v>64.5</v>
      </c>
      <c r="AC91" s="97">
        <v>64.5</v>
      </c>
      <c r="AD91" s="97">
        <v>65.099999999999994</v>
      </c>
      <c r="AE91" s="97">
        <v>64.5</v>
      </c>
      <c r="AF91" s="97">
        <v>64</v>
      </c>
      <c r="AG91" s="98"/>
      <c r="AH91" s="54">
        <f t="shared" si="13"/>
        <v>65.099999999999994</v>
      </c>
      <c r="AI91" s="55">
        <f t="shared" si="14"/>
        <v>61.8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7">SUM(B15,B18,B21:B22,B42,B44:B45,B47,B49,B94:B97,B103,B109,B115,B124,B126,B138,B145,B148:B149,B156,B158,B160,B164:B166,B168:B170,B175,B181:B182,B184:B186,B194,B199)</f>
        <v>137.04</v>
      </c>
      <c r="C93" s="103">
        <f t="shared" si="17"/>
        <v>137.04</v>
      </c>
      <c r="D93" s="103">
        <f t="shared" si="17"/>
        <v>144.53999999999996</v>
      </c>
      <c r="E93" s="103">
        <f t="shared" si="17"/>
        <v>142.83999999999997</v>
      </c>
      <c r="F93" s="103">
        <f t="shared" si="17"/>
        <v>131.34</v>
      </c>
      <c r="G93" s="103">
        <f t="shared" si="17"/>
        <v>149.13999999999999</v>
      </c>
      <c r="H93" s="103">
        <f t="shared" si="17"/>
        <v>178.14</v>
      </c>
      <c r="I93" s="103">
        <f t="shared" si="17"/>
        <v>210.54</v>
      </c>
      <c r="J93" s="103">
        <f t="shared" si="17"/>
        <v>234.65999999999997</v>
      </c>
      <c r="K93" s="103">
        <f t="shared" si="17"/>
        <v>265.26000000000005</v>
      </c>
      <c r="L93" s="103">
        <f t="shared" si="17"/>
        <v>221.76000000000002</v>
      </c>
      <c r="M93" s="103">
        <f t="shared" si="17"/>
        <v>227.56000000000003</v>
      </c>
      <c r="N93" s="103">
        <f t="shared" si="17"/>
        <v>272.06</v>
      </c>
      <c r="O93" s="103">
        <f t="shared" si="17"/>
        <v>284.16000000000003</v>
      </c>
      <c r="P93" s="103">
        <f t="shared" si="17"/>
        <v>270.46000000000004</v>
      </c>
      <c r="Q93" s="103">
        <f t="shared" si="17"/>
        <v>273.56000000000006</v>
      </c>
      <c r="R93" s="103">
        <f t="shared" si="17"/>
        <v>295.06000000000006</v>
      </c>
      <c r="S93" s="103">
        <f t="shared" si="17"/>
        <v>274.06000000000006</v>
      </c>
      <c r="T93" s="103">
        <f t="shared" si="17"/>
        <v>361.86</v>
      </c>
      <c r="U93" s="103">
        <f t="shared" si="17"/>
        <v>275.64000000000004</v>
      </c>
      <c r="V93" s="103">
        <f t="shared" si="17"/>
        <v>276.64000000000004</v>
      </c>
      <c r="W93" s="103">
        <f>SUM(W15,W18,W21:W22,W42,W44:W45,W47,W49,W94:W97,W103,W109,W115,W124,W126,W138,W145,W148:W149,W156,W158,W160,W164:W166,W168:W170,W175,W181:W182,W184:W186,W194,W199)</f>
        <v>228.23999999999998</v>
      </c>
      <c r="X93" s="103">
        <f>SUM(X15,X18,X21:X22,X42,X44:X45,X47,X49,X94:X97,X103,X109,X115,X124,X126,X138,X145,X148:X149,X156,X158,X160,X164:X166,X168:X170,X175,X181:X182,X184:X186,X194,X199)</f>
        <v>267.14000000000004</v>
      </c>
      <c r="Y93" s="103">
        <f t="shared" si="17"/>
        <v>280.24</v>
      </c>
      <c r="Z93" s="103">
        <f t="shared" si="17"/>
        <v>293.24</v>
      </c>
      <c r="AA93" s="103">
        <f t="shared" si="17"/>
        <v>308.84000000000003</v>
      </c>
      <c r="AB93" s="103">
        <f t="shared" si="17"/>
        <v>303.24</v>
      </c>
      <c r="AC93" s="103">
        <f t="shared" si="17"/>
        <v>256.94</v>
      </c>
      <c r="AD93" s="103">
        <f t="shared" si="17"/>
        <v>257.94000000000005</v>
      </c>
      <c r="AE93" s="103">
        <f t="shared" si="17"/>
        <v>204.85999999999999</v>
      </c>
      <c r="AF93" s="103">
        <f t="shared" si="17"/>
        <v>157.13999999999999</v>
      </c>
      <c r="AG93" s="104"/>
      <c r="AH93" s="54">
        <f>MAX(C93:AF93)</f>
        <v>361.86</v>
      </c>
      <c r="AI93" s="55">
        <f>MIN(C93:AF93)</f>
        <v>131.34</v>
      </c>
    </row>
    <row r="94" spans="1:88" x14ac:dyDescent="0.25">
      <c r="A94" s="105" t="s">
        <v>99</v>
      </c>
      <c r="B94" s="106">
        <v>36.9</v>
      </c>
      <c r="C94" s="106">
        <v>36.9</v>
      </c>
      <c r="D94" s="106">
        <v>19.7</v>
      </c>
      <c r="E94" s="106">
        <v>13.4</v>
      </c>
      <c r="F94" s="106">
        <v>13.3</v>
      </c>
      <c r="G94" s="106">
        <v>19.5</v>
      </c>
      <c r="H94" s="106">
        <v>42.5</v>
      </c>
      <c r="I94" s="106">
        <v>53.4</v>
      </c>
      <c r="J94" s="106">
        <v>49.2</v>
      </c>
      <c r="K94" s="106">
        <v>54.5</v>
      </c>
      <c r="L94" s="106">
        <v>57.4</v>
      </c>
      <c r="M94" s="106">
        <v>58.4</v>
      </c>
      <c r="N94" s="106">
        <v>51.6</v>
      </c>
      <c r="O94" s="106">
        <v>52.1</v>
      </c>
      <c r="P94" s="106">
        <v>47.3</v>
      </c>
      <c r="Q94" s="106">
        <v>45.6</v>
      </c>
      <c r="R94" s="106">
        <v>42.1</v>
      </c>
      <c r="S94" s="106">
        <v>34.700000000000003</v>
      </c>
      <c r="T94" s="106">
        <v>41</v>
      </c>
      <c r="U94" s="106">
        <v>38.9</v>
      </c>
      <c r="V94" s="106">
        <v>39.9</v>
      </c>
      <c r="W94" s="106">
        <v>0</v>
      </c>
      <c r="X94" s="106">
        <v>-2.1</v>
      </c>
      <c r="Y94" s="106">
        <v>51</v>
      </c>
      <c r="Z94" s="106">
        <v>41</v>
      </c>
      <c r="AA94" s="106">
        <v>46.5</v>
      </c>
      <c r="AB94" s="106">
        <v>45.8</v>
      </c>
      <c r="AC94" s="106">
        <v>41.9</v>
      </c>
      <c r="AD94" s="106">
        <v>42.9</v>
      </c>
      <c r="AE94" s="106">
        <v>50.02</v>
      </c>
      <c r="AF94" s="106">
        <v>42.1</v>
      </c>
      <c r="AG94" s="107">
        <v>75</v>
      </c>
      <c r="AH94" s="54">
        <f t="shared" ref="AH94:AH100" si="18">IF(ABS(MAX(C94:AF94))&gt;ABS(MIN(C94:AF94)),MAX(C94:AF94),MIN(C94:AF94))</f>
        <v>58.4</v>
      </c>
      <c r="AI94" s="108">
        <f t="shared" ref="AI94:AI100" si="19">INDEX($C$9:$AF$9,1,MATCH(AH94,C94:AF94,0))</f>
        <v>0.33333333333333331</v>
      </c>
    </row>
    <row r="95" spans="1:88" x14ac:dyDescent="0.25">
      <c r="A95" s="109" t="s">
        <v>100</v>
      </c>
      <c r="B95" s="110">
        <v>-114</v>
      </c>
      <c r="C95" s="110">
        <v>-114</v>
      </c>
      <c r="D95" s="110">
        <f>-47.9-54.8</f>
        <v>-102.69999999999999</v>
      </c>
      <c r="E95" s="110">
        <f>-44.5-50.7</f>
        <v>-95.2</v>
      </c>
      <c r="F95" s="110">
        <f>-47.9-51.8</f>
        <v>-99.699999999999989</v>
      </c>
      <c r="G95" s="110">
        <f>-43.1-46.8</f>
        <v>-89.9</v>
      </c>
      <c r="H95" s="110">
        <f>-45.2-49.8</f>
        <v>-95</v>
      </c>
      <c r="I95" s="110">
        <f>-36.7-43.1</f>
        <v>-79.800000000000011</v>
      </c>
      <c r="J95" s="110">
        <f>-29.5-36.8</f>
        <v>-66.3</v>
      </c>
      <c r="K95" s="110">
        <v>-40</v>
      </c>
      <c r="L95" s="110">
        <f>-10.2-18</f>
        <v>-28.2</v>
      </c>
      <c r="M95" s="110">
        <f>-10.2-18</f>
        <v>-28.2</v>
      </c>
      <c r="N95" s="110">
        <f>-13.6-17.2</f>
        <v>-30.799999999999997</v>
      </c>
      <c r="O95" s="110">
        <f>-10-14</f>
        <v>-24</v>
      </c>
      <c r="P95" s="110">
        <f>-15.7-20.1</f>
        <v>-35.799999999999997</v>
      </c>
      <c r="Q95" s="110">
        <f>-14-20</f>
        <v>-34</v>
      </c>
      <c r="R95" s="110">
        <f>-6.2-15.2</f>
        <v>-21.4</v>
      </c>
      <c r="S95" s="110">
        <f>-12.6-22</f>
        <v>-34.6</v>
      </c>
      <c r="T95" s="110">
        <f>--44</f>
        <v>44</v>
      </c>
      <c r="U95" s="110">
        <f>-12.6-22.6</f>
        <v>-35.200000000000003</v>
      </c>
      <c r="V95" s="110">
        <f>-12.6-22.6</f>
        <v>-35.200000000000003</v>
      </c>
      <c r="W95" s="110"/>
      <c r="X95" s="110">
        <v>-18</v>
      </c>
      <c r="Y95" s="110">
        <v>-40</v>
      </c>
      <c r="Z95" s="110">
        <v>-20</v>
      </c>
      <c r="AA95" s="110">
        <f>-5.7-14.6</f>
        <v>-20.3</v>
      </c>
      <c r="AB95" s="110">
        <f>-7.6-17</f>
        <v>-24.6</v>
      </c>
      <c r="AC95" s="110">
        <f>-24.8-36.9</f>
        <v>-61.7</v>
      </c>
      <c r="AD95" s="110">
        <f>-24.8-36.9</f>
        <v>-61.7</v>
      </c>
      <c r="AE95" s="110">
        <f>-43.6-52.8</f>
        <v>-96.4</v>
      </c>
      <c r="AF95" s="110">
        <f>-58.8-66.3</f>
        <v>-125.1</v>
      </c>
      <c r="AG95" s="107">
        <v>240</v>
      </c>
      <c r="AH95" s="54">
        <f t="shared" si="18"/>
        <v>-125.1</v>
      </c>
      <c r="AI95" s="108">
        <f t="shared" si="19"/>
        <v>0.95833333333333304</v>
      </c>
    </row>
    <row r="96" spans="1:88" x14ac:dyDescent="0.25">
      <c r="A96" s="109" t="s">
        <v>101</v>
      </c>
      <c r="B96" s="110">
        <v>-1.2</v>
      </c>
      <c r="C96" s="110">
        <v>-1.2</v>
      </c>
      <c r="D96" s="110">
        <v>18.600000000000001</v>
      </c>
      <c r="E96" s="110">
        <v>14.7</v>
      </c>
      <c r="F96" s="110">
        <v>2.6</v>
      </c>
      <c r="G96" s="110">
        <v>4.4000000000000004</v>
      </c>
      <c r="H96" s="110">
        <v>15</v>
      </c>
      <c r="I96" s="110">
        <v>21.3</v>
      </c>
      <c r="J96" s="110">
        <v>30</v>
      </c>
      <c r="K96" s="110">
        <v>29</v>
      </c>
      <c r="L96" s="110">
        <f>-11.2-18</f>
        <v>-29.2</v>
      </c>
      <c r="M96" s="110">
        <f>-11.2-18</f>
        <v>-29.2</v>
      </c>
      <c r="N96" s="110">
        <v>24.7</v>
      </c>
      <c r="O96" s="110">
        <v>29.5</v>
      </c>
      <c r="P96" s="110">
        <v>32.4</v>
      </c>
      <c r="Q96" s="110">
        <v>32.4</v>
      </c>
      <c r="R96" s="110">
        <v>47.5</v>
      </c>
      <c r="S96" s="110">
        <v>47.1</v>
      </c>
      <c r="T96" s="110">
        <v>50</v>
      </c>
      <c r="U96" s="110">
        <v>43.7</v>
      </c>
      <c r="V96" s="110">
        <v>43.7</v>
      </c>
      <c r="W96" s="110"/>
      <c r="X96" s="110">
        <v>59</v>
      </c>
      <c r="Y96" s="110">
        <v>41</v>
      </c>
      <c r="Z96" s="110">
        <v>44</v>
      </c>
      <c r="AA96" s="110">
        <v>54.1</v>
      </c>
      <c r="AB96" s="110">
        <v>53.3</v>
      </c>
      <c r="AC96" s="110">
        <v>48</v>
      </c>
      <c r="AD96" s="110">
        <v>48</v>
      </c>
      <c r="AE96" s="110">
        <v>22.5</v>
      </c>
      <c r="AF96" s="110">
        <v>11.4</v>
      </c>
      <c r="AG96" s="107">
        <v>60</v>
      </c>
      <c r="AH96" s="54">
        <f t="shared" si="18"/>
        <v>59</v>
      </c>
      <c r="AI96" s="108">
        <f t="shared" si="19"/>
        <v>0.75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  <c r="O97" s="112">
        <v>0</v>
      </c>
      <c r="P97" s="112">
        <v>0</v>
      </c>
      <c r="Q97" s="112">
        <v>0</v>
      </c>
      <c r="R97" s="112">
        <v>0</v>
      </c>
      <c r="S97" s="112">
        <v>0</v>
      </c>
      <c r="T97" s="112">
        <v>0</v>
      </c>
      <c r="U97" s="112">
        <v>0</v>
      </c>
      <c r="V97" s="112">
        <v>0</v>
      </c>
      <c r="W97" s="112"/>
      <c r="X97" s="112">
        <v>0</v>
      </c>
      <c r="Y97" s="112">
        <v>0</v>
      </c>
      <c r="Z97" s="112">
        <v>0</v>
      </c>
      <c r="AA97" s="112">
        <v>0</v>
      </c>
      <c r="AB97" s="112">
        <v>0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4">
        <f t="shared" si="18"/>
        <v>0</v>
      </c>
      <c r="AI97" s="108">
        <f t="shared" si="19"/>
        <v>4.1666666666666664E-2</v>
      </c>
    </row>
    <row r="98" spans="1:37" x14ac:dyDescent="0.25">
      <c r="A98" s="111" t="s">
        <v>103</v>
      </c>
      <c r="B98" s="112">
        <v>54</v>
      </c>
      <c r="C98" s="112">
        <v>54</v>
      </c>
      <c r="D98" s="112">
        <v>59.1</v>
      </c>
      <c r="E98" s="112">
        <v>70.7</v>
      </c>
      <c r="F98" s="112">
        <v>70.2</v>
      </c>
      <c r="G98" s="112">
        <v>57.7</v>
      </c>
      <c r="H98" s="112">
        <v>42.5</v>
      </c>
      <c r="I98" s="112">
        <v>58.3</v>
      </c>
      <c r="J98" s="112">
        <v>58.2</v>
      </c>
      <c r="K98" s="112">
        <v>70.900000000000006</v>
      </c>
      <c r="L98" s="112">
        <v>62</v>
      </c>
      <c r="M98" s="112">
        <v>62</v>
      </c>
      <c r="N98" s="112">
        <v>85</v>
      </c>
      <c r="O98" s="112">
        <v>100</v>
      </c>
      <c r="P98" s="112">
        <v>87.5</v>
      </c>
      <c r="Q98" s="112">
        <v>88</v>
      </c>
      <c r="R98" s="112">
        <v>95</v>
      </c>
      <c r="S98" s="112">
        <v>81</v>
      </c>
      <c r="T98" s="112">
        <v>82</v>
      </c>
      <c r="U98" s="112">
        <v>89.4</v>
      </c>
      <c r="V98" s="112">
        <v>89.4</v>
      </c>
      <c r="W98" s="112"/>
      <c r="X98" s="112">
        <v>101</v>
      </c>
      <c r="Y98" s="112">
        <v>47</v>
      </c>
      <c r="Z98" s="112">
        <v>77</v>
      </c>
      <c r="AA98" s="112">
        <v>65.099999999999994</v>
      </c>
      <c r="AB98" s="112">
        <v>66.599999999999994</v>
      </c>
      <c r="AC98" s="112">
        <v>50.9</v>
      </c>
      <c r="AD98" s="112">
        <v>50.9</v>
      </c>
      <c r="AE98" s="112">
        <v>4.5999999999999996</v>
      </c>
      <c r="AF98" s="112">
        <v>37.299999999999997</v>
      </c>
      <c r="AG98" s="113"/>
      <c r="AH98" s="54">
        <f t="shared" si="18"/>
        <v>101</v>
      </c>
      <c r="AI98" s="108">
        <f t="shared" si="19"/>
        <v>0.75</v>
      </c>
    </row>
    <row r="99" spans="1:37" x14ac:dyDescent="0.25">
      <c r="A99" s="111" t="s">
        <v>104</v>
      </c>
      <c r="B99" s="112">
        <v>75.2</v>
      </c>
      <c r="C99" s="112">
        <v>75.2</v>
      </c>
      <c r="D99" s="112">
        <v>75.900000000000006</v>
      </c>
      <c r="E99" s="112">
        <v>81.8</v>
      </c>
      <c r="F99" s="112">
        <v>87.6</v>
      </c>
      <c r="G99" s="112">
        <v>83.2</v>
      </c>
      <c r="H99" s="112">
        <v>61.2</v>
      </c>
      <c r="I99" s="112">
        <v>59</v>
      </c>
      <c r="J99" s="112">
        <v>61.2</v>
      </c>
      <c r="K99" s="112">
        <v>62</v>
      </c>
      <c r="L99" s="112">
        <v>58</v>
      </c>
      <c r="M99" s="112">
        <v>58</v>
      </c>
      <c r="N99" s="112">
        <v>47.5</v>
      </c>
      <c r="O99" s="112">
        <v>45</v>
      </c>
      <c r="P99" s="112">
        <v>57</v>
      </c>
      <c r="Q99" s="112">
        <v>53.3</v>
      </c>
      <c r="R99" s="112">
        <v>65</v>
      </c>
      <c r="S99" s="112">
        <v>80</v>
      </c>
      <c r="T99" s="112">
        <v>70</v>
      </c>
      <c r="U99" s="112">
        <v>69.8</v>
      </c>
      <c r="V99" s="112">
        <v>69.8</v>
      </c>
      <c r="W99" s="112"/>
      <c r="X99" s="112">
        <v>54</v>
      </c>
      <c r="Y99" s="112">
        <v>55</v>
      </c>
      <c r="Z99" s="112">
        <v>73</v>
      </c>
      <c r="AA99" s="112">
        <v>77.400000000000006</v>
      </c>
      <c r="AB99" s="112">
        <v>81.099999999999994</v>
      </c>
      <c r="AC99" s="112">
        <v>72.5</v>
      </c>
      <c r="AD99" s="112">
        <v>72.5</v>
      </c>
      <c r="AE99" s="112">
        <v>66.7</v>
      </c>
      <c r="AF99" s="112">
        <v>74.2</v>
      </c>
      <c r="AG99" s="114"/>
      <c r="AH99" s="54">
        <f t="shared" si="18"/>
        <v>87.6</v>
      </c>
      <c r="AI99" s="108">
        <f t="shared" si="19"/>
        <v>0.16666666666666699</v>
      </c>
    </row>
    <row r="100" spans="1:37" ht="15.75" thickBot="1" x14ac:dyDescent="0.3">
      <c r="A100" s="115" t="s">
        <v>105</v>
      </c>
      <c r="B100" s="95">
        <v>50</v>
      </c>
      <c r="C100" s="95">
        <v>50</v>
      </c>
      <c r="D100" s="95">
        <v>36.200000000000003</v>
      </c>
      <c r="E100" s="95">
        <v>31.5</v>
      </c>
      <c r="F100" s="95">
        <v>24</v>
      </c>
      <c r="G100" s="95">
        <v>27</v>
      </c>
      <c r="H100" s="95">
        <v>20.399999999999999</v>
      </c>
      <c r="I100" s="95">
        <v>22.3</v>
      </c>
      <c r="J100" s="95">
        <v>19</v>
      </c>
      <c r="K100" s="95">
        <v>24.4</v>
      </c>
      <c r="L100" s="95">
        <v>28.9</v>
      </c>
      <c r="M100" s="95">
        <v>28.9</v>
      </c>
      <c r="N100" s="95">
        <v>26</v>
      </c>
      <c r="O100" s="95">
        <v>29</v>
      </c>
      <c r="P100" s="95">
        <v>31</v>
      </c>
      <c r="Q100" s="95">
        <v>32</v>
      </c>
      <c r="R100" s="95">
        <v>40</v>
      </c>
      <c r="S100" s="95">
        <v>44</v>
      </c>
      <c r="T100" s="95">
        <v>44</v>
      </c>
      <c r="U100" s="95">
        <v>40.5</v>
      </c>
      <c r="V100" s="95">
        <v>40.5</v>
      </c>
      <c r="W100" s="95"/>
      <c r="X100" s="95">
        <v>31</v>
      </c>
      <c r="Y100" s="95">
        <v>40</v>
      </c>
      <c r="Z100" s="95">
        <v>48</v>
      </c>
      <c r="AA100" s="95">
        <v>60.6</v>
      </c>
      <c r="AB100" s="95">
        <v>60.2</v>
      </c>
      <c r="AC100" s="95">
        <v>57.9</v>
      </c>
      <c r="AD100" s="95">
        <v>57.9</v>
      </c>
      <c r="AE100" s="95">
        <v>69.400000000000006</v>
      </c>
      <c r="AF100" s="95">
        <v>51.5</v>
      </c>
      <c r="AG100" s="114"/>
      <c r="AH100" s="54">
        <f t="shared" si="18"/>
        <v>69.400000000000006</v>
      </c>
      <c r="AI100" s="108">
        <f t="shared" si="19"/>
        <v>0.91666666666666696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0">AF102</f>
        <v>9.9</v>
      </c>
      <c r="C102" s="53">
        <v>9.9</v>
      </c>
      <c r="D102" s="121">
        <f t="shared" ref="D102:S107" si="21">C102</f>
        <v>9.9</v>
      </c>
      <c r="E102" s="121">
        <f t="shared" si="21"/>
        <v>9.9</v>
      </c>
      <c r="F102" s="121">
        <f t="shared" si="21"/>
        <v>9.9</v>
      </c>
      <c r="G102" s="121">
        <f t="shared" si="21"/>
        <v>9.9</v>
      </c>
      <c r="H102" s="121">
        <f t="shared" si="21"/>
        <v>9.9</v>
      </c>
      <c r="I102" s="121">
        <f t="shared" si="21"/>
        <v>9.9</v>
      </c>
      <c r="J102" s="121">
        <f t="shared" si="21"/>
        <v>9.9</v>
      </c>
      <c r="K102" s="121">
        <f t="shared" si="21"/>
        <v>9.9</v>
      </c>
      <c r="L102" s="121">
        <f t="shared" si="21"/>
        <v>9.9</v>
      </c>
      <c r="M102" s="121">
        <f t="shared" si="21"/>
        <v>9.9</v>
      </c>
      <c r="N102" s="121">
        <f t="shared" si="21"/>
        <v>9.9</v>
      </c>
      <c r="O102" s="121">
        <f t="shared" si="21"/>
        <v>9.9</v>
      </c>
      <c r="P102" s="121">
        <f t="shared" si="21"/>
        <v>9.9</v>
      </c>
      <c r="Q102" s="121">
        <f t="shared" si="21"/>
        <v>9.9</v>
      </c>
      <c r="R102" s="121">
        <f t="shared" si="21"/>
        <v>9.9</v>
      </c>
      <c r="S102" s="121">
        <f t="shared" si="21"/>
        <v>9.9</v>
      </c>
      <c r="T102" s="121">
        <f t="shared" ref="T102:AF107" si="22">S102</f>
        <v>9.9</v>
      </c>
      <c r="U102" s="121">
        <f t="shared" si="22"/>
        <v>9.9</v>
      </c>
      <c r="V102" s="121">
        <f t="shared" si="22"/>
        <v>9.9</v>
      </c>
      <c r="W102" s="121">
        <f t="shared" si="22"/>
        <v>9.9</v>
      </c>
      <c r="X102" s="121">
        <f t="shared" si="22"/>
        <v>9.9</v>
      </c>
      <c r="Y102" s="121">
        <f t="shared" si="22"/>
        <v>9.9</v>
      </c>
      <c r="Z102" s="121">
        <f t="shared" si="22"/>
        <v>9.9</v>
      </c>
      <c r="AA102" s="121">
        <f t="shared" si="22"/>
        <v>9.9</v>
      </c>
      <c r="AB102" s="121">
        <f t="shared" si="22"/>
        <v>9.9</v>
      </c>
      <c r="AC102" s="121">
        <f t="shared" si="22"/>
        <v>9.9</v>
      </c>
      <c r="AD102" s="121">
        <f t="shared" si="22"/>
        <v>9.9</v>
      </c>
      <c r="AE102" s="121">
        <f t="shared" si="22"/>
        <v>9.9</v>
      </c>
      <c r="AF102" s="121">
        <f t="shared" si="22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0"/>
        <v>9.6</v>
      </c>
      <c r="C103" s="124">
        <v>9.6</v>
      </c>
      <c r="D103" s="123">
        <f t="shared" si="21"/>
        <v>9.6</v>
      </c>
      <c r="E103" s="123">
        <f t="shared" si="21"/>
        <v>9.6</v>
      </c>
      <c r="F103" s="123">
        <f t="shared" si="21"/>
        <v>9.6</v>
      </c>
      <c r="G103" s="123">
        <f t="shared" si="21"/>
        <v>9.6</v>
      </c>
      <c r="H103" s="123">
        <f t="shared" si="21"/>
        <v>9.6</v>
      </c>
      <c r="I103" s="123">
        <f t="shared" si="21"/>
        <v>9.6</v>
      </c>
      <c r="J103" s="123">
        <f t="shared" si="21"/>
        <v>9.6</v>
      </c>
      <c r="K103" s="123">
        <f t="shared" si="21"/>
        <v>9.6</v>
      </c>
      <c r="L103" s="123">
        <f t="shared" si="21"/>
        <v>9.6</v>
      </c>
      <c r="M103" s="123">
        <f t="shared" si="21"/>
        <v>9.6</v>
      </c>
      <c r="N103" s="123">
        <f t="shared" si="21"/>
        <v>9.6</v>
      </c>
      <c r="O103" s="123">
        <f t="shared" si="21"/>
        <v>9.6</v>
      </c>
      <c r="P103" s="123">
        <f t="shared" si="21"/>
        <v>9.6</v>
      </c>
      <c r="Q103" s="123">
        <f t="shared" si="21"/>
        <v>9.6</v>
      </c>
      <c r="R103" s="123">
        <f t="shared" si="21"/>
        <v>9.6</v>
      </c>
      <c r="S103" s="123">
        <f t="shared" si="21"/>
        <v>9.6</v>
      </c>
      <c r="T103" s="123">
        <f t="shared" si="22"/>
        <v>9.6</v>
      </c>
      <c r="U103" s="123">
        <f t="shared" si="22"/>
        <v>9.6</v>
      </c>
      <c r="V103" s="123">
        <f t="shared" si="22"/>
        <v>9.6</v>
      </c>
      <c r="W103" s="123">
        <f t="shared" si="22"/>
        <v>9.6</v>
      </c>
      <c r="X103" s="123">
        <f t="shared" si="22"/>
        <v>9.6</v>
      </c>
      <c r="Y103" s="123">
        <f t="shared" si="22"/>
        <v>9.6</v>
      </c>
      <c r="Z103" s="123">
        <f t="shared" si="22"/>
        <v>9.6</v>
      </c>
      <c r="AA103" s="123">
        <f t="shared" si="22"/>
        <v>9.6</v>
      </c>
      <c r="AB103" s="123">
        <f t="shared" si="22"/>
        <v>9.6</v>
      </c>
      <c r="AC103" s="123">
        <f t="shared" si="22"/>
        <v>9.6</v>
      </c>
      <c r="AD103" s="123">
        <f t="shared" si="22"/>
        <v>9.6</v>
      </c>
      <c r="AE103" s="123">
        <f t="shared" si="22"/>
        <v>9.6</v>
      </c>
      <c r="AF103" s="123">
        <f t="shared" si="22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0"/>
        <v>9.98</v>
      </c>
      <c r="C104" s="124">
        <v>9.98</v>
      </c>
      <c r="D104" s="123">
        <f t="shared" si="21"/>
        <v>9.98</v>
      </c>
      <c r="E104" s="123">
        <f t="shared" si="21"/>
        <v>9.98</v>
      </c>
      <c r="F104" s="123">
        <f t="shared" si="21"/>
        <v>9.98</v>
      </c>
      <c r="G104" s="123">
        <f t="shared" si="21"/>
        <v>9.98</v>
      </c>
      <c r="H104" s="123">
        <f t="shared" si="21"/>
        <v>9.98</v>
      </c>
      <c r="I104" s="123">
        <f t="shared" si="21"/>
        <v>9.98</v>
      </c>
      <c r="J104" s="123">
        <f t="shared" si="21"/>
        <v>9.98</v>
      </c>
      <c r="K104" s="123">
        <f t="shared" si="21"/>
        <v>9.98</v>
      </c>
      <c r="L104" s="123">
        <f t="shared" si="21"/>
        <v>9.98</v>
      </c>
      <c r="M104" s="123">
        <f t="shared" si="21"/>
        <v>9.98</v>
      </c>
      <c r="N104" s="123">
        <f t="shared" si="21"/>
        <v>9.98</v>
      </c>
      <c r="O104" s="123">
        <f t="shared" si="21"/>
        <v>9.98</v>
      </c>
      <c r="P104" s="123">
        <f t="shared" si="21"/>
        <v>9.98</v>
      </c>
      <c r="Q104" s="123">
        <f t="shared" si="21"/>
        <v>9.98</v>
      </c>
      <c r="R104" s="123">
        <f t="shared" si="21"/>
        <v>9.98</v>
      </c>
      <c r="S104" s="123">
        <f t="shared" si="21"/>
        <v>9.98</v>
      </c>
      <c r="T104" s="123">
        <f t="shared" si="22"/>
        <v>9.98</v>
      </c>
      <c r="U104" s="123">
        <f t="shared" si="22"/>
        <v>9.98</v>
      </c>
      <c r="V104" s="123">
        <f t="shared" si="22"/>
        <v>9.98</v>
      </c>
      <c r="W104" s="123">
        <f t="shared" si="22"/>
        <v>9.98</v>
      </c>
      <c r="X104" s="123">
        <f t="shared" si="22"/>
        <v>9.98</v>
      </c>
      <c r="Y104" s="123">
        <f t="shared" si="22"/>
        <v>9.98</v>
      </c>
      <c r="Z104" s="123">
        <f t="shared" si="22"/>
        <v>9.98</v>
      </c>
      <c r="AA104" s="123">
        <f t="shared" si="22"/>
        <v>9.98</v>
      </c>
      <c r="AB104" s="123">
        <f t="shared" si="22"/>
        <v>9.98</v>
      </c>
      <c r="AC104" s="123">
        <f t="shared" si="22"/>
        <v>9.98</v>
      </c>
      <c r="AD104" s="123">
        <f t="shared" si="22"/>
        <v>9.98</v>
      </c>
      <c r="AE104" s="123">
        <f t="shared" si="22"/>
        <v>9.98</v>
      </c>
      <c r="AF104" s="123">
        <f t="shared" si="22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0"/>
        <v>9.1</v>
      </c>
      <c r="C105" s="124">
        <v>9.1</v>
      </c>
      <c r="D105" s="123">
        <f t="shared" si="21"/>
        <v>9.1</v>
      </c>
      <c r="E105" s="123">
        <f t="shared" si="21"/>
        <v>9.1</v>
      </c>
      <c r="F105" s="123">
        <f t="shared" si="21"/>
        <v>9.1</v>
      </c>
      <c r="G105" s="123">
        <f t="shared" si="21"/>
        <v>9.1</v>
      </c>
      <c r="H105" s="123">
        <f t="shared" si="21"/>
        <v>9.1</v>
      </c>
      <c r="I105" s="123">
        <f t="shared" si="21"/>
        <v>9.1</v>
      </c>
      <c r="J105" s="123">
        <f t="shared" si="21"/>
        <v>9.1</v>
      </c>
      <c r="K105" s="123">
        <f t="shared" si="21"/>
        <v>9.1</v>
      </c>
      <c r="L105" s="123">
        <f t="shared" si="21"/>
        <v>9.1</v>
      </c>
      <c r="M105" s="123">
        <f t="shared" si="21"/>
        <v>9.1</v>
      </c>
      <c r="N105" s="123">
        <f t="shared" si="21"/>
        <v>9.1</v>
      </c>
      <c r="O105" s="123">
        <f t="shared" si="21"/>
        <v>9.1</v>
      </c>
      <c r="P105" s="123">
        <f t="shared" si="21"/>
        <v>9.1</v>
      </c>
      <c r="Q105" s="123">
        <f t="shared" si="21"/>
        <v>9.1</v>
      </c>
      <c r="R105" s="123">
        <f t="shared" si="21"/>
        <v>9.1</v>
      </c>
      <c r="S105" s="123">
        <f t="shared" si="21"/>
        <v>9.1</v>
      </c>
      <c r="T105" s="123">
        <f t="shared" si="22"/>
        <v>9.1</v>
      </c>
      <c r="U105" s="123">
        <f t="shared" si="22"/>
        <v>9.1</v>
      </c>
      <c r="V105" s="123">
        <f t="shared" si="22"/>
        <v>9.1</v>
      </c>
      <c r="W105" s="123">
        <f t="shared" si="22"/>
        <v>9.1</v>
      </c>
      <c r="X105" s="123">
        <f t="shared" si="22"/>
        <v>9.1</v>
      </c>
      <c r="Y105" s="123">
        <f t="shared" si="22"/>
        <v>9.1</v>
      </c>
      <c r="Z105" s="123">
        <f t="shared" si="22"/>
        <v>9.1</v>
      </c>
      <c r="AA105" s="123">
        <f t="shared" si="22"/>
        <v>9.1</v>
      </c>
      <c r="AB105" s="123">
        <f t="shared" si="22"/>
        <v>9.1</v>
      </c>
      <c r="AC105" s="123">
        <f t="shared" si="22"/>
        <v>9.1</v>
      </c>
      <c r="AD105" s="123">
        <f t="shared" si="22"/>
        <v>9.1</v>
      </c>
      <c r="AE105" s="123">
        <f t="shared" si="22"/>
        <v>9.1</v>
      </c>
      <c r="AF105" s="123">
        <f t="shared" si="22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0"/>
        <v>9.18</v>
      </c>
      <c r="C106" s="124">
        <v>9.18</v>
      </c>
      <c r="D106" s="123">
        <f t="shared" si="21"/>
        <v>9.18</v>
      </c>
      <c r="E106" s="123">
        <f t="shared" si="21"/>
        <v>9.18</v>
      </c>
      <c r="F106" s="123">
        <f t="shared" si="21"/>
        <v>9.18</v>
      </c>
      <c r="G106" s="123">
        <f t="shared" si="21"/>
        <v>9.18</v>
      </c>
      <c r="H106" s="123">
        <f t="shared" si="21"/>
        <v>9.18</v>
      </c>
      <c r="I106" s="123">
        <f t="shared" si="21"/>
        <v>9.18</v>
      </c>
      <c r="J106" s="123">
        <f t="shared" si="21"/>
        <v>9.18</v>
      </c>
      <c r="K106" s="123">
        <f t="shared" si="21"/>
        <v>9.18</v>
      </c>
      <c r="L106" s="123">
        <f t="shared" si="21"/>
        <v>9.18</v>
      </c>
      <c r="M106" s="123">
        <f t="shared" si="21"/>
        <v>9.18</v>
      </c>
      <c r="N106" s="123">
        <f t="shared" si="21"/>
        <v>9.18</v>
      </c>
      <c r="O106" s="123">
        <f t="shared" si="21"/>
        <v>9.18</v>
      </c>
      <c r="P106" s="123">
        <f t="shared" si="21"/>
        <v>9.18</v>
      </c>
      <c r="Q106" s="123">
        <f t="shared" si="21"/>
        <v>9.18</v>
      </c>
      <c r="R106" s="123">
        <f t="shared" si="21"/>
        <v>9.18</v>
      </c>
      <c r="S106" s="123">
        <f t="shared" si="21"/>
        <v>9.18</v>
      </c>
      <c r="T106" s="123">
        <f t="shared" si="22"/>
        <v>9.18</v>
      </c>
      <c r="U106" s="123">
        <f t="shared" si="22"/>
        <v>9.18</v>
      </c>
      <c r="V106" s="123">
        <f t="shared" si="22"/>
        <v>9.18</v>
      </c>
      <c r="W106" s="123">
        <f t="shared" si="22"/>
        <v>9.18</v>
      </c>
      <c r="X106" s="123">
        <f t="shared" si="22"/>
        <v>9.18</v>
      </c>
      <c r="Y106" s="123">
        <f t="shared" si="22"/>
        <v>9.18</v>
      </c>
      <c r="Z106" s="123">
        <f t="shared" si="22"/>
        <v>9.18</v>
      </c>
      <c r="AA106" s="123">
        <f t="shared" si="22"/>
        <v>9.18</v>
      </c>
      <c r="AB106" s="123">
        <f t="shared" si="22"/>
        <v>9.18</v>
      </c>
      <c r="AC106" s="123">
        <f t="shared" si="22"/>
        <v>9.18</v>
      </c>
      <c r="AD106" s="123">
        <f t="shared" si="22"/>
        <v>9.18</v>
      </c>
      <c r="AE106" s="123">
        <f t="shared" si="22"/>
        <v>9.18</v>
      </c>
      <c r="AF106" s="123">
        <f t="shared" si="22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0"/>
        <v>7</v>
      </c>
      <c r="C107" s="124">
        <v>7</v>
      </c>
      <c r="D107" s="123">
        <f t="shared" si="21"/>
        <v>7</v>
      </c>
      <c r="E107" s="123">
        <f t="shared" si="21"/>
        <v>7</v>
      </c>
      <c r="F107" s="123">
        <f t="shared" si="21"/>
        <v>7</v>
      </c>
      <c r="G107" s="123">
        <f t="shared" si="21"/>
        <v>7</v>
      </c>
      <c r="H107" s="123">
        <f t="shared" si="21"/>
        <v>7</v>
      </c>
      <c r="I107" s="123">
        <f t="shared" si="21"/>
        <v>7</v>
      </c>
      <c r="J107" s="123">
        <f t="shared" si="21"/>
        <v>7</v>
      </c>
      <c r="K107" s="123">
        <f t="shared" si="21"/>
        <v>7</v>
      </c>
      <c r="L107" s="123">
        <f t="shared" si="21"/>
        <v>7</v>
      </c>
      <c r="M107" s="123">
        <f t="shared" si="21"/>
        <v>7</v>
      </c>
      <c r="N107" s="123">
        <f t="shared" si="21"/>
        <v>7</v>
      </c>
      <c r="O107" s="123">
        <f t="shared" si="21"/>
        <v>7</v>
      </c>
      <c r="P107" s="123">
        <f t="shared" si="21"/>
        <v>7</v>
      </c>
      <c r="Q107" s="123">
        <f t="shared" si="21"/>
        <v>7</v>
      </c>
      <c r="R107" s="123">
        <f t="shared" si="21"/>
        <v>7</v>
      </c>
      <c r="S107" s="123">
        <f t="shared" si="21"/>
        <v>7</v>
      </c>
      <c r="T107" s="123">
        <f t="shared" si="22"/>
        <v>7</v>
      </c>
      <c r="U107" s="123">
        <f t="shared" si="22"/>
        <v>7</v>
      </c>
      <c r="V107" s="123">
        <f t="shared" si="22"/>
        <v>7</v>
      </c>
      <c r="W107" s="123">
        <f t="shared" si="22"/>
        <v>7</v>
      </c>
      <c r="X107" s="123">
        <f t="shared" si="22"/>
        <v>7</v>
      </c>
      <c r="Y107" s="123">
        <f t="shared" si="22"/>
        <v>7</v>
      </c>
      <c r="Z107" s="123">
        <f t="shared" si="22"/>
        <v>7</v>
      </c>
      <c r="AA107" s="123">
        <f t="shared" si="22"/>
        <v>7</v>
      </c>
      <c r="AB107" s="123">
        <f t="shared" si="22"/>
        <v>7</v>
      </c>
      <c r="AC107" s="123">
        <f t="shared" si="22"/>
        <v>7</v>
      </c>
      <c r="AD107" s="123">
        <f t="shared" si="22"/>
        <v>7</v>
      </c>
      <c r="AE107" s="123">
        <f t="shared" si="22"/>
        <v>7</v>
      </c>
      <c r="AF107" s="123">
        <f t="shared" si="22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3">C109</f>
        <v>2.25</v>
      </c>
      <c r="E109" s="123">
        <f t="shared" si="23"/>
        <v>2.25</v>
      </c>
      <c r="F109" s="123">
        <f t="shared" si="23"/>
        <v>2.25</v>
      </c>
      <c r="G109" s="123">
        <f t="shared" si="23"/>
        <v>2.25</v>
      </c>
      <c r="H109" s="123">
        <f t="shared" si="23"/>
        <v>2.25</v>
      </c>
      <c r="I109" s="123">
        <f t="shared" si="23"/>
        <v>2.25</v>
      </c>
      <c r="J109" s="123">
        <f t="shared" si="23"/>
        <v>2.25</v>
      </c>
      <c r="K109" s="123">
        <f t="shared" si="23"/>
        <v>2.25</v>
      </c>
      <c r="L109" s="123">
        <f t="shared" si="23"/>
        <v>2.25</v>
      </c>
      <c r="M109" s="123">
        <f t="shared" si="23"/>
        <v>2.25</v>
      </c>
      <c r="N109" s="123">
        <f t="shared" si="23"/>
        <v>2.25</v>
      </c>
      <c r="O109" s="123">
        <f t="shared" si="23"/>
        <v>2.25</v>
      </c>
      <c r="P109" s="123">
        <f t="shared" si="23"/>
        <v>2.25</v>
      </c>
      <c r="Q109" s="123">
        <f t="shared" si="23"/>
        <v>2.25</v>
      </c>
      <c r="R109" s="123">
        <f t="shared" si="23"/>
        <v>2.25</v>
      </c>
      <c r="S109" s="123">
        <f t="shared" si="23"/>
        <v>2.25</v>
      </c>
      <c r="T109" s="123">
        <f t="shared" ref="T109:AF110" si="24">S109</f>
        <v>2.25</v>
      </c>
      <c r="U109" s="123">
        <f t="shared" si="24"/>
        <v>2.25</v>
      </c>
      <c r="V109" s="123">
        <f t="shared" si="24"/>
        <v>2.25</v>
      </c>
      <c r="W109" s="123">
        <f t="shared" si="24"/>
        <v>2.25</v>
      </c>
      <c r="X109" s="123">
        <f t="shared" si="24"/>
        <v>2.25</v>
      </c>
      <c r="Y109" s="123">
        <f t="shared" si="24"/>
        <v>2.25</v>
      </c>
      <c r="Z109" s="123">
        <f t="shared" si="24"/>
        <v>2.25</v>
      </c>
      <c r="AA109" s="123">
        <f t="shared" si="24"/>
        <v>2.25</v>
      </c>
      <c r="AB109" s="123">
        <f t="shared" si="24"/>
        <v>2.25</v>
      </c>
      <c r="AC109" s="123">
        <f t="shared" si="24"/>
        <v>2.25</v>
      </c>
      <c r="AD109" s="123">
        <f t="shared" si="24"/>
        <v>2.25</v>
      </c>
      <c r="AE109" s="123">
        <f t="shared" si="24"/>
        <v>2.25</v>
      </c>
      <c r="AF109" s="123">
        <f t="shared" si="24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3"/>
        <v>1.64</v>
      </c>
      <c r="E110" s="123">
        <f t="shared" si="23"/>
        <v>1.64</v>
      </c>
      <c r="F110" s="123">
        <f t="shared" si="23"/>
        <v>1.64</v>
      </c>
      <c r="G110" s="123">
        <f t="shared" si="23"/>
        <v>1.64</v>
      </c>
      <c r="H110" s="123">
        <f t="shared" si="23"/>
        <v>1.64</v>
      </c>
      <c r="I110" s="123">
        <f t="shared" si="23"/>
        <v>1.64</v>
      </c>
      <c r="J110" s="123">
        <f t="shared" si="23"/>
        <v>1.64</v>
      </c>
      <c r="K110" s="123">
        <f t="shared" si="23"/>
        <v>1.64</v>
      </c>
      <c r="L110" s="123">
        <f t="shared" si="23"/>
        <v>1.64</v>
      </c>
      <c r="M110" s="123">
        <f t="shared" si="23"/>
        <v>1.64</v>
      </c>
      <c r="N110" s="123">
        <f t="shared" si="23"/>
        <v>1.64</v>
      </c>
      <c r="O110" s="123">
        <f t="shared" si="23"/>
        <v>1.64</v>
      </c>
      <c r="P110" s="123">
        <f t="shared" si="23"/>
        <v>1.64</v>
      </c>
      <c r="Q110" s="123">
        <f t="shared" si="23"/>
        <v>1.64</v>
      </c>
      <c r="R110" s="123">
        <f t="shared" si="23"/>
        <v>1.64</v>
      </c>
      <c r="S110" s="123">
        <f t="shared" si="23"/>
        <v>1.64</v>
      </c>
      <c r="T110" s="123">
        <f t="shared" si="24"/>
        <v>1.64</v>
      </c>
      <c r="U110" s="123">
        <f t="shared" si="24"/>
        <v>1.64</v>
      </c>
      <c r="V110" s="123">
        <f t="shared" si="24"/>
        <v>1.64</v>
      </c>
      <c r="W110" s="123">
        <f t="shared" si="24"/>
        <v>1.64</v>
      </c>
      <c r="X110" s="123">
        <f t="shared" si="24"/>
        <v>1.64</v>
      </c>
      <c r="Y110" s="123">
        <f t="shared" si="24"/>
        <v>1.64</v>
      </c>
      <c r="Z110" s="123">
        <f t="shared" si="24"/>
        <v>1.64</v>
      </c>
      <c r="AA110" s="123">
        <f t="shared" si="24"/>
        <v>1.64</v>
      </c>
      <c r="AB110" s="123">
        <f t="shared" si="24"/>
        <v>1.64</v>
      </c>
      <c r="AC110" s="123">
        <f t="shared" si="24"/>
        <v>1.64</v>
      </c>
      <c r="AD110" s="123">
        <f t="shared" si="24"/>
        <v>1.64</v>
      </c>
      <c r="AE110" s="123">
        <f t="shared" si="24"/>
        <v>1.64</v>
      </c>
      <c r="AF110" s="123">
        <f t="shared" si="24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5">AF112</f>
        <v>1.62</v>
      </c>
      <c r="C112" s="124">
        <v>1.62</v>
      </c>
      <c r="D112" s="123">
        <f t="shared" ref="D112:S119" si="26">C112</f>
        <v>1.62</v>
      </c>
      <c r="E112" s="123">
        <f t="shared" si="26"/>
        <v>1.62</v>
      </c>
      <c r="F112" s="123">
        <f t="shared" si="26"/>
        <v>1.62</v>
      </c>
      <c r="G112" s="123">
        <f t="shared" si="26"/>
        <v>1.62</v>
      </c>
      <c r="H112" s="123">
        <f t="shared" si="26"/>
        <v>1.62</v>
      </c>
      <c r="I112" s="123">
        <f t="shared" si="26"/>
        <v>1.62</v>
      </c>
      <c r="J112" s="123">
        <f t="shared" si="26"/>
        <v>1.62</v>
      </c>
      <c r="K112" s="123">
        <f t="shared" si="26"/>
        <v>1.62</v>
      </c>
      <c r="L112" s="123">
        <f t="shared" si="26"/>
        <v>1.62</v>
      </c>
      <c r="M112" s="123">
        <f t="shared" si="26"/>
        <v>1.62</v>
      </c>
      <c r="N112" s="123">
        <f t="shared" si="26"/>
        <v>1.62</v>
      </c>
      <c r="O112" s="123">
        <f t="shared" si="26"/>
        <v>1.62</v>
      </c>
      <c r="P112" s="123">
        <f t="shared" si="26"/>
        <v>1.62</v>
      </c>
      <c r="Q112" s="123">
        <f t="shared" si="26"/>
        <v>1.62</v>
      </c>
      <c r="R112" s="123">
        <f t="shared" si="26"/>
        <v>1.62</v>
      </c>
      <c r="S112" s="123">
        <f t="shared" si="26"/>
        <v>1.62</v>
      </c>
      <c r="T112" s="123">
        <f t="shared" ref="T112:AF127" si="27">S112</f>
        <v>1.62</v>
      </c>
      <c r="U112" s="123">
        <f t="shared" si="27"/>
        <v>1.62</v>
      </c>
      <c r="V112" s="123">
        <f t="shared" si="27"/>
        <v>1.62</v>
      </c>
      <c r="W112" s="123">
        <f t="shared" si="27"/>
        <v>1.62</v>
      </c>
      <c r="X112" s="123">
        <f t="shared" si="27"/>
        <v>1.62</v>
      </c>
      <c r="Y112" s="123">
        <f t="shared" si="27"/>
        <v>1.62</v>
      </c>
      <c r="Z112" s="123">
        <f t="shared" si="27"/>
        <v>1.62</v>
      </c>
      <c r="AA112" s="123">
        <f t="shared" si="27"/>
        <v>1.62</v>
      </c>
      <c r="AB112" s="123">
        <f t="shared" si="27"/>
        <v>1.62</v>
      </c>
      <c r="AC112" s="123">
        <f t="shared" si="27"/>
        <v>1.62</v>
      </c>
      <c r="AD112" s="123">
        <f t="shared" si="27"/>
        <v>1.62</v>
      </c>
      <c r="AE112" s="123">
        <f t="shared" si="27"/>
        <v>1.62</v>
      </c>
      <c r="AF112" s="123">
        <f t="shared" si="27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5"/>
        <v>8.36</v>
      </c>
      <c r="C113" s="124">
        <v>8.36</v>
      </c>
      <c r="D113" s="123">
        <f t="shared" si="26"/>
        <v>8.36</v>
      </c>
      <c r="E113" s="123">
        <f t="shared" si="26"/>
        <v>8.36</v>
      </c>
      <c r="F113" s="123">
        <f t="shared" si="26"/>
        <v>8.36</v>
      </c>
      <c r="G113" s="123">
        <f t="shared" si="26"/>
        <v>8.36</v>
      </c>
      <c r="H113" s="123">
        <f t="shared" si="26"/>
        <v>8.36</v>
      </c>
      <c r="I113" s="123">
        <f t="shared" si="26"/>
        <v>8.36</v>
      </c>
      <c r="J113" s="123">
        <f t="shared" si="26"/>
        <v>8.36</v>
      </c>
      <c r="K113" s="123">
        <f t="shared" si="26"/>
        <v>8.36</v>
      </c>
      <c r="L113" s="123">
        <f t="shared" si="26"/>
        <v>8.36</v>
      </c>
      <c r="M113" s="123">
        <f t="shared" si="26"/>
        <v>8.36</v>
      </c>
      <c r="N113" s="123">
        <f t="shared" si="26"/>
        <v>8.36</v>
      </c>
      <c r="O113" s="123">
        <f t="shared" si="26"/>
        <v>8.36</v>
      </c>
      <c r="P113" s="123">
        <f t="shared" si="26"/>
        <v>8.36</v>
      </c>
      <c r="Q113" s="123">
        <f t="shared" si="26"/>
        <v>8.36</v>
      </c>
      <c r="R113" s="123">
        <f t="shared" si="26"/>
        <v>8.36</v>
      </c>
      <c r="S113" s="123">
        <f t="shared" si="26"/>
        <v>8.36</v>
      </c>
      <c r="T113" s="123">
        <f t="shared" si="27"/>
        <v>8.36</v>
      </c>
      <c r="U113" s="123">
        <f t="shared" si="27"/>
        <v>8.36</v>
      </c>
      <c r="V113" s="123">
        <f t="shared" si="27"/>
        <v>8.36</v>
      </c>
      <c r="W113" s="123">
        <f t="shared" si="27"/>
        <v>8.36</v>
      </c>
      <c r="X113" s="123">
        <f t="shared" si="27"/>
        <v>8.36</v>
      </c>
      <c r="Y113" s="123">
        <f t="shared" si="27"/>
        <v>8.36</v>
      </c>
      <c r="Z113" s="123">
        <f t="shared" si="27"/>
        <v>8.36</v>
      </c>
      <c r="AA113" s="123">
        <f t="shared" si="27"/>
        <v>8.36</v>
      </c>
      <c r="AB113" s="123">
        <f t="shared" si="27"/>
        <v>8.36</v>
      </c>
      <c r="AC113" s="123">
        <f t="shared" si="27"/>
        <v>8.36</v>
      </c>
      <c r="AD113" s="123">
        <f t="shared" si="27"/>
        <v>8.36</v>
      </c>
      <c r="AE113" s="123">
        <f t="shared" si="27"/>
        <v>8.36</v>
      </c>
      <c r="AF113" s="123">
        <f t="shared" si="27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5"/>
        <v>5.4</v>
      </c>
      <c r="C114" s="124">
        <v>8</v>
      </c>
      <c r="D114" s="123">
        <f t="shared" si="26"/>
        <v>8</v>
      </c>
      <c r="E114" s="123">
        <f t="shared" si="26"/>
        <v>8</v>
      </c>
      <c r="F114" s="123">
        <f t="shared" si="26"/>
        <v>8</v>
      </c>
      <c r="G114" s="123">
        <f t="shared" si="26"/>
        <v>8</v>
      </c>
      <c r="H114" s="123">
        <f t="shared" si="26"/>
        <v>8</v>
      </c>
      <c r="I114" s="123">
        <f t="shared" si="26"/>
        <v>8</v>
      </c>
      <c r="J114" s="123">
        <v>5.4</v>
      </c>
      <c r="K114" s="123">
        <f t="shared" si="26"/>
        <v>5.4</v>
      </c>
      <c r="L114" s="123">
        <f t="shared" si="26"/>
        <v>5.4</v>
      </c>
      <c r="M114" s="123">
        <f t="shared" si="26"/>
        <v>5.4</v>
      </c>
      <c r="N114" s="123">
        <f t="shared" si="26"/>
        <v>5.4</v>
      </c>
      <c r="O114" s="123">
        <f t="shared" si="26"/>
        <v>5.4</v>
      </c>
      <c r="P114" s="123">
        <f t="shared" si="26"/>
        <v>5.4</v>
      </c>
      <c r="Q114" s="123">
        <f t="shared" si="26"/>
        <v>5.4</v>
      </c>
      <c r="R114" s="123">
        <f t="shared" si="26"/>
        <v>5.4</v>
      </c>
      <c r="S114" s="123">
        <f t="shared" si="26"/>
        <v>5.4</v>
      </c>
      <c r="T114" s="123">
        <f t="shared" si="27"/>
        <v>5.4</v>
      </c>
      <c r="U114" s="123">
        <f t="shared" si="27"/>
        <v>5.4</v>
      </c>
      <c r="V114" s="123">
        <f t="shared" si="27"/>
        <v>5.4</v>
      </c>
      <c r="W114" s="123">
        <f t="shared" si="27"/>
        <v>5.4</v>
      </c>
      <c r="X114" s="123">
        <f t="shared" si="27"/>
        <v>5.4</v>
      </c>
      <c r="Y114" s="123">
        <f t="shared" si="27"/>
        <v>5.4</v>
      </c>
      <c r="Z114" s="123">
        <f t="shared" si="27"/>
        <v>5.4</v>
      </c>
      <c r="AA114" s="123">
        <f t="shared" si="27"/>
        <v>5.4</v>
      </c>
      <c r="AB114" s="123">
        <f t="shared" si="27"/>
        <v>5.4</v>
      </c>
      <c r="AC114" s="123">
        <f t="shared" si="27"/>
        <v>5.4</v>
      </c>
      <c r="AD114" s="123">
        <f t="shared" si="27"/>
        <v>5.4</v>
      </c>
      <c r="AE114" s="123">
        <f t="shared" si="27"/>
        <v>5.4</v>
      </c>
      <c r="AF114" s="123">
        <f t="shared" si="27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5"/>
        <v>6.57</v>
      </c>
      <c r="C115" s="124">
        <v>6.57</v>
      </c>
      <c r="D115" s="123">
        <f t="shared" si="26"/>
        <v>6.57</v>
      </c>
      <c r="E115" s="123">
        <f t="shared" si="26"/>
        <v>6.57</v>
      </c>
      <c r="F115" s="123">
        <f t="shared" si="26"/>
        <v>6.57</v>
      </c>
      <c r="G115" s="123">
        <f t="shared" si="26"/>
        <v>6.57</v>
      </c>
      <c r="H115" s="123">
        <f t="shared" si="26"/>
        <v>6.57</v>
      </c>
      <c r="I115" s="123">
        <f t="shared" si="26"/>
        <v>6.57</v>
      </c>
      <c r="J115" s="123">
        <f t="shared" si="26"/>
        <v>6.57</v>
      </c>
      <c r="K115" s="123">
        <f t="shared" si="26"/>
        <v>6.57</v>
      </c>
      <c r="L115" s="123">
        <f t="shared" si="26"/>
        <v>6.57</v>
      </c>
      <c r="M115" s="123">
        <f t="shared" si="26"/>
        <v>6.57</v>
      </c>
      <c r="N115" s="123">
        <f t="shared" si="26"/>
        <v>6.57</v>
      </c>
      <c r="O115" s="123">
        <f t="shared" si="26"/>
        <v>6.57</v>
      </c>
      <c r="P115" s="123">
        <f t="shared" si="26"/>
        <v>6.57</v>
      </c>
      <c r="Q115" s="123">
        <f t="shared" si="26"/>
        <v>6.57</v>
      </c>
      <c r="R115" s="123">
        <f t="shared" si="26"/>
        <v>6.57</v>
      </c>
      <c r="S115" s="123">
        <f t="shared" si="26"/>
        <v>6.57</v>
      </c>
      <c r="T115" s="123">
        <f t="shared" si="27"/>
        <v>6.57</v>
      </c>
      <c r="U115" s="123">
        <f t="shared" si="27"/>
        <v>6.57</v>
      </c>
      <c r="V115" s="123">
        <f t="shared" si="27"/>
        <v>6.57</v>
      </c>
      <c r="W115" s="123">
        <f t="shared" si="27"/>
        <v>6.57</v>
      </c>
      <c r="X115" s="123">
        <f t="shared" si="27"/>
        <v>6.57</v>
      </c>
      <c r="Y115" s="123">
        <f t="shared" si="27"/>
        <v>6.57</v>
      </c>
      <c r="Z115" s="123">
        <f t="shared" si="27"/>
        <v>6.57</v>
      </c>
      <c r="AA115" s="123">
        <f t="shared" si="27"/>
        <v>6.57</v>
      </c>
      <c r="AB115" s="123">
        <f t="shared" si="27"/>
        <v>6.57</v>
      </c>
      <c r="AC115" s="123">
        <f t="shared" si="27"/>
        <v>6.57</v>
      </c>
      <c r="AD115" s="123">
        <f t="shared" si="27"/>
        <v>6.57</v>
      </c>
      <c r="AE115" s="123">
        <f t="shared" si="27"/>
        <v>6.57</v>
      </c>
      <c r="AF115" s="123">
        <f t="shared" si="27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5"/>
        <v>3.43</v>
      </c>
      <c r="C116" s="124">
        <v>3.43</v>
      </c>
      <c r="D116" s="123">
        <f t="shared" si="26"/>
        <v>3.43</v>
      </c>
      <c r="E116" s="123">
        <f t="shared" si="26"/>
        <v>3.43</v>
      </c>
      <c r="F116" s="123">
        <f t="shared" si="26"/>
        <v>3.43</v>
      </c>
      <c r="G116" s="123">
        <f t="shared" si="26"/>
        <v>3.43</v>
      </c>
      <c r="H116" s="123">
        <f t="shared" si="26"/>
        <v>3.43</v>
      </c>
      <c r="I116" s="123">
        <f t="shared" si="26"/>
        <v>3.43</v>
      </c>
      <c r="J116" s="123">
        <f t="shared" si="26"/>
        <v>3.43</v>
      </c>
      <c r="K116" s="123">
        <f t="shared" si="26"/>
        <v>3.43</v>
      </c>
      <c r="L116" s="123">
        <f t="shared" si="26"/>
        <v>3.43</v>
      </c>
      <c r="M116" s="123">
        <f t="shared" si="26"/>
        <v>3.43</v>
      </c>
      <c r="N116" s="123">
        <f t="shared" si="26"/>
        <v>3.43</v>
      </c>
      <c r="O116" s="123">
        <f t="shared" si="26"/>
        <v>3.43</v>
      </c>
      <c r="P116" s="123">
        <f t="shared" si="26"/>
        <v>3.43</v>
      </c>
      <c r="Q116" s="123">
        <f t="shared" si="26"/>
        <v>3.43</v>
      </c>
      <c r="R116" s="123">
        <f t="shared" si="26"/>
        <v>3.43</v>
      </c>
      <c r="S116" s="123">
        <f t="shared" si="26"/>
        <v>3.43</v>
      </c>
      <c r="T116" s="123">
        <f t="shared" si="27"/>
        <v>3.43</v>
      </c>
      <c r="U116" s="123">
        <f t="shared" si="27"/>
        <v>3.43</v>
      </c>
      <c r="V116" s="123">
        <f t="shared" si="27"/>
        <v>3.43</v>
      </c>
      <c r="W116" s="123">
        <f t="shared" si="27"/>
        <v>3.43</v>
      </c>
      <c r="X116" s="123">
        <f t="shared" si="27"/>
        <v>3.43</v>
      </c>
      <c r="Y116" s="123">
        <f t="shared" si="27"/>
        <v>3.43</v>
      </c>
      <c r="Z116" s="123">
        <f t="shared" si="27"/>
        <v>3.43</v>
      </c>
      <c r="AA116" s="123">
        <f t="shared" si="27"/>
        <v>3.43</v>
      </c>
      <c r="AB116" s="123">
        <f t="shared" si="27"/>
        <v>3.43</v>
      </c>
      <c r="AC116" s="123">
        <f t="shared" si="27"/>
        <v>3.43</v>
      </c>
      <c r="AD116" s="123">
        <f t="shared" si="27"/>
        <v>3.43</v>
      </c>
      <c r="AE116" s="123">
        <f t="shared" si="27"/>
        <v>3.43</v>
      </c>
      <c r="AF116" s="123">
        <f t="shared" si="27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5"/>
        <v>2.96</v>
      </c>
      <c r="C117" s="124">
        <v>2.96</v>
      </c>
      <c r="D117" s="123">
        <f t="shared" si="26"/>
        <v>2.96</v>
      </c>
      <c r="E117" s="123">
        <f t="shared" si="26"/>
        <v>2.96</v>
      </c>
      <c r="F117" s="123">
        <f t="shared" si="26"/>
        <v>2.96</v>
      </c>
      <c r="G117" s="123">
        <f t="shared" si="26"/>
        <v>2.96</v>
      </c>
      <c r="H117" s="123">
        <f t="shared" si="26"/>
        <v>2.96</v>
      </c>
      <c r="I117" s="123">
        <f t="shared" si="26"/>
        <v>2.96</v>
      </c>
      <c r="J117" s="123">
        <f t="shared" si="26"/>
        <v>2.96</v>
      </c>
      <c r="K117" s="123">
        <f t="shared" si="26"/>
        <v>2.96</v>
      </c>
      <c r="L117" s="123">
        <f t="shared" si="26"/>
        <v>2.96</v>
      </c>
      <c r="M117" s="123">
        <f t="shared" si="26"/>
        <v>2.96</v>
      </c>
      <c r="N117" s="123">
        <f t="shared" si="26"/>
        <v>2.96</v>
      </c>
      <c r="O117" s="123">
        <f t="shared" si="26"/>
        <v>2.96</v>
      </c>
      <c r="P117" s="123">
        <f t="shared" si="26"/>
        <v>2.96</v>
      </c>
      <c r="Q117" s="123">
        <f t="shared" si="26"/>
        <v>2.96</v>
      </c>
      <c r="R117" s="123">
        <f t="shared" si="26"/>
        <v>2.96</v>
      </c>
      <c r="S117" s="123">
        <f t="shared" si="26"/>
        <v>2.96</v>
      </c>
      <c r="T117" s="123">
        <f t="shared" si="27"/>
        <v>2.96</v>
      </c>
      <c r="U117" s="123">
        <f t="shared" si="27"/>
        <v>2.96</v>
      </c>
      <c r="V117" s="123">
        <f t="shared" si="27"/>
        <v>2.96</v>
      </c>
      <c r="W117" s="123">
        <f t="shared" si="27"/>
        <v>2.96</v>
      </c>
      <c r="X117" s="123">
        <f t="shared" si="27"/>
        <v>2.96</v>
      </c>
      <c r="Y117" s="123">
        <f t="shared" si="27"/>
        <v>2.96</v>
      </c>
      <c r="Z117" s="123">
        <f t="shared" si="27"/>
        <v>2.96</v>
      </c>
      <c r="AA117" s="123">
        <f t="shared" si="27"/>
        <v>2.96</v>
      </c>
      <c r="AB117" s="123">
        <f t="shared" si="27"/>
        <v>2.96</v>
      </c>
      <c r="AC117" s="123">
        <f t="shared" si="27"/>
        <v>2.96</v>
      </c>
      <c r="AD117" s="123">
        <f t="shared" si="27"/>
        <v>2.96</v>
      </c>
      <c r="AE117" s="123">
        <f t="shared" si="27"/>
        <v>2.96</v>
      </c>
      <c r="AF117" s="123">
        <f t="shared" si="27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5"/>
        <v>8</v>
      </c>
      <c r="C118" s="124">
        <v>8</v>
      </c>
      <c r="D118" s="123">
        <f t="shared" si="26"/>
        <v>8</v>
      </c>
      <c r="E118" s="123">
        <f t="shared" si="26"/>
        <v>8</v>
      </c>
      <c r="F118" s="123">
        <f t="shared" si="26"/>
        <v>8</v>
      </c>
      <c r="G118" s="123">
        <f t="shared" si="26"/>
        <v>8</v>
      </c>
      <c r="H118" s="123">
        <f t="shared" si="26"/>
        <v>8</v>
      </c>
      <c r="I118" s="123">
        <f t="shared" si="26"/>
        <v>8</v>
      </c>
      <c r="J118" s="123">
        <f t="shared" si="26"/>
        <v>8</v>
      </c>
      <c r="K118" s="123">
        <f t="shared" si="26"/>
        <v>8</v>
      </c>
      <c r="L118" s="123">
        <f t="shared" si="26"/>
        <v>8</v>
      </c>
      <c r="M118" s="123">
        <f t="shared" si="26"/>
        <v>8</v>
      </c>
      <c r="N118" s="123">
        <f t="shared" si="26"/>
        <v>8</v>
      </c>
      <c r="O118" s="123">
        <f t="shared" si="26"/>
        <v>8</v>
      </c>
      <c r="P118" s="123">
        <f t="shared" si="26"/>
        <v>8</v>
      </c>
      <c r="Q118" s="123">
        <f t="shared" si="26"/>
        <v>8</v>
      </c>
      <c r="R118" s="123">
        <f t="shared" si="26"/>
        <v>8</v>
      </c>
      <c r="S118" s="123">
        <f t="shared" si="26"/>
        <v>8</v>
      </c>
      <c r="T118" s="123">
        <f t="shared" si="27"/>
        <v>8</v>
      </c>
      <c r="U118" s="123">
        <f t="shared" si="27"/>
        <v>8</v>
      </c>
      <c r="V118" s="123">
        <f t="shared" si="27"/>
        <v>8</v>
      </c>
      <c r="W118" s="123">
        <f t="shared" si="27"/>
        <v>8</v>
      </c>
      <c r="X118" s="123">
        <f t="shared" si="27"/>
        <v>8</v>
      </c>
      <c r="Y118" s="123">
        <f t="shared" si="27"/>
        <v>8</v>
      </c>
      <c r="Z118" s="123">
        <f t="shared" si="27"/>
        <v>8</v>
      </c>
      <c r="AA118" s="123">
        <f t="shared" si="27"/>
        <v>8</v>
      </c>
      <c r="AB118" s="123">
        <f t="shared" si="27"/>
        <v>8</v>
      </c>
      <c r="AC118" s="123">
        <f t="shared" si="27"/>
        <v>8</v>
      </c>
      <c r="AD118" s="123">
        <f t="shared" si="27"/>
        <v>8</v>
      </c>
      <c r="AE118" s="123">
        <f t="shared" si="27"/>
        <v>8</v>
      </c>
      <c r="AF118" s="123">
        <f t="shared" si="27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5"/>
        <v>7</v>
      </c>
      <c r="C119" s="124">
        <v>7</v>
      </c>
      <c r="D119" s="123">
        <f>C119</f>
        <v>7</v>
      </c>
      <c r="E119" s="123">
        <f t="shared" si="26"/>
        <v>7</v>
      </c>
      <c r="F119" s="123">
        <f t="shared" si="26"/>
        <v>7</v>
      </c>
      <c r="G119" s="123">
        <f t="shared" si="26"/>
        <v>7</v>
      </c>
      <c r="H119" s="123">
        <f t="shared" si="26"/>
        <v>7</v>
      </c>
      <c r="I119" s="123">
        <f t="shared" si="26"/>
        <v>7</v>
      </c>
      <c r="J119" s="123">
        <f t="shared" si="26"/>
        <v>7</v>
      </c>
      <c r="K119" s="123">
        <f t="shared" si="26"/>
        <v>7</v>
      </c>
      <c r="L119" s="123">
        <f t="shared" si="26"/>
        <v>7</v>
      </c>
      <c r="M119" s="123">
        <f t="shared" si="26"/>
        <v>7</v>
      </c>
      <c r="N119" s="123">
        <f t="shared" si="26"/>
        <v>7</v>
      </c>
      <c r="O119" s="123">
        <f t="shared" si="26"/>
        <v>7</v>
      </c>
      <c r="P119" s="123">
        <f t="shared" si="26"/>
        <v>7</v>
      </c>
      <c r="Q119" s="123">
        <f t="shared" si="26"/>
        <v>7</v>
      </c>
      <c r="R119" s="123">
        <f t="shared" si="26"/>
        <v>7</v>
      </c>
      <c r="S119" s="123">
        <f t="shared" si="26"/>
        <v>7</v>
      </c>
      <c r="T119" s="123">
        <f t="shared" si="27"/>
        <v>7</v>
      </c>
      <c r="U119" s="123">
        <f t="shared" si="27"/>
        <v>7</v>
      </c>
      <c r="V119" s="123">
        <f t="shared" si="27"/>
        <v>7</v>
      </c>
      <c r="W119" s="123">
        <f t="shared" si="27"/>
        <v>7</v>
      </c>
      <c r="X119" s="123">
        <f t="shared" si="27"/>
        <v>7</v>
      </c>
      <c r="Y119" s="123">
        <f t="shared" si="27"/>
        <v>7</v>
      </c>
      <c r="Z119" s="123">
        <f t="shared" si="27"/>
        <v>7</v>
      </c>
      <c r="AA119" s="123">
        <f t="shared" si="27"/>
        <v>7</v>
      </c>
      <c r="AB119" s="123">
        <f t="shared" si="27"/>
        <v>7</v>
      </c>
      <c r="AC119" s="123">
        <f t="shared" si="27"/>
        <v>7</v>
      </c>
      <c r="AD119" s="123">
        <f t="shared" si="27"/>
        <v>7</v>
      </c>
      <c r="AE119" s="123">
        <f t="shared" si="27"/>
        <v>7</v>
      </c>
      <c r="AF119" s="123">
        <f t="shared" si="27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5"/>
        <v>3.47</v>
      </c>
      <c r="C120" s="124">
        <v>3.47</v>
      </c>
      <c r="D120" s="123">
        <f t="shared" ref="D120:S129" si="28">C120</f>
        <v>3.47</v>
      </c>
      <c r="E120" s="123">
        <f t="shared" si="28"/>
        <v>3.47</v>
      </c>
      <c r="F120" s="123">
        <f t="shared" si="28"/>
        <v>3.47</v>
      </c>
      <c r="G120" s="123">
        <f t="shared" si="28"/>
        <v>3.47</v>
      </c>
      <c r="H120" s="123">
        <f t="shared" si="28"/>
        <v>3.47</v>
      </c>
      <c r="I120" s="123">
        <f t="shared" si="28"/>
        <v>3.47</v>
      </c>
      <c r="J120" s="123">
        <f t="shared" si="28"/>
        <v>3.47</v>
      </c>
      <c r="K120" s="123">
        <f t="shared" si="28"/>
        <v>3.47</v>
      </c>
      <c r="L120" s="123">
        <f t="shared" si="28"/>
        <v>3.47</v>
      </c>
      <c r="M120" s="123">
        <f t="shared" si="28"/>
        <v>3.47</v>
      </c>
      <c r="N120" s="123">
        <f t="shared" si="28"/>
        <v>3.47</v>
      </c>
      <c r="O120" s="123">
        <f t="shared" si="28"/>
        <v>3.47</v>
      </c>
      <c r="P120" s="123">
        <f t="shared" si="28"/>
        <v>3.47</v>
      </c>
      <c r="Q120" s="123">
        <f t="shared" si="28"/>
        <v>3.47</v>
      </c>
      <c r="R120" s="123">
        <f t="shared" si="28"/>
        <v>3.47</v>
      </c>
      <c r="S120" s="123">
        <f t="shared" si="28"/>
        <v>3.47</v>
      </c>
      <c r="T120" s="123">
        <f t="shared" si="27"/>
        <v>3.47</v>
      </c>
      <c r="U120" s="123">
        <f t="shared" si="27"/>
        <v>3.47</v>
      </c>
      <c r="V120" s="123">
        <f t="shared" si="27"/>
        <v>3.47</v>
      </c>
      <c r="W120" s="123">
        <f t="shared" si="27"/>
        <v>3.47</v>
      </c>
      <c r="X120" s="123">
        <f t="shared" si="27"/>
        <v>3.47</v>
      </c>
      <c r="Y120" s="123">
        <f t="shared" si="27"/>
        <v>3.47</v>
      </c>
      <c r="Z120" s="123">
        <f t="shared" si="27"/>
        <v>3.47</v>
      </c>
      <c r="AA120" s="123">
        <f t="shared" si="27"/>
        <v>3.47</v>
      </c>
      <c r="AB120" s="123">
        <f t="shared" si="27"/>
        <v>3.47</v>
      </c>
      <c r="AC120" s="123">
        <f t="shared" si="27"/>
        <v>3.47</v>
      </c>
      <c r="AD120" s="123">
        <f t="shared" si="27"/>
        <v>3.47</v>
      </c>
      <c r="AE120" s="123">
        <f t="shared" si="27"/>
        <v>3.47</v>
      </c>
      <c r="AF120" s="123">
        <f t="shared" si="27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5"/>
        <v>2.1</v>
      </c>
      <c r="C121" s="124">
        <v>2.1</v>
      </c>
      <c r="D121" s="123">
        <f t="shared" si="28"/>
        <v>2.1</v>
      </c>
      <c r="E121" s="123">
        <f t="shared" si="28"/>
        <v>2.1</v>
      </c>
      <c r="F121" s="123">
        <f t="shared" si="28"/>
        <v>2.1</v>
      </c>
      <c r="G121" s="123">
        <f t="shared" si="28"/>
        <v>2.1</v>
      </c>
      <c r="H121" s="123">
        <f t="shared" si="28"/>
        <v>2.1</v>
      </c>
      <c r="I121" s="123">
        <f t="shared" si="28"/>
        <v>2.1</v>
      </c>
      <c r="J121" s="123">
        <f t="shared" si="28"/>
        <v>2.1</v>
      </c>
      <c r="K121" s="123">
        <f t="shared" si="28"/>
        <v>2.1</v>
      </c>
      <c r="L121" s="123">
        <f t="shared" si="28"/>
        <v>2.1</v>
      </c>
      <c r="M121" s="123">
        <f t="shared" si="28"/>
        <v>2.1</v>
      </c>
      <c r="N121" s="123">
        <f t="shared" si="28"/>
        <v>2.1</v>
      </c>
      <c r="O121" s="123">
        <f t="shared" si="28"/>
        <v>2.1</v>
      </c>
      <c r="P121" s="123">
        <f t="shared" si="28"/>
        <v>2.1</v>
      </c>
      <c r="Q121" s="123">
        <f t="shared" si="28"/>
        <v>2.1</v>
      </c>
      <c r="R121" s="123">
        <f t="shared" si="28"/>
        <v>2.1</v>
      </c>
      <c r="S121" s="123">
        <f t="shared" si="28"/>
        <v>2.1</v>
      </c>
      <c r="T121" s="123">
        <f t="shared" si="27"/>
        <v>2.1</v>
      </c>
      <c r="U121" s="123">
        <f t="shared" si="27"/>
        <v>2.1</v>
      </c>
      <c r="V121" s="123">
        <f t="shared" si="27"/>
        <v>2.1</v>
      </c>
      <c r="W121" s="123">
        <f t="shared" si="27"/>
        <v>2.1</v>
      </c>
      <c r="X121" s="123">
        <f t="shared" si="27"/>
        <v>2.1</v>
      </c>
      <c r="Y121" s="123">
        <f t="shared" si="27"/>
        <v>2.1</v>
      </c>
      <c r="Z121" s="123">
        <f t="shared" si="27"/>
        <v>2.1</v>
      </c>
      <c r="AA121" s="123">
        <f t="shared" si="27"/>
        <v>2.1</v>
      </c>
      <c r="AB121" s="123">
        <f t="shared" si="27"/>
        <v>2.1</v>
      </c>
      <c r="AC121" s="123">
        <f t="shared" si="27"/>
        <v>2.1</v>
      </c>
      <c r="AD121" s="123">
        <f t="shared" si="27"/>
        <v>2.1</v>
      </c>
      <c r="AE121" s="123">
        <f t="shared" si="27"/>
        <v>2.1</v>
      </c>
      <c r="AF121" s="123">
        <f t="shared" si="27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5"/>
        <v>9.3000000000000007</v>
      </c>
      <c r="C122" s="124">
        <v>9.3000000000000007</v>
      </c>
      <c r="D122" s="123">
        <f t="shared" si="28"/>
        <v>9.3000000000000007</v>
      </c>
      <c r="E122" s="123">
        <f t="shared" si="28"/>
        <v>9.3000000000000007</v>
      </c>
      <c r="F122" s="123">
        <f t="shared" si="28"/>
        <v>9.3000000000000007</v>
      </c>
      <c r="G122" s="123">
        <f t="shared" si="28"/>
        <v>9.3000000000000007</v>
      </c>
      <c r="H122" s="123">
        <f t="shared" si="28"/>
        <v>9.3000000000000007</v>
      </c>
      <c r="I122" s="123">
        <f t="shared" si="28"/>
        <v>9.3000000000000007</v>
      </c>
      <c r="J122" s="123">
        <f t="shared" si="28"/>
        <v>9.3000000000000007</v>
      </c>
      <c r="K122" s="123">
        <f t="shared" si="28"/>
        <v>9.3000000000000007</v>
      </c>
      <c r="L122" s="123">
        <f t="shared" si="28"/>
        <v>9.3000000000000007</v>
      </c>
      <c r="M122" s="123">
        <f t="shared" si="28"/>
        <v>9.3000000000000007</v>
      </c>
      <c r="N122" s="123">
        <f t="shared" si="28"/>
        <v>9.3000000000000007</v>
      </c>
      <c r="O122" s="123">
        <f t="shared" si="28"/>
        <v>9.3000000000000007</v>
      </c>
      <c r="P122" s="123">
        <f t="shared" si="28"/>
        <v>9.3000000000000007</v>
      </c>
      <c r="Q122" s="123">
        <f t="shared" si="28"/>
        <v>9.3000000000000007</v>
      </c>
      <c r="R122" s="123">
        <f t="shared" si="28"/>
        <v>9.3000000000000007</v>
      </c>
      <c r="S122" s="123">
        <f t="shared" si="28"/>
        <v>9.3000000000000007</v>
      </c>
      <c r="T122" s="123">
        <f t="shared" si="27"/>
        <v>9.3000000000000007</v>
      </c>
      <c r="U122" s="123">
        <f t="shared" si="27"/>
        <v>9.3000000000000007</v>
      </c>
      <c r="V122" s="123">
        <f t="shared" si="27"/>
        <v>9.3000000000000007</v>
      </c>
      <c r="W122" s="123">
        <f t="shared" si="27"/>
        <v>9.3000000000000007</v>
      </c>
      <c r="X122" s="123">
        <f t="shared" si="27"/>
        <v>9.3000000000000007</v>
      </c>
      <c r="Y122" s="123">
        <f t="shared" si="27"/>
        <v>9.3000000000000007</v>
      </c>
      <c r="Z122" s="123">
        <f t="shared" si="27"/>
        <v>9.3000000000000007</v>
      </c>
      <c r="AA122" s="123">
        <f t="shared" si="27"/>
        <v>9.3000000000000007</v>
      </c>
      <c r="AB122" s="123">
        <f t="shared" si="27"/>
        <v>9.3000000000000007</v>
      </c>
      <c r="AC122" s="123">
        <f t="shared" si="27"/>
        <v>9.3000000000000007</v>
      </c>
      <c r="AD122" s="123">
        <f t="shared" si="27"/>
        <v>9.3000000000000007</v>
      </c>
      <c r="AE122" s="123">
        <f t="shared" si="27"/>
        <v>9.3000000000000007</v>
      </c>
      <c r="AF122" s="123">
        <f t="shared" si="27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5"/>
        <v>0</v>
      </c>
      <c r="C123" s="124">
        <v>0</v>
      </c>
      <c r="D123" s="123">
        <f t="shared" si="28"/>
        <v>0</v>
      </c>
      <c r="E123" s="123">
        <f t="shared" si="28"/>
        <v>0</v>
      </c>
      <c r="F123" s="123">
        <f t="shared" si="28"/>
        <v>0</v>
      </c>
      <c r="G123" s="123">
        <f t="shared" si="28"/>
        <v>0</v>
      </c>
      <c r="H123" s="123">
        <f t="shared" si="28"/>
        <v>0</v>
      </c>
      <c r="I123" s="123">
        <f t="shared" si="28"/>
        <v>0</v>
      </c>
      <c r="J123" s="123">
        <f t="shared" si="28"/>
        <v>0</v>
      </c>
      <c r="K123" s="123">
        <f t="shared" si="28"/>
        <v>0</v>
      </c>
      <c r="L123" s="123">
        <f t="shared" si="28"/>
        <v>0</v>
      </c>
      <c r="M123" s="123">
        <f t="shared" si="28"/>
        <v>0</v>
      </c>
      <c r="N123" s="123">
        <f t="shared" si="28"/>
        <v>0</v>
      </c>
      <c r="O123" s="123">
        <f t="shared" si="28"/>
        <v>0</v>
      </c>
      <c r="P123" s="123">
        <f t="shared" si="28"/>
        <v>0</v>
      </c>
      <c r="Q123" s="123">
        <f t="shared" si="28"/>
        <v>0</v>
      </c>
      <c r="R123" s="123">
        <f t="shared" si="28"/>
        <v>0</v>
      </c>
      <c r="S123" s="123">
        <f t="shared" si="28"/>
        <v>0</v>
      </c>
      <c r="T123" s="123">
        <f t="shared" si="27"/>
        <v>0</v>
      </c>
      <c r="U123" s="123">
        <f t="shared" si="27"/>
        <v>0</v>
      </c>
      <c r="V123" s="123">
        <f t="shared" si="27"/>
        <v>0</v>
      </c>
      <c r="W123" s="123">
        <f t="shared" si="27"/>
        <v>0</v>
      </c>
      <c r="X123" s="123">
        <f t="shared" si="27"/>
        <v>0</v>
      </c>
      <c r="Y123" s="123">
        <f t="shared" si="27"/>
        <v>0</v>
      </c>
      <c r="Z123" s="123">
        <f t="shared" si="27"/>
        <v>0</v>
      </c>
      <c r="AA123" s="123">
        <f t="shared" si="27"/>
        <v>0</v>
      </c>
      <c r="AB123" s="123">
        <f t="shared" si="27"/>
        <v>0</v>
      </c>
      <c r="AC123" s="123">
        <f t="shared" si="27"/>
        <v>0</v>
      </c>
      <c r="AD123" s="123">
        <f t="shared" si="27"/>
        <v>0</v>
      </c>
      <c r="AE123" s="123">
        <f t="shared" si="27"/>
        <v>0</v>
      </c>
      <c r="AF123" s="123">
        <f t="shared" si="27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5"/>
        <v>0</v>
      </c>
      <c r="C124" s="124">
        <v>0</v>
      </c>
      <c r="D124" s="123">
        <f t="shared" si="28"/>
        <v>0</v>
      </c>
      <c r="E124" s="123">
        <f t="shared" si="28"/>
        <v>0</v>
      </c>
      <c r="F124" s="123">
        <f t="shared" si="28"/>
        <v>0</v>
      </c>
      <c r="G124" s="123">
        <f t="shared" si="28"/>
        <v>0</v>
      </c>
      <c r="H124" s="123">
        <f t="shared" si="28"/>
        <v>0</v>
      </c>
      <c r="I124" s="123">
        <f t="shared" si="28"/>
        <v>0</v>
      </c>
      <c r="J124" s="123">
        <f t="shared" si="28"/>
        <v>0</v>
      </c>
      <c r="K124" s="123">
        <f t="shared" si="28"/>
        <v>0</v>
      </c>
      <c r="L124" s="123">
        <f t="shared" si="28"/>
        <v>0</v>
      </c>
      <c r="M124" s="123">
        <f t="shared" si="28"/>
        <v>0</v>
      </c>
      <c r="N124" s="123">
        <f t="shared" si="28"/>
        <v>0</v>
      </c>
      <c r="O124" s="123">
        <f t="shared" si="28"/>
        <v>0</v>
      </c>
      <c r="P124" s="123">
        <f t="shared" si="28"/>
        <v>0</v>
      </c>
      <c r="Q124" s="123">
        <f t="shared" si="28"/>
        <v>0</v>
      </c>
      <c r="R124" s="123">
        <f t="shared" si="28"/>
        <v>0</v>
      </c>
      <c r="S124" s="123">
        <f t="shared" si="28"/>
        <v>0</v>
      </c>
      <c r="T124" s="123">
        <f t="shared" si="27"/>
        <v>0</v>
      </c>
      <c r="U124" s="123">
        <f t="shared" si="27"/>
        <v>0</v>
      </c>
      <c r="V124" s="123">
        <f t="shared" si="27"/>
        <v>0</v>
      </c>
      <c r="W124" s="123">
        <f t="shared" si="27"/>
        <v>0</v>
      </c>
      <c r="X124" s="123">
        <f t="shared" si="27"/>
        <v>0</v>
      </c>
      <c r="Y124" s="123">
        <f t="shared" si="27"/>
        <v>0</v>
      </c>
      <c r="Z124" s="123">
        <f t="shared" si="27"/>
        <v>0</v>
      </c>
      <c r="AA124" s="123">
        <f t="shared" si="27"/>
        <v>0</v>
      </c>
      <c r="AB124" s="123">
        <f t="shared" si="27"/>
        <v>0</v>
      </c>
      <c r="AC124" s="123">
        <f t="shared" si="27"/>
        <v>0</v>
      </c>
      <c r="AD124" s="123">
        <f t="shared" si="27"/>
        <v>0</v>
      </c>
      <c r="AE124" s="123">
        <f t="shared" si="27"/>
        <v>0</v>
      </c>
      <c r="AF124" s="123">
        <f t="shared" si="27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5"/>
        <v>;/</v>
      </c>
      <c r="C125" s="124">
        <v>5</v>
      </c>
      <c r="D125" s="123">
        <f t="shared" si="28"/>
        <v>5</v>
      </c>
      <c r="E125" s="123">
        <f t="shared" si="28"/>
        <v>5</v>
      </c>
      <c r="F125" s="123">
        <f t="shared" si="28"/>
        <v>5</v>
      </c>
      <c r="G125" s="123">
        <f t="shared" si="28"/>
        <v>5</v>
      </c>
      <c r="H125" s="123">
        <f t="shared" si="28"/>
        <v>5</v>
      </c>
      <c r="I125" s="123" t="s">
        <v>131</v>
      </c>
      <c r="J125" s="123" t="str">
        <f t="shared" si="28"/>
        <v>;/</v>
      </c>
      <c r="K125" s="123" t="str">
        <f t="shared" si="28"/>
        <v>;/</v>
      </c>
      <c r="L125" s="123" t="str">
        <f t="shared" si="28"/>
        <v>;/</v>
      </c>
      <c r="M125" s="123" t="str">
        <f t="shared" si="28"/>
        <v>;/</v>
      </c>
      <c r="N125" s="123" t="str">
        <f t="shared" si="28"/>
        <v>;/</v>
      </c>
      <c r="O125" s="123" t="str">
        <f t="shared" si="28"/>
        <v>;/</v>
      </c>
      <c r="P125" s="123" t="str">
        <f t="shared" si="28"/>
        <v>;/</v>
      </c>
      <c r="Q125" s="123" t="str">
        <f t="shared" si="28"/>
        <v>;/</v>
      </c>
      <c r="R125" s="123" t="str">
        <f t="shared" si="28"/>
        <v>;/</v>
      </c>
      <c r="S125" s="123" t="str">
        <f t="shared" si="28"/>
        <v>;/</v>
      </c>
      <c r="T125" s="123" t="str">
        <f t="shared" si="27"/>
        <v>;/</v>
      </c>
      <c r="U125" s="123" t="str">
        <f t="shared" si="27"/>
        <v>;/</v>
      </c>
      <c r="V125" s="123" t="str">
        <f t="shared" si="27"/>
        <v>;/</v>
      </c>
      <c r="W125" s="123" t="str">
        <f t="shared" si="27"/>
        <v>;/</v>
      </c>
      <c r="X125" s="123" t="str">
        <f t="shared" si="27"/>
        <v>;/</v>
      </c>
      <c r="Y125" s="123" t="str">
        <f t="shared" si="27"/>
        <v>;/</v>
      </c>
      <c r="Z125" s="123" t="str">
        <f t="shared" si="27"/>
        <v>;/</v>
      </c>
      <c r="AA125" s="123" t="str">
        <f t="shared" si="27"/>
        <v>;/</v>
      </c>
      <c r="AB125" s="123" t="str">
        <f t="shared" si="27"/>
        <v>;/</v>
      </c>
      <c r="AC125" s="123" t="str">
        <f t="shared" si="27"/>
        <v>;/</v>
      </c>
      <c r="AD125" s="123" t="str">
        <f t="shared" si="27"/>
        <v>;/</v>
      </c>
      <c r="AE125" s="123" t="str">
        <f t="shared" si="27"/>
        <v>;/</v>
      </c>
      <c r="AF125" s="123" t="str">
        <f t="shared" si="27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5"/>
        <v>1</v>
      </c>
      <c r="C126" s="124">
        <v>1</v>
      </c>
      <c r="D126" s="123">
        <f t="shared" si="28"/>
        <v>1</v>
      </c>
      <c r="E126" s="123">
        <f t="shared" si="28"/>
        <v>1</v>
      </c>
      <c r="F126" s="123">
        <f t="shared" si="28"/>
        <v>1</v>
      </c>
      <c r="G126" s="123">
        <f t="shared" si="28"/>
        <v>1</v>
      </c>
      <c r="H126" s="123">
        <f t="shared" si="28"/>
        <v>1</v>
      </c>
      <c r="I126" s="123">
        <f t="shared" si="28"/>
        <v>1</v>
      </c>
      <c r="J126" s="123">
        <f t="shared" si="28"/>
        <v>1</v>
      </c>
      <c r="K126" s="123">
        <f t="shared" si="28"/>
        <v>1</v>
      </c>
      <c r="L126" s="123">
        <f t="shared" si="28"/>
        <v>1</v>
      </c>
      <c r="M126" s="123">
        <f t="shared" si="28"/>
        <v>1</v>
      </c>
      <c r="N126" s="123">
        <f t="shared" si="28"/>
        <v>1</v>
      </c>
      <c r="O126" s="123">
        <f t="shared" si="28"/>
        <v>1</v>
      </c>
      <c r="P126" s="123">
        <f t="shared" si="28"/>
        <v>1</v>
      </c>
      <c r="Q126" s="123">
        <f t="shared" si="28"/>
        <v>1</v>
      </c>
      <c r="R126" s="123">
        <f t="shared" si="28"/>
        <v>1</v>
      </c>
      <c r="S126" s="123">
        <f t="shared" si="28"/>
        <v>1</v>
      </c>
      <c r="T126" s="123">
        <f t="shared" si="27"/>
        <v>1</v>
      </c>
      <c r="U126" s="123">
        <f t="shared" si="27"/>
        <v>1</v>
      </c>
      <c r="V126" s="123">
        <f t="shared" si="27"/>
        <v>1</v>
      </c>
      <c r="W126" s="123">
        <f t="shared" si="27"/>
        <v>1</v>
      </c>
      <c r="X126" s="123">
        <f t="shared" si="27"/>
        <v>1</v>
      </c>
      <c r="Y126" s="123">
        <f t="shared" si="27"/>
        <v>1</v>
      </c>
      <c r="Z126" s="123">
        <f t="shared" si="27"/>
        <v>1</v>
      </c>
      <c r="AA126" s="123">
        <f t="shared" si="27"/>
        <v>1</v>
      </c>
      <c r="AB126" s="123">
        <f t="shared" si="27"/>
        <v>1</v>
      </c>
      <c r="AC126" s="123">
        <f t="shared" si="27"/>
        <v>1</v>
      </c>
      <c r="AD126" s="123">
        <f t="shared" si="27"/>
        <v>1</v>
      </c>
      <c r="AE126" s="123">
        <f t="shared" si="27"/>
        <v>1</v>
      </c>
      <c r="AF126" s="123">
        <f t="shared" si="27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5"/>
        <v>1.58</v>
      </c>
      <c r="C127" s="124">
        <v>1.58</v>
      </c>
      <c r="D127" s="123">
        <f t="shared" si="28"/>
        <v>1.58</v>
      </c>
      <c r="E127" s="123">
        <f t="shared" si="28"/>
        <v>1.58</v>
      </c>
      <c r="F127" s="123">
        <f t="shared" si="28"/>
        <v>1.58</v>
      </c>
      <c r="G127" s="123">
        <f t="shared" si="28"/>
        <v>1.58</v>
      </c>
      <c r="H127" s="123">
        <f t="shared" si="28"/>
        <v>1.58</v>
      </c>
      <c r="I127" s="123">
        <f t="shared" si="28"/>
        <v>1.58</v>
      </c>
      <c r="J127" s="123">
        <f t="shared" si="28"/>
        <v>1.58</v>
      </c>
      <c r="K127" s="123">
        <f t="shared" si="28"/>
        <v>1.58</v>
      </c>
      <c r="L127" s="123">
        <f t="shared" si="28"/>
        <v>1.58</v>
      </c>
      <c r="M127" s="123">
        <f t="shared" si="28"/>
        <v>1.58</v>
      </c>
      <c r="N127" s="123">
        <f t="shared" si="28"/>
        <v>1.58</v>
      </c>
      <c r="O127" s="123">
        <f t="shared" si="28"/>
        <v>1.58</v>
      </c>
      <c r="P127" s="123">
        <f t="shared" si="28"/>
        <v>1.58</v>
      </c>
      <c r="Q127" s="123">
        <f t="shared" si="28"/>
        <v>1.58</v>
      </c>
      <c r="R127" s="123">
        <f t="shared" si="28"/>
        <v>1.58</v>
      </c>
      <c r="S127" s="123">
        <f t="shared" si="28"/>
        <v>1.58</v>
      </c>
      <c r="T127" s="123">
        <f t="shared" si="27"/>
        <v>1.58</v>
      </c>
      <c r="U127" s="123">
        <f t="shared" si="27"/>
        <v>1.58</v>
      </c>
      <c r="V127" s="123">
        <f t="shared" si="27"/>
        <v>1.58</v>
      </c>
      <c r="W127" s="123">
        <f t="shared" si="27"/>
        <v>1.58</v>
      </c>
      <c r="X127" s="123">
        <f t="shared" si="27"/>
        <v>1.58</v>
      </c>
      <c r="Y127" s="123">
        <f t="shared" si="27"/>
        <v>1.58</v>
      </c>
      <c r="Z127" s="123">
        <f t="shared" si="27"/>
        <v>1.58</v>
      </c>
      <c r="AA127" s="123">
        <f t="shared" si="27"/>
        <v>1.58</v>
      </c>
      <c r="AB127" s="123">
        <f t="shared" si="27"/>
        <v>1.58</v>
      </c>
      <c r="AC127" s="123">
        <f t="shared" si="27"/>
        <v>1.58</v>
      </c>
      <c r="AD127" s="123">
        <f t="shared" si="27"/>
        <v>1.58</v>
      </c>
      <c r="AE127" s="123">
        <f t="shared" si="27"/>
        <v>1.58</v>
      </c>
      <c r="AF127" s="123">
        <f t="shared" si="27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5"/>
        <v>1.46</v>
      </c>
      <c r="C128" s="124">
        <v>1.46</v>
      </c>
      <c r="D128" s="123">
        <f t="shared" si="28"/>
        <v>1.46</v>
      </c>
      <c r="E128" s="123">
        <f t="shared" si="28"/>
        <v>1.46</v>
      </c>
      <c r="F128" s="123">
        <f t="shared" si="28"/>
        <v>1.46</v>
      </c>
      <c r="G128" s="123">
        <f t="shared" si="28"/>
        <v>1.46</v>
      </c>
      <c r="H128" s="123">
        <f t="shared" si="28"/>
        <v>1.46</v>
      </c>
      <c r="I128" s="123">
        <f t="shared" si="28"/>
        <v>1.46</v>
      </c>
      <c r="J128" s="123">
        <f t="shared" si="28"/>
        <v>1.46</v>
      </c>
      <c r="K128" s="123">
        <f t="shared" si="28"/>
        <v>1.46</v>
      </c>
      <c r="L128" s="123">
        <f t="shared" si="28"/>
        <v>1.46</v>
      </c>
      <c r="M128" s="123">
        <f t="shared" si="28"/>
        <v>1.46</v>
      </c>
      <c r="N128" s="123">
        <f t="shared" si="28"/>
        <v>1.46</v>
      </c>
      <c r="O128" s="123">
        <f t="shared" si="28"/>
        <v>1.46</v>
      </c>
      <c r="P128" s="123">
        <f t="shared" si="28"/>
        <v>1.46</v>
      </c>
      <c r="Q128" s="123">
        <f t="shared" si="28"/>
        <v>1.46</v>
      </c>
      <c r="R128" s="123">
        <f t="shared" si="28"/>
        <v>1.46</v>
      </c>
      <c r="S128" s="123">
        <f t="shared" si="28"/>
        <v>1.46</v>
      </c>
      <c r="T128" s="123">
        <f t="shared" ref="T128:AF129" si="29">S128</f>
        <v>1.46</v>
      </c>
      <c r="U128" s="123">
        <f t="shared" si="29"/>
        <v>1.46</v>
      </c>
      <c r="V128" s="123">
        <f t="shared" si="29"/>
        <v>1.46</v>
      </c>
      <c r="W128" s="123">
        <f t="shared" si="29"/>
        <v>1.46</v>
      </c>
      <c r="X128" s="123">
        <f t="shared" si="29"/>
        <v>1.46</v>
      </c>
      <c r="Y128" s="123">
        <f t="shared" si="29"/>
        <v>1.46</v>
      </c>
      <c r="Z128" s="123">
        <f t="shared" si="29"/>
        <v>1.46</v>
      </c>
      <c r="AA128" s="123">
        <f t="shared" si="29"/>
        <v>1.46</v>
      </c>
      <c r="AB128" s="123">
        <f t="shared" si="29"/>
        <v>1.46</v>
      </c>
      <c r="AC128" s="123">
        <f t="shared" si="29"/>
        <v>1.46</v>
      </c>
      <c r="AD128" s="123">
        <f t="shared" si="29"/>
        <v>1.46</v>
      </c>
      <c r="AE128" s="123">
        <f t="shared" si="29"/>
        <v>1.46</v>
      </c>
      <c r="AF128" s="123">
        <f t="shared" si="29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5"/>
        <v>1.48</v>
      </c>
      <c r="C129" s="124">
        <v>1.48</v>
      </c>
      <c r="D129" s="123">
        <f t="shared" si="28"/>
        <v>1.48</v>
      </c>
      <c r="E129" s="123">
        <f t="shared" si="28"/>
        <v>1.48</v>
      </c>
      <c r="F129" s="123">
        <f t="shared" si="28"/>
        <v>1.48</v>
      </c>
      <c r="G129" s="123">
        <f t="shared" si="28"/>
        <v>1.48</v>
      </c>
      <c r="H129" s="123">
        <f t="shared" si="28"/>
        <v>1.48</v>
      </c>
      <c r="I129" s="123">
        <f t="shared" si="28"/>
        <v>1.48</v>
      </c>
      <c r="J129" s="123">
        <f t="shared" si="28"/>
        <v>1.48</v>
      </c>
      <c r="K129" s="123">
        <f t="shared" si="28"/>
        <v>1.48</v>
      </c>
      <c r="L129" s="123">
        <f t="shared" si="28"/>
        <v>1.48</v>
      </c>
      <c r="M129" s="123">
        <f t="shared" si="28"/>
        <v>1.48</v>
      </c>
      <c r="N129" s="123">
        <f t="shared" si="28"/>
        <v>1.48</v>
      </c>
      <c r="O129" s="123">
        <f t="shared" si="28"/>
        <v>1.48</v>
      </c>
      <c r="P129" s="123">
        <f t="shared" si="28"/>
        <v>1.48</v>
      </c>
      <c r="Q129" s="123">
        <f t="shared" si="28"/>
        <v>1.48</v>
      </c>
      <c r="R129" s="123">
        <f t="shared" si="28"/>
        <v>1.48</v>
      </c>
      <c r="S129" s="123">
        <f t="shared" si="28"/>
        <v>1.48</v>
      </c>
      <c r="T129" s="123">
        <f t="shared" si="29"/>
        <v>1.48</v>
      </c>
      <c r="U129" s="123">
        <f t="shared" si="29"/>
        <v>1.48</v>
      </c>
      <c r="V129" s="123">
        <f t="shared" si="29"/>
        <v>1.48</v>
      </c>
      <c r="W129" s="123">
        <f t="shared" si="29"/>
        <v>1.48</v>
      </c>
      <c r="X129" s="123">
        <f t="shared" si="29"/>
        <v>1.48</v>
      </c>
      <c r="Y129" s="123">
        <f t="shared" si="29"/>
        <v>1.48</v>
      </c>
      <c r="Z129" s="123">
        <f t="shared" si="29"/>
        <v>1.48</v>
      </c>
      <c r="AA129" s="123">
        <f t="shared" si="29"/>
        <v>1.48</v>
      </c>
      <c r="AB129" s="123">
        <f t="shared" si="29"/>
        <v>1.48</v>
      </c>
      <c r="AC129" s="123">
        <f t="shared" si="29"/>
        <v>1.48</v>
      </c>
      <c r="AD129" s="123">
        <f t="shared" si="29"/>
        <v>1.48</v>
      </c>
      <c r="AE129" s="123">
        <f t="shared" si="29"/>
        <v>1.48</v>
      </c>
      <c r="AF129" s="123">
        <f t="shared" si="29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0">AF131</f>
        <v>2.2000000000000002</v>
      </c>
      <c r="C131" s="124">
        <v>2.2000000000000002</v>
      </c>
      <c r="D131" s="123">
        <f t="shared" ref="D131:S138" si="31">C131</f>
        <v>2.2000000000000002</v>
      </c>
      <c r="E131" s="123">
        <f t="shared" si="31"/>
        <v>2.2000000000000002</v>
      </c>
      <c r="F131" s="123">
        <f t="shared" si="31"/>
        <v>2.2000000000000002</v>
      </c>
      <c r="G131" s="123">
        <f t="shared" si="31"/>
        <v>2.2000000000000002</v>
      </c>
      <c r="H131" s="123">
        <f t="shared" si="31"/>
        <v>2.2000000000000002</v>
      </c>
      <c r="I131" s="123">
        <f t="shared" si="31"/>
        <v>2.2000000000000002</v>
      </c>
      <c r="J131" s="123">
        <f t="shared" si="31"/>
        <v>2.2000000000000002</v>
      </c>
      <c r="K131" s="123">
        <f t="shared" si="31"/>
        <v>2.2000000000000002</v>
      </c>
      <c r="L131" s="123">
        <f t="shared" si="31"/>
        <v>2.2000000000000002</v>
      </c>
      <c r="M131" s="123">
        <f t="shared" si="31"/>
        <v>2.2000000000000002</v>
      </c>
      <c r="N131" s="123">
        <f t="shared" si="31"/>
        <v>2.2000000000000002</v>
      </c>
      <c r="O131" s="123">
        <f t="shared" si="31"/>
        <v>2.2000000000000002</v>
      </c>
      <c r="P131" s="123">
        <f t="shared" si="31"/>
        <v>2.2000000000000002</v>
      </c>
      <c r="Q131" s="123">
        <f t="shared" si="31"/>
        <v>2.2000000000000002</v>
      </c>
      <c r="R131" s="123">
        <f t="shared" si="31"/>
        <v>2.2000000000000002</v>
      </c>
      <c r="S131" s="123">
        <f t="shared" si="31"/>
        <v>2.2000000000000002</v>
      </c>
      <c r="T131" s="123">
        <f t="shared" ref="T131:AF138" si="32">S131</f>
        <v>2.2000000000000002</v>
      </c>
      <c r="U131" s="123">
        <f t="shared" si="32"/>
        <v>2.2000000000000002</v>
      </c>
      <c r="V131" s="123">
        <f t="shared" si="32"/>
        <v>2.2000000000000002</v>
      </c>
      <c r="W131" s="123">
        <f t="shared" si="32"/>
        <v>2.2000000000000002</v>
      </c>
      <c r="X131" s="123">
        <f t="shared" si="32"/>
        <v>2.2000000000000002</v>
      </c>
      <c r="Y131" s="123">
        <f t="shared" si="32"/>
        <v>2.2000000000000002</v>
      </c>
      <c r="Z131" s="123">
        <f t="shared" si="32"/>
        <v>2.2000000000000002</v>
      </c>
      <c r="AA131" s="123">
        <f t="shared" si="32"/>
        <v>2.2000000000000002</v>
      </c>
      <c r="AB131" s="123">
        <f t="shared" si="32"/>
        <v>2.2000000000000002</v>
      </c>
      <c r="AC131" s="123">
        <f t="shared" si="32"/>
        <v>2.2000000000000002</v>
      </c>
      <c r="AD131" s="123">
        <f t="shared" si="32"/>
        <v>2.2000000000000002</v>
      </c>
      <c r="AE131" s="123">
        <f t="shared" si="32"/>
        <v>2.2000000000000002</v>
      </c>
      <c r="AF131" s="123">
        <f t="shared" si="32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0"/>
        <v>2</v>
      </c>
      <c r="C132" s="124">
        <v>2</v>
      </c>
      <c r="D132" s="123">
        <f t="shared" si="31"/>
        <v>2</v>
      </c>
      <c r="E132" s="123">
        <f t="shared" si="31"/>
        <v>2</v>
      </c>
      <c r="F132" s="123">
        <f t="shared" si="31"/>
        <v>2</v>
      </c>
      <c r="G132" s="123">
        <f t="shared" si="31"/>
        <v>2</v>
      </c>
      <c r="H132" s="123">
        <f t="shared" si="31"/>
        <v>2</v>
      </c>
      <c r="I132" s="123">
        <f t="shared" si="31"/>
        <v>2</v>
      </c>
      <c r="J132" s="123">
        <f t="shared" si="31"/>
        <v>2</v>
      </c>
      <c r="K132" s="123">
        <f t="shared" si="31"/>
        <v>2</v>
      </c>
      <c r="L132" s="123">
        <f t="shared" si="31"/>
        <v>2</v>
      </c>
      <c r="M132" s="123">
        <f t="shared" si="31"/>
        <v>2</v>
      </c>
      <c r="N132" s="123">
        <f t="shared" si="31"/>
        <v>2</v>
      </c>
      <c r="O132" s="123">
        <f t="shared" si="31"/>
        <v>2</v>
      </c>
      <c r="P132" s="123">
        <f t="shared" si="31"/>
        <v>2</v>
      </c>
      <c r="Q132" s="123">
        <f t="shared" si="31"/>
        <v>2</v>
      </c>
      <c r="R132" s="123">
        <f t="shared" si="31"/>
        <v>2</v>
      </c>
      <c r="S132" s="123">
        <f t="shared" si="31"/>
        <v>2</v>
      </c>
      <c r="T132" s="123">
        <f t="shared" si="32"/>
        <v>2</v>
      </c>
      <c r="U132" s="123">
        <f t="shared" si="32"/>
        <v>2</v>
      </c>
      <c r="V132" s="123">
        <f t="shared" si="32"/>
        <v>2</v>
      </c>
      <c r="W132" s="123">
        <f t="shared" si="32"/>
        <v>2</v>
      </c>
      <c r="X132" s="123">
        <f t="shared" si="32"/>
        <v>2</v>
      </c>
      <c r="Y132" s="123">
        <f t="shared" si="32"/>
        <v>2</v>
      </c>
      <c r="Z132" s="123">
        <f t="shared" si="32"/>
        <v>2</v>
      </c>
      <c r="AA132" s="123">
        <f t="shared" si="32"/>
        <v>2</v>
      </c>
      <c r="AB132" s="123">
        <f t="shared" si="32"/>
        <v>2</v>
      </c>
      <c r="AC132" s="123">
        <f t="shared" si="32"/>
        <v>2</v>
      </c>
      <c r="AD132" s="123">
        <f t="shared" si="32"/>
        <v>2</v>
      </c>
      <c r="AE132" s="123">
        <f t="shared" si="32"/>
        <v>2</v>
      </c>
      <c r="AF132" s="123">
        <f t="shared" si="32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0"/>
        <v>1.25</v>
      </c>
      <c r="C133" s="124">
        <v>1.25</v>
      </c>
      <c r="D133" s="123">
        <f t="shared" si="31"/>
        <v>1.25</v>
      </c>
      <c r="E133" s="123">
        <f t="shared" si="31"/>
        <v>1.25</v>
      </c>
      <c r="F133" s="123">
        <f t="shared" si="31"/>
        <v>1.25</v>
      </c>
      <c r="G133" s="123">
        <f t="shared" si="31"/>
        <v>1.25</v>
      </c>
      <c r="H133" s="123">
        <f t="shared" si="31"/>
        <v>1.25</v>
      </c>
      <c r="I133" s="123">
        <f t="shared" si="31"/>
        <v>1.25</v>
      </c>
      <c r="J133" s="123">
        <f t="shared" si="31"/>
        <v>1.25</v>
      </c>
      <c r="K133" s="123">
        <f t="shared" si="31"/>
        <v>1.25</v>
      </c>
      <c r="L133" s="123">
        <f t="shared" si="31"/>
        <v>1.25</v>
      </c>
      <c r="M133" s="123">
        <f t="shared" si="31"/>
        <v>1.25</v>
      </c>
      <c r="N133" s="123">
        <f t="shared" si="31"/>
        <v>1.25</v>
      </c>
      <c r="O133" s="123">
        <f t="shared" si="31"/>
        <v>1.25</v>
      </c>
      <c r="P133" s="123">
        <f t="shared" si="31"/>
        <v>1.25</v>
      </c>
      <c r="Q133" s="123">
        <f t="shared" si="31"/>
        <v>1.25</v>
      </c>
      <c r="R133" s="123">
        <f t="shared" si="31"/>
        <v>1.25</v>
      </c>
      <c r="S133" s="123">
        <f t="shared" si="31"/>
        <v>1.25</v>
      </c>
      <c r="T133" s="123">
        <f t="shared" si="32"/>
        <v>1.25</v>
      </c>
      <c r="U133" s="123">
        <f t="shared" si="32"/>
        <v>1.25</v>
      </c>
      <c r="V133" s="123">
        <f t="shared" si="32"/>
        <v>1.25</v>
      </c>
      <c r="W133" s="123">
        <f t="shared" si="32"/>
        <v>1.25</v>
      </c>
      <c r="X133" s="123">
        <f t="shared" si="32"/>
        <v>1.25</v>
      </c>
      <c r="Y133" s="123">
        <f t="shared" si="32"/>
        <v>1.25</v>
      </c>
      <c r="Z133" s="123">
        <f t="shared" si="32"/>
        <v>1.25</v>
      </c>
      <c r="AA133" s="123">
        <f t="shared" si="32"/>
        <v>1.25</v>
      </c>
      <c r="AB133" s="123">
        <f t="shared" si="32"/>
        <v>1.25</v>
      </c>
      <c r="AC133" s="123">
        <f t="shared" si="32"/>
        <v>1.25</v>
      </c>
      <c r="AD133" s="123">
        <f t="shared" si="32"/>
        <v>1.25</v>
      </c>
      <c r="AE133" s="123">
        <f t="shared" si="32"/>
        <v>1.25</v>
      </c>
      <c r="AF133" s="123">
        <f t="shared" si="32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0"/>
        <v>1.1499999999999999</v>
      </c>
      <c r="C134" s="124">
        <v>1.1499999999999999</v>
      </c>
      <c r="D134" s="123">
        <f t="shared" si="31"/>
        <v>1.1499999999999999</v>
      </c>
      <c r="E134" s="123">
        <f t="shared" si="31"/>
        <v>1.1499999999999999</v>
      </c>
      <c r="F134" s="123">
        <f t="shared" si="31"/>
        <v>1.1499999999999999</v>
      </c>
      <c r="G134" s="123">
        <f t="shared" si="31"/>
        <v>1.1499999999999999</v>
      </c>
      <c r="H134" s="123">
        <f t="shared" si="31"/>
        <v>1.1499999999999999</v>
      </c>
      <c r="I134" s="123">
        <f t="shared" si="31"/>
        <v>1.1499999999999999</v>
      </c>
      <c r="J134" s="123">
        <f t="shared" si="31"/>
        <v>1.1499999999999999</v>
      </c>
      <c r="K134" s="123">
        <f t="shared" si="31"/>
        <v>1.1499999999999999</v>
      </c>
      <c r="L134" s="123">
        <f t="shared" si="31"/>
        <v>1.1499999999999999</v>
      </c>
      <c r="M134" s="123">
        <f t="shared" si="31"/>
        <v>1.1499999999999999</v>
      </c>
      <c r="N134" s="123">
        <f t="shared" si="31"/>
        <v>1.1499999999999999</v>
      </c>
      <c r="O134" s="123">
        <f t="shared" si="31"/>
        <v>1.1499999999999999</v>
      </c>
      <c r="P134" s="123">
        <f t="shared" si="31"/>
        <v>1.1499999999999999</v>
      </c>
      <c r="Q134" s="123">
        <f t="shared" si="31"/>
        <v>1.1499999999999999</v>
      </c>
      <c r="R134" s="123">
        <f t="shared" si="31"/>
        <v>1.1499999999999999</v>
      </c>
      <c r="S134" s="123">
        <f t="shared" si="31"/>
        <v>1.1499999999999999</v>
      </c>
      <c r="T134" s="123">
        <f t="shared" si="32"/>
        <v>1.1499999999999999</v>
      </c>
      <c r="U134" s="123">
        <f t="shared" si="32"/>
        <v>1.1499999999999999</v>
      </c>
      <c r="V134" s="123">
        <f t="shared" si="32"/>
        <v>1.1499999999999999</v>
      </c>
      <c r="W134" s="123">
        <f t="shared" si="32"/>
        <v>1.1499999999999999</v>
      </c>
      <c r="X134" s="123">
        <f t="shared" si="32"/>
        <v>1.1499999999999999</v>
      </c>
      <c r="Y134" s="123">
        <f t="shared" si="32"/>
        <v>1.1499999999999999</v>
      </c>
      <c r="Z134" s="123">
        <f t="shared" si="32"/>
        <v>1.1499999999999999</v>
      </c>
      <c r="AA134" s="123">
        <f t="shared" si="32"/>
        <v>1.1499999999999999</v>
      </c>
      <c r="AB134" s="123">
        <f t="shared" si="32"/>
        <v>1.1499999999999999</v>
      </c>
      <c r="AC134" s="123">
        <f t="shared" si="32"/>
        <v>1.1499999999999999</v>
      </c>
      <c r="AD134" s="123">
        <f t="shared" si="32"/>
        <v>1.1499999999999999</v>
      </c>
      <c r="AE134" s="123">
        <f t="shared" si="32"/>
        <v>1.1499999999999999</v>
      </c>
      <c r="AF134" s="123">
        <f t="shared" si="32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0"/>
        <v>2.133</v>
      </c>
      <c r="C135" s="124">
        <v>2.133</v>
      </c>
      <c r="D135" s="123">
        <f t="shared" si="31"/>
        <v>2.133</v>
      </c>
      <c r="E135" s="123">
        <f t="shared" si="31"/>
        <v>2.133</v>
      </c>
      <c r="F135" s="123">
        <f t="shared" si="31"/>
        <v>2.133</v>
      </c>
      <c r="G135" s="123">
        <f t="shared" si="31"/>
        <v>2.133</v>
      </c>
      <c r="H135" s="123">
        <f t="shared" si="31"/>
        <v>2.133</v>
      </c>
      <c r="I135" s="123">
        <f t="shared" si="31"/>
        <v>2.133</v>
      </c>
      <c r="J135" s="123">
        <f t="shared" si="31"/>
        <v>2.133</v>
      </c>
      <c r="K135" s="123">
        <f t="shared" si="31"/>
        <v>2.133</v>
      </c>
      <c r="L135" s="123">
        <f t="shared" si="31"/>
        <v>2.133</v>
      </c>
      <c r="M135" s="123">
        <f t="shared" si="31"/>
        <v>2.133</v>
      </c>
      <c r="N135" s="123">
        <f t="shared" si="31"/>
        <v>2.133</v>
      </c>
      <c r="O135" s="123">
        <f t="shared" si="31"/>
        <v>2.133</v>
      </c>
      <c r="P135" s="123">
        <f t="shared" si="31"/>
        <v>2.133</v>
      </c>
      <c r="Q135" s="123">
        <f t="shared" si="31"/>
        <v>2.133</v>
      </c>
      <c r="R135" s="123">
        <f t="shared" si="31"/>
        <v>2.133</v>
      </c>
      <c r="S135" s="123">
        <f t="shared" si="31"/>
        <v>2.133</v>
      </c>
      <c r="T135" s="123">
        <f t="shared" si="32"/>
        <v>2.133</v>
      </c>
      <c r="U135" s="123">
        <f t="shared" si="32"/>
        <v>2.133</v>
      </c>
      <c r="V135" s="123">
        <f t="shared" si="32"/>
        <v>2.133</v>
      </c>
      <c r="W135" s="123">
        <f t="shared" si="32"/>
        <v>2.133</v>
      </c>
      <c r="X135" s="123">
        <f t="shared" si="32"/>
        <v>2.133</v>
      </c>
      <c r="Y135" s="123">
        <f t="shared" si="32"/>
        <v>2.133</v>
      </c>
      <c r="Z135" s="123">
        <f t="shared" si="32"/>
        <v>2.133</v>
      </c>
      <c r="AA135" s="123">
        <f t="shared" si="32"/>
        <v>2.133</v>
      </c>
      <c r="AB135" s="123">
        <f t="shared" si="32"/>
        <v>2.133</v>
      </c>
      <c r="AC135" s="123">
        <f t="shared" si="32"/>
        <v>2.133</v>
      </c>
      <c r="AD135" s="123">
        <f t="shared" si="32"/>
        <v>2.133</v>
      </c>
      <c r="AE135" s="123">
        <f t="shared" si="32"/>
        <v>2.133</v>
      </c>
      <c r="AF135" s="123">
        <f t="shared" si="32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0"/>
        <v>2.09</v>
      </c>
      <c r="C136" s="124">
        <v>2.09</v>
      </c>
      <c r="D136" s="123">
        <f t="shared" si="31"/>
        <v>2.09</v>
      </c>
      <c r="E136" s="123">
        <f t="shared" si="31"/>
        <v>2.09</v>
      </c>
      <c r="F136" s="123">
        <f t="shared" si="31"/>
        <v>2.09</v>
      </c>
      <c r="G136" s="123">
        <f t="shared" si="31"/>
        <v>2.09</v>
      </c>
      <c r="H136" s="123">
        <f t="shared" si="31"/>
        <v>2.09</v>
      </c>
      <c r="I136" s="123">
        <f t="shared" si="31"/>
        <v>2.09</v>
      </c>
      <c r="J136" s="123">
        <f t="shared" si="31"/>
        <v>2.09</v>
      </c>
      <c r="K136" s="123">
        <f t="shared" si="31"/>
        <v>2.09</v>
      </c>
      <c r="L136" s="123">
        <f t="shared" si="31"/>
        <v>2.09</v>
      </c>
      <c r="M136" s="123">
        <f t="shared" si="31"/>
        <v>2.09</v>
      </c>
      <c r="N136" s="123">
        <f t="shared" si="31"/>
        <v>2.09</v>
      </c>
      <c r="O136" s="123">
        <f t="shared" si="31"/>
        <v>2.09</v>
      </c>
      <c r="P136" s="123">
        <f t="shared" si="31"/>
        <v>2.09</v>
      </c>
      <c r="Q136" s="123">
        <f t="shared" si="31"/>
        <v>2.09</v>
      </c>
      <c r="R136" s="123">
        <f t="shared" si="31"/>
        <v>2.09</v>
      </c>
      <c r="S136" s="123">
        <f t="shared" si="31"/>
        <v>2.09</v>
      </c>
      <c r="T136" s="123">
        <f t="shared" si="32"/>
        <v>2.09</v>
      </c>
      <c r="U136" s="123">
        <f t="shared" si="32"/>
        <v>2.09</v>
      </c>
      <c r="V136" s="123">
        <f t="shared" si="32"/>
        <v>2.09</v>
      </c>
      <c r="W136" s="123">
        <f t="shared" si="32"/>
        <v>2.09</v>
      </c>
      <c r="X136" s="123">
        <f t="shared" si="32"/>
        <v>2.09</v>
      </c>
      <c r="Y136" s="123">
        <f t="shared" si="32"/>
        <v>2.09</v>
      </c>
      <c r="Z136" s="123">
        <f t="shared" si="32"/>
        <v>2.09</v>
      </c>
      <c r="AA136" s="123">
        <f t="shared" si="32"/>
        <v>2.09</v>
      </c>
      <c r="AB136" s="123">
        <f t="shared" si="32"/>
        <v>2.09</v>
      </c>
      <c r="AC136" s="123">
        <f t="shared" si="32"/>
        <v>2.09</v>
      </c>
      <c r="AD136" s="123">
        <f t="shared" si="32"/>
        <v>2.09</v>
      </c>
      <c r="AE136" s="123">
        <f t="shared" si="32"/>
        <v>2.09</v>
      </c>
      <c r="AF136" s="123">
        <f t="shared" si="32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0"/>
        <v>1.1399999999999999</v>
      </c>
      <c r="C137" s="124">
        <v>1.1399999999999999</v>
      </c>
      <c r="D137" s="123">
        <f t="shared" si="31"/>
        <v>1.1399999999999999</v>
      </c>
      <c r="E137" s="123">
        <f t="shared" si="31"/>
        <v>1.1399999999999999</v>
      </c>
      <c r="F137" s="123">
        <f t="shared" si="31"/>
        <v>1.1399999999999999</v>
      </c>
      <c r="G137" s="123">
        <f t="shared" si="31"/>
        <v>1.1399999999999999</v>
      </c>
      <c r="H137" s="123">
        <f t="shared" si="31"/>
        <v>1.1399999999999999</v>
      </c>
      <c r="I137" s="123">
        <f t="shared" si="31"/>
        <v>1.1399999999999999</v>
      </c>
      <c r="J137" s="123">
        <f t="shared" si="31"/>
        <v>1.1399999999999999</v>
      </c>
      <c r="K137" s="123">
        <f t="shared" si="31"/>
        <v>1.1399999999999999</v>
      </c>
      <c r="L137" s="123">
        <f t="shared" si="31"/>
        <v>1.1399999999999999</v>
      </c>
      <c r="M137" s="123">
        <f t="shared" si="31"/>
        <v>1.1399999999999999</v>
      </c>
      <c r="N137" s="123">
        <f t="shared" si="31"/>
        <v>1.1399999999999999</v>
      </c>
      <c r="O137" s="123">
        <f t="shared" si="31"/>
        <v>1.1399999999999999</v>
      </c>
      <c r="P137" s="123">
        <f t="shared" si="31"/>
        <v>1.1399999999999999</v>
      </c>
      <c r="Q137" s="123">
        <f t="shared" si="31"/>
        <v>1.1399999999999999</v>
      </c>
      <c r="R137" s="123">
        <f t="shared" si="31"/>
        <v>1.1399999999999999</v>
      </c>
      <c r="S137" s="123">
        <f t="shared" si="31"/>
        <v>1.1399999999999999</v>
      </c>
      <c r="T137" s="123">
        <f t="shared" si="32"/>
        <v>1.1399999999999999</v>
      </c>
      <c r="U137" s="123">
        <f t="shared" si="32"/>
        <v>1.1399999999999999</v>
      </c>
      <c r="V137" s="123">
        <f t="shared" si="32"/>
        <v>1.1399999999999999</v>
      </c>
      <c r="W137" s="123">
        <f t="shared" si="32"/>
        <v>1.1399999999999999</v>
      </c>
      <c r="X137" s="123">
        <f t="shared" si="32"/>
        <v>1.1399999999999999</v>
      </c>
      <c r="Y137" s="123">
        <f t="shared" si="32"/>
        <v>1.1399999999999999</v>
      </c>
      <c r="Z137" s="123">
        <f t="shared" si="32"/>
        <v>1.1399999999999999</v>
      </c>
      <c r="AA137" s="123">
        <f t="shared" si="32"/>
        <v>1.1399999999999999</v>
      </c>
      <c r="AB137" s="123">
        <f t="shared" si="32"/>
        <v>1.1399999999999999</v>
      </c>
      <c r="AC137" s="123">
        <f t="shared" si="32"/>
        <v>1.1399999999999999</v>
      </c>
      <c r="AD137" s="123">
        <f t="shared" si="32"/>
        <v>1.1399999999999999</v>
      </c>
      <c r="AE137" s="123">
        <f t="shared" si="32"/>
        <v>1.1399999999999999</v>
      </c>
      <c r="AF137" s="123">
        <f t="shared" si="32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0"/>
        <v>0.82</v>
      </c>
      <c r="C138" s="124">
        <v>0.82</v>
      </c>
      <c r="D138" s="123">
        <f t="shared" si="31"/>
        <v>0.82</v>
      </c>
      <c r="E138" s="123">
        <f t="shared" si="31"/>
        <v>0.82</v>
      </c>
      <c r="F138" s="123">
        <f t="shared" si="31"/>
        <v>0.82</v>
      </c>
      <c r="G138" s="123">
        <f t="shared" si="31"/>
        <v>0.82</v>
      </c>
      <c r="H138" s="123">
        <f t="shared" si="31"/>
        <v>0.82</v>
      </c>
      <c r="I138" s="123">
        <f t="shared" si="31"/>
        <v>0.82</v>
      </c>
      <c r="J138" s="123">
        <f t="shared" si="31"/>
        <v>0.82</v>
      </c>
      <c r="K138" s="123">
        <f t="shared" si="31"/>
        <v>0.82</v>
      </c>
      <c r="L138" s="123">
        <f t="shared" si="31"/>
        <v>0.82</v>
      </c>
      <c r="M138" s="123">
        <f t="shared" si="31"/>
        <v>0.82</v>
      </c>
      <c r="N138" s="123">
        <f t="shared" si="31"/>
        <v>0.82</v>
      </c>
      <c r="O138" s="123">
        <f t="shared" si="31"/>
        <v>0.82</v>
      </c>
      <c r="P138" s="123">
        <f t="shared" si="31"/>
        <v>0.82</v>
      </c>
      <c r="Q138" s="123">
        <f t="shared" si="31"/>
        <v>0.82</v>
      </c>
      <c r="R138" s="123">
        <f t="shared" si="31"/>
        <v>0.82</v>
      </c>
      <c r="S138" s="123">
        <f t="shared" si="31"/>
        <v>0.82</v>
      </c>
      <c r="T138" s="123">
        <f t="shared" si="32"/>
        <v>0.82</v>
      </c>
      <c r="U138" s="123">
        <f t="shared" si="32"/>
        <v>0.82</v>
      </c>
      <c r="V138" s="123">
        <f t="shared" si="32"/>
        <v>0.82</v>
      </c>
      <c r="W138" s="123">
        <f t="shared" si="32"/>
        <v>0.82</v>
      </c>
      <c r="X138" s="123">
        <f t="shared" si="32"/>
        <v>0.82</v>
      </c>
      <c r="Y138" s="123">
        <f t="shared" si="32"/>
        <v>0.82</v>
      </c>
      <c r="Z138" s="123">
        <f t="shared" si="32"/>
        <v>0.82</v>
      </c>
      <c r="AA138" s="123">
        <f t="shared" si="32"/>
        <v>0.82</v>
      </c>
      <c r="AB138" s="123">
        <f t="shared" si="32"/>
        <v>0.82</v>
      </c>
      <c r="AC138" s="123">
        <f t="shared" si="32"/>
        <v>0.82</v>
      </c>
      <c r="AD138" s="123">
        <f t="shared" si="32"/>
        <v>0.82</v>
      </c>
      <c r="AE138" s="123">
        <f t="shared" si="32"/>
        <v>0.82</v>
      </c>
      <c r="AF138" s="123">
        <f t="shared" si="32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3">AF140</f>
        <v>2</v>
      </c>
      <c r="C140" s="124">
        <v>2</v>
      </c>
      <c r="D140" s="123">
        <f t="shared" ref="D140:S146" si="34">C140</f>
        <v>2</v>
      </c>
      <c r="E140" s="123">
        <f t="shared" si="34"/>
        <v>2</v>
      </c>
      <c r="F140" s="123">
        <f t="shared" si="34"/>
        <v>2</v>
      </c>
      <c r="G140" s="123">
        <f t="shared" si="34"/>
        <v>2</v>
      </c>
      <c r="H140" s="123">
        <f t="shared" si="34"/>
        <v>2</v>
      </c>
      <c r="I140" s="123">
        <f t="shared" si="34"/>
        <v>2</v>
      </c>
      <c r="J140" s="123">
        <f t="shared" si="34"/>
        <v>2</v>
      </c>
      <c r="K140" s="123">
        <f t="shared" si="34"/>
        <v>2</v>
      </c>
      <c r="L140" s="123">
        <f t="shared" si="34"/>
        <v>2</v>
      </c>
      <c r="M140" s="123">
        <f t="shared" si="34"/>
        <v>2</v>
      </c>
      <c r="N140" s="123">
        <f t="shared" si="34"/>
        <v>2</v>
      </c>
      <c r="O140" s="123">
        <f t="shared" si="34"/>
        <v>2</v>
      </c>
      <c r="P140" s="123">
        <f t="shared" si="34"/>
        <v>2</v>
      </c>
      <c r="Q140" s="123">
        <f t="shared" si="34"/>
        <v>2</v>
      </c>
      <c r="R140" s="123">
        <f t="shared" si="34"/>
        <v>2</v>
      </c>
      <c r="S140" s="123">
        <f t="shared" si="34"/>
        <v>2</v>
      </c>
      <c r="T140" s="123">
        <f t="shared" ref="T140:AF146" si="35">S140</f>
        <v>2</v>
      </c>
      <c r="U140" s="123">
        <f t="shared" si="35"/>
        <v>2</v>
      </c>
      <c r="V140" s="123">
        <f t="shared" si="35"/>
        <v>2</v>
      </c>
      <c r="W140" s="123">
        <f t="shared" si="35"/>
        <v>2</v>
      </c>
      <c r="X140" s="123">
        <f t="shared" si="35"/>
        <v>2</v>
      </c>
      <c r="Y140" s="123">
        <f t="shared" si="35"/>
        <v>2</v>
      </c>
      <c r="Z140" s="123">
        <f t="shared" si="35"/>
        <v>2</v>
      </c>
      <c r="AA140" s="123">
        <f t="shared" si="35"/>
        <v>2</v>
      </c>
      <c r="AB140" s="123">
        <f t="shared" si="35"/>
        <v>2</v>
      </c>
      <c r="AC140" s="123">
        <f t="shared" si="35"/>
        <v>2</v>
      </c>
      <c r="AD140" s="123">
        <f t="shared" si="35"/>
        <v>2</v>
      </c>
      <c r="AE140" s="123">
        <f t="shared" si="35"/>
        <v>2</v>
      </c>
      <c r="AF140" s="123">
        <f t="shared" si="35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3"/>
        <v>5.61</v>
      </c>
      <c r="C141" s="124">
        <v>5.61</v>
      </c>
      <c r="D141" s="123">
        <f t="shared" si="34"/>
        <v>5.61</v>
      </c>
      <c r="E141" s="123">
        <f t="shared" si="34"/>
        <v>5.61</v>
      </c>
      <c r="F141" s="123">
        <f t="shared" si="34"/>
        <v>5.61</v>
      </c>
      <c r="G141" s="123">
        <f t="shared" si="34"/>
        <v>5.61</v>
      </c>
      <c r="H141" s="123">
        <f t="shared" si="34"/>
        <v>5.61</v>
      </c>
      <c r="I141" s="123">
        <f t="shared" si="34"/>
        <v>5.61</v>
      </c>
      <c r="J141" s="123">
        <f t="shared" si="34"/>
        <v>5.61</v>
      </c>
      <c r="K141" s="123">
        <f t="shared" si="34"/>
        <v>5.61</v>
      </c>
      <c r="L141" s="123">
        <f t="shared" si="34"/>
        <v>5.61</v>
      </c>
      <c r="M141" s="123">
        <f t="shared" si="34"/>
        <v>5.61</v>
      </c>
      <c r="N141" s="123">
        <f t="shared" si="34"/>
        <v>5.61</v>
      </c>
      <c r="O141" s="123">
        <f t="shared" si="34"/>
        <v>5.61</v>
      </c>
      <c r="P141" s="123">
        <f t="shared" si="34"/>
        <v>5.61</v>
      </c>
      <c r="Q141" s="123">
        <f t="shared" si="34"/>
        <v>5.61</v>
      </c>
      <c r="R141" s="123">
        <f t="shared" si="34"/>
        <v>5.61</v>
      </c>
      <c r="S141" s="123">
        <f t="shared" si="34"/>
        <v>5.61</v>
      </c>
      <c r="T141" s="123">
        <f t="shared" si="35"/>
        <v>5.61</v>
      </c>
      <c r="U141" s="123">
        <f t="shared" si="35"/>
        <v>5.61</v>
      </c>
      <c r="V141" s="123">
        <f t="shared" si="35"/>
        <v>5.61</v>
      </c>
      <c r="W141" s="123">
        <f t="shared" si="35"/>
        <v>5.61</v>
      </c>
      <c r="X141" s="123">
        <f t="shared" si="35"/>
        <v>5.61</v>
      </c>
      <c r="Y141" s="123">
        <f t="shared" si="35"/>
        <v>5.61</v>
      </c>
      <c r="Z141" s="123">
        <f t="shared" si="35"/>
        <v>5.61</v>
      </c>
      <c r="AA141" s="123">
        <f t="shared" si="35"/>
        <v>5.61</v>
      </c>
      <c r="AB141" s="123">
        <f t="shared" si="35"/>
        <v>5.61</v>
      </c>
      <c r="AC141" s="123">
        <f t="shared" si="35"/>
        <v>5.61</v>
      </c>
      <c r="AD141" s="123">
        <f t="shared" si="35"/>
        <v>5.61</v>
      </c>
      <c r="AE141" s="123">
        <f t="shared" si="35"/>
        <v>5.61</v>
      </c>
      <c r="AF141" s="123">
        <f t="shared" si="35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3"/>
        <v>1.25</v>
      </c>
      <c r="C142" s="124">
        <v>1.25</v>
      </c>
      <c r="D142" s="123">
        <f t="shared" si="34"/>
        <v>1.25</v>
      </c>
      <c r="E142" s="123">
        <f t="shared" si="34"/>
        <v>1.25</v>
      </c>
      <c r="F142" s="123">
        <f t="shared" si="34"/>
        <v>1.25</v>
      </c>
      <c r="G142" s="123">
        <f t="shared" si="34"/>
        <v>1.25</v>
      </c>
      <c r="H142" s="123">
        <f t="shared" si="34"/>
        <v>1.25</v>
      </c>
      <c r="I142" s="123">
        <f t="shared" si="34"/>
        <v>1.25</v>
      </c>
      <c r="J142" s="123">
        <f t="shared" si="34"/>
        <v>1.25</v>
      </c>
      <c r="K142" s="123">
        <f t="shared" si="34"/>
        <v>1.25</v>
      </c>
      <c r="L142" s="123">
        <f t="shared" si="34"/>
        <v>1.25</v>
      </c>
      <c r="M142" s="123">
        <f t="shared" si="34"/>
        <v>1.25</v>
      </c>
      <c r="N142" s="123">
        <f t="shared" si="34"/>
        <v>1.25</v>
      </c>
      <c r="O142" s="123">
        <f t="shared" si="34"/>
        <v>1.25</v>
      </c>
      <c r="P142" s="123">
        <f t="shared" si="34"/>
        <v>1.25</v>
      </c>
      <c r="Q142" s="123">
        <f t="shared" si="34"/>
        <v>1.25</v>
      </c>
      <c r="R142" s="123">
        <f t="shared" si="34"/>
        <v>1.25</v>
      </c>
      <c r="S142" s="123">
        <f t="shared" si="34"/>
        <v>1.25</v>
      </c>
      <c r="T142" s="123">
        <f t="shared" si="35"/>
        <v>1.25</v>
      </c>
      <c r="U142" s="123">
        <f t="shared" si="35"/>
        <v>1.25</v>
      </c>
      <c r="V142" s="123">
        <f t="shared" si="35"/>
        <v>1.25</v>
      </c>
      <c r="W142" s="123">
        <f t="shared" si="35"/>
        <v>1.25</v>
      </c>
      <c r="X142" s="123">
        <f t="shared" si="35"/>
        <v>1.25</v>
      </c>
      <c r="Y142" s="123">
        <f t="shared" si="35"/>
        <v>1.25</v>
      </c>
      <c r="Z142" s="123">
        <f t="shared" si="35"/>
        <v>1.25</v>
      </c>
      <c r="AA142" s="123">
        <f t="shared" si="35"/>
        <v>1.25</v>
      </c>
      <c r="AB142" s="123">
        <f t="shared" si="35"/>
        <v>1.25</v>
      </c>
      <c r="AC142" s="123">
        <f t="shared" si="35"/>
        <v>1.25</v>
      </c>
      <c r="AD142" s="123">
        <f t="shared" si="35"/>
        <v>1.25</v>
      </c>
      <c r="AE142" s="123">
        <f t="shared" si="35"/>
        <v>1.25</v>
      </c>
      <c r="AF142" s="123">
        <f t="shared" si="35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3"/>
        <v>1.25</v>
      </c>
      <c r="C143" s="124">
        <v>1.25</v>
      </c>
      <c r="D143" s="123">
        <f t="shared" si="34"/>
        <v>1.25</v>
      </c>
      <c r="E143" s="123">
        <f t="shared" si="34"/>
        <v>1.25</v>
      </c>
      <c r="F143" s="123">
        <f t="shared" si="34"/>
        <v>1.25</v>
      </c>
      <c r="G143" s="123">
        <f t="shared" si="34"/>
        <v>1.25</v>
      </c>
      <c r="H143" s="123">
        <f t="shared" si="34"/>
        <v>1.25</v>
      </c>
      <c r="I143" s="123">
        <f t="shared" si="34"/>
        <v>1.25</v>
      </c>
      <c r="J143" s="123">
        <f t="shared" si="34"/>
        <v>1.25</v>
      </c>
      <c r="K143" s="123">
        <f t="shared" si="34"/>
        <v>1.25</v>
      </c>
      <c r="L143" s="123">
        <f t="shared" si="34"/>
        <v>1.25</v>
      </c>
      <c r="M143" s="123">
        <f t="shared" si="34"/>
        <v>1.25</v>
      </c>
      <c r="N143" s="123">
        <f t="shared" si="34"/>
        <v>1.25</v>
      </c>
      <c r="O143" s="123">
        <f t="shared" si="34"/>
        <v>1.25</v>
      </c>
      <c r="P143" s="123">
        <f t="shared" si="34"/>
        <v>1.25</v>
      </c>
      <c r="Q143" s="123">
        <f t="shared" si="34"/>
        <v>1.25</v>
      </c>
      <c r="R143" s="123">
        <f t="shared" si="34"/>
        <v>1.25</v>
      </c>
      <c r="S143" s="123">
        <f t="shared" si="34"/>
        <v>1.25</v>
      </c>
      <c r="T143" s="123">
        <f t="shared" si="35"/>
        <v>1.25</v>
      </c>
      <c r="U143" s="123">
        <f t="shared" si="35"/>
        <v>1.25</v>
      </c>
      <c r="V143" s="123">
        <f t="shared" si="35"/>
        <v>1.25</v>
      </c>
      <c r="W143" s="123">
        <f t="shared" si="35"/>
        <v>1.25</v>
      </c>
      <c r="X143" s="123">
        <f t="shared" si="35"/>
        <v>1.25</v>
      </c>
      <c r="Y143" s="123">
        <f t="shared" si="35"/>
        <v>1.25</v>
      </c>
      <c r="Z143" s="123">
        <f t="shared" si="35"/>
        <v>1.25</v>
      </c>
      <c r="AA143" s="123">
        <f t="shared" si="35"/>
        <v>1.25</v>
      </c>
      <c r="AB143" s="123">
        <f t="shared" si="35"/>
        <v>1.25</v>
      </c>
      <c r="AC143" s="123">
        <f t="shared" si="35"/>
        <v>1.25</v>
      </c>
      <c r="AD143" s="123">
        <f t="shared" si="35"/>
        <v>1.25</v>
      </c>
      <c r="AE143" s="123">
        <f t="shared" si="35"/>
        <v>1.25</v>
      </c>
      <c r="AF143" s="123">
        <f t="shared" si="35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3"/>
        <v>1.46</v>
      </c>
      <c r="C144" s="124">
        <v>1.46</v>
      </c>
      <c r="D144" s="123">
        <f t="shared" si="34"/>
        <v>1.46</v>
      </c>
      <c r="E144" s="123">
        <f t="shared" si="34"/>
        <v>1.46</v>
      </c>
      <c r="F144" s="123">
        <f t="shared" si="34"/>
        <v>1.46</v>
      </c>
      <c r="G144" s="123">
        <f t="shared" si="34"/>
        <v>1.46</v>
      </c>
      <c r="H144" s="123">
        <f t="shared" si="34"/>
        <v>1.46</v>
      </c>
      <c r="I144" s="123">
        <f t="shared" si="34"/>
        <v>1.46</v>
      </c>
      <c r="J144" s="123">
        <f t="shared" si="34"/>
        <v>1.46</v>
      </c>
      <c r="K144" s="123">
        <f t="shared" si="34"/>
        <v>1.46</v>
      </c>
      <c r="L144" s="123">
        <f t="shared" si="34"/>
        <v>1.46</v>
      </c>
      <c r="M144" s="123">
        <f t="shared" si="34"/>
        <v>1.46</v>
      </c>
      <c r="N144" s="123">
        <f t="shared" si="34"/>
        <v>1.46</v>
      </c>
      <c r="O144" s="123">
        <f t="shared" si="34"/>
        <v>1.46</v>
      </c>
      <c r="P144" s="123">
        <f t="shared" si="34"/>
        <v>1.46</v>
      </c>
      <c r="Q144" s="123">
        <f t="shared" si="34"/>
        <v>1.46</v>
      </c>
      <c r="R144" s="123">
        <f t="shared" si="34"/>
        <v>1.46</v>
      </c>
      <c r="S144" s="123">
        <f t="shared" si="34"/>
        <v>1.46</v>
      </c>
      <c r="T144" s="123">
        <f t="shared" si="35"/>
        <v>1.46</v>
      </c>
      <c r="U144" s="123">
        <f t="shared" si="35"/>
        <v>1.46</v>
      </c>
      <c r="V144" s="123">
        <f t="shared" si="35"/>
        <v>1.46</v>
      </c>
      <c r="W144" s="123">
        <f t="shared" si="35"/>
        <v>1.46</v>
      </c>
      <c r="X144" s="123">
        <f t="shared" si="35"/>
        <v>1.46</v>
      </c>
      <c r="Y144" s="123">
        <f t="shared" si="35"/>
        <v>1.46</v>
      </c>
      <c r="Z144" s="123">
        <f t="shared" si="35"/>
        <v>1.46</v>
      </c>
      <c r="AA144" s="123">
        <f t="shared" si="35"/>
        <v>1.46</v>
      </c>
      <c r="AB144" s="123">
        <f t="shared" si="35"/>
        <v>1.46</v>
      </c>
      <c r="AC144" s="123">
        <f t="shared" si="35"/>
        <v>1.46</v>
      </c>
      <c r="AD144" s="123">
        <f t="shared" si="35"/>
        <v>1.46</v>
      </c>
      <c r="AE144" s="123">
        <f t="shared" si="35"/>
        <v>1.46</v>
      </c>
      <c r="AF144" s="123">
        <f t="shared" si="35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3"/>
        <v>3</v>
      </c>
      <c r="C145" s="124">
        <v>3</v>
      </c>
      <c r="D145" s="123">
        <f t="shared" si="34"/>
        <v>3</v>
      </c>
      <c r="E145" s="123">
        <f t="shared" si="34"/>
        <v>3</v>
      </c>
      <c r="F145" s="123">
        <f t="shared" si="34"/>
        <v>3</v>
      </c>
      <c r="G145" s="123">
        <f t="shared" si="34"/>
        <v>3</v>
      </c>
      <c r="H145" s="123">
        <f t="shared" si="34"/>
        <v>3</v>
      </c>
      <c r="I145" s="123">
        <f t="shared" si="34"/>
        <v>3</v>
      </c>
      <c r="J145" s="123">
        <f t="shared" si="34"/>
        <v>3</v>
      </c>
      <c r="K145" s="123">
        <f t="shared" si="34"/>
        <v>3</v>
      </c>
      <c r="L145" s="123">
        <f t="shared" si="34"/>
        <v>3</v>
      </c>
      <c r="M145" s="123">
        <f t="shared" si="34"/>
        <v>3</v>
      </c>
      <c r="N145" s="123">
        <f t="shared" si="34"/>
        <v>3</v>
      </c>
      <c r="O145" s="123">
        <f t="shared" si="34"/>
        <v>3</v>
      </c>
      <c r="P145" s="123">
        <f t="shared" si="34"/>
        <v>3</v>
      </c>
      <c r="Q145" s="123">
        <f t="shared" si="34"/>
        <v>3</v>
      </c>
      <c r="R145" s="123">
        <f t="shared" si="34"/>
        <v>3</v>
      </c>
      <c r="S145" s="123">
        <f t="shared" si="34"/>
        <v>3</v>
      </c>
      <c r="T145" s="123">
        <f t="shared" si="35"/>
        <v>3</v>
      </c>
      <c r="U145" s="123">
        <f t="shared" si="35"/>
        <v>3</v>
      </c>
      <c r="V145" s="123">
        <f t="shared" si="35"/>
        <v>3</v>
      </c>
      <c r="W145" s="123">
        <f t="shared" si="35"/>
        <v>3</v>
      </c>
      <c r="X145" s="123">
        <f t="shared" si="35"/>
        <v>3</v>
      </c>
      <c r="Y145" s="123">
        <f t="shared" si="35"/>
        <v>3</v>
      </c>
      <c r="Z145" s="123">
        <f t="shared" si="35"/>
        <v>3</v>
      </c>
      <c r="AA145" s="123">
        <f t="shared" si="35"/>
        <v>3</v>
      </c>
      <c r="AB145" s="123">
        <f t="shared" si="35"/>
        <v>3</v>
      </c>
      <c r="AC145" s="123">
        <f t="shared" si="35"/>
        <v>3</v>
      </c>
      <c r="AD145" s="123">
        <f t="shared" si="35"/>
        <v>3</v>
      </c>
      <c r="AE145" s="123">
        <f t="shared" si="35"/>
        <v>3</v>
      </c>
      <c r="AF145" s="123">
        <f t="shared" si="35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3"/>
        <v>3.3</v>
      </c>
      <c r="C146" s="124">
        <v>3.3</v>
      </c>
      <c r="D146" s="123">
        <f t="shared" si="34"/>
        <v>3.3</v>
      </c>
      <c r="E146" s="123">
        <f t="shared" si="34"/>
        <v>3.3</v>
      </c>
      <c r="F146" s="123">
        <f t="shared" si="34"/>
        <v>3.3</v>
      </c>
      <c r="G146" s="123">
        <f t="shared" si="34"/>
        <v>3.3</v>
      </c>
      <c r="H146" s="123">
        <f t="shared" si="34"/>
        <v>3.3</v>
      </c>
      <c r="I146" s="123">
        <f t="shared" si="34"/>
        <v>3.3</v>
      </c>
      <c r="J146" s="123">
        <f t="shared" si="34"/>
        <v>3.3</v>
      </c>
      <c r="K146" s="123">
        <f t="shared" si="34"/>
        <v>3.3</v>
      </c>
      <c r="L146" s="123">
        <f t="shared" si="34"/>
        <v>3.3</v>
      </c>
      <c r="M146" s="123">
        <f t="shared" si="34"/>
        <v>3.3</v>
      </c>
      <c r="N146" s="123">
        <f t="shared" si="34"/>
        <v>3.3</v>
      </c>
      <c r="O146" s="123">
        <f t="shared" si="34"/>
        <v>3.3</v>
      </c>
      <c r="P146" s="123">
        <f t="shared" si="34"/>
        <v>3.3</v>
      </c>
      <c r="Q146" s="123">
        <f t="shared" si="34"/>
        <v>3.3</v>
      </c>
      <c r="R146" s="123">
        <f t="shared" si="34"/>
        <v>3.3</v>
      </c>
      <c r="S146" s="123">
        <f t="shared" si="34"/>
        <v>3.3</v>
      </c>
      <c r="T146" s="123">
        <f t="shared" si="35"/>
        <v>3.3</v>
      </c>
      <c r="U146" s="123">
        <f t="shared" si="35"/>
        <v>3.3</v>
      </c>
      <c r="V146" s="123">
        <f t="shared" si="35"/>
        <v>3.3</v>
      </c>
      <c r="W146" s="123">
        <f t="shared" si="35"/>
        <v>3.3</v>
      </c>
      <c r="X146" s="123">
        <f t="shared" si="35"/>
        <v>3.3</v>
      </c>
      <c r="Y146" s="123">
        <f t="shared" si="35"/>
        <v>3.3</v>
      </c>
      <c r="Z146" s="123">
        <f t="shared" si="35"/>
        <v>3.3</v>
      </c>
      <c r="AA146" s="123">
        <f t="shared" si="35"/>
        <v>3.3</v>
      </c>
      <c r="AB146" s="123">
        <f t="shared" si="35"/>
        <v>3.3</v>
      </c>
      <c r="AC146" s="123">
        <f t="shared" si="35"/>
        <v>3.3</v>
      </c>
      <c r="AD146" s="123">
        <f t="shared" si="35"/>
        <v>3.3</v>
      </c>
      <c r="AE146" s="123">
        <f t="shared" si="35"/>
        <v>3.3</v>
      </c>
      <c r="AF146" s="123">
        <f t="shared" si="35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6">C148</f>
        <v>1.76</v>
      </c>
      <c r="E148" s="123">
        <f t="shared" si="36"/>
        <v>1.76</v>
      </c>
      <c r="F148" s="123">
        <f t="shared" si="36"/>
        <v>1.76</v>
      </c>
      <c r="G148" s="123">
        <f t="shared" si="36"/>
        <v>1.76</v>
      </c>
      <c r="H148" s="123">
        <f t="shared" si="36"/>
        <v>1.76</v>
      </c>
      <c r="I148" s="123">
        <f t="shared" si="36"/>
        <v>1.76</v>
      </c>
      <c r="J148" s="123">
        <f t="shared" si="36"/>
        <v>1.76</v>
      </c>
      <c r="K148" s="123">
        <f t="shared" si="36"/>
        <v>1.76</v>
      </c>
      <c r="L148" s="123">
        <f t="shared" si="36"/>
        <v>1.76</v>
      </c>
      <c r="M148" s="123">
        <f t="shared" si="36"/>
        <v>1.76</v>
      </c>
      <c r="N148" s="123">
        <f t="shared" si="36"/>
        <v>1.76</v>
      </c>
      <c r="O148" s="123">
        <f t="shared" si="36"/>
        <v>1.76</v>
      </c>
      <c r="P148" s="123">
        <f t="shared" si="36"/>
        <v>1.76</v>
      </c>
      <c r="Q148" s="123">
        <f t="shared" si="36"/>
        <v>1.76</v>
      </c>
      <c r="R148" s="123">
        <f t="shared" si="36"/>
        <v>1.76</v>
      </c>
      <c r="S148" s="123">
        <f t="shared" si="36"/>
        <v>1.76</v>
      </c>
      <c r="T148" s="123">
        <f t="shared" ref="T148:AF149" si="37">S148</f>
        <v>1.76</v>
      </c>
      <c r="U148" s="123">
        <f t="shared" si="37"/>
        <v>1.76</v>
      </c>
      <c r="V148" s="123">
        <f t="shared" si="37"/>
        <v>1.76</v>
      </c>
      <c r="W148" s="123">
        <f t="shared" si="37"/>
        <v>1.76</v>
      </c>
      <c r="X148" s="123">
        <f t="shared" si="37"/>
        <v>1.76</v>
      </c>
      <c r="Y148" s="123">
        <f t="shared" si="37"/>
        <v>1.76</v>
      </c>
      <c r="Z148" s="123">
        <f t="shared" si="37"/>
        <v>1.76</v>
      </c>
      <c r="AA148" s="123">
        <f t="shared" si="37"/>
        <v>1.76</v>
      </c>
      <c r="AB148" s="123">
        <f t="shared" si="37"/>
        <v>1.76</v>
      </c>
      <c r="AC148" s="123">
        <f t="shared" si="37"/>
        <v>1.76</v>
      </c>
      <c r="AD148" s="123">
        <f t="shared" si="37"/>
        <v>1.76</v>
      </c>
      <c r="AE148" s="123">
        <f t="shared" si="37"/>
        <v>1.76</v>
      </c>
      <c r="AF148" s="123">
        <f t="shared" si="37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6"/>
        <v>0</v>
      </c>
      <c r="E149" s="123">
        <f t="shared" si="36"/>
        <v>0</v>
      </c>
      <c r="F149" s="123">
        <f t="shared" si="36"/>
        <v>0</v>
      </c>
      <c r="G149" s="123">
        <f t="shared" si="36"/>
        <v>0</v>
      </c>
      <c r="H149" s="123">
        <f t="shared" si="36"/>
        <v>0</v>
      </c>
      <c r="I149" s="123">
        <f t="shared" si="36"/>
        <v>0</v>
      </c>
      <c r="J149" s="123">
        <f t="shared" si="36"/>
        <v>0</v>
      </c>
      <c r="K149" s="123">
        <f t="shared" si="36"/>
        <v>0</v>
      </c>
      <c r="L149" s="123">
        <f t="shared" si="36"/>
        <v>0</v>
      </c>
      <c r="M149" s="123">
        <f t="shared" si="36"/>
        <v>0</v>
      </c>
      <c r="N149" s="123">
        <f t="shared" si="36"/>
        <v>0</v>
      </c>
      <c r="O149" s="123">
        <f t="shared" si="36"/>
        <v>0</v>
      </c>
      <c r="P149" s="123">
        <f t="shared" si="36"/>
        <v>0</v>
      </c>
      <c r="Q149" s="123">
        <f t="shared" si="36"/>
        <v>0</v>
      </c>
      <c r="R149" s="123">
        <f t="shared" si="36"/>
        <v>0</v>
      </c>
      <c r="S149" s="123">
        <f t="shared" si="36"/>
        <v>0</v>
      </c>
      <c r="T149" s="123">
        <f t="shared" si="37"/>
        <v>0</v>
      </c>
      <c r="U149" s="123">
        <f t="shared" si="37"/>
        <v>0</v>
      </c>
      <c r="V149" s="123">
        <f t="shared" si="37"/>
        <v>0</v>
      </c>
      <c r="W149" s="123">
        <f t="shared" si="37"/>
        <v>0</v>
      </c>
      <c r="X149" s="123">
        <f t="shared" si="37"/>
        <v>0</v>
      </c>
      <c r="Y149" s="123">
        <f t="shared" si="37"/>
        <v>0</v>
      </c>
      <c r="Z149" s="123">
        <f t="shared" si="37"/>
        <v>0</v>
      </c>
      <c r="AA149" s="123">
        <f t="shared" si="37"/>
        <v>0</v>
      </c>
      <c r="AB149" s="123">
        <f t="shared" si="37"/>
        <v>0</v>
      </c>
      <c r="AC149" s="123">
        <f t="shared" si="37"/>
        <v>0</v>
      </c>
      <c r="AD149" s="123">
        <f t="shared" si="37"/>
        <v>0</v>
      </c>
      <c r="AE149" s="123">
        <f t="shared" si="37"/>
        <v>0</v>
      </c>
      <c r="AF149" s="123">
        <f t="shared" si="37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8">C151</f>
        <v>0.1</v>
      </c>
      <c r="E151" s="123">
        <f t="shared" si="38"/>
        <v>0.1</v>
      </c>
      <c r="F151" s="123">
        <f t="shared" si="38"/>
        <v>0.1</v>
      </c>
      <c r="G151" s="123">
        <f t="shared" si="38"/>
        <v>0.1</v>
      </c>
      <c r="H151" s="123">
        <f t="shared" si="38"/>
        <v>0.1</v>
      </c>
      <c r="I151" s="123">
        <f t="shared" si="38"/>
        <v>0.1</v>
      </c>
      <c r="J151" s="123">
        <f t="shared" si="38"/>
        <v>0.1</v>
      </c>
      <c r="K151" s="123">
        <f t="shared" si="38"/>
        <v>0.1</v>
      </c>
      <c r="L151" s="123">
        <f t="shared" si="38"/>
        <v>0.1</v>
      </c>
      <c r="M151" s="123">
        <f t="shared" si="38"/>
        <v>0.1</v>
      </c>
      <c r="N151" s="123">
        <f t="shared" si="38"/>
        <v>0.1</v>
      </c>
      <c r="O151" s="123">
        <f t="shared" si="38"/>
        <v>0.1</v>
      </c>
      <c r="P151" s="123">
        <f t="shared" si="38"/>
        <v>0.1</v>
      </c>
      <c r="Q151" s="123">
        <f t="shared" si="38"/>
        <v>0.1</v>
      </c>
      <c r="R151" s="123">
        <f t="shared" si="38"/>
        <v>0.1</v>
      </c>
      <c r="S151" s="123">
        <f t="shared" si="38"/>
        <v>0.1</v>
      </c>
      <c r="T151" s="123">
        <f t="shared" ref="T151:AF154" si="39">S151</f>
        <v>0.1</v>
      </c>
      <c r="U151" s="123">
        <f t="shared" si="39"/>
        <v>0.1</v>
      </c>
      <c r="V151" s="123">
        <f t="shared" si="39"/>
        <v>0.1</v>
      </c>
      <c r="W151" s="123">
        <f t="shared" si="39"/>
        <v>0.1</v>
      </c>
      <c r="X151" s="123">
        <f t="shared" si="39"/>
        <v>0.1</v>
      </c>
      <c r="Y151" s="123">
        <f t="shared" si="39"/>
        <v>0.1</v>
      </c>
      <c r="Z151" s="123">
        <f t="shared" si="39"/>
        <v>0.1</v>
      </c>
      <c r="AA151" s="123">
        <f t="shared" si="39"/>
        <v>0.1</v>
      </c>
      <c r="AB151" s="123">
        <f t="shared" si="39"/>
        <v>0.1</v>
      </c>
      <c r="AC151" s="123">
        <f t="shared" si="39"/>
        <v>0.1</v>
      </c>
      <c r="AD151" s="123">
        <f t="shared" si="39"/>
        <v>0.1</v>
      </c>
      <c r="AE151" s="123">
        <f t="shared" si="39"/>
        <v>0.1</v>
      </c>
      <c r="AF151" s="123">
        <f t="shared" si="39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8"/>
        <v>2.0499999999999998</v>
      </c>
      <c r="E152" s="123">
        <f t="shared" si="38"/>
        <v>2.0499999999999998</v>
      </c>
      <c r="F152" s="123">
        <f t="shared" si="38"/>
        <v>2.0499999999999998</v>
      </c>
      <c r="G152" s="123">
        <f t="shared" si="38"/>
        <v>2.0499999999999998</v>
      </c>
      <c r="H152" s="123">
        <f t="shared" si="38"/>
        <v>2.0499999999999998</v>
      </c>
      <c r="I152" s="123">
        <f t="shared" si="38"/>
        <v>2.0499999999999998</v>
      </c>
      <c r="J152" s="123">
        <f t="shared" si="38"/>
        <v>2.0499999999999998</v>
      </c>
      <c r="K152" s="123">
        <f t="shared" si="38"/>
        <v>2.0499999999999998</v>
      </c>
      <c r="L152" s="123">
        <f t="shared" si="38"/>
        <v>2.0499999999999998</v>
      </c>
      <c r="M152" s="123">
        <f t="shared" si="38"/>
        <v>2.0499999999999998</v>
      </c>
      <c r="N152" s="123">
        <f t="shared" si="38"/>
        <v>2.0499999999999998</v>
      </c>
      <c r="O152" s="123">
        <f t="shared" si="38"/>
        <v>2.0499999999999998</v>
      </c>
      <c r="P152" s="123">
        <f t="shared" si="38"/>
        <v>2.0499999999999998</v>
      </c>
      <c r="Q152" s="123">
        <f t="shared" si="38"/>
        <v>2.0499999999999998</v>
      </c>
      <c r="R152" s="123">
        <f t="shared" si="38"/>
        <v>2.0499999999999998</v>
      </c>
      <c r="S152" s="123">
        <f t="shared" si="38"/>
        <v>2.0499999999999998</v>
      </c>
      <c r="T152" s="123">
        <f t="shared" si="39"/>
        <v>2.0499999999999998</v>
      </c>
      <c r="U152" s="123">
        <f t="shared" si="39"/>
        <v>2.0499999999999998</v>
      </c>
      <c r="V152" s="123">
        <f t="shared" si="39"/>
        <v>2.0499999999999998</v>
      </c>
      <c r="W152" s="123">
        <f t="shared" si="39"/>
        <v>2.0499999999999998</v>
      </c>
      <c r="X152" s="123">
        <f t="shared" si="39"/>
        <v>2.0499999999999998</v>
      </c>
      <c r="Y152" s="123">
        <f t="shared" si="39"/>
        <v>2.0499999999999998</v>
      </c>
      <c r="Z152" s="123">
        <f t="shared" si="39"/>
        <v>2.0499999999999998</v>
      </c>
      <c r="AA152" s="123">
        <f t="shared" si="39"/>
        <v>2.0499999999999998</v>
      </c>
      <c r="AB152" s="123">
        <f t="shared" si="39"/>
        <v>2.0499999999999998</v>
      </c>
      <c r="AC152" s="123">
        <f t="shared" si="39"/>
        <v>2.0499999999999998</v>
      </c>
      <c r="AD152" s="123">
        <f t="shared" si="39"/>
        <v>2.0499999999999998</v>
      </c>
      <c r="AE152" s="123">
        <f t="shared" si="39"/>
        <v>2.0499999999999998</v>
      </c>
      <c r="AF152" s="123">
        <f t="shared" si="39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8"/>
        <v>2.7</v>
      </c>
      <c r="E153" s="123">
        <f t="shared" si="38"/>
        <v>2.7</v>
      </c>
      <c r="F153" s="123">
        <f t="shared" si="38"/>
        <v>2.7</v>
      </c>
      <c r="G153" s="123">
        <f t="shared" si="38"/>
        <v>2.7</v>
      </c>
      <c r="H153" s="123">
        <f t="shared" si="38"/>
        <v>2.7</v>
      </c>
      <c r="I153" s="123">
        <f t="shared" si="38"/>
        <v>2.7</v>
      </c>
      <c r="J153" s="123">
        <f t="shared" si="38"/>
        <v>2.7</v>
      </c>
      <c r="K153" s="123">
        <f t="shared" si="38"/>
        <v>2.7</v>
      </c>
      <c r="L153" s="123">
        <f t="shared" si="38"/>
        <v>2.7</v>
      </c>
      <c r="M153" s="123">
        <f t="shared" si="38"/>
        <v>2.7</v>
      </c>
      <c r="N153" s="123">
        <f t="shared" si="38"/>
        <v>2.7</v>
      </c>
      <c r="O153" s="123">
        <f t="shared" si="38"/>
        <v>2.7</v>
      </c>
      <c r="P153" s="123">
        <f t="shared" si="38"/>
        <v>2.7</v>
      </c>
      <c r="Q153" s="123">
        <f t="shared" si="38"/>
        <v>2.7</v>
      </c>
      <c r="R153" s="123">
        <f t="shared" si="38"/>
        <v>2.7</v>
      </c>
      <c r="S153" s="123">
        <f t="shared" si="38"/>
        <v>2.7</v>
      </c>
      <c r="T153" s="123">
        <f t="shared" si="39"/>
        <v>2.7</v>
      </c>
      <c r="U153" s="123">
        <f t="shared" si="39"/>
        <v>2.7</v>
      </c>
      <c r="V153" s="123">
        <f t="shared" si="39"/>
        <v>2.7</v>
      </c>
      <c r="W153" s="123">
        <f t="shared" si="39"/>
        <v>2.7</v>
      </c>
      <c r="X153" s="123">
        <f t="shared" si="39"/>
        <v>2.7</v>
      </c>
      <c r="Y153" s="123">
        <f t="shared" si="39"/>
        <v>2.7</v>
      </c>
      <c r="Z153" s="123">
        <f t="shared" si="39"/>
        <v>2.7</v>
      </c>
      <c r="AA153" s="123">
        <f t="shared" si="39"/>
        <v>2.7</v>
      </c>
      <c r="AB153" s="123">
        <f t="shared" si="39"/>
        <v>2.7</v>
      </c>
      <c r="AC153" s="123">
        <f t="shared" si="39"/>
        <v>2.7</v>
      </c>
      <c r="AD153" s="123">
        <f t="shared" si="39"/>
        <v>2.7</v>
      </c>
      <c r="AE153" s="123">
        <f t="shared" si="39"/>
        <v>2.7</v>
      </c>
      <c r="AF153" s="123">
        <f t="shared" si="39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8"/>
        <v>2.15</v>
      </c>
      <c r="E154" s="123">
        <f t="shared" si="38"/>
        <v>2.15</v>
      </c>
      <c r="F154" s="123">
        <f t="shared" si="38"/>
        <v>2.15</v>
      </c>
      <c r="G154" s="123">
        <f t="shared" si="38"/>
        <v>2.15</v>
      </c>
      <c r="H154" s="123">
        <f t="shared" si="38"/>
        <v>2.15</v>
      </c>
      <c r="I154" s="123">
        <f t="shared" si="38"/>
        <v>2.15</v>
      </c>
      <c r="J154" s="123">
        <f t="shared" si="38"/>
        <v>2.15</v>
      </c>
      <c r="K154" s="123">
        <f t="shared" si="38"/>
        <v>2.15</v>
      </c>
      <c r="L154" s="123">
        <f t="shared" si="38"/>
        <v>2.15</v>
      </c>
      <c r="M154" s="123">
        <f t="shared" si="38"/>
        <v>2.15</v>
      </c>
      <c r="N154" s="123">
        <f t="shared" si="38"/>
        <v>2.15</v>
      </c>
      <c r="O154" s="123">
        <f t="shared" si="38"/>
        <v>2.15</v>
      </c>
      <c r="P154" s="123">
        <f t="shared" si="38"/>
        <v>2.15</v>
      </c>
      <c r="Q154" s="123">
        <f t="shared" si="38"/>
        <v>2.15</v>
      </c>
      <c r="R154" s="123">
        <f t="shared" si="38"/>
        <v>2.15</v>
      </c>
      <c r="S154" s="123">
        <f t="shared" si="38"/>
        <v>2.15</v>
      </c>
      <c r="T154" s="123">
        <f t="shared" si="39"/>
        <v>2.15</v>
      </c>
      <c r="U154" s="123">
        <f t="shared" si="39"/>
        <v>2.15</v>
      </c>
      <c r="V154" s="123">
        <f t="shared" si="39"/>
        <v>2.15</v>
      </c>
      <c r="W154" s="123">
        <f t="shared" si="39"/>
        <v>2.15</v>
      </c>
      <c r="X154" s="123">
        <f t="shared" si="39"/>
        <v>2.15</v>
      </c>
      <c r="Y154" s="123">
        <f t="shared" si="39"/>
        <v>2.15</v>
      </c>
      <c r="Z154" s="123">
        <f t="shared" si="39"/>
        <v>2.15</v>
      </c>
      <c r="AA154" s="123">
        <f t="shared" si="39"/>
        <v>2.15</v>
      </c>
      <c r="AB154" s="123">
        <f t="shared" si="39"/>
        <v>2.15</v>
      </c>
      <c r="AC154" s="123">
        <f t="shared" si="39"/>
        <v>2.15</v>
      </c>
      <c r="AD154" s="123">
        <f t="shared" si="39"/>
        <v>2.15</v>
      </c>
      <c r="AE154" s="123">
        <f t="shared" si="39"/>
        <v>2.15</v>
      </c>
      <c r="AF154" s="123">
        <f t="shared" si="39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0">AF156</f>
        <v>0.9</v>
      </c>
      <c r="C156" s="124">
        <v>0.9</v>
      </c>
      <c r="D156" s="123">
        <f t="shared" ref="D156:S168" si="41">C156</f>
        <v>0.9</v>
      </c>
      <c r="E156" s="123">
        <f t="shared" si="41"/>
        <v>0.9</v>
      </c>
      <c r="F156" s="123">
        <f t="shared" si="41"/>
        <v>0.9</v>
      </c>
      <c r="G156" s="123">
        <f t="shared" si="41"/>
        <v>0.9</v>
      </c>
      <c r="H156" s="123">
        <f t="shared" si="41"/>
        <v>0.9</v>
      </c>
      <c r="I156" s="123">
        <f t="shared" si="41"/>
        <v>0.9</v>
      </c>
      <c r="J156" s="123">
        <f t="shared" si="41"/>
        <v>0.9</v>
      </c>
      <c r="K156" s="123">
        <f t="shared" si="41"/>
        <v>0.9</v>
      </c>
      <c r="L156" s="123">
        <f t="shared" si="41"/>
        <v>0.9</v>
      </c>
      <c r="M156" s="123">
        <f t="shared" si="41"/>
        <v>0.9</v>
      </c>
      <c r="N156" s="123">
        <f t="shared" si="41"/>
        <v>0.9</v>
      </c>
      <c r="O156" s="123">
        <f t="shared" si="41"/>
        <v>0.9</v>
      </c>
      <c r="P156" s="123">
        <f t="shared" si="41"/>
        <v>0.9</v>
      </c>
      <c r="Q156" s="123">
        <f t="shared" si="41"/>
        <v>0.9</v>
      </c>
      <c r="R156" s="123">
        <f t="shared" si="41"/>
        <v>0.9</v>
      </c>
      <c r="S156" s="123">
        <f t="shared" si="41"/>
        <v>0.9</v>
      </c>
      <c r="T156" s="123">
        <f t="shared" ref="S156:AF168" si="42">S156</f>
        <v>0.9</v>
      </c>
      <c r="U156" s="123">
        <f t="shared" si="42"/>
        <v>0.9</v>
      </c>
      <c r="V156" s="123">
        <f t="shared" si="42"/>
        <v>0.9</v>
      </c>
      <c r="W156" s="123">
        <f t="shared" si="42"/>
        <v>0.9</v>
      </c>
      <c r="X156" s="123">
        <f t="shared" si="42"/>
        <v>0.9</v>
      </c>
      <c r="Y156" s="123">
        <f t="shared" si="42"/>
        <v>0.9</v>
      </c>
      <c r="Z156" s="123">
        <f t="shared" si="42"/>
        <v>0.9</v>
      </c>
      <c r="AA156" s="123">
        <f t="shared" si="42"/>
        <v>0.9</v>
      </c>
      <c r="AB156" s="123">
        <f t="shared" si="42"/>
        <v>0.9</v>
      </c>
      <c r="AC156" s="123">
        <f t="shared" si="42"/>
        <v>0.9</v>
      </c>
      <c r="AD156" s="123">
        <f t="shared" si="42"/>
        <v>0.9</v>
      </c>
      <c r="AE156" s="123">
        <f t="shared" si="42"/>
        <v>0.9</v>
      </c>
      <c r="AF156" s="123">
        <f t="shared" si="42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0"/>
        <v>1.08</v>
      </c>
      <c r="C157" s="124">
        <v>1.08</v>
      </c>
      <c r="D157" s="123">
        <f t="shared" si="41"/>
        <v>1.08</v>
      </c>
      <c r="E157" s="123">
        <f t="shared" si="41"/>
        <v>1.08</v>
      </c>
      <c r="F157" s="123">
        <f t="shared" si="41"/>
        <v>1.08</v>
      </c>
      <c r="G157" s="123">
        <f t="shared" si="41"/>
        <v>1.08</v>
      </c>
      <c r="H157" s="123">
        <f t="shared" si="41"/>
        <v>1.08</v>
      </c>
      <c r="I157" s="123">
        <f t="shared" si="41"/>
        <v>1.08</v>
      </c>
      <c r="J157" s="123">
        <f t="shared" si="41"/>
        <v>1.08</v>
      </c>
      <c r="K157" s="123">
        <f t="shared" si="41"/>
        <v>1.08</v>
      </c>
      <c r="L157" s="123">
        <f t="shared" si="41"/>
        <v>1.08</v>
      </c>
      <c r="M157" s="123">
        <f t="shared" si="41"/>
        <v>1.08</v>
      </c>
      <c r="N157" s="123">
        <f t="shared" si="41"/>
        <v>1.08</v>
      </c>
      <c r="O157" s="123">
        <f t="shared" si="41"/>
        <v>1.08</v>
      </c>
      <c r="P157" s="123">
        <f t="shared" si="41"/>
        <v>1.08</v>
      </c>
      <c r="Q157" s="123">
        <f t="shared" si="41"/>
        <v>1.08</v>
      </c>
      <c r="R157" s="123">
        <f t="shared" si="41"/>
        <v>1.08</v>
      </c>
      <c r="S157" s="123">
        <f t="shared" si="41"/>
        <v>1.08</v>
      </c>
      <c r="T157" s="123">
        <f t="shared" si="42"/>
        <v>1.08</v>
      </c>
      <c r="U157" s="123">
        <f t="shared" si="42"/>
        <v>1.08</v>
      </c>
      <c r="V157" s="123">
        <f t="shared" si="42"/>
        <v>1.08</v>
      </c>
      <c r="W157" s="123">
        <f t="shared" si="42"/>
        <v>1.08</v>
      </c>
      <c r="X157" s="123">
        <f t="shared" si="42"/>
        <v>1.08</v>
      </c>
      <c r="Y157" s="123">
        <f t="shared" si="42"/>
        <v>1.08</v>
      </c>
      <c r="Z157" s="123">
        <f t="shared" si="42"/>
        <v>1.08</v>
      </c>
      <c r="AA157" s="123">
        <f t="shared" si="42"/>
        <v>1.08</v>
      </c>
      <c r="AB157" s="123">
        <f t="shared" si="42"/>
        <v>1.08</v>
      </c>
      <c r="AC157" s="123">
        <f t="shared" si="42"/>
        <v>1.08</v>
      </c>
      <c r="AD157" s="123">
        <f t="shared" si="42"/>
        <v>1.08</v>
      </c>
      <c r="AE157" s="123">
        <f t="shared" si="42"/>
        <v>1.08</v>
      </c>
      <c r="AF157" s="123">
        <f t="shared" si="42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0"/>
        <v>2.37</v>
      </c>
      <c r="C158" s="124">
        <v>2.37</v>
      </c>
      <c r="D158" s="123">
        <f t="shared" si="41"/>
        <v>2.37</v>
      </c>
      <c r="E158" s="123">
        <f t="shared" si="41"/>
        <v>2.37</v>
      </c>
      <c r="F158" s="123">
        <f t="shared" si="41"/>
        <v>2.37</v>
      </c>
      <c r="G158" s="123">
        <f t="shared" si="41"/>
        <v>2.37</v>
      </c>
      <c r="H158" s="123">
        <f t="shared" si="41"/>
        <v>2.37</v>
      </c>
      <c r="I158" s="123">
        <f t="shared" si="41"/>
        <v>2.37</v>
      </c>
      <c r="J158" s="123">
        <f t="shared" si="41"/>
        <v>2.37</v>
      </c>
      <c r="K158" s="123">
        <f t="shared" si="41"/>
        <v>2.37</v>
      </c>
      <c r="L158" s="123">
        <f t="shared" si="41"/>
        <v>2.37</v>
      </c>
      <c r="M158" s="123">
        <f t="shared" si="41"/>
        <v>2.37</v>
      </c>
      <c r="N158" s="123">
        <f t="shared" si="41"/>
        <v>2.37</v>
      </c>
      <c r="O158" s="123">
        <f t="shared" si="41"/>
        <v>2.37</v>
      </c>
      <c r="P158" s="123">
        <f t="shared" si="41"/>
        <v>2.37</v>
      </c>
      <c r="Q158" s="123">
        <f t="shared" si="41"/>
        <v>2.37</v>
      </c>
      <c r="R158" s="123">
        <f t="shared" si="41"/>
        <v>2.37</v>
      </c>
      <c r="S158" s="123">
        <f t="shared" si="41"/>
        <v>2.37</v>
      </c>
      <c r="T158" s="123">
        <f t="shared" si="42"/>
        <v>2.37</v>
      </c>
      <c r="U158" s="123">
        <f t="shared" si="42"/>
        <v>2.37</v>
      </c>
      <c r="V158" s="123">
        <f t="shared" si="42"/>
        <v>2.37</v>
      </c>
      <c r="W158" s="123">
        <f t="shared" si="42"/>
        <v>2.37</v>
      </c>
      <c r="X158" s="123">
        <f t="shared" si="42"/>
        <v>2.37</v>
      </c>
      <c r="Y158" s="123">
        <f t="shared" si="42"/>
        <v>2.37</v>
      </c>
      <c r="Z158" s="123">
        <f t="shared" si="42"/>
        <v>2.37</v>
      </c>
      <c r="AA158" s="123">
        <f t="shared" si="42"/>
        <v>2.37</v>
      </c>
      <c r="AB158" s="123">
        <f t="shared" si="42"/>
        <v>2.37</v>
      </c>
      <c r="AC158" s="123">
        <f t="shared" si="42"/>
        <v>2.37</v>
      </c>
      <c r="AD158" s="123">
        <f t="shared" si="42"/>
        <v>2.37</v>
      </c>
      <c r="AE158" s="123">
        <f t="shared" si="42"/>
        <v>2.37</v>
      </c>
      <c r="AF158" s="123">
        <f t="shared" si="42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0"/>
        <v>1.81</v>
      </c>
      <c r="C159" s="124">
        <v>1.81</v>
      </c>
      <c r="D159" s="123">
        <f t="shared" si="41"/>
        <v>1.81</v>
      </c>
      <c r="E159" s="123">
        <f t="shared" si="41"/>
        <v>1.81</v>
      </c>
      <c r="F159" s="123">
        <f t="shared" si="41"/>
        <v>1.81</v>
      </c>
      <c r="G159" s="123">
        <f t="shared" si="41"/>
        <v>1.81</v>
      </c>
      <c r="H159" s="123">
        <f t="shared" si="41"/>
        <v>1.81</v>
      </c>
      <c r="I159" s="123">
        <f t="shared" si="41"/>
        <v>1.81</v>
      </c>
      <c r="J159" s="123">
        <f t="shared" si="41"/>
        <v>1.81</v>
      </c>
      <c r="K159" s="123">
        <f t="shared" si="41"/>
        <v>1.81</v>
      </c>
      <c r="L159" s="123">
        <f t="shared" si="41"/>
        <v>1.81</v>
      </c>
      <c r="M159" s="123">
        <f t="shared" si="41"/>
        <v>1.81</v>
      </c>
      <c r="N159" s="123">
        <f t="shared" si="41"/>
        <v>1.81</v>
      </c>
      <c r="O159" s="123">
        <f t="shared" si="41"/>
        <v>1.81</v>
      </c>
      <c r="P159" s="123">
        <f t="shared" si="41"/>
        <v>1.81</v>
      </c>
      <c r="Q159" s="123">
        <f t="shared" si="41"/>
        <v>1.81</v>
      </c>
      <c r="R159" s="123">
        <f t="shared" si="41"/>
        <v>1.81</v>
      </c>
      <c r="S159" s="123">
        <f t="shared" si="41"/>
        <v>1.81</v>
      </c>
      <c r="T159" s="123">
        <f t="shared" si="42"/>
        <v>1.81</v>
      </c>
      <c r="U159" s="123">
        <f t="shared" si="42"/>
        <v>1.81</v>
      </c>
      <c r="V159" s="123">
        <f t="shared" si="42"/>
        <v>1.81</v>
      </c>
      <c r="W159" s="123">
        <f t="shared" si="42"/>
        <v>1.81</v>
      </c>
      <c r="X159" s="123">
        <f t="shared" si="42"/>
        <v>1.81</v>
      </c>
      <c r="Y159" s="123">
        <f t="shared" si="42"/>
        <v>1.81</v>
      </c>
      <c r="Z159" s="123">
        <f t="shared" si="42"/>
        <v>1.81</v>
      </c>
      <c r="AA159" s="123">
        <f t="shared" si="42"/>
        <v>1.81</v>
      </c>
      <c r="AB159" s="123">
        <f t="shared" si="42"/>
        <v>1.81</v>
      </c>
      <c r="AC159" s="123">
        <f t="shared" si="42"/>
        <v>1.81</v>
      </c>
      <c r="AD159" s="123">
        <f t="shared" si="42"/>
        <v>1.81</v>
      </c>
      <c r="AE159" s="123">
        <f t="shared" si="42"/>
        <v>1.81</v>
      </c>
      <c r="AF159" s="123">
        <f t="shared" si="42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0"/>
        <v>1.0900000000000001</v>
      </c>
      <c r="C160" s="124">
        <v>1.0900000000000001</v>
      </c>
      <c r="D160" s="123">
        <f t="shared" si="41"/>
        <v>1.0900000000000001</v>
      </c>
      <c r="E160" s="123">
        <f t="shared" si="41"/>
        <v>1.0900000000000001</v>
      </c>
      <c r="F160" s="123">
        <f t="shared" si="41"/>
        <v>1.0900000000000001</v>
      </c>
      <c r="G160" s="123">
        <f t="shared" si="41"/>
        <v>1.0900000000000001</v>
      </c>
      <c r="H160" s="123">
        <f t="shared" si="41"/>
        <v>1.0900000000000001</v>
      </c>
      <c r="I160" s="123">
        <f t="shared" si="41"/>
        <v>1.0900000000000001</v>
      </c>
      <c r="J160" s="123">
        <f t="shared" si="41"/>
        <v>1.0900000000000001</v>
      </c>
      <c r="K160" s="123">
        <f t="shared" si="41"/>
        <v>1.0900000000000001</v>
      </c>
      <c r="L160" s="123">
        <f t="shared" si="41"/>
        <v>1.0900000000000001</v>
      </c>
      <c r="M160" s="123">
        <f t="shared" si="41"/>
        <v>1.0900000000000001</v>
      </c>
      <c r="N160" s="123">
        <f t="shared" si="41"/>
        <v>1.0900000000000001</v>
      </c>
      <c r="O160" s="123">
        <f t="shared" si="41"/>
        <v>1.0900000000000001</v>
      </c>
      <c r="P160" s="123">
        <f t="shared" si="41"/>
        <v>1.0900000000000001</v>
      </c>
      <c r="Q160" s="123">
        <f t="shared" si="41"/>
        <v>1.0900000000000001</v>
      </c>
      <c r="R160" s="123">
        <f t="shared" si="41"/>
        <v>1.0900000000000001</v>
      </c>
      <c r="S160" s="123">
        <f t="shared" si="41"/>
        <v>1.0900000000000001</v>
      </c>
      <c r="T160" s="123">
        <f t="shared" si="42"/>
        <v>1.0900000000000001</v>
      </c>
      <c r="U160" s="123">
        <f t="shared" si="42"/>
        <v>1.0900000000000001</v>
      </c>
      <c r="V160" s="123">
        <f t="shared" si="42"/>
        <v>1.0900000000000001</v>
      </c>
      <c r="W160" s="123">
        <f t="shared" si="42"/>
        <v>1.0900000000000001</v>
      </c>
      <c r="X160" s="123">
        <f t="shared" si="42"/>
        <v>1.0900000000000001</v>
      </c>
      <c r="Y160" s="123">
        <f t="shared" si="42"/>
        <v>1.0900000000000001</v>
      </c>
      <c r="Z160" s="123">
        <f t="shared" si="42"/>
        <v>1.0900000000000001</v>
      </c>
      <c r="AA160" s="123">
        <f t="shared" si="42"/>
        <v>1.0900000000000001</v>
      </c>
      <c r="AB160" s="123">
        <f t="shared" si="42"/>
        <v>1.0900000000000001</v>
      </c>
      <c r="AC160" s="123">
        <f t="shared" si="42"/>
        <v>1.0900000000000001</v>
      </c>
      <c r="AD160" s="123">
        <f t="shared" si="42"/>
        <v>1.0900000000000001</v>
      </c>
      <c r="AE160" s="123">
        <f t="shared" si="42"/>
        <v>1.0900000000000001</v>
      </c>
      <c r="AF160" s="123">
        <f t="shared" si="42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0"/>
        <v>1.58</v>
      </c>
      <c r="C161" s="124">
        <v>1.58</v>
      </c>
      <c r="D161" s="123">
        <f t="shared" si="41"/>
        <v>1.58</v>
      </c>
      <c r="E161" s="123">
        <f t="shared" si="41"/>
        <v>1.58</v>
      </c>
      <c r="F161" s="123">
        <f t="shared" si="41"/>
        <v>1.58</v>
      </c>
      <c r="G161" s="123">
        <f t="shared" si="41"/>
        <v>1.58</v>
      </c>
      <c r="H161" s="123">
        <f t="shared" si="41"/>
        <v>1.58</v>
      </c>
      <c r="I161" s="123">
        <f t="shared" si="41"/>
        <v>1.58</v>
      </c>
      <c r="J161" s="123">
        <f t="shared" si="41"/>
        <v>1.58</v>
      </c>
      <c r="K161" s="123">
        <f t="shared" si="41"/>
        <v>1.58</v>
      </c>
      <c r="L161" s="123">
        <f t="shared" si="41"/>
        <v>1.58</v>
      </c>
      <c r="M161" s="123">
        <f t="shared" si="41"/>
        <v>1.58</v>
      </c>
      <c r="N161" s="123">
        <f t="shared" si="41"/>
        <v>1.58</v>
      </c>
      <c r="O161" s="123">
        <f t="shared" si="41"/>
        <v>1.58</v>
      </c>
      <c r="P161" s="123">
        <f t="shared" si="41"/>
        <v>1.58</v>
      </c>
      <c r="Q161" s="123">
        <f t="shared" si="41"/>
        <v>1.58</v>
      </c>
      <c r="R161" s="123">
        <f t="shared" si="41"/>
        <v>1.58</v>
      </c>
      <c r="S161" s="123">
        <f t="shared" si="41"/>
        <v>1.58</v>
      </c>
      <c r="T161" s="123">
        <f t="shared" si="42"/>
        <v>1.58</v>
      </c>
      <c r="U161" s="123">
        <f t="shared" si="42"/>
        <v>1.58</v>
      </c>
      <c r="V161" s="123">
        <f t="shared" si="42"/>
        <v>1.58</v>
      </c>
      <c r="W161" s="123">
        <f t="shared" si="42"/>
        <v>1.58</v>
      </c>
      <c r="X161" s="123">
        <f t="shared" si="42"/>
        <v>1.58</v>
      </c>
      <c r="Y161" s="123">
        <f t="shared" si="42"/>
        <v>1.58</v>
      </c>
      <c r="Z161" s="123">
        <f t="shared" si="42"/>
        <v>1.58</v>
      </c>
      <c r="AA161" s="123">
        <f t="shared" si="42"/>
        <v>1.58</v>
      </c>
      <c r="AB161" s="123">
        <f t="shared" si="42"/>
        <v>1.58</v>
      </c>
      <c r="AC161" s="123">
        <f t="shared" si="42"/>
        <v>1.58</v>
      </c>
      <c r="AD161" s="123">
        <f t="shared" si="42"/>
        <v>1.58</v>
      </c>
      <c r="AE161" s="123">
        <f t="shared" si="42"/>
        <v>1.58</v>
      </c>
      <c r="AF161" s="123">
        <f t="shared" si="42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0"/>
        <v>2</v>
      </c>
      <c r="C162" s="124">
        <v>2</v>
      </c>
      <c r="D162" s="123">
        <f t="shared" si="41"/>
        <v>2</v>
      </c>
      <c r="E162" s="123">
        <f t="shared" si="41"/>
        <v>2</v>
      </c>
      <c r="F162" s="123">
        <f t="shared" si="41"/>
        <v>2</v>
      </c>
      <c r="G162" s="123">
        <f t="shared" si="41"/>
        <v>2</v>
      </c>
      <c r="H162" s="123">
        <f t="shared" si="41"/>
        <v>2</v>
      </c>
      <c r="I162" s="123">
        <f t="shared" si="41"/>
        <v>2</v>
      </c>
      <c r="J162" s="123">
        <f t="shared" si="41"/>
        <v>2</v>
      </c>
      <c r="K162" s="123">
        <f t="shared" si="41"/>
        <v>2</v>
      </c>
      <c r="L162" s="123">
        <f t="shared" si="41"/>
        <v>2</v>
      </c>
      <c r="M162" s="123">
        <f t="shared" si="41"/>
        <v>2</v>
      </c>
      <c r="N162" s="123">
        <f t="shared" si="41"/>
        <v>2</v>
      </c>
      <c r="O162" s="123">
        <f t="shared" si="41"/>
        <v>2</v>
      </c>
      <c r="P162" s="123">
        <f t="shared" si="41"/>
        <v>2</v>
      </c>
      <c r="Q162" s="123">
        <f t="shared" si="41"/>
        <v>2</v>
      </c>
      <c r="R162" s="123">
        <f t="shared" si="41"/>
        <v>2</v>
      </c>
      <c r="S162" s="123">
        <f t="shared" si="41"/>
        <v>2</v>
      </c>
      <c r="T162" s="123">
        <f t="shared" si="42"/>
        <v>2</v>
      </c>
      <c r="U162" s="123">
        <f t="shared" si="42"/>
        <v>2</v>
      </c>
      <c r="V162" s="123">
        <f t="shared" si="42"/>
        <v>2</v>
      </c>
      <c r="W162" s="123">
        <f t="shared" si="42"/>
        <v>2</v>
      </c>
      <c r="X162" s="123">
        <f t="shared" si="42"/>
        <v>2</v>
      </c>
      <c r="Y162" s="123">
        <f t="shared" si="42"/>
        <v>2</v>
      </c>
      <c r="Z162" s="123">
        <f t="shared" si="42"/>
        <v>2</v>
      </c>
      <c r="AA162" s="123">
        <f t="shared" si="42"/>
        <v>2</v>
      </c>
      <c r="AB162" s="123">
        <f t="shared" si="42"/>
        <v>2</v>
      </c>
      <c r="AC162" s="123">
        <f t="shared" si="42"/>
        <v>2</v>
      </c>
      <c r="AD162" s="123">
        <f t="shared" si="42"/>
        <v>2</v>
      </c>
      <c r="AE162" s="123">
        <f t="shared" si="42"/>
        <v>2</v>
      </c>
      <c r="AF162" s="123">
        <f t="shared" si="42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0"/>
        <v>0.47</v>
      </c>
      <c r="C163" s="124">
        <v>0.47</v>
      </c>
      <c r="D163" s="123">
        <f t="shared" si="41"/>
        <v>0.47</v>
      </c>
      <c r="E163" s="123">
        <f t="shared" si="41"/>
        <v>0.47</v>
      </c>
      <c r="F163" s="123">
        <f t="shared" si="41"/>
        <v>0.47</v>
      </c>
      <c r="G163" s="123">
        <f t="shared" si="41"/>
        <v>0.47</v>
      </c>
      <c r="H163" s="123">
        <f t="shared" si="41"/>
        <v>0.47</v>
      </c>
      <c r="I163" s="123">
        <f t="shared" si="41"/>
        <v>0.47</v>
      </c>
      <c r="J163" s="123">
        <f t="shared" si="41"/>
        <v>0.47</v>
      </c>
      <c r="K163" s="123">
        <f t="shared" si="41"/>
        <v>0.47</v>
      </c>
      <c r="L163" s="123">
        <f t="shared" si="41"/>
        <v>0.47</v>
      </c>
      <c r="M163" s="123">
        <f t="shared" si="41"/>
        <v>0.47</v>
      </c>
      <c r="N163" s="123">
        <f t="shared" si="41"/>
        <v>0.47</v>
      </c>
      <c r="O163" s="123">
        <f t="shared" si="41"/>
        <v>0.47</v>
      </c>
      <c r="P163" s="123">
        <f t="shared" si="41"/>
        <v>0.47</v>
      </c>
      <c r="Q163" s="123">
        <f t="shared" si="41"/>
        <v>0.47</v>
      </c>
      <c r="R163" s="123">
        <f t="shared" si="41"/>
        <v>0.47</v>
      </c>
      <c r="S163" s="123">
        <f t="shared" si="41"/>
        <v>0.47</v>
      </c>
      <c r="T163" s="123">
        <f t="shared" si="42"/>
        <v>0.47</v>
      </c>
      <c r="U163" s="123">
        <f t="shared" si="42"/>
        <v>0.47</v>
      </c>
      <c r="V163" s="123">
        <f t="shared" si="42"/>
        <v>0.47</v>
      </c>
      <c r="W163" s="123">
        <f t="shared" si="42"/>
        <v>0.47</v>
      </c>
      <c r="X163" s="123">
        <f t="shared" si="42"/>
        <v>0.47</v>
      </c>
      <c r="Y163" s="123">
        <f t="shared" si="42"/>
        <v>0.47</v>
      </c>
      <c r="Z163" s="123">
        <f t="shared" si="42"/>
        <v>0.47</v>
      </c>
      <c r="AA163" s="123">
        <f t="shared" si="42"/>
        <v>0.47</v>
      </c>
      <c r="AB163" s="123">
        <f t="shared" si="42"/>
        <v>0.47</v>
      </c>
      <c r="AC163" s="123">
        <f t="shared" si="42"/>
        <v>0.47</v>
      </c>
      <c r="AD163" s="123">
        <f t="shared" si="42"/>
        <v>0.47</v>
      </c>
      <c r="AE163" s="123">
        <f t="shared" si="42"/>
        <v>0.47</v>
      </c>
      <c r="AF163" s="123">
        <f t="shared" si="42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0"/>
        <v>0</v>
      </c>
      <c r="C164" s="124">
        <v>0</v>
      </c>
      <c r="D164" s="123">
        <f t="shared" si="41"/>
        <v>0</v>
      </c>
      <c r="E164" s="123">
        <f t="shared" si="41"/>
        <v>0</v>
      </c>
      <c r="F164" s="123">
        <f t="shared" si="41"/>
        <v>0</v>
      </c>
      <c r="G164" s="123">
        <f t="shared" si="41"/>
        <v>0</v>
      </c>
      <c r="H164" s="123">
        <f t="shared" si="41"/>
        <v>0</v>
      </c>
      <c r="I164" s="123">
        <f t="shared" si="41"/>
        <v>0</v>
      </c>
      <c r="J164" s="123">
        <f t="shared" si="41"/>
        <v>0</v>
      </c>
      <c r="K164" s="123">
        <f t="shared" si="41"/>
        <v>0</v>
      </c>
      <c r="L164" s="123">
        <f t="shared" si="41"/>
        <v>0</v>
      </c>
      <c r="M164" s="123">
        <f t="shared" si="41"/>
        <v>0</v>
      </c>
      <c r="N164" s="123">
        <f t="shared" si="41"/>
        <v>0</v>
      </c>
      <c r="O164" s="123">
        <f t="shared" si="41"/>
        <v>0</v>
      </c>
      <c r="P164" s="123">
        <f t="shared" si="41"/>
        <v>0</v>
      </c>
      <c r="Q164" s="123">
        <f t="shared" si="41"/>
        <v>0</v>
      </c>
      <c r="R164" s="123">
        <f t="shared" si="41"/>
        <v>0</v>
      </c>
      <c r="S164" s="123">
        <f t="shared" si="41"/>
        <v>0</v>
      </c>
      <c r="T164" s="123">
        <f t="shared" si="42"/>
        <v>0</v>
      </c>
      <c r="U164" s="123">
        <f t="shared" si="42"/>
        <v>0</v>
      </c>
      <c r="V164" s="123">
        <f t="shared" si="42"/>
        <v>0</v>
      </c>
      <c r="W164" s="123">
        <f t="shared" si="42"/>
        <v>0</v>
      </c>
      <c r="X164" s="123">
        <f t="shared" si="42"/>
        <v>0</v>
      </c>
      <c r="Y164" s="123">
        <f t="shared" si="42"/>
        <v>0</v>
      </c>
      <c r="Z164" s="123">
        <f t="shared" si="42"/>
        <v>0</v>
      </c>
      <c r="AA164" s="123">
        <f t="shared" si="42"/>
        <v>0</v>
      </c>
      <c r="AB164" s="123">
        <f t="shared" si="42"/>
        <v>0</v>
      </c>
      <c r="AC164" s="123">
        <f t="shared" si="42"/>
        <v>0</v>
      </c>
      <c r="AD164" s="123">
        <f t="shared" si="42"/>
        <v>0</v>
      </c>
      <c r="AE164" s="123">
        <f t="shared" si="42"/>
        <v>0</v>
      </c>
      <c r="AF164" s="123">
        <f t="shared" si="42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0"/>
        <v>0</v>
      </c>
      <c r="C165" s="124">
        <v>0</v>
      </c>
      <c r="D165" s="123">
        <f t="shared" si="41"/>
        <v>0</v>
      </c>
      <c r="E165" s="123">
        <f t="shared" si="41"/>
        <v>0</v>
      </c>
      <c r="F165" s="123">
        <f t="shared" si="41"/>
        <v>0</v>
      </c>
      <c r="G165" s="123">
        <f t="shared" si="41"/>
        <v>0</v>
      </c>
      <c r="H165" s="123">
        <f t="shared" si="41"/>
        <v>0</v>
      </c>
      <c r="I165" s="123">
        <f t="shared" si="41"/>
        <v>0</v>
      </c>
      <c r="J165" s="123">
        <f t="shared" si="41"/>
        <v>0</v>
      </c>
      <c r="K165" s="123">
        <f t="shared" si="41"/>
        <v>0</v>
      </c>
      <c r="L165" s="123">
        <f t="shared" si="41"/>
        <v>0</v>
      </c>
      <c r="M165" s="123">
        <f t="shared" si="41"/>
        <v>0</v>
      </c>
      <c r="N165" s="123">
        <f t="shared" si="41"/>
        <v>0</v>
      </c>
      <c r="O165" s="123">
        <f t="shared" si="41"/>
        <v>0</v>
      </c>
      <c r="P165" s="123">
        <f t="shared" si="41"/>
        <v>0</v>
      </c>
      <c r="Q165" s="123">
        <f t="shared" si="41"/>
        <v>0</v>
      </c>
      <c r="R165" s="123">
        <f t="shared" si="41"/>
        <v>0</v>
      </c>
      <c r="S165" s="123">
        <f t="shared" si="42"/>
        <v>0</v>
      </c>
      <c r="T165" s="123">
        <f t="shared" si="42"/>
        <v>0</v>
      </c>
      <c r="U165" s="123">
        <f t="shared" si="42"/>
        <v>0</v>
      </c>
      <c r="V165" s="123">
        <f t="shared" si="42"/>
        <v>0</v>
      </c>
      <c r="W165" s="123">
        <f t="shared" si="42"/>
        <v>0</v>
      </c>
      <c r="X165" s="123">
        <f t="shared" si="42"/>
        <v>0</v>
      </c>
      <c r="Y165" s="123">
        <f t="shared" si="42"/>
        <v>0</v>
      </c>
      <c r="Z165" s="123">
        <f t="shared" si="42"/>
        <v>0</v>
      </c>
      <c r="AA165" s="123">
        <f t="shared" si="42"/>
        <v>0</v>
      </c>
      <c r="AB165" s="123">
        <f t="shared" si="42"/>
        <v>0</v>
      </c>
      <c r="AC165" s="123">
        <f t="shared" si="42"/>
        <v>0</v>
      </c>
      <c r="AD165" s="123">
        <f t="shared" si="42"/>
        <v>0</v>
      </c>
      <c r="AE165" s="123">
        <f t="shared" si="42"/>
        <v>0</v>
      </c>
      <c r="AF165" s="123">
        <f t="shared" si="42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0"/>
        <v>0.8</v>
      </c>
      <c r="C166" s="124">
        <v>0.8</v>
      </c>
      <c r="D166" s="123">
        <f t="shared" si="41"/>
        <v>0.8</v>
      </c>
      <c r="E166" s="123">
        <f t="shared" si="41"/>
        <v>0.8</v>
      </c>
      <c r="F166" s="123">
        <f t="shared" si="41"/>
        <v>0.8</v>
      </c>
      <c r="G166" s="123">
        <f t="shared" si="41"/>
        <v>0.8</v>
      </c>
      <c r="H166" s="123">
        <f t="shared" si="41"/>
        <v>0.8</v>
      </c>
      <c r="I166" s="123">
        <f t="shared" si="41"/>
        <v>0.8</v>
      </c>
      <c r="J166" s="123">
        <f t="shared" si="41"/>
        <v>0.8</v>
      </c>
      <c r="K166" s="123">
        <f t="shared" si="41"/>
        <v>0.8</v>
      </c>
      <c r="L166" s="123">
        <f t="shared" si="41"/>
        <v>0.8</v>
      </c>
      <c r="M166" s="123">
        <f t="shared" si="41"/>
        <v>0.8</v>
      </c>
      <c r="N166" s="123">
        <f t="shared" si="41"/>
        <v>0.8</v>
      </c>
      <c r="O166" s="123">
        <f t="shared" si="41"/>
        <v>0.8</v>
      </c>
      <c r="P166" s="123">
        <f t="shared" si="41"/>
        <v>0.8</v>
      </c>
      <c r="Q166" s="123">
        <f t="shared" si="41"/>
        <v>0.8</v>
      </c>
      <c r="R166" s="123">
        <f t="shared" si="41"/>
        <v>0.8</v>
      </c>
      <c r="S166" s="123">
        <f t="shared" si="42"/>
        <v>0.8</v>
      </c>
      <c r="T166" s="123">
        <f t="shared" si="42"/>
        <v>0.8</v>
      </c>
      <c r="U166" s="123">
        <f t="shared" si="42"/>
        <v>0.8</v>
      </c>
      <c r="V166" s="123">
        <f t="shared" si="42"/>
        <v>0.8</v>
      </c>
      <c r="W166" s="123">
        <f t="shared" si="42"/>
        <v>0.8</v>
      </c>
      <c r="X166" s="123">
        <f t="shared" si="42"/>
        <v>0.8</v>
      </c>
      <c r="Y166" s="123">
        <f t="shared" si="42"/>
        <v>0.8</v>
      </c>
      <c r="Z166" s="123">
        <f t="shared" si="42"/>
        <v>0.8</v>
      </c>
      <c r="AA166" s="123">
        <f t="shared" si="42"/>
        <v>0.8</v>
      </c>
      <c r="AB166" s="123">
        <f t="shared" si="42"/>
        <v>0.8</v>
      </c>
      <c r="AC166" s="123">
        <f t="shared" si="42"/>
        <v>0.8</v>
      </c>
      <c r="AD166" s="123">
        <f t="shared" si="42"/>
        <v>0.8</v>
      </c>
      <c r="AE166" s="123">
        <f t="shared" si="42"/>
        <v>0.8</v>
      </c>
      <c r="AF166" s="123">
        <f t="shared" si="42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0"/>
        <v>1.5</v>
      </c>
      <c r="C167" s="124">
        <v>1.5</v>
      </c>
      <c r="D167" s="123">
        <f t="shared" si="41"/>
        <v>1.5</v>
      </c>
      <c r="E167" s="123">
        <f t="shared" si="41"/>
        <v>1.5</v>
      </c>
      <c r="F167" s="123">
        <f t="shared" si="41"/>
        <v>1.5</v>
      </c>
      <c r="G167" s="123">
        <f t="shared" si="41"/>
        <v>1.5</v>
      </c>
      <c r="H167" s="123">
        <f t="shared" si="41"/>
        <v>1.5</v>
      </c>
      <c r="I167" s="123">
        <f t="shared" si="41"/>
        <v>1.5</v>
      </c>
      <c r="J167" s="123">
        <f t="shared" si="41"/>
        <v>1.5</v>
      </c>
      <c r="K167" s="123">
        <f t="shared" si="41"/>
        <v>1.5</v>
      </c>
      <c r="L167" s="123">
        <f t="shared" si="41"/>
        <v>1.5</v>
      </c>
      <c r="M167" s="123">
        <f t="shared" si="41"/>
        <v>1.5</v>
      </c>
      <c r="N167" s="123">
        <f t="shared" si="41"/>
        <v>1.5</v>
      </c>
      <c r="O167" s="123">
        <f t="shared" si="41"/>
        <v>1.5</v>
      </c>
      <c r="P167" s="123">
        <f t="shared" si="41"/>
        <v>1.5</v>
      </c>
      <c r="Q167" s="123">
        <f t="shared" si="41"/>
        <v>1.5</v>
      </c>
      <c r="R167" s="123">
        <f t="shared" si="41"/>
        <v>1.5</v>
      </c>
      <c r="S167" s="123">
        <f t="shared" si="42"/>
        <v>1.5</v>
      </c>
      <c r="T167" s="123">
        <f t="shared" si="42"/>
        <v>1.5</v>
      </c>
      <c r="U167" s="123">
        <f t="shared" si="42"/>
        <v>1.5</v>
      </c>
      <c r="V167" s="123">
        <f t="shared" si="42"/>
        <v>1.5</v>
      </c>
      <c r="W167" s="123">
        <f t="shared" si="42"/>
        <v>1.5</v>
      </c>
      <c r="X167" s="123">
        <f t="shared" si="42"/>
        <v>1.5</v>
      </c>
      <c r="Y167" s="123">
        <f t="shared" si="42"/>
        <v>1.5</v>
      </c>
      <c r="Z167" s="123">
        <f t="shared" si="42"/>
        <v>1.5</v>
      </c>
      <c r="AA167" s="123">
        <f t="shared" si="42"/>
        <v>1.5</v>
      </c>
      <c r="AB167" s="123">
        <f t="shared" si="42"/>
        <v>1.5</v>
      </c>
      <c r="AC167" s="123">
        <f t="shared" si="42"/>
        <v>1.5</v>
      </c>
      <c r="AD167" s="123">
        <f t="shared" si="42"/>
        <v>1.5</v>
      </c>
      <c r="AE167" s="123">
        <f t="shared" si="42"/>
        <v>1.5</v>
      </c>
      <c r="AF167" s="123">
        <f t="shared" si="42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0"/>
        <v>1</v>
      </c>
      <c r="C168" s="124">
        <v>1</v>
      </c>
      <c r="D168" s="123">
        <f t="shared" si="41"/>
        <v>1</v>
      </c>
      <c r="E168" s="123">
        <f t="shared" si="41"/>
        <v>1</v>
      </c>
      <c r="F168" s="123">
        <f t="shared" si="41"/>
        <v>1</v>
      </c>
      <c r="G168" s="123">
        <f t="shared" si="41"/>
        <v>1</v>
      </c>
      <c r="H168" s="123">
        <f t="shared" si="41"/>
        <v>1</v>
      </c>
      <c r="I168" s="123">
        <f t="shared" si="41"/>
        <v>1</v>
      </c>
      <c r="J168" s="123">
        <f t="shared" si="41"/>
        <v>1</v>
      </c>
      <c r="K168" s="123">
        <f t="shared" si="41"/>
        <v>1</v>
      </c>
      <c r="L168" s="123">
        <f t="shared" si="41"/>
        <v>1</v>
      </c>
      <c r="M168" s="123">
        <f t="shared" si="41"/>
        <v>1</v>
      </c>
      <c r="N168" s="123">
        <f t="shared" si="41"/>
        <v>1</v>
      </c>
      <c r="O168" s="123">
        <f t="shared" si="41"/>
        <v>1</v>
      </c>
      <c r="P168" s="123">
        <f t="shared" si="41"/>
        <v>1</v>
      </c>
      <c r="Q168" s="123">
        <f t="shared" si="41"/>
        <v>1</v>
      </c>
      <c r="R168" s="123">
        <f t="shared" si="41"/>
        <v>1</v>
      </c>
      <c r="S168" s="123">
        <f t="shared" si="42"/>
        <v>1</v>
      </c>
      <c r="T168" s="123">
        <f t="shared" si="42"/>
        <v>1</v>
      </c>
      <c r="U168" s="123">
        <f t="shared" si="42"/>
        <v>1</v>
      </c>
      <c r="V168" s="123">
        <f t="shared" si="42"/>
        <v>1</v>
      </c>
      <c r="W168" s="123">
        <f t="shared" si="42"/>
        <v>1</v>
      </c>
      <c r="X168" s="123">
        <f t="shared" si="42"/>
        <v>1</v>
      </c>
      <c r="Y168" s="123">
        <f t="shared" si="42"/>
        <v>1</v>
      </c>
      <c r="Z168" s="123">
        <f t="shared" si="42"/>
        <v>1</v>
      </c>
      <c r="AA168" s="123">
        <f t="shared" si="42"/>
        <v>1</v>
      </c>
      <c r="AB168" s="123">
        <f t="shared" si="42"/>
        <v>1</v>
      </c>
      <c r="AC168" s="123">
        <f t="shared" si="42"/>
        <v>1</v>
      </c>
      <c r="AD168" s="123">
        <f t="shared" si="42"/>
        <v>1</v>
      </c>
      <c r="AE168" s="123">
        <f t="shared" si="42"/>
        <v>1</v>
      </c>
      <c r="AF168" s="123">
        <f t="shared" si="42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3">AF170</f>
        <v>1</v>
      </c>
      <c r="C170" s="124">
        <v>1</v>
      </c>
      <c r="D170" s="123">
        <f t="shared" ref="D170:S177" si="44">C170</f>
        <v>1</v>
      </c>
      <c r="E170" s="123">
        <f t="shared" si="44"/>
        <v>1</v>
      </c>
      <c r="F170" s="123">
        <f t="shared" si="44"/>
        <v>1</v>
      </c>
      <c r="G170" s="123">
        <f t="shared" si="44"/>
        <v>1</v>
      </c>
      <c r="H170" s="123">
        <f t="shared" si="44"/>
        <v>1</v>
      </c>
      <c r="I170" s="123">
        <f t="shared" si="44"/>
        <v>1</v>
      </c>
      <c r="J170" s="123">
        <f t="shared" si="44"/>
        <v>1</v>
      </c>
      <c r="K170" s="123">
        <f t="shared" si="44"/>
        <v>1</v>
      </c>
      <c r="L170" s="123">
        <f t="shared" si="44"/>
        <v>1</v>
      </c>
      <c r="M170" s="123">
        <f t="shared" si="44"/>
        <v>1</v>
      </c>
      <c r="N170" s="123">
        <f t="shared" si="44"/>
        <v>1</v>
      </c>
      <c r="O170" s="123">
        <f t="shared" si="44"/>
        <v>1</v>
      </c>
      <c r="P170" s="123">
        <f t="shared" si="44"/>
        <v>1</v>
      </c>
      <c r="Q170" s="123">
        <f t="shared" si="44"/>
        <v>1</v>
      </c>
      <c r="R170" s="123">
        <f t="shared" si="44"/>
        <v>1</v>
      </c>
      <c r="S170" s="123">
        <f t="shared" si="44"/>
        <v>1</v>
      </c>
      <c r="T170" s="123">
        <f t="shared" ref="S170:AF177" si="45">S170</f>
        <v>1</v>
      </c>
      <c r="U170" s="123">
        <f t="shared" si="45"/>
        <v>1</v>
      </c>
      <c r="V170" s="123">
        <f t="shared" si="45"/>
        <v>1</v>
      </c>
      <c r="W170" s="123">
        <f t="shared" si="45"/>
        <v>1</v>
      </c>
      <c r="X170" s="123">
        <f t="shared" si="45"/>
        <v>1</v>
      </c>
      <c r="Y170" s="123">
        <f t="shared" si="45"/>
        <v>1</v>
      </c>
      <c r="Z170" s="123">
        <f t="shared" si="45"/>
        <v>1</v>
      </c>
      <c r="AA170" s="123">
        <f t="shared" si="45"/>
        <v>1</v>
      </c>
      <c r="AB170" s="123">
        <f t="shared" si="45"/>
        <v>1</v>
      </c>
      <c r="AC170" s="123">
        <f t="shared" si="45"/>
        <v>1</v>
      </c>
      <c r="AD170" s="123">
        <f t="shared" si="45"/>
        <v>1</v>
      </c>
      <c r="AE170" s="123">
        <f t="shared" si="45"/>
        <v>1</v>
      </c>
      <c r="AF170" s="123">
        <f t="shared" si="45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3"/>
        <v>0.42</v>
      </c>
      <c r="C171" s="124">
        <v>0.42</v>
      </c>
      <c r="D171" s="123">
        <f t="shared" si="44"/>
        <v>0.42</v>
      </c>
      <c r="E171" s="123">
        <f t="shared" si="44"/>
        <v>0.42</v>
      </c>
      <c r="F171" s="123">
        <f t="shared" si="44"/>
        <v>0.42</v>
      </c>
      <c r="G171" s="123">
        <f t="shared" si="44"/>
        <v>0.42</v>
      </c>
      <c r="H171" s="123">
        <f t="shared" si="44"/>
        <v>0.42</v>
      </c>
      <c r="I171" s="123">
        <f t="shared" si="44"/>
        <v>0.42</v>
      </c>
      <c r="J171" s="123">
        <f t="shared" si="44"/>
        <v>0.42</v>
      </c>
      <c r="K171" s="123">
        <f t="shared" si="44"/>
        <v>0.42</v>
      </c>
      <c r="L171" s="123">
        <f t="shared" si="44"/>
        <v>0.42</v>
      </c>
      <c r="M171" s="123">
        <f t="shared" si="44"/>
        <v>0.42</v>
      </c>
      <c r="N171" s="123">
        <f t="shared" si="44"/>
        <v>0.42</v>
      </c>
      <c r="O171" s="123">
        <f t="shared" si="44"/>
        <v>0.42</v>
      </c>
      <c r="P171" s="123">
        <f t="shared" si="44"/>
        <v>0.42</v>
      </c>
      <c r="Q171" s="123">
        <f t="shared" si="44"/>
        <v>0.42</v>
      </c>
      <c r="R171" s="123">
        <f t="shared" si="44"/>
        <v>0.42</v>
      </c>
      <c r="S171" s="123">
        <f t="shared" si="45"/>
        <v>0.42</v>
      </c>
      <c r="T171" s="123">
        <f t="shared" si="45"/>
        <v>0.42</v>
      </c>
      <c r="U171" s="123">
        <f t="shared" si="45"/>
        <v>0.42</v>
      </c>
      <c r="V171" s="123">
        <f t="shared" si="45"/>
        <v>0.42</v>
      </c>
      <c r="W171" s="123">
        <f t="shared" si="45"/>
        <v>0.42</v>
      </c>
      <c r="X171" s="123">
        <f t="shared" si="45"/>
        <v>0.42</v>
      </c>
      <c r="Y171" s="123">
        <f t="shared" si="45"/>
        <v>0.42</v>
      </c>
      <c r="Z171" s="123">
        <f t="shared" si="45"/>
        <v>0.42</v>
      </c>
      <c r="AA171" s="123">
        <f t="shared" si="45"/>
        <v>0.42</v>
      </c>
      <c r="AB171" s="123">
        <f t="shared" si="45"/>
        <v>0.42</v>
      </c>
      <c r="AC171" s="123">
        <f t="shared" si="45"/>
        <v>0.42</v>
      </c>
      <c r="AD171" s="123">
        <f t="shared" si="45"/>
        <v>0.42</v>
      </c>
      <c r="AE171" s="123">
        <f t="shared" si="45"/>
        <v>0.42</v>
      </c>
      <c r="AF171" s="123">
        <f t="shared" si="45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3"/>
        <v>0.46</v>
      </c>
      <c r="C172" s="124">
        <v>0.46</v>
      </c>
      <c r="D172" s="123">
        <f t="shared" si="44"/>
        <v>0.46</v>
      </c>
      <c r="E172" s="123">
        <f t="shared" si="44"/>
        <v>0.46</v>
      </c>
      <c r="F172" s="123">
        <f t="shared" si="44"/>
        <v>0.46</v>
      </c>
      <c r="G172" s="123">
        <f t="shared" si="44"/>
        <v>0.46</v>
      </c>
      <c r="H172" s="123">
        <f t="shared" si="44"/>
        <v>0.46</v>
      </c>
      <c r="I172" s="123">
        <f t="shared" si="44"/>
        <v>0.46</v>
      </c>
      <c r="J172" s="123">
        <f t="shared" si="44"/>
        <v>0.46</v>
      </c>
      <c r="K172" s="123">
        <f t="shared" si="44"/>
        <v>0.46</v>
      </c>
      <c r="L172" s="123">
        <f t="shared" si="44"/>
        <v>0.46</v>
      </c>
      <c r="M172" s="123">
        <f t="shared" si="44"/>
        <v>0.46</v>
      </c>
      <c r="N172" s="123">
        <f t="shared" si="44"/>
        <v>0.46</v>
      </c>
      <c r="O172" s="123">
        <f t="shared" si="44"/>
        <v>0.46</v>
      </c>
      <c r="P172" s="123">
        <f t="shared" si="44"/>
        <v>0.46</v>
      </c>
      <c r="Q172" s="123">
        <f t="shared" si="44"/>
        <v>0.46</v>
      </c>
      <c r="R172" s="123">
        <f t="shared" si="44"/>
        <v>0.46</v>
      </c>
      <c r="S172" s="123">
        <f t="shared" si="45"/>
        <v>0.46</v>
      </c>
      <c r="T172" s="123">
        <f t="shared" si="45"/>
        <v>0.46</v>
      </c>
      <c r="U172" s="123">
        <f t="shared" si="45"/>
        <v>0.46</v>
      </c>
      <c r="V172" s="123">
        <f t="shared" si="45"/>
        <v>0.46</v>
      </c>
      <c r="W172" s="123">
        <f t="shared" si="45"/>
        <v>0.46</v>
      </c>
      <c r="X172" s="123">
        <f t="shared" si="45"/>
        <v>0.46</v>
      </c>
      <c r="Y172" s="123">
        <f t="shared" si="45"/>
        <v>0.46</v>
      </c>
      <c r="Z172" s="123">
        <f t="shared" si="45"/>
        <v>0.46</v>
      </c>
      <c r="AA172" s="123">
        <f t="shared" si="45"/>
        <v>0.46</v>
      </c>
      <c r="AB172" s="123">
        <f t="shared" si="45"/>
        <v>0.46</v>
      </c>
      <c r="AC172" s="123">
        <f t="shared" si="45"/>
        <v>0.46</v>
      </c>
      <c r="AD172" s="123">
        <f t="shared" si="45"/>
        <v>0.46</v>
      </c>
      <c r="AE172" s="123">
        <f t="shared" si="45"/>
        <v>0.46</v>
      </c>
      <c r="AF172" s="123">
        <f t="shared" si="45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3"/>
        <v>0.85</v>
      </c>
      <c r="C173" s="124">
        <v>0.85</v>
      </c>
      <c r="D173" s="123">
        <f t="shared" si="44"/>
        <v>0.85</v>
      </c>
      <c r="E173" s="123">
        <f t="shared" si="44"/>
        <v>0.85</v>
      </c>
      <c r="F173" s="123">
        <f t="shared" si="44"/>
        <v>0.85</v>
      </c>
      <c r="G173" s="123">
        <f t="shared" si="44"/>
        <v>0.85</v>
      </c>
      <c r="H173" s="123">
        <f t="shared" si="44"/>
        <v>0.85</v>
      </c>
      <c r="I173" s="123">
        <f t="shared" si="44"/>
        <v>0.85</v>
      </c>
      <c r="J173" s="123">
        <f t="shared" si="44"/>
        <v>0.85</v>
      </c>
      <c r="K173" s="123">
        <f t="shared" si="44"/>
        <v>0.85</v>
      </c>
      <c r="L173" s="123">
        <f t="shared" si="44"/>
        <v>0.85</v>
      </c>
      <c r="M173" s="123">
        <f t="shared" si="44"/>
        <v>0.85</v>
      </c>
      <c r="N173" s="123">
        <f t="shared" si="44"/>
        <v>0.85</v>
      </c>
      <c r="O173" s="123">
        <f t="shared" si="44"/>
        <v>0.85</v>
      </c>
      <c r="P173" s="123">
        <f t="shared" si="44"/>
        <v>0.85</v>
      </c>
      <c r="Q173" s="123">
        <f t="shared" si="44"/>
        <v>0.85</v>
      </c>
      <c r="R173" s="123">
        <f t="shared" si="44"/>
        <v>0.85</v>
      </c>
      <c r="S173" s="123">
        <f t="shared" si="45"/>
        <v>0.85</v>
      </c>
      <c r="T173" s="123">
        <f t="shared" si="45"/>
        <v>0.85</v>
      </c>
      <c r="U173" s="123">
        <f t="shared" si="45"/>
        <v>0.85</v>
      </c>
      <c r="V173" s="123">
        <f t="shared" si="45"/>
        <v>0.85</v>
      </c>
      <c r="W173" s="123">
        <f t="shared" si="45"/>
        <v>0.85</v>
      </c>
      <c r="X173" s="123">
        <f t="shared" si="45"/>
        <v>0.85</v>
      </c>
      <c r="Y173" s="123">
        <f t="shared" si="45"/>
        <v>0.85</v>
      </c>
      <c r="Z173" s="123">
        <f t="shared" si="45"/>
        <v>0.85</v>
      </c>
      <c r="AA173" s="123">
        <f t="shared" si="45"/>
        <v>0.85</v>
      </c>
      <c r="AB173" s="123">
        <f t="shared" si="45"/>
        <v>0.85</v>
      </c>
      <c r="AC173" s="123">
        <f t="shared" si="45"/>
        <v>0.85</v>
      </c>
      <c r="AD173" s="123">
        <f t="shared" si="45"/>
        <v>0.85</v>
      </c>
      <c r="AE173" s="123">
        <f t="shared" si="45"/>
        <v>0.85</v>
      </c>
      <c r="AF173" s="123">
        <f t="shared" si="45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3"/>
        <v>0.9</v>
      </c>
      <c r="C174" s="124">
        <v>0.9</v>
      </c>
      <c r="D174" s="123">
        <f t="shared" si="44"/>
        <v>0.9</v>
      </c>
      <c r="E174" s="123">
        <f t="shared" si="44"/>
        <v>0.9</v>
      </c>
      <c r="F174" s="123">
        <f t="shared" si="44"/>
        <v>0.9</v>
      </c>
      <c r="G174" s="123">
        <f t="shared" si="44"/>
        <v>0.9</v>
      </c>
      <c r="H174" s="123">
        <f t="shared" si="44"/>
        <v>0.9</v>
      </c>
      <c r="I174" s="123">
        <f t="shared" si="44"/>
        <v>0.9</v>
      </c>
      <c r="J174" s="123">
        <f t="shared" si="44"/>
        <v>0.9</v>
      </c>
      <c r="K174" s="123">
        <f t="shared" si="44"/>
        <v>0.9</v>
      </c>
      <c r="L174" s="123">
        <f t="shared" si="44"/>
        <v>0.9</v>
      </c>
      <c r="M174" s="123">
        <f t="shared" si="44"/>
        <v>0.9</v>
      </c>
      <c r="N174" s="123">
        <f t="shared" si="44"/>
        <v>0.9</v>
      </c>
      <c r="O174" s="123">
        <f t="shared" si="44"/>
        <v>0.9</v>
      </c>
      <c r="P174" s="123">
        <f t="shared" si="44"/>
        <v>0.9</v>
      </c>
      <c r="Q174" s="123">
        <f t="shared" si="44"/>
        <v>0.9</v>
      </c>
      <c r="R174" s="123">
        <f t="shared" si="44"/>
        <v>0.9</v>
      </c>
      <c r="S174" s="123">
        <f t="shared" si="45"/>
        <v>0.9</v>
      </c>
      <c r="T174" s="123">
        <f t="shared" si="45"/>
        <v>0.9</v>
      </c>
      <c r="U174" s="123">
        <f t="shared" si="45"/>
        <v>0.9</v>
      </c>
      <c r="V174" s="123">
        <f t="shared" si="45"/>
        <v>0.9</v>
      </c>
      <c r="W174" s="123">
        <f t="shared" si="45"/>
        <v>0.9</v>
      </c>
      <c r="X174" s="123">
        <f t="shared" si="45"/>
        <v>0.9</v>
      </c>
      <c r="Y174" s="123">
        <f t="shared" si="45"/>
        <v>0.9</v>
      </c>
      <c r="Z174" s="123">
        <f t="shared" si="45"/>
        <v>0.9</v>
      </c>
      <c r="AA174" s="123">
        <f t="shared" si="45"/>
        <v>0.9</v>
      </c>
      <c r="AB174" s="123">
        <f t="shared" si="45"/>
        <v>0.9</v>
      </c>
      <c r="AC174" s="123">
        <f t="shared" si="45"/>
        <v>0.9</v>
      </c>
      <c r="AD174" s="123">
        <f t="shared" si="45"/>
        <v>0.9</v>
      </c>
      <c r="AE174" s="123">
        <f t="shared" si="45"/>
        <v>0.9</v>
      </c>
      <c r="AF174" s="123">
        <f t="shared" si="45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3"/>
        <v>0.44</v>
      </c>
      <c r="C175" s="124">
        <v>0.44</v>
      </c>
      <c r="D175" s="123">
        <f t="shared" si="44"/>
        <v>0.44</v>
      </c>
      <c r="E175" s="123">
        <f t="shared" si="44"/>
        <v>0.44</v>
      </c>
      <c r="F175" s="123">
        <f t="shared" si="44"/>
        <v>0.44</v>
      </c>
      <c r="G175" s="123">
        <f t="shared" si="44"/>
        <v>0.44</v>
      </c>
      <c r="H175" s="123">
        <f t="shared" si="44"/>
        <v>0.44</v>
      </c>
      <c r="I175" s="123">
        <f t="shared" si="44"/>
        <v>0.44</v>
      </c>
      <c r="J175" s="123">
        <f t="shared" si="44"/>
        <v>0.44</v>
      </c>
      <c r="K175" s="123">
        <f t="shared" si="44"/>
        <v>0.44</v>
      </c>
      <c r="L175" s="123">
        <f t="shared" si="44"/>
        <v>0.44</v>
      </c>
      <c r="M175" s="123">
        <f t="shared" si="44"/>
        <v>0.44</v>
      </c>
      <c r="N175" s="123">
        <f t="shared" si="44"/>
        <v>0.44</v>
      </c>
      <c r="O175" s="123">
        <f t="shared" si="44"/>
        <v>0.44</v>
      </c>
      <c r="P175" s="123">
        <f t="shared" si="44"/>
        <v>0.44</v>
      </c>
      <c r="Q175" s="123">
        <f t="shared" si="44"/>
        <v>0.44</v>
      </c>
      <c r="R175" s="123">
        <f t="shared" si="44"/>
        <v>0.44</v>
      </c>
      <c r="S175" s="123">
        <f t="shared" si="45"/>
        <v>0.44</v>
      </c>
      <c r="T175" s="123">
        <f t="shared" si="45"/>
        <v>0.44</v>
      </c>
      <c r="U175" s="123">
        <f t="shared" si="45"/>
        <v>0.44</v>
      </c>
      <c r="V175" s="123">
        <f t="shared" si="45"/>
        <v>0.44</v>
      </c>
      <c r="W175" s="123">
        <f t="shared" si="45"/>
        <v>0.44</v>
      </c>
      <c r="X175" s="123">
        <f t="shared" si="45"/>
        <v>0.44</v>
      </c>
      <c r="Y175" s="123">
        <f t="shared" si="45"/>
        <v>0.44</v>
      </c>
      <c r="Z175" s="123">
        <f t="shared" si="45"/>
        <v>0.44</v>
      </c>
      <c r="AA175" s="123">
        <f t="shared" si="45"/>
        <v>0.44</v>
      </c>
      <c r="AB175" s="123">
        <f t="shared" si="45"/>
        <v>0.44</v>
      </c>
      <c r="AC175" s="123">
        <f t="shared" si="45"/>
        <v>0.44</v>
      </c>
      <c r="AD175" s="123">
        <f t="shared" si="45"/>
        <v>0.44</v>
      </c>
      <c r="AE175" s="123">
        <f t="shared" si="45"/>
        <v>0.44</v>
      </c>
      <c r="AF175" s="123">
        <f t="shared" si="45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3"/>
        <v>2.1</v>
      </c>
      <c r="C176" s="124">
        <v>2.1</v>
      </c>
      <c r="D176" s="123">
        <f t="shared" si="44"/>
        <v>2.1</v>
      </c>
      <c r="E176" s="123">
        <f t="shared" si="44"/>
        <v>2.1</v>
      </c>
      <c r="F176" s="123">
        <f t="shared" si="44"/>
        <v>2.1</v>
      </c>
      <c r="G176" s="123">
        <f t="shared" si="44"/>
        <v>2.1</v>
      </c>
      <c r="H176" s="123">
        <f t="shared" si="44"/>
        <v>2.1</v>
      </c>
      <c r="I176" s="123">
        <f t="shared" si="44"/>
        <v>2.1</v>
      </c>
      <c r="J176" s="123">
        <f t="shared" si="44"/>
        <v>2.1</v>
      </c>
      <c r="K176" s="123">
        <f t="shared" si="44"/>
        <v>2.1</v>
      </c>
      <c r="L176" s="123">
        <f t="shared" si="44"/>
        <v>2.1</v>
      </c>
      <c r="M176" s="123">
        <f t="shared" si="44"/>
        <v>2.1</v>
      </c>
      <c r="N176" s="123">
        <f t="shared" si="44"/>
        <v>2.1</v>
      </c>
      <c r="O176" s="123">
        <f t="shared" si="44"/>
        <v>2.1</v>
      </c>
      <c r="P176" s="123">
        <f t="shared" si="44"/>
        <v>2.1</v>
      </c>
      <c r="Q176" s="123">
        <f t="shared" si="44"/>
        <v>2.1</v>
      </c>
      <c r="R176" s="123">
        <f t="shared" si="44"/>
        <v>2.1</v>
      </c>
      <c r="S176" s="123">
        <f t="shared" si="45"/>
        <v>2.1</v>
      </c>
      <c r="T176" s="123">
        <f t="shared" si="45"/>
        <v>2.1</v>
      </c>
      <c r="U176" s="123">
        <f t="shared" si="45"/>
        <v>2.1</v>
      </c>
      <c r="V176" s="123">
        <f t="shared" si="45"/>
        <v>2.1</v>
      </c>
      <c r="W176" s="123">
        <f t="shared" si="45"/>
        <v>2.1</v>
      </c>
      <c r="X176" s="123">
        <f t="shared" si="45"/>
        <v>2.1</v>
      </c>
      <c r="Y176" s="123">
        <f t="shared" si="45"/>
        <v>2.1</v>
      </c>
      <c r="Z176" s="123">
        <f t="shared" si="45"/>
        <v>2.1</v>
      </c>
      <c r="AA176" s="123">
        <f t="shared" si="45"/>
        <v>2.1</v>
      </c>
      <c r="AB176" s="123">
        <f t="shared" si="45"/>
        <v>2.1</v>
      </c>
      <c r="AC176" s="123">
        <f t="shared" si="45"/>
        <v>2.1</v>
      </c>
      <c r="AD176" s="123">
        <f t="shared" si="45"/>
        <v>2.1</v>
      </c>
      <c r="AE176" s="123">
        <f t="shared" si="45"/>
        <v>2.1</v>
      </c>
      <c r="AF176" s="123">
        <f t="shared" si="45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3"/>
        <v>0.9</v>
      </c>
      <c r="C177" s="124">
        <v>0.9</v>
      </c>
      <c r="D177" s="123">
        <f t="shared" si="44"/>
        <v>0.9</v>
      </c>
      <c r="E177" s="123">
        <f t="shared" si="44"/>
        <v>0.9</v>
      </c>
      <c r="F177" s="123">
        <f t="shared" si="44"/>
        <v>0.9</v>
      </c>
      <c r="G177" s="123">
        <f t="shared" si="44"/>
        <v>0.9</v>
      </c>
      <c r="H177" s="123">
        <f t="shared" si="44"/>
        <v>0.9</v>
      </c>
      <c r="I177" s="123">
        <f t="shared" si="44"/>
        <v>0.9</v>
      </c>
      <c r="J177" s="123">
        <f t="shared" si="44"/>
        <v>0.9</v>
      </c>
      <c r="K177" s="123">
        <f t="shared" si="44"/>
        <v>0.9</v>
      </c>
      <c r="L177" s="123">
        <f t="shared" si="44"/>
        <v>0.9</v>
      </c>
      <c r="M177" s="123">
        <f t="shared" si="44"/>
        <v>0.9</v>
      </c>
      <c r="N177" s="123">
        <f t="shared" si="44"/>
        <v>0.9</v>
      </c>
      <c r="O177" s="123">
        <f t="shared" si="44"/>
        <v>0.9</v>
      </c>
      <c r="P177" s="123">
        <f t="shared" si="44"/>
        <v>0.9</v>
      </c>
      <c r="Q177" s="123">
        <f t="shared" si="44"/>
        <v>0.9</v>
      </c>
      <c r="R177" s="123">
        <f t="shared" si="44"/>
        <v>0.9</v>
      </c>
      <c r="S177" s="123">
        <f t="shared" si="45"/>
        <v>0.9</v>
      </c>
      <c r="T177" s="123">
        <f t="shared" si="45"/>
        <v>0.9</v>
      </c>
      <c r="U177" s="123">
        <f t="shared" si="45"/>
        <v>0.9</v>
      </c>
      <c r="V177" s="123">
        <f t="shared" si="45"/>
        <v>0.9</v>
      </c>
      <c r="W177" s="123">
        <f t="shared" si="45"/>
        <v>0.9</v>
      </c>
      <c r="X177" s="123">
        <f t="shared" si="45"/>
        <v>0.9</v>
      </c>
      <c r="Y177" s="123">
        <f t="shared" si="45"/>
        <v>0.9</v>
      </c>
      <c r="Z177" s="123">
        <f t="shared" si="45"/>
        <v>0.9</v>
      </c>
      <c r="AA177" s="123">
        <f t="shared" si="45"/>
        <v>0.9</v>
      </c>
      <c r="AB177" s="123">
        <f t="shared" si="45"/>
        <v>0.9</v>
      </c>
      <c r="AC177" s="123">
        <f t="shared" si="45"/>
        <v>0.9</v>
      </c>
      <c r="AD177" s="123">
        <f t="shared" si="45"/>
        <v>0.9</v>
      </c>
      <c r="AE177" s="123">
        <f t="shared" si="45"/>
        <v>0.9</v>
      </c>
      <c r="AF177" s="123">
        <f t="shared" si="45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6">AF179</f>
        <v>0.57999999999999996</v>
      </c>
      <c r="C179" s="124">
        <v>0.57999999999999996</v>
      </c>
      <c r="D179" s="123">
        <f t="shared" ref="D179:S191" si="47">C179</f>
        <v>0.57999999999999996</v>
      </c>
      <c r="E179" s="123">
        <f t="shared" si="47"/>
        <v>0.57999999999999996</v>
      </c>
      <c r="F179" s="123">
        <f t="shared" si="47"/>
        <v>0.57999999999999996</v>
      </c>
      <c r="G179" s="123">
        <f t="shared" si="47"/>
        <v>0.57999999999999996</v>
      </c>
      <c r="H179" s="123">
        <f t="shared" si="47"/>
        <v>0.57999999999999996</v>
      </c>
      <c r="I179" s="123">
        <f t="shared" si="47"/>
        <v>0.57999999999999996</v>
      </c>
      <c r="J179" s="123">
        <f t="shared" si="47"/>
        <v>0.57999999999999996</v>
      </c>
      <c r="K179" s="123">
        <f t="shared" si="47"/>
        <v>0.57999999999999996</v>
      </c>
      <c r="L179" s="123">
        <f t="shared" si="47"/>
        <v>0.57999999999999996</v>
      </c>
      <c r="M179" s="123">
        <f t="shared" si="47"/>
        <v>0.57999999999999996</v>
      </c>
      <c r="N179" s="123">
        <f t="shared" si="47"/>
        <v>0.57999999999999996</v>
      </c>
      <c r="O179" s="123">
        <f t="shared" si="47"/>
        <v>0.57999999999999996</v>
      </c>
      <c r="P179" s="123">
        <f t="shared" si="47"/>
        <v>0.57999999999999996</v>
      </c>
      <c r="Q179" s="123">
        <f t="shared" si="47"/>
        <v>0.57999999999999996</v>
      </c>
      <c r="R179" s="123">
        <f t="shared" si="47"/>
        <v>0.57999999999999996</v>
      </c>
      <c r="S179" s="123">
        <f t="shared" si="47"/>
        <v>0.57999999999999996</v>
      </c>
      <c r="T179" s="123">
        <f t="shared" ref="S179:AF191" si="48">S179</f>
        <v>0.57999999999999996</v>
      </c>
      <c r="U179" s="123">
        <f t="shared" si="48"/>
        <v>0.57999999999999996</v>
      </c>
      <c r="V179" s="123">
        <f t="shared" si="48"/>
        <v>0.57999999999999996</v>
      </c>
      <c r="W179" s="123">
        <f t="shared" si="48"/>
        <v>0.57999999999999996</v>
      </c>
      <c r="X179" s="123">
        <f t="shared" si="48"/>
        <v>0.57999999999999996</v>
      </c>
      <c r="Y179" s="123">
        <f t="shared" si="48"/>
        <v>0.57999999999999996</v>
      </c>
      <c r="Z179" s="123">
        <f t="shared" si="48"/>
        <v>0.57999999999999996</v>
      </c>
      <c r="AA179" s="123">
        <f t="shared" si="48"/>
        <v>0.57999999999999996</v>
      </c>
      <c r="AB179" s="123">
        <f t="shared" si="48"/>
        <v>0.57999999999999996</v>
      </c>
      <c r="AC179" s="123">
        <f t="shared" si="48"/>
        <v>0.57999999999999996</v>
      </c>
      <c r="AD179" s="123">
        <f t="shared" si="48"/>
        <v>0.57999999999999996</v>
      </c>
      <c r="AE179" s="123">
        <f t="shared" si="48"/>
        <v>0.57999999999999996</v>
      </c>
      <c r="AF179" s="123">
        <f t="shared" si="48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6"/>
        <v>0.8</v>
      </c>
      <c r="C180" s="124">
        <v>0.8</v>
      </c>
      <c r="D180" s="123">
        <f t="shared" si="47"/>
        <v>0.8</v>
      </c>
      <c r="E180" s="123">
        <f t="shared" si="47"/>
        <v>0.8</v>
      </c>
      <c r="F180" s="123">
        <f t="shared" si="47"/>
        <v>0.8</v>
      </c>
      <c r="G180" s="123">
        <f t="shared" si="47"/>
        <v>0.8</v>
      </c>
      <c r="H180" s="123">
        <f t="shared" si="47"/>
        <v>0.8</v>
      </c>
      <c r="I180" s="123">
        <f t="shared" si="47"/>
        <v>0.8</v>
      </c>
      <c r="J180" s="123">
        <f t="shared" si="47"/>
        <v>0.8</v>
      </c>
      <c r="K180" s="123">
        <f t="shared" si="47"/>
        <v>0.8</v>
      </c>
      <c r="L180" s="123">
        <f t="shared" si="47"/>
        <v>0.8</v>
      </c>
      <c r="M180" s="123">
        <f t="shared" si="47"/>
        <v>0.8</v>
      </c>
      <c r="N180" s="123">
        <f t="shared" si="47"/>
        <v>0.8</v>
      </c>
      <c r="O180" s="123">
        <f t="shared" si="47"/>
        <v>0.8</v>
      </c>
      <c r="P180" s="123">
        <f t="shared" si="47"/>
        <v>0.8</v>
      </c>
      <c r="Q180" s="123">
        <f t="shared" si="47"/>
        <v>0.8</v>
      </c>
      <c r="R180" s="123">
        <f t="shared" si="47"/>
        <v>0.8</v>
      </c>
      <c r="S180" s="123">
        <f t="shared" si="47"/>
        <v>0.8</v>
      </c>
      <c r="T180" s="123">
        <f t="shared" si="48"/>
        <v>0.8</v>
      </c>
      <c r="U180" s="123">
        <f t="shared" si="48"/>
        <v>0.8</v>
      </c>
      <c r="V180" s="123">
        <f t="shared" si="48"/>
        <v>0.8</v>
      </c>
      <c r="W180" s="123">
        <f t="shared" si="48"/>
        <v>0.8</v>
      </c>
      <c r="X180" s="123">
        <f t="shared" si="48"/>
        <v>0.8</v>
      </c>
      <c r="Y180" s="123">
        <f t="shared" si="48"/>
        <v>0.8</v>
      </c>
      <c r="Z180" s="123">
        <f t="shared" si="48"/>
        <v>0.8</v>
      </c>
      <c r="AA180" s="123">
        <f t="shared" si="48"/>
        <v>0.8</v>
      </c>
      <c r="AB180" s="123">
        <f t="shared" si="48"/>
        <v>0.8</v>
      </c>
      <c r="AC180" s="123">
        <f t="shared" si="48"/>
        <v>0.8</v>
      </c>
      <c r="AD180" s="123">
        <f t="shared" si="48"/>
        <v>0.8</v>
      </c>
      <c r="AE180" s="123">
        <f t="shared" si="48"/>
        <v>0.8</v>
      </c>
      <c r="AF180" s="123">
        <f t="shared" si="48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6"/>
        <v>0</v>
      </c>
      <c r="C181" s="124">
        <v>0</v>
      </c>
      <c r="D181" s="123">
        <f t="shared" si="47"/>
        <v>0</v>
      </c>
      <c r="E181" s="123">
        <f t="shared" si="47"/>
        <v>0</v>
      </c>
      <c r="F181" s="123">
        <f t="shared" si="47"/>
        <v>0</v>
      </c>
      <c r="G181" s="123">
        <f t="shared" si="47"/>
        <v>0</v>
      </c>
      <c r="H181" s="123">
        <f t="shared" si="47"/>
        <v>0</v>
      </c>
      <c r="I181" s="123">
        <f t="shared" si="47"/>
        <v>0</v>
      </c>
      <c r="J181" s="123">
        <f t="shared" si="47"/>
        <v>0</v>
      </c>
      <c r="K181" s="123">
        <f t="shared" si="47"/>
        <v>0</v>
      </c>
      <c r="L181" s="123">
        <f t="shared" si="47"/>
        <v>0</v>
      </c>
      <c r="M181" s="123">
        <f t="shared" si="47"/>
        <v>0</v>
      </c>
      <c r="N181" s="123">
        <f t="shared" si="47"/>
        <v>0</v>
      </c>
      <c r="O181" s="123">
        <f t="shared" si="47"/>
        <v>0</v>
      </c>
      <c r="P181" s="123">
        <f t="shared" si="47"/>
        <v>0</v>
      </c>
      <c r="Q181" s="123">
        <f t="shared" si="47"/>
        <v>0</v>
      </c>
      <c r="R181" s="123">
        <f t="shared" si="47"/>
        <v>0</v>
      </c>
      <c r="S181" s="123">
        <f t="shared" si="47"/>
        <v>0</v>
      </c>
      <c r="T181" s="123">
        <f t="shared" si="48"/>
        <v>0</v>
      </c>
      <c r="U181" s="123">
        <f t="shared" si="48"/>
        <v>0</v>
      </c>
      <c r="V181" s="123">
        <f t="shared" si="48"/>
        <v>0</v>
      </c>
      <c r="W181" s="123">
        <f t="shared" si="48"/>
        <v>0</v>
      </c>
      <c r="X181" s="123">
        <f t="shared" si="48"/>
        <v>0</v>
      </c>
      <c r="Y181" s="123">
        <f t="shared" si="48"/>
        <v>0</v>
      </c>
      <c r="Z181" s="123">
        <f t="shared" si="48"/>
        <v>0</v>
      </c>
      <c r="AA181" s="123">
        <f t="shared" si="48"/>
        <v>0</v>
      </c>
      <c r="AB181" s="123">
        <f t="shared" si="48"/>
        <v>0</v>
      </c>
      <c r="AC181" s="123">
        <f t="shared" si="48"/>
        <v>0</v>
      </c>
      <c r="AD181" s="123">
        <f t="shared" si="48"/>
        <v>0</v>
      </c>
      <c r="AE181" s="123">
        <f t="shared" si="48"/>
        <v>0</v>
      </c>
      <c r="AF181" s="123">
        <f t="shared" si="48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6"/>
        <v>0.6</v>
      </c>
      <c r="C182" s="124">
        <v>0.6</v>
      </c>
      <c r="D182" s="123">
        <f t="shared" si="47"/>
        <v>0.6</v>
      </c>
      <c r="E182" s="123">
        <f t="shared" si="47"/>
        <v>0.6</v>
      </c>
      <c r="F182" s="123">
        <f t="shared" si="47"/>
        <v>0.6</v>
      </c>
      <c r="G182" s="123">
        <f t="shared" si="47"/>
        <v>0.6</v>
      </c>
      <c r="H182" s="123">
        <f t="shared" si="47"/>
        <v>0.6</v>
      </c>
      <c r="I182" s="123">
        <f t="shared" si="47"/>
        <v>0.6</v>
      </c>
      <c r="J182" s="123">
        <f t="shared" si="47"/>
        <v>0.6</v>
      </c>
      <c r="K182" s="123">
        <f t="shared" si="47"/>
        <v>0.6</v>
      </c>
      <c r="L182" s="123">
        <f t="shared" si="47"/>
        <v>0.6</v>
      </c>
      <c r="M182" s="123">
        <f t="shared" si="47"/>
        <v>0.6</v>
      </c>
      <c r="N182" s="123">
        <f t="shared" si="47"/>
        <v>0.6</v>
      </c>
      <c r="O182" s="123">
        <f t="shared" si="47"/>
        <v>0.6</v>
      </c>
      <c r="P182" s="123">
        <f t="shared" si="47"/>
        <v>0.6</v>
      </c>
      <c r="Q182" s="123">
        <f t="shared" si="47"/>
        <v>0.6</v>
      </c>
      <c r="R182" s="123">
        <f t="shared" si="47"/>
        <v>0.6</v>
      </c>
      <c r="S182" s="123">
        <f t="shared" si="47"/>
        <v>0.6</v>
      </c>
      <c r="T182" s="123">
        <f t="shared" si="48"/>
        <v>0.6</v>
      </c>
      <c r="U182" s="123">
        <f t="shared" si="48"/>
        <v>0.6</v>
      </c>
      <c r="V182" s="123">
        <f t="shared" si="48"/>
        <v>0.6</v>
      </c>
      <c r="W182" s="123">
        <f t="shared" si="48"/>
        <v>0.6</v>
      </c>
      <c r="X182" s="123">
        <f t="shared" si="48"/>
        <v>0.6</v>
      </c>
      <c r="Y182" s="123">
        <f t="shared" si="48"/>
        <v>0.6</v>
      </c>
      <c r="Z182" s="123">
        <f t="shared" si="48"/>
        <v>0.6</v>
      </c>
      <c r="AA182" s="123">
        <f t="shared" si="48"/>
        <v>0.6</v>
      </c>
      <c r="AB182" s="123">
        <f t="shared" si="48"/>
        <v>0.6</v>
      </c>
      <c r="AC182" s="123">
        <f t="shared" si="48"/>
        <v>0.6</v>
      </c>
      <c r="AD182" s="123">
        <f t="shared" si="48"/>
        <v>0.6</v>
      </c>
      <c r="AE182" s="123">
        <f t="shared" si="48"/>
        <v>0.6</v>
      </c>
      <c r="AF182" s="123">
        <f t="shared" si="48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6"/>
        <v>0.6</v>
      </c>
      <c r="C183" s="124">
        <v>0.6</v>
      </c>
      <c r="D183" s="123">
        <f t="shared" si="47"/>
        <v>0.6</v>
      </c>
      <c r="E183" s="123">
        <f t="shared" si="47"/>
        <v>0.6</v>
      </c>
      <c r="F183" s="123">
        <f t="shared" si="47"/>
        <v>0.6</v>
      </c>
      <c r="G183" s="123">
        <f t="shared" si="47"/>
        <v>0.6</v>
      </c>
      <c r="H183" s="123">
        <f t="shared" si="47"/>
        <v>0.6</v>
      </c>
      <c r="I183" s="123">
        <f t="shared" si="47"/>
        <v>0.6</v>
      </c>
      <c r="J183" s="123">
        <f t="shared" si="47"/>
        <v>0.6</v>
      </c>
      <c r="K183" s="123">
        <f t="shared" si="47"/>
        <v>0.6</v>
      </c>
      <c r="L183" s="123">
        <f t="shared" si="47"/>
        <v>0.6</v>
      </c>
      <c r="M183" s="123">
        <f t="shared" si="47"/>
        <v>0.6</v>
      </c>
      <c r="N183" s="123">
        <f t="shared" si="47"/>
        <v>0.6</v>
      </c>
      <c r="O183" s="123">
        <f t="shared" si="47"/>
        <v>0.6</v>
      </c>
      <c r="P183" s="123">
        <f t="shared" si="47"/>
        <v>0.6</v>
      </c>
      <c r="Q183" s="123">
        <f t="shared" si="47"/>
        <v>0.6</v>
      </c>
      <c r="R183" s="123">
        <f t="shared" si="47"/>
        <v>0.6</v>
      </c>
      <c r="S183" s="123">
        <f t="shared" si="47"/>
        <v>0.6</v>
      </c>
      <c r="T183" s="123">
        <f t="shared" si="48"/>
        <v>0.6</v>
      </c>
      <c r="U183" s="123">
        <f t="shared" si="48"/>
        <v>0.6</v>
      </c>
      <c r="V183" s="123">
        <f t="shared" si="48"/>
        <v>0.6</v>
      </c>
      <c r="W183" s="123">
        <f t="shared" si="48"/>
        <v>0.6</v>
      </c>
      <c r="X183" s="123">
        <f t="shared" si="48"/>
        <v>0.6</v>
      </c>
      <c r="Y183" s="123">
        <f t="shared" si="48"/>
        <v>0.6</v>
      </c>
      <c r="Z183" s="123">
        <f t="shared" si="48"/>
        <v>0.6</v>
      </c>
      <c r="AA183" s="123">
        <f t="shared" si="48"/>
        <v>0.6</v>
      </c>
      <c r="AB183" s="123">
        <f t="shared" si="48"/>
        <v>0.6</v>
      </c>
      <c r="AC183" s="123">
        <f t="shared" si="48"/>
        <v>0.6</v>
      </c>
      <c r="AD183" s="123">
        <f t="shared" si="48"/>
        <v>0.6</v>
      </c>
      <c r="AE183" s="123">
        <f t="shared" si="48"/>
        <v>0.6</v>
      </c>
      <c r="AF183" s="123">
        <f t="shared" si="48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6"/>
        <v>0.35</v>
      </c>
      <c r="C184" s="124">
        <v>0.35</v>
      </c>
      <c r="D184" s="123">
        <f t="shared" si="47"/>
        <v>0.35</v>
      </c>
      <c r="E184" s="123">
        <f t="shared" si="47"/>
        <v>0.35</v>
      </c>
      <c r="F184" s="123">
        <f t="shared" si="47"/>
        <v>0.35</v>
      </c>
      <c r="G184" s="123">
        <f t="shared" si="47"/>
        <v>0.35</v>
      </c>
      <c r="H184" s="123">
        <f t="shared" si="47"/>
        <v>0.35</v>
      </c>
      <c r="I184" s="123">
        <f t="shared" si="47"/>
        <v>0.35</v>
      </c>
      <c r="J184" s="123">
        <f t="shared" si="47"/>
        <v>0.35</v>
      </c>
      <c r="K184" s="123">
        <f t="shared" si="47"/>
        <v>0.35</v>
      </c>
      <c r="L184" s="123">
        <f t="shared" si="47"/>
        <v>0.35</v>
      </c>
      <c r="M184" s="123">
        <f t="shared" si="47"/>
        <v>0.35</v>
      </c>
      <c r="N184" s="123">
        <f t="shared" si="47"/>
        <v>0.35</v>
      </c>
      <c r="O184" s="123">
        <f t="shared" si="47"/>
        <v>0.35</v>
      </c>
      <c r="P184" s="123">
        <f t="shared" si="47"/>
        <v>0.35</v>
      </c>
      <c r="Q184" s="123">
        <f t="shared" si="47"/>
        <v>0.35</v>
      </c>
      <c r="R184" s="123">
        <f t="shared" si="47"/>
        <v>0.35</v>
      </c>
      <c r="S184" s="123">
        <f t="shared" si="47"/>
        <v>0.35</v>
      </c>
      <c r="T184" s="123">
        <f t="shared" si="48"/>
        <v>0.35</v>
      </c>
      <c r="U184" s="123">
        <f t="shared" si="48"/>
        <v>0.35</v>
      </c>
      <c r="V184" s="123">
        <f t="shared" si="48"/>
        <v>0.35</v>
      </c>
      <c r="W184" s="123">
        <f t="shared" si="48"/>
        <v>0.35</v>
      </c>
      <c r="X184" s="123">
        <f t="shared" si="48"/>
        <v>0.35</v>
      </c>
      <c r="Y184" s="123">
        <f t="shared" si="48"/>
        <v>0.35</v>
      </c>
      <c r="Z184" s="123">
        <f t="shared" si="48"/>
        <v>0.35</v>
      </c>
      <c r="AA184" s="123">
        <f t="shared" si="48"/>
        <v>0.35</v>
      </c>
      <c r="AB184" s="123">
        <f t="shared" si="48"/>
        <v>0.35</v>
      </c>
      <c r="AC184" s="123">
        <f t="shared" si="48"/>
        <v>0.35</v>
      </c>
      <c r="AD184" s="123">
        <f t="shared" si="48"/>
        <v>0.35</v>
      </c>
      <c r="AE184" s="123">
        <f t="shared" si="48"/>
        <v>0.35</v>
      </c>
      <c r="AF184" s="123">
        <f t="shared" si="48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6"/>
        <v>0.28999999999999998</v>
      </c>
      <c r="C185" s="124">
        <v>0.28999999999999998</v>
      </c>
      <c r="D185" s="123">
        <f t="shared" si="47"/>
        <v>0.28999999999999998</v>
      </c>
      <c r="E185" s="123">
        <f t="shared" si="47"/>
        <v>0.28999999999999998</v>
      </c>
      <c r="F185" s="123">
        <f t="shared" si="47"/>
        <v>0.28999999999999998</v>
      </c>
      <c r="G185" s="123">
        <f t="shared" si="47"/>
        <v>0.28999999999999998</v>
      </c>
      <c r="H185" s="123">
        <f t="shared" si="47"/>
        <v>0.28999999999999998</v>
      </c>
      <c r="I185" s="123">
        <f t="shared" si="47"/>
        <v>0.28999999999999998</v>
      </c>
      <c r="J185" s="123">
        <f t="shared" si="47"/>
        <v>0.28999999999999998</v>
      </c>
      <c r="K185" s="123">
        <f t="shared" si="47"/>
        <v>0.28999999999999998</v>
      </c>
      <c r="L185" s="123">
        <f t="shared" si="47"/>
        <v>0.28999999999999998</v>
      </c>
      <c r="M185" s="123">
        <f t="shared" si="47"/>
        <v>0.28999999999999998</v>
      </c>
      <c r="N185" s="123">
        <f t="shared" si="47"/>
        <v>0.28999999999999998</v>
      </c>
      <c r="O185" s="123">
        <f t="shared" si="47"/>
        <v>0.28999999999999998</v>
      </c>
      <c r="P185" s="123">
        <f t="shared" si="47"/>
        <v>0.28999999999999998</v>
      </c>
      <c r="Q185" s="123">
        <f t="shared" si="47"/>
        <v>0.28999999999999998</v>
      </c>
      <c r="R185" s="123">
        <f t="shared" si="47"/>
        <v>0.28999999999999998</v>
      </c>
      <c r="S185" s="123">
        <f t="shared" si="47"/>
        <v>0.28999999999999998</v>
      </c>
      <c r="T185" s="123">
        <f t="shared" si="48"/>
        <v>0.28999999999999998</v>
      </c>
      <c r="U185" s="123">
        <f t="shared" si="48"/>
        <v>0.28999999999999998</v>
      </c>
      <c r="V185" s="123">
        <f t="shared" si="48"/>
        <v>0.28999999999999998</v>
      </c>
      <c r="W185" s="123">
        <f t="shared" si="48"/>
        <v>0.28999999999999998</v>
      </c>
      <c r="X185" s="123">
        <f t="shared" si="48"/>
        <v>0.28999999999999998</v>
      </c>
      <c r="Y185" s="123">
        <f t="shared" si="48"/>
        <v>0.28999999999999998</v>
      </c>
      <c r="Z185" s="123">
        <f t="shared" si="48"/>
        <v>0.28999999999999998</v>
      </c>
      <c r="AA185" s="123">
        <f t="shared" si="48"/>
        <v>0.28999999999999998</v>
      </c>
      <c r="AB185" s="123">
        <f t="shared" si="48"/>
        <v>0.28999999999999998</v>
      </c>
      <c r="AC185" s="123">
        <f t="shared" si="48"/>
        <v>0.28999999999999998</v>
      </c>
      <c r="AD185" s="123">
        <f t="shared" si="48"/>
        <v>0.28999999999999998</v>
      </c>
      <c r="AE185" s="123">
        <f t="shared" si="48"/>
        <v>0.28999999999999998</v>
      </c>
      <c r="AF185" s="123">
        <f t="shared" si="48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6"/>
        <v>0.06</v>
      </c>
      <c r="C186" s="124">
        <v>0.06</v>
      </c>
      <c r="D186" s="123">
        <f t="shared" si="47"/>
        <v>0.06</v>
      </c>
      <c r="E186" s="123">
        <f t="shared" si="47"/>
        <v>0.06</v>
      </c>
      <c r="F186" s="123">
        <f t="shared" si="47"/>
        <v>0.06</v>
      </c>
      <c r="G186" s="123">
        <f t="shared" si="47"/>
        <v>0.06</v>
      </c>
      <c r="H186" s="123">
        <f t="shared" si="47"/>
        <v>0.06</v>
      </c>
      <c r="I186" s="123">
        <f t="shared" si="47"/>
        <v>0.06</v>
      </c>
      <c r="J186" s="123">
        <f t="shared" si="47"/>
        <v>0.06</v>
      </c>
      <c r="K186" s="123">
        <f t="shared" si="47"/>
        <v>0.06</v>
      </c>
      <c r="L186" s="123">
        <f t="shared" si="47"/>
        <v>0.06</v>
      </c>
      <c r="M186" s="123">
        <f t="shared" si="47"/>
        <v>0.06</v>
      </c>
      <c r="N186" s="123">
        <f t="shared" si="47"/>
        <v>0.06</v>
      </c>
      <c r="O186" s="123">
        <f t="shared" si="47"/>
        <v>0.06</v>
      </c>
      <c r="P186" s="123">
        <f t="shared" si="47"/>
        <v>0.06</v>
      </c>
      <c r="Q186" s="123">
        <f t="shared" si="47"/>
        <v>0.06</v>
      </c>
      <c r="R186" s="123">
        <f t="shared" si="47"/>
        <v>0.06</v>
      </c>
      <c r="S186" s="123">
        <f t="shared" si="47"/>
        <v>0.06</v>
      </c>
      <c r="T186" s="123">
        <f t="shared" si="48"/>
        <v>0.06</v>
      </c>
      <c r="U186" s="123">
        <f t="shared" si="48"/>
        <v>0.06</v>
      </c>
      <c r="V186" s="123">
        <f t="shared" si="48"/>
        <v>0.06</v>
      </c>
      <c r="W186" s="123">
        <f t="shared" si="48"/>
        <v>0.06</v>
      </c>
      <c r="X186" s="123">
        <f t="shared" si="48"/>
        <v>0.06</v>
      </c>
      <c r="Y186" s="123">
        <f t="shared" si="48"/>
        <v>0.06</v>
      </c>
      <c r="Z186" s="123">
        <f t="shared" si="48"/>
        <v>0.06</v>
      </c>
      <c r="AA186" s="123">
        <f t="shared" si="48"/>
        <v>0.06</v>
      </c>
      <c r="AB186" s="123">
        <f t="shared" si="48"/>
        <v>0.06</v>
      </c>
      <c r="AC186" s="123">
        <f t="shared" si="48"/>
        <v>0.06</v>
      </c>
      <c r="AD186" s="123">
        <f t="shared" si="48"/>
        <v>0.06</v>
      </c>
      <c r="AE186" s="123">
        <f t="shared" si="48"/>
        <v>0.06</v>
      </c>
      <c r="AF186" s="123">
        <f t="shared" si="48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6"/>
        <v>0.11</v>
      </c>
      <c r="C187" s="124">
        <v>0.11</v>
      </c>
      <c r="D187" s="123">
        <f t="shared" si="47"/>
        <v>0.11</v>
      </c>
      <c r="E187" s="123">
        <f t="shared" si="47"/>
        <v>0.11</v>
      </c>
      <c r="F187" s="123">
        <f t="shared" si="47"/>
        <v>0.11</v>
      </c>
      <c r="G187" s="123">
        <f t="shared" si="47"/>
        <v>0.11</v>
      </c>
      <c r="H187" s="123">
        <f t="shared" si="47"/>
        <v>0.11</v>
      </c>
      <c r="I187" s="123">
        <f t="shared" si="47"/>
        <v>0.11</v>
      </c>
      <c r="J187" s="123">
        <f t="shared" si="47"/>
        <v>0.11</v>
      </c>
      <c r="K187" s="123">
        <f t="shared" si="47"/>
        <v>0.11</v>
      </c>
      <c r="L187" s="123">
        <f t="shared" si="47"/>
        <v>0.11</v>
      </c>
      <c r="M187" s="123">
        <f t="shared" si="47"/>
        <v>0.11</v>
      </c>
      <c r="N187" s="123">
        <f t="shared" si="47"/>
        <v>0.11</v>
      </c>
      <c r="O187" s="123">
        <f t="shared" si="47"/>
        <v>0.11</v>
      </c>
      <c r="P187" s="123">
        <f t="shared" si="47"/>
        <v>0.11</v>
      </c>
      <c r="Q187" s="123">
        <f t="shared" si="47"/>
        <v>0.11</v>
      </c>
      <c r="R187" s="123">
        <f t="shared" si="47"/>
        <v>0.11</v>
      </c>
      <c r="S187" s="123">
        <f t="shared" si="47"/>
        <v>0.11</v>
      </c>
      <c r="T187" s="123">
        <f t="shared" si="48"/>
        <v>0.11</v>
      </c>
      <c r="U187" s="123">
        <f t="shared" si="48"/>
        <v>0.11</v>
      </c>
      <c r="V187" s="123">
        <f t="shared" si="48"/>
        <v>0.11</v>
      </c>
      <c r="W187" s="123">
        <f t="shared" si="48"/>
        <v>0.11</v>
      </c>
      <c r="X187" s="123">
        <f t="shared" si="48"/>
        <v>0.11</v>
      </c>
      <c r="Y187" s="123">
        <f t="shared" si="48"/>
        <v>0.11</v>
      </c>
      <c r="Z187" s="123">
        <f t="shared" si="48"/>
        <v>0.11</v>
      </c>
      <c r="AA187" s="123">
        <f t="shared" si="48"/>
        <v>0.11</v>
      </c>
      <c r="AB187" s="123">
        <f t="shared" si="48"/>
        <v>0.11</v>
      </c>
      <c r="AC187" s="123">
        <f t="shared" si="48"/>
        <v>0.11</v>
      </c>
      <c r="AD187" s="123">
        <f t="shared" si="48"/>
        <v>0.11</v>
      </c>
      <c r="AE187" s="123">
        <f t="shared" si="48"/>
        <v>0.11</v>
      </c>
      <c r="AF187" s="123">
        <f t="shared" si="48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6"/>
        <v>0.1</v>
      </c>
      <c r="C188" s="124">
        <v>0.1</v>
      </c>
      <c r="D188" s="123">
        <f t="shared" si="47"/>
        <v>0.1</v>
      </c>
      <c r="E188" s="123">
        <f t="shared" si="47"/>
        <v>0.1</v>
      </c>
      <c r="F188" s="123">
        <f t="shared" si="47"/>
        <v>0.1</v>
      </c>
      <c r="G188" s="123">
        <f t="shared" si="47"/>
        <v>0.1</v>
      </c>
      <c r="H188" s="123">
        <f t="shared" si="47"/>
        <v>0.1</v>
      </c>
      <c r="I188" s="123">
        <f t="shared" si="47"/>
        <v>0.1</v>
      </c>
      <c r="J188" s="123">
        <f t="shared" si="47"/>
        <v>0.1</v>
      </c>
      <c r="K188" s="123">
        <f t="shared" si="47"/>
        <v>0.1</v>
      </c>
      <c r="L188" s="123">
        <f t="shared" si="47"/>
        <v>0.1</v>
      </c>
      <c r="M188" s="123">
        <f t="shared" si="47"/>
        <v>0.1</v>
      </c>
      <c r="N188" s="123">
        <f t="shared" si="47"/>
        <v>0.1</v>
      </c>
      <c r="O188" s="123">
        <f t="shared" si="47"/>
        <v>0.1</v>
      </c>
      <c r="P188" s="123">
        <f t="shared" si="47"/>
        <v>0.1</v>
      </c>
      <c r="Q188" s="123">
        <f t="shared" si="47"/>
        <v>0.1</v>
      </c>
      <c r="R188" s="123">
        <f t="shared" si="47"/>
        <v>0.1</v>
      </c>
      <c r="S188" s="123">
        <f t="shared" si="48"/>
        <v>0.1</v>
      </c>
      <c r="T188" s="123">
        <f t="shared" si="48"/>
        <v>0.1</v>
      </c>
      <c r="U188" s="123">
        <f t="shared" si="48"/>
        <v>0.1</v>
      </c>
      <c r="V188" s="123">
        <f t="shared" si="48"/>
        <v>0.1</v>
      </c>
      <c r="W188" s="123">
        <f t="shared" si="48"/>
        <v>0.1</v>
      </c>
      <c r="X188" s="123">
        <f t="shared" si="48"/>
        <v>0.1</v>
      </c>
      <c r="Y188" s="123">
        <f t="shared" si="48"/>
        <v>0.1</v>
      </c>
      <c r="Z188" s="123">
        <f t="shared" si="48"/>
        <v>0.1</v>
      </c>
      <c r="AA188" s="123">
        <f t="shared" si="48"/>
        <v>0.1</v>
      </c>
      <c r="AB188" s="123">
        <f t="shared" si="48"/>
        <v>0.1</v>
      </c>
      <c r="AC188" s="123">
        <f t="shared" si="48"/>
        <v>0.1</v>
      </c>
      <c r="AD188" s="123">
        <f t="shared" si="48"/>
        <v>0.1</v>
      </c>
      <c r="AE188" s="123">
        <f t="shared" si="48"/>
        <v>0.1</v>
      </c>
      <c r="AF188" s="123">
        <f t="shared" si="48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6"/>
        <v>0.09</v>
      </c>
      <c r="C189" s="124">
        <v>0.09</v>
      </c>
      <c r="D189" s="123">
        <f t="shared" si="47"/>
        <v>0.09</v>
      </c>
      <c r="E189" s="123">
        <f t="shared" si="47"/>
        <v>0.09</v>
      </c>
      <c r="F189" s="123">
        <f t="shared" si="47"/>
        <v>0.09</v>
      </c>
      <c r="G189" s="123">
        <f t="shared" si="47"/>
        <v>0.09</v>
      </c>
      <c r="H189" s="123">
        <f t="shared" si="47"/>
        <v>0.09</v>
      </c>
      <c r="I189" s="123">
        <f t="shared" si="47"/>
        <v>0.09</v>
      </c>
      <c r="J189" s="123">
        <f t="shared" si="47"/>
        <v>0.09</v>
      </c>
      <c r="K189" s="123">
        <f t="shared" si="47"/>
        <v>0.09</v>
      </c>
      <c r="L189" s="123">
        <f t="shared" si="47"/>
        <v>0.09</v>
      </c>
      <c r="M189" s="123">
        <f t="shared" si="47"/>
        <v>0.09</v>
      </c>
      <c r="N189" s="123">
        <f t="shared" si="47"/>
        <v>0.09</v>
      </c>
      <c r="O189" s="123">
        <f t="shared" si="47"/>
        <v>0.09</v>
      </c>
      <c r="P189" s="123">
        <f t="shared" si="47"/>
        <v>0.09</v>
      </c>
      <c r="Q189" s="123">
        <f t="shared" si="47"/>
        <v>0.09</v>
      </c>
      <c r="R189" s="123">
        <f t="shared" si="47"/>
        <v>0.09</v>
      </c>
      <c r="S189" s="123">
        <f t="shared" si="48"/>
        <v>0.09</v>
      </c>
      <c r="T189" s="123">
        <f t="shared" si="48"/>
        <v>0.09</v>
      </c>
      <c r="U189" s="123">
        <f t="shared" si="48"/>
        <v>0.09</v>
      </c>
      <c r="V189" s="123">
        <f t="shared" si="48"/>
        <v>0.09</v>
      </c>
      <c r="W189" s="123">
        <f t="shared" si="48"/>
        <v>0.09</v>
      </c>
      <c r="X189" s="123">
        <f t="shared" si="48"/>
        <v>0.09</v>
      </c>
      <c r="Y189" s="123">
        <f t="shared" si="48"/>
        <v>0.09</v>
      </c>
      <c r="Z189" s="123">
        <f t="shared" si="48"/>
        <v>0.09</v>
      </c>
      <c r="AA189" s="123">
        <f t="shared" si="48"/>
        <v>0.09</v>
      </c>
      <c r="AB189" s="123">
        <f t="shared" si="48"/>
        <v>0.09</v>
      </c>
      <c r="AC189" s="123">
        <f t="shared" si="48"/>
        <v>0.09</v>
      </c>
      <c r="AD189" s="123">
        <f t="shared" si="48"/>
        <v>0.09</v>
      </c>
      <c r="AE189" s="123">
        <f t="shared" si="48"/>
        <v>0.09</v>
      </c>
      <c r="AF189" s="123">
        <f t="shared" si="48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6"/>
        <v>0.04</v>
      </c>
      <c r="C190" s="53">
        <v>0.04</v>
      </c>
      <c r="D190" s="123">
        <f t="shared" si="47"/>
        <v>0.04</v>
      </c>
      <c r="E190" s="123">
        <f t="shared" si="47"/>
        <v>0.04</v>
      </c>
      <c r="F190" s="123">
        <f t="shared" si="47"/>
        <v>0.04</v>
      </c>
      <c r="G190" s="123">
        <f t="shared" si="47"/>
        <v>0.04</v>
      </c>
      <c r="H190" s="123">
        <f t="shared" si="47"/>
        <v>0.04</v>
      </c>
      <c r="I190" s="123">
        <f t="shared" si="47"/>
        <v>0.04</v>
      </c>
      <c r="J190" s="123">
        <f t="shared" si="47"/>
        <v>0.04</v>
      </c>
      <c r="K190" s="123">
        <f t="shared" si="47"/>
        <v>0.04</v>
      </c>
      <c r="L190" s="123">
        <f t="shared" si="47"/>
        <v>0.04</v>
      </c>
      <c r="M190" s="123">
        <f t="shared" si="47"/>
        <v>0.04</v>
      </c>
      <c r="N190" s="123">
        <f t="shared" si="47"/>
        <v>0.04</v>
      </c>
      <c r="O190" s="123">
        <f t="shared" si="47"/>
        <v>0.04</v>
      </c>
      <c r="P190" s="123">
        <f t="shared" si="47"/>
        <v>0.04</v>
      </c>
      <c r="Q190" s="123">
        <f t="shared" si="47"/>
        <v>0.04</v>
      </c>
      <c r="R190" s="123">
        <f t="shared" si="47"/>
        <v>0.04</v>
      </c>
      <c r="S190" s="123">
        <f t="shared" si="48"/>
        <v>0.04</v>
      </c>
      <c r="T190" s="123">
        <f t="shared" si="48"/>
        <v>0.04</v>
      </c>
      <c r="U190" s="123">
        <f t="shared" si="48"/>
        <v>0.04</v>
      </c>
      <c r="V190" s="123">
        <f t="shared" si="48"/>
        <v>0.04</v>
      </c>
      <c r="W190" s="123">
        <f t="shared" si="48"/>
        <v>0.04</v>
      </c>
      <c r="X190" s="123">
        <f t="shared" si="48"/>
        <v>0.04</v>
      </c>
      <c r="Y190" s="123">
        <f t="shared" si="48"/>
        <v>0.04</v>
      </c>
      <c r="Z190" s="123">
        <f t="shared" si="48"/>
        <v>0.04</v>
      </c>
      <c r="AA190" s="123">
        <f t="shared" si="48"/>
        <v>0.04</v>
      </c>
      <c r="AB190" s="123">
        <f t="shared" si="48"/>
        <v>0.04</v>
      </c>
      <c r="AC190" s="123">
        <f t="shared" si="48"/>
        <v>0.04</v>
      </c>
      <c r="AD190" s="123">
        <f t="shared" si="48"/>
        <v>0.04</v>
      </c>
      <c r="AE190" s="123">
        <f t="shared" si="48"/>
        <v>0.04</v>
      </c>
      <c r="AF190" s="123">
        <f t="shared" si="48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6"/>
        <v>2.3E-2</v>
      </c>
      <c r="C191" s="53">
        <v>2.3E-2</v>
      </c>
      <c r="D191" s="123">
        <f>C191</f>
        <v>2.3E-2</v>
      </c>
      <c r="E191" s="123">
        <f t="shared" si="47"/>
        <v>2.3E-2</v>
      </c>
      <c r="F191" s="123">
        <f t="shared" si="47"/>
        <v>2.3E-2</v>
      </c>
      <c r="G191" s="123">
        <f t="shared" si="47"/>
        <v>2.3E-2</v>
      </c>
      <c r="H191" s="123">
        <f t="shared" si="47"/>
        <v>2.3E-2</v>
      </c>
      <c r="I191" s="123">
        <f t="shared" si="47"/>
        <v>2.3E-2</v>
      </c>
      <c r="J191" s="123">
        <f t="shared" si="47"/>
        <v>2.3E-2</v>
      </c>
      <c r="K191" s="123">
        <f t="shared" si="47"/>
        <v>2.3E-2</v>
      </c>
      <c r="L191" s="123">
        <f t="shared" si="47"/>
        <v>2.3E-2</v>
      </c>
      <c r="M191" s="123">
        <f t="shared" si="47"/>
        <v>2.3E-2</v>
      </c>
      <c r="N191" s="123">
        <f t="shared" si="47"/>
        <v>2.3E-2</v>
      </c>
      <c r="O191" s="123">
        <f t="shared" si="47"/>
        <v>2.3E-2</v>
      </c>
      <c r="P191" s="123">
        <f t="shared" si="47"/>
        <v>2.3E-2</v>
      </c>
      <c r="Q191" s="123">
        <f t="shared" si="47"/>
        <v>2.3E-2</v>
      </c>
      <c r="R191" s="123">
        <f t="shared" si="47"/>
        <v>2.3E-2</v>
      </c>
      <c r="S191" s="123">
        <f t="shared" si="48"/>
        <v>2.3E-2</v>
      </c>
      <c r="T191" s="123">
        <f t="shared" si="48"/>
        <v>2.3E-2</v>
      </c>
      <c r="U191" s="123">
        <f t="shared" si="48"/>
        <v>2.3E-2</v>
      </c>
      <c r="V191" s="123">
        <f t="shared" si="48"/>
        <v>2.3E-2</v>
      </c>
      <c r="W191" s="123">
        <f t="shared" si="48"/>
        <v>2.3E-2</v>
      </c>
      <c r="X191" s="123">
        <f t="shared" si="48"/>
        <v>2.3E-2</v>
      </c>
      <c r="Y191" s="123">
        <f t="shared" si="48"/>
        <v>2.3E-2</v>
      </c>
      <c r="Z191" s="123">
        <f t="shared" si="48"/>
        <v>2.3E-2</v>
      </c>
      <c r="AA191" s="123">
        <f t="shared" si="48"/>
        <v>2.3E-2</v>
      </c>
      <c r="AB191" s="123">
        <f t="shared" si="48"/>
        <v>2.3E-2</v>
      </c>
      <c r="AC191" s="123">
        <f t="shared" si="48"/>
        <v>2.3E-2</v>
      </c>
      <c r="AD191" s="123">
        <f t="shared" si="48"/>
        <v>2.3E-2</v>
      </c>
      <c r="AE191" s="123">
        <f t="shared" si="48"/>
        <v>2.3E-2</v>
      </c>
      <c r="AF191" s="123">
        <f t="shared" si="48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9">SUM(C102:C191)</f>
        <v>194.70600000000002</v>
      </c>
      <c r="D192" s="128">
        <f t="shared" si="49"/>
        <v>194.70600000000002</v>
      </c>
      <c r="E192" s="128">
        <f t="shared" si="49"/>
        <v>194.70600000000002</v>
      </c>
      <c r="F192" s="128">
        <f t="shared" si="49"/>
        <v>194.70600000000002</v>
      </c>
      <c r="G192" s="128">
        <f t="shared" si="49"/>
        <v>194.70600000000002</v>
      </c>
      <c r="H192" s="128">
        <f t="shared" si="49"/>
        <v>194.70600000000002</v>
      </c>
      <c r="I192" s="128">
        <f t="shared" si="49"/>
        <v>189.70600000000005</v>
      </c>
      <c r="J192" s="128">
        <f t="shared" si="49"/>
        <v>187.10600000000005</v>
      </c>
      <c r="K192" s="128">
        <f t="shared" si="49"/>
        <v>187.10600000000005</v>
      </c>
      <c r="L192" s="128">
        <f t="shared" si="49"/>
        <v>187.10600000000005</v>
      </c>
      <c r="M192" s="128">
        <f t="shared" si="49"/>
        <v>187.10600000000005</v>
      </c>
      <c r="N192" s="128">
        <f t="shared" si="49"/>
        <v>187.10600000000005</v>
      </c>
      <c r="O192" s="128">
        <f t="shared" si="49"/>
        <v>187.10600000000005</v>
      </c>
      <c r="P192" s="128">
        <f t="shared" si="49"/>
        <v>187.10600000000005</v>
      </c>
      <c r="Q192" s="128">
        <f t="shared" si="49"/>
        <v>187.10600000000005</v>
      </c>
      <c r="R192" s="128">
        <f t="shared" si="49"/>
        <v>187.10600000000005</v>
      </c>
      <c r="S192" s="128">
        <f t="shared" si="49"/>
        <v>187.10600000000005</v>
      </c>
      <c r="T192" s="128">
        <f t="shared" si="49"/>
        <v>187.10600000000005</v>
      </c>
      <c r="U192" s="128">
        <f t="shared" si="49"/>
        <v>187.10600000000005</v>
      </c>
      <c r="V192" s="128">
        <f t="shared" si="49"/>
        <v>187.10600000000005</v>
      </c>
      <c r="W192" s="128">
        <f t="shared" si="49"/>
        <v>187.10600000000005</v>
      </c>
      <c r="X192" s="128">
        <f t="shared" si="49"/>
        <v>187.10600000000005</v>
      </c>
      <c r="Y192" s="128">
        <f t="shared" si="49"/>
        <v>187.10600000000005</v>
      </c>
      <c r="Z192" s="128">
        <f t="shared" si="49"/>
        <v>187.10600000000005</v>
      </c>
      <c r="AA192" s="128">
        <f t="shared" si="49"/>
        <v>187.10600000000005</v>
      </c>
      <c r="AB192" s="128">
        <f t="shared" si="49"/>
        <v>187.10600000000005</v>
      </c>
      <c r="AC192" s="128">
        <f t="shared" si="49"/>
        <v>187.10600000000005</v>
      </c>
      <c r="AD192" s="128">
        <f t="shared" si="49"/>
        <v>187.10600000000005</v>
      </c>
      <c r="AE192" s="128">
        <f t="shared" si="49"/>
        <v>187.10600000000005</v>
      </c>
      <c r="AF192" s="128">
        <f t="shared" si="49"/>
        <v>187.10600000000005</v>
      </c>
      <c r="AG192" s="129">
        <f t="shared" si="49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0">AF194</f>
        <v>0.3</v>
      </c>
      <c r="C194" s="130">
        <v>0.3</v>
      </c>
      <c r="D194" s="130">
        <f t="shared" ref="D194:S199" si="51">C194</f>
        <v>0.3</v>
      </c>
      <c r="E194" s="130">
        <f t="shared" si="51"/>
        <v>0.3</v>
      </c>
      <c r="F194" s="130">
        <f t="shared" si="51"/>
        <v>0.3</v>
      </c>
      <c r="G194" s="130">
        <f t="shared" si="51"/>
        <v>0.3</v>
      </c>
      <c r="H194" s="130">
        <f t="shared" si="51"/>
        <v>0.3</v>
      </c>
      <c r="I194" s="130">
        <f t="shared" si="51"/>
        <v>0.3</v>
      </c>
      <c r="J194" s="130">
        <f t="shared" si="51"/>
        <v>0.3</v>
      </c>
      <c r="K194" s="130">
        <f t="shared" si="51"/>
        <v>0.3</v>
      </c>
      <c r="L194" s="130">
        <f t="shared" si="51"/>
        <v>0.3</v>
      </c>
      <c r="M194" s="130">
        <f t="shared" si="51"/>
        <v>0.3</v>
      </c>
      <c r="N194" s="130">
        <f t="shared" si="51"/>
        <v>0.3</v>
      </c>
      <c r="O194" s="130">
        <f t="shared" si="51"/>
        <v>0.3</v>
      </c>
      <c r="P194" s="130">
        <f t="shared" si="51"/>
        <v>0.3</v>
      </c>
      <c r="Q194" s="130">
        <f t="shared" si="51"/>
        <v>0.3</v>
      </c>
      <c r="R194" s="130">
        <f t="shared" si="51"/>
        <v>0.3</v>
      </c>
      <c r="S194" s="130">
        <f t="shared" si="51"/>
        <v>0.3</v>
      </c>
      <c r="T194" s="130">
        <f t="shared" ref="T194:AF199" si="52">S194</f>
        <v>0.3</v>
      </c>
      <c r="U194" s="130">
        <f t="shared" si="52"/>
        <v>0.3</v>
      </c>
      <c r="V194" s="130">
        <f t="shared" si="52"/>
        <v>0.3</v>
      </c>
      <c r="W194" s="130">
        <f t="shared" si="52"/>
        <v>0.3</v>
      </c>
      <c r="X194" s="130">
        <f t="shared" si="52"/>
        <v>0.3</v>
      </c>
      <c r="Y194" s="130">
        <f t="shared" si="52"/>
        <v>0.3</v>
      </c>
      <c r="Z194" s="130">
        <f t="shared" si="52"/>
        <v>0.3</v>
      </c>
      <c r="AA194" s="130">
        <f t="shared" si="52"/>
        <v>0.3</v>
      </c>
      <c r="AB194" s="130">
        <f t="shared" si="52"/>
        <v>0.3</v>
      </c>
      <c r="AC194" s="130">
        <f t="shared" si="52"/>
        <v>0.3</v>
      </c>
      <c r="AD194" s="130">
        <f t="shared" si="52"/>
        <v>0.3</v>
      </c>
      <c r="AE194" s="130">
        <f t="shared" si="52"/>
        <v>0.3</v>
      </c>
      <c r="AF194" s="130">
        <f t="shared" si="52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0"/>
        <v>0.4</v>
      </c>
      <c r="C195" s="123">
        <v>0.4</v>
      </c>
      <c r="D195" s="123">
        <f t="shared" si="51"/>
        <v>0.4</v>
      </c>
      <c r="E195" s="123">
        <f t="shared" si="51"/>
        <v>0.4</v>
      </c>
      <c r="F195" s="123">
        <f t="shared" si="51"/>
        <v>0.4</v>
      </c>
      <c r="G195" s="123">
        <f t="shared" si="51"/>
        <v>0.4</v>
      </c>
      <c r="H195" s="123">
        <f t="shared" si="51"/>
        <v>0.4</v>
      </c>
      <c r="I195" s="123">
        <f t="shared" si="51"/>
        <v>0.4</v>
      </c>
      <c r="J195" s="123">
        <f t="shared" si="51"/>
        <v>0.4</v>
      </c>
      <c r="K195" s="123">
        <f t="shared" si="51"/>
        <v>0.4</v>
      </c>
      <c r="L195" s="123">
        <f t="shared" si="51"/>
        <v>0.4</v>
      </c>
      <c r="M195" s="123">
        <f t="shared" si="51"/>
        <v>0.4</v>
      </c>
      <c r="N195" s="123">
        <f t="shared" si="51"/>
        <v>0.4</v>
      </c>
      <c r="O195" s="123">
        <f t="shared" si="51"/>
        <v>0.4</v>
      </c>
      <c r="P195" s="123">
        <f t="shared" si="51"/>
        <v>0.4</v>
      </c>
      <c r="Q195" s="123">
        <f t="shared" si="51"/>
        <v>0.4</v>
      </c>
      <c r="R195" s="123">
        <f t="shared" si="51"/>
        <v>0.4</v>
      </c>
      <c r="S195" s="123">
        <f t="shared" si="51"/>
        <v>0.4</v>
      </c>
      <c r="T195" s="123">
        <f t="shared" si="52"/>
        <v>0.4</v>
      </c>
      <c r="U195" s="123">
        <f t="shared" si="52"/>
        <v>0.4</v>
      </c>
      <c r="V195" s="123">
        <f t="shared" si="52"/>
        <v>0.4</v>
      </c>
      <c r="W195" s="123">
        <f>V195</f>
        <v>0.4</v>
      </c>
      <c r="X195" s="123">
        <f>W195</f>
        <v>0.4</v>
      </c>
      <c r="Y195" s="123">
        <f t="shared" si="52"/>
        <v>0.4</v>
      </c>
      <c r="Z195" s="123">
        <f t="shared" si="52"/>
        <v>0.4</v>
      </c>
      <c r="AA195" s="123">
        <f t="shared" si="52"/>
        <v>0.4</v>
      </c>
      <c r="AB195" s="123">
        <f t="shared" si="52"/>
        <v>0.4</v>
      </c>
      <c r="AC195" s="123">
        <f t="shared" si="52"/>
        <v>0.4</v>
      </c>
      <c r="AD195" s="123">
        <f t="shared" si="52"/>
        <v>0.4</v>
      </c>
      <c r="AE195" s="123">
        <f t="shared" si="52"/>
        <v>0.4</v>
      </c>
      <c r="AF195" s="123">
        <f t="shared" si="52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0"/>
        <v>1.5</v>
      </c>
      <c r="C196" s="123">
        <v>1.5</v>
      </c>
      <c r="D196" s="123">
        <f t="shared" si="51"/>
        <v>1.5</v>
      </c>
      <c r="E196" s="123">
        <f t="shared" si="51"/>
        <v>1.5</v>
      </c>
      <c r="F196" s="123">
        <f t="shared" si="51"/>
        <v>1.5</v>
      </c>
      <c r="G196" s="123">
        <f t="shared" si="51"/>
        <v>1.5</v>
      </c>
      <c r="H196" s="123">
        <f t="shared" si="51"/>
        <v>1.5</v>
      </c>
      <c r="I196" s="123">
        <f t="shared" si="51"/>
        <v>1.5</v>
      </c>
      <c r="J196" s="123">
        <f t="shared" si="51"/>
        <v>1.5</v>
      </c>
      <c r="K196" s="123">
        <f t="shared" si="51"/>
        <v>1.5</v>
      </c>
      <c r="L196" s="123">
        <f t="shared" si="51"/>
        <v>1.5</v>
      </c>
      <c r="M196" s="123">
        <f t="shared" si="51"/>
        <v>1.5</v>
      </c>
      <c r="N196" s="123">
        <f t="shared" si="51"/>
        <v>1.5</v>
      </c>
      <c r="O196" s="123">
        <f t="shared" si="51"/>
        <v>1.5</v>
      </c>
      <c r="P196" s="123">
        <f t="shared" si="51"/>
        <v>1.5</v>
      </c>
      <c r="Q196" s="123">
        <f t="shared" si="51"/>
        <v>1.5</v>
      </c>
      <c r="R196" s="123">
        <f t="shared" si="51"/>
        <v>1.5</v>
      </c>
      <c r="S196" s="123">
        <f t="shared" si="51"/>
        <v>1.5</v>
      </c>
      <c r="T196" s="123">
        <f t="shared" si="52"/>
        <v>1.5</v>
      </c>
      <c r="U196" s="123">
        <f t="shared" si="52"/>
        <v>1.5</v>
      </c>
      <c r="V196" s="123">
        <f t="shared" si="52"/>
        <v>1.5</v>
      </c>
      <c r="W196" s="123">
        <f t="shared" si="52"/>
        <v>1.5</v>
      </c>
      <c r="X196" s="123">
        <f t="shared" si="52"/>
        <v>1.5</v>
      </c>
      <c r="Y196" s="123">
        <f t="shared" si="52"/>
        <v>1.5</v>
      </c>
      <c r="Z196" s="123">
        <f t="shared" si="52"/>
        <v>1.5</v>
      </c>
      <c r="AA196" s="123">
        <f t="shared" si="52"/>
        <v>1.5</v>
      </c>
      <c r="AB196" s="123">
        <f t="shared" si="52"/>
        <v>1.5</v>
      </c>
      <c r="AC196" s="123">
        <f t="shared" si="52"/>
        <v>1.5</v>
      </c>
      <c r="AD196" s="123">
        <f t="shared" si="52"/>
        <v>1.5</v>
      </c>
      <c r="AE196" s="123">
        <f t="shared" si="52"/>
        <v>1.5</v>
      </c>
      <c r="AF196" s="123">
        <f t="shared" si="52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0"/>
        <v>0.3</v>
      </c>
      <c r="C197" s="123">
        <v>0.3</v>
      </c>
      <c r="D197" s="123">
        <f t="shared" si="51"/>
        <v>0.3</v>
      </c>
      <c r="E197" s="123">
        <f t="shared" si="51"/>
        <v>0.3</v>
      </c>
      <c r="F197" s="123">
        <f t="shared" si="51"/>
        <v>0.3</v>
      </c>
      <c r="G197" s="123">
        <f t="shared" si="51"/>
        <v>0.3</v>
      </c>
      <c r="H197" s="123">
        <f t="shared" si="51"/>
        <v>0.3</v>
      </c>
      <c r="I197" s="123">
        <f t="shared" si="51"/>
        <v>0.3</v>
      </c>
      <c r="J197" s="123">
        <f t="shared" si="51"/>
        <v>0.3</v>
      </c>
      <c r="K197" s="123">
        <f t="shared" si="51"/>
        <v>0.3</v>
      </c>
      <c r="L197" s="123">
        <f t="shared" si="51"/>
        <v>0.3</v>
      </c>
      <c r="M197" s="123">
        <f t="shared" si="51"/>
        <v>0.3</v>
      </c>
      <c r="N197" s="123">
        <f t="shared" si="51"/>
        <v>0.3</v>
      </c>
      <c r="O197" s="123">
        <f t="shared" si="51"/>
        <v>0.3</v>
      </c>
      <c r="P197" s="123">
        <f t="shared" si="51"/>
        <v>0.3</v>
      </c>
      <c r="Q197" s="123">
        <f t="shared" si="51"/>
        <v>0.3</v>
      </c>
      <c r="R197" s="123">
        <f t="shared" si="51"/>
        <v>0.3</v>
      </c>
      <c r="S197" s="123">
        <f t="shared" si="51"/>
        <v>0.3</v>
      </c>
      <c r="T197" s="123">
        <f t="shared" si="52"/>
        <v>0.3</v>
      </c>
      <c r="U197" s="123">
        <f t="shared" si="52"/>
        <v>0.3</v>
      </c>
      <c r="V197" s="123">
        <f t="shared" si="52"/>
        <v>0.3</v>
      </c>
      <c r="W197" s="123">
        <f t="shared" si="52"/>
        <v>0.3</v>
      </c>
      <c r="X197" s="123">
        <f t="shared" si="52"/>
        <v>0.3</v>
      </c>
      <c r="Y197" s="123">
        <f t="shared" si="52"/>
        <v>0.3</v>
      </c>
      <c r="Z197" s="123">
        <f t="shared" si="52"/>
        <v>0.3</v>
      </c>
      <c r="AA197" s="123">
        <f t="shared" si="52"/>
        <v>0.3</v>
      </c>
      <c r="AB197" s="123">
        <f t="shared" si="52"/>
        <v>0.3</v>
      </c>
      <c r="AC197" s="123">
        <f t="shared" si="52"/>
        <v>0.3</v>
      </c>
      <c r="AD197" s="123">
        <f t="shared" si="52"/>
        <v>0.3</v>
      </c>
      <c r="AE197" s="123">
        <f t="shared" si="52"/>
        <v>0.3</v>
      </c>
      <c r="AF197" s="123">
        <f t="shared" si="52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0"/>
        <v>0.4</v>
      </c>
      <c r="C198" s="123">
        <v>0.4</v>
      </c>
      <c r="D198" s="123">
        <f t="shared" si="51"/>
        <v>0.4</v>
      </c>
      <c r="E198" s="123">
        <f t="shared" si="51"/>
        <v>0.4</v>
      </c>
      <c r="F198" s="123">
        <f t="shared" si="51"/>
        <v>0.4</v>
      </c>
      <c r="G198" s="123">
        <f t="shared" si="51"/>
        <v>0.4</v>
      </c>
      <c r="H198" s="123">
        <f t="shared" si="51"/>
        <v>0.4</v>
      </c>
      <c r="I198" s="123">
        <f t="shared" si="51"/>
        <v>0.4</v>
      </c>
      <c r="J198" s="123">
        <f t="shared" si="51"/>
        <v>0.4</v>
      </c>
      <c r="K198" s="123">
        <f t="shared" si="51"/>
        <v>0.4</v>
      </c>
      <c r="L198" s="123">
        <f t="shared" si="51"/>
        <v>0.4</v>
      </c>
      <c r="M198" s="123">
        <f t="shared" si="51"/>
        <v>0.4</v>
      </c>
      <c r="N198" s="123">
        <f t="shared" si="51"/>
        <v>0.4</v>
      </c>
      <c r="O198" s="123">
        <f t="shared" si="51"/>
        <v>0.4</v>
      </c>
      <c r="P198" s="123">
        <f t="shared" si="51"/>
        <v>0.4</v>
      </c>
      <c r="Q198" s="123">
        <f t="shared" si="51"/>
        <v>0.4</v>
      </c>
      <c r="R198" s="123">
        <f t="shared" si="51"/>
        <v>0.4</v>
      </c>
      <c r="S198" s="123">
        <f t="shared" si="51"/>
        <v>0.4</v>
      </c>
      <c r="T198" s="123">
        <f t="shared" si="52"/>
        <v>0.4</v>
      </c>
      <c r="U198" s="123">
        <f t="shared" si="52"/>
        <v>0.4</v>
      </c>
      <c r="V198" s="123">
        <f t="shared" si="52"/>
        <v>0.4</v>
      </c>
      <c r="W198" s="123">
        <f t="shared" si="52"/>
        <v>0.4</v>
      </c>
      <c r="X198" s="123">
        <f t="shared" si="52"/>
        <v>0.4</v>
      </c>
      <c r="Y198" s="123">
        <f t="shared" si="52"/>
        <v>0.4</v>
      </c>
      <c r="Z198" s="123">
        <f t="shared" si="52"/>
        <v>0.4</v>
      </c>
      <c r="AA198" s="123">
        <f t="shared" si="52"/>
        <v>0.4</v>
      </c>
      <c r="AB198" s="123">
        <f t="shared" si="52"/>
        <v>0.4</v>
      </c>
      <c r="AC198" s="123">
        <f t="shared" si="52"/>
        <v>0.4</v>
      </c>
      <c r="AD198" s="123">
        <f t="shared" si="52"/>
        <v>0.4</v>
      </c>
      <c r="AE198" s="123">
        <f t="shared" si="52"/>
        <v>0.4</v>
      </c>
      <c r="AF198" s="123">
        <f t="shared" si="52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0"/>
        <v>0.64</v>
      </c>
      <c r="C199" s="133">
        <v>0.64</v>
      </c>
      <c r="D199" s="133">
        <f t="shared" si="51"/>
        <v>0.64</v>
      </c>
      <c r="E199" s="133">
        <f t="shared" si="51"/>
        <v>0.64</v>
      </c>
      <c r="F199" s="133">
        <f t="shared" si="51"/>
        <v>0.64</v>
      </c>
      <c r="G199" s="133">
        <f t="shared" si="51"/>
        <v>0.64</v>
      </c>
      <c r="H199" s="133">
        <f t="shared" si="51"/>
        <v>0.64</v>
      </c>
      <c r="I199" s="133">
        <f t="shared" si="51"/>
        <v>0.64</v>
      </c>
      <c r="J199" s="133">
        <f t="shared" si="51"/>
        <v>0.64</v>
      </c>
      <c r="K199" s="133">
        <f t="shared" si="51"/>
        <v>0.64</v>
      </c>
      <c r="L199" s="133">
        <f t="shared" si="51"/>
        <v>0.64</v>
      </c>
      <c r="M199" s="133">
        <f t="shared" si="51"/>
        <v>0.64</v>
      </c>
      <c r="N199" s="133">
        <f t="shared" si="51"/>
        <v>0.64</v>
      </c>
      <c r="O199" s="133">
        <f t="shared" si="51"/>
        <v>0.64</v>
      </c>
      <c r="P199" s="133">
        <f t="shared" si="51"/>
        <v>0.64</v>
      </c>
      <c r="Q199" s="133">
        <f t="shared" si="51"/>
        <v>0.64</v>
      </c>
      <c r="R199" s="133">
        <f t="shared" si="51"/>
        <v>0.64</v>
      </c>
      <c r="S199" s="133">
        <f t="shared" si="51"/>
        <v>0.64</v>
      </c>
      <c r="T199" s="133">
        <f t="shared" si="52"/>
        <v>0.64</v>
      </c>
      <c r="U199" s="133">
        <f t="shared" si="52"/>
        <v>0.64</v>
      </c>
      <c r="V199" s="133">
        <f t="shared" si="52"/>
        <v>0.64</v>
      </c>
      <c r="W199" s="133">
        <f t="shared" si="52"/>
        <v>0.64</v>
      </c>
      <c r="X199" s="133">
        <f t="shared" si="52"/>
        <v>0.64</v>
      </c>
      <c r="Y199" s="133">
        <f t="shared" si="52"/>
        <v>0.64</v>
      </c>
      <c r="Z199" s="133">
        <f t="shared" si="52"/>
        <v>0.64</v>
      </c>
      <c r="AA199" s="133">
        <f t="shared" si="52"/>
        <v>0.64</v>
      </c>
      <c r="AB199" s="133">
        <f t="shared" si="52"/>
        <v>0.64</v>
      </c>
      <c r="AC199" s="133">
        <f t="shared" si="52"/>
        <v>0.64</v>
      </c>
      <c r="AD199" s="133">
        <f t="shared" si="52"/>
        <v>0.64</v>
      </c>
      <c r="AE199" s="133">
        <f t="shared" si="52"/>
        <v>0.64</v>
      </c>
      <c r="AF199" s="133">
        <f t="shared" si="52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3">SUM(D194:D199)</f>
        <v>3.54</v>
      </c>
      <c r="E200" s="136">
        <f t="shared" si="53"/>
        <v>3.54</v>
      </c>
      <c r="F200" s="136">
        <f t="shared" si="53"/>
        <v>3.54</v>
      </c>
      <c r="G200" s="136">
        <f t="shared" si="53"/>
        <v>3.54</v>
      </c>
      <c r="H200" s="136">
        <f t="shared" si="53"/>
        <v>3.54</v>
      </c>
      <c r="I200" s="136">
        <f t="shared" si="53"/>
        <v>3.54</v>
      </c>
      <c r="J200" s="136">
        <f t="shared" si="53"/>
        <v>3.54</v>
      </c>
      <c r="K200" s="136">
        <f t="shared" si="53"/>
        <v>3.54</v>
      </c>
      <c r="L200" s="136">
        <f t="shared" si="53"/>
        <v>3.54</v>
      </c>
      <c r="M200" s="136">
        <f>SUM(M194:M199)</f>
        <v>3.54</v>
      </c>
      <c r="N200" s="136">
        <f t="shared" ref="N200:S200" si="54">SUM(N194:N199)</f>
        <v>3.54</v>
      </c>
      <c r="O200" s="136">
        <f t="shared" si="54"/>
        <v>3.54</v>
      </c>
      <c r="P200" s="136">
        <f t="shared" si="54"/>
        <v>3.54</v>
      </c>
      <c r="Q200" s="136">
        <f t="shared" si="54"/>
        <v>3.54</v>
      </c>
      <c r="R200" s="136">
        <f t="shared" si="54"/>
        <v>3.54</v>
      </c>
      <c r="S200" s="136">
        <f t="shared" si="54"/>
        <v>3.54</v>
      </c>
      <c r="T200" s="136">
        <f>SUM(T194:T199)</f>
        <v>3.54</v>
      </c>
      <c r="U200" s="136">
        <f t="shared" ref="U200:AG200" si="55">SUM(U194:U199)</f>
        <v>3.54</v>
      </c>
      <c r="V200" s="136">
        <f t="shared" si="55"/>
        <v>3.54</v>
      </c>
      <c r="W200" s="136">
        <f t="shared" si="55"/>
        <v>3.54</v>
      </c>
      <c r="X200" s="136">
        <f t="shared" si="55"/>
        <v>3.54</v>
      </c>
      <c r="Y200" s="136">
        <f t="shared" si="55"/>
        <v>3.54</v>
      </c>
      <c r="Z200" s="136">
        <f t="shared" si="55"/>
        <v>3.54</v>
      </c>
      <c r="AA200" s="136">
        <f t="shared" si="55"/>
        <v>3.54</v>
      </c>
      <c r="AB200" s="136">
        <f t="shared" si="55"/>
        <v>3.54</v>
      </c>
      <c r="AC200" s="136">
        <f t="shared" si="55"/>
        <v>3.54</v>
      </c>
      <c r="AD200" s="136">
        <f t="shared" si="55"/>
        <v>3.54</v>
      </c>
      <c r="AE200" s="136">
        <f t="shared" si="55"/>
        <v>3.54</v>
      </c>
      <c r="AF200" s="136">
        <f t="shared" si="55"/>
        <v>3.54</v>
      </c>
      <c r="AG200" s="137">
        <f t="shared" si="55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1429.46</v>
      </c>
      <c r="C209" s="151">
        <f>INDEX(G9:N9,1,MATCH(MAX(G75:N75),G75:N75,0))</f>
        <v>0.3125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24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2079/02/24)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2079/02/24)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6">B75</f>
        <v>1394.94</v>
      </c>
      <c r="U214" s="161">
        <f t="shared" si="56"/>
        <v>1378.14</v>
      </c>
      <c r="V214" s="161">
        <f t="shared" si="56"/>
        <v>1330.8400000000001</v>
      </c>
      <c r="W214" s="161">
        <f t="shared" si="56"/>
        <v>1332.94</v>
      </c>
      <c r="X214" s="161">
        <f t="shared" si="56"/>
        <v>1292.7400000000002</v>
      </c>
      <c r="Y214" s="161">
        <f t="shared" si="56"/>
        <v>1281.24</v>
      </c>
      <c r="Z214" s="161">
        <f t="shared" si="56"/>
        <v>1290.54</v>
      </c>
      <c r="AA214" s="161">
        <f t="shared" si="56"/>
        <v>1300.9900000000002</v>
      </c>
      <c r="AB214" s="161">
        <f t="shared" si="56"/>
        <v>1339.8500000000001</v>
      </c>
      <c r="AC214" s="161">
        <f t="shared" si="56"/>
        <v>1419.46</v>
      </c>
      <c r="AD214" s="161">
        <f t="shared" si="56"/>
        <v>1429.46</v>
      </c>
      <c r="AE214" s="161">
        <f t="shared" si="56"/>
        <v>1427.16</v>
      </c>
      <c r="AF214" s="161">
        <f t="shared" si="56"/>
        <v>1409.02</v>
      </c>
      <c r="AG214" s="161">
        <f t="shared" si="56"/>
        <v>1461.96</v>
      </c>
      <c r="AH214" s="161">
        <f t="shared" si="56"/>
        <v>1433.0600000000002</v>
      </c>
      <c r="AI214" s="161">
        <f t="shared" si="56"/>
        <v>1456.3600000000001</v>
      </c>
      <c r="AJ214" s="161">
        <f t="shared" si="56"/>
        <v>1492.7600000000002</v>
      </c>
      <c r="AK214" s="161">
        <f t="shared" si="56"/>
        <v>1494.3600000000001</v>
      </c>
      <c r="AL214" s="161">
        <f t="shared" si="56"/>
        <v>1487.5600000000002</v>
      </c>
      <c r="AM214" s="161">
        <f t="shared" si="56"/>
        <v>1485.6399999999999</v>
      </c>
      <c r="AN214" s="161">
        <f t="shared" si="56"/>
        <v>1395.24</v>
      </c>
      <c r="AO214" s="161">
        <f t="shared" si="56"/>
        <v>1409.44</v>
      </c>
      <c r="AP214" s="161">
        <f t="shared" si="56"/>
        <v>1412.6399999999999</v>
      </c>
      <c r="AQ214" s="161">
        <f t="shared" si="56"/>
        <v>1505.54</v>
      </c>
      <c r="AR214" s="161">
        <f t="shared" si="56"/>
        <v>1515.54</v>
      </c>
      <c r="AS214" s="161">
        <f t="shared" si="56"/>
        <v>1558.8400000000001</v>
      </c>
      <c r="AT214" s="161">
        <f t="shared" si="56"/>
        <v>1542.7400000000002</v>
      </c>
      <c r="AU214" s="161">
        <f t="shared" si="56"/>
        <v>1539.84</v>
      </c>
      <c r="AV214" s="161">
        <f t="shared" si="56"/>
        <v>1503.74</v>
      </c>
      <c r="AW214" s="161">
        <f t="shared" si="56"/>
        <v>1462.2400000000002</v>
      </c>
      <c r="AX214" s="161">
        <f t="shared" si="56"/>
        <v>1376.8400000000001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7">C199</f>
        <v>0.64</v>
      </c>
      <c r="C235" s="164">
        <f t="shared" si="57"/>
        <v>0.64</v>
      </c>
      <c r="D235" s="164">
        <f t="shared" si="57"/>
        <v>0.64</v>
      </c>
      <c r="E235" s="164">
        <f t="shared" si="57"/>
        <v>0.64</v>
      </c>
      <c r="F235" s="164">
        <f t="shared" si="57"/>
        <v>0.64</v>
      </c>
      <c r="G235" s="164">
        <f t="shared" si="57"/>
        <v>0.64</v>
      </c>
      <c r="H235" s="164">
        <f t="shared" si="57"/>
        <v>0.64</v>
      </c>
      <c r="I235" s="164">
        <f t="shared" si="57"/>
        <v>0.64</v>
      </c>
      <c r="J235" s="164">
        <f t="shared" si="57"/>
        <v>0.64</v>
      </c>
      <c r="K235" s="164">
        <f t="shared" si="57"/>
        <v>0.64</v>
      </c>
      <c r="L235" s="164">
        <f t="shared" si="57"/>
        <v>0.64</v>
      </c>
      <c r="M235" s="164">
        <f t="shared" si="57"/>
        <v>0.64</v>
      </c>
      <c r="N235" s="164">
        <f t="shared" si="57"/>
        <v>0.64</v>
      </c>
      <c r="O235" s="164">
        <f t="shared" si="57"/>
        <v>0.64</v>
      </c>
      <c r="P235" s="164">
        <f t="shared" si="57"/>
        <v>0.64</v>
      </c>
      <c r="Q235" s="164">
        <f t="shared" si="57"/>
        <v>0.64</v>
      </c>
      <c r="R235" s="164">
        <f t="shared" si="57"/>
        <v>0.64</v>
      </c>
      <c r="S235" s="164">
        <f t="shared" si="57"/>
        <v>0.64</v>
      </c>
      <c r="T235" s="164">
        <f t="shared" si="57"/>
        <v>0.64</v>
      </c>
      <c r="U235" s="164">
        <f t="shared" si="57"/>
        <v>0.64</v>
      </c>
      <c r="V235" s="164">
        <f t="shared" si="57"/>
        <v>0.64</v>
      </c>
      <c r="W235" s="164">
        <f t="shared" si="57"/>
        <v>0.64</v>
      </c>
      <c r="X235" s="164">
        <f t="shared" si="57"/>
        <v>0.64</v>
      </c>
      <c r="Y235" s="164">
        <f t="shared" si="57"/>
        <v>0.64</v>
      </c>
      <c r="Z235" s="164">
        <f t="shared" si="57"/>
        <v>0.64</v>
      </c>
      <c r="AA235" s="164">
        <f t="shared" si="57"/>
        <v>0.64</v>
      </c>
      <c r="AB235" s="164">
        <f t="shared" si="57"/>
        <v>0.64</v>
      </c>
      <c r="AC235" s="164">
        <f t="shared" si="57"/>
        <v>0.64</v>
      </c>
      <c r="AD235" s="164">
        <f t="shared" si="57"/>
        <v>0.64</v>
      </c>
      <c r="AE235" s="164">
        <f t="shared" si="57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8">IF(C203&lt;100,"",C203-520)</f>
        <v/>
      </c>
      <c r="D236" s="107" t="str">
        <f t="shared" si="58"/>
        <v/>
      </c>
      <c r="E236" s="107" t="str">
        <f t="shared" si="58"/>
        <v/>
      </c>
      <c r="F236" s="107" t="str">
        <f t="shared" si="58"/>
        <v/>
      </c>
      <c r="G236" s="107" t="str">
        <f t="shared" si="58"/>
        <v/>
      </c>
      <c r="H236" s="107" t="str">
        <f t="shared" si="58"/>
        <v/>
      </c>
      <c r="I236" s="107" t="str">
        <f t="shared" si="58"/>
        <v/>
      </c>
      <c r="J236" s="107" t="str">
        <f t="shared" si="58"/>
        <v/>
      </c>
      <c r="K236" s="107" t="str">
        <f t="shared" si="58"/>
        <v/>
      </c>
      <c r="L236" s="107" t="str">
        <f t="shared" si="58"/>
        <v/>
      </c>
      <c r="M236" s="107" t="str">
        <f t="shared" si="58"/>
        <v/>
      </c>
      <c r="N236" s="107" t="str">
        <f t="shared" si="58"/>
        <v/>
      </c>
      <c r="O236" s="107" t="str">
        <f t="shared" si="58"/>
        <v/>
      </c>
      <c r="P236" s="107" t="str">
        <f t="shared" si="58"/>
        <v/>
      </c>
      <c r="Q236" s="107" t="str">
        <f t="shared" si="58"/>
        <v/>
      </c>
      <c r="R236" s="107" t="str">
        <f t="shared" si="58"/>
        <v/>
      </c>
      <c r="S236" s="107" t="str">
        <f t="shared" si="58"/>
        <v/>
      </c>
      <c r="T236" s="107" t="str">
        <f t="shared" si="58"/>
        <v/>
      </c>
      <c r="U236" s="107" t="str">
        <f t="shared" si="58"/>
        <v/>
      </c>
      <c r="V236" s="107" t="str">
        <f t="shared" si="58"/>
        <v/>
      </c>
      <c r="W236" s="107" t="str">
        <f t="shared" si="58"/>
        <v/>
      </c>
      <c r="X236" s="107" t="str">
        <f t="shared" si="58"/>
        <v/>
      </c>
      <c r="Y236" s="107" t="str">
        <f t="shared" si="58"/>
        <v/>
      </c>
      <c r="Z236" s="107" t="str">
        <f t="shared" si="58"/>
        <v/>
      </c>
      <c r="AA236" s="107" t="str">
        <f t="shared" si="58"/>
        <v/>
      </c>
      <c r="AB236" s="107" t="str">
        <f t="shared" si="58"/>
        <v/>
      </c>
      <c r="AC236" s="107" t="str">
        <f t="shared" si="58"/>
        <v/>
      </c>
      <c r="AD236" s="107" t="str">
        <f t="shared" si="58"/>
        <v/>
      </c>
      <c r="AE236" s="107" t="str">
        <f t="shared" si="58"/>
        <v/>
      </c>
      <c r="AF236" s="107" t="str">
        <f t="shared" si="58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9">IF(B204&lt;100,"",B204-620)</f>
        <v/>
      </c>
      <c r="C237" s="107" t="str">
        <f t="shared" si="59"/>
        <v/>
      </c>
      <c r="D237" s="107" t="str">
        <f t="shared" si="59"/>
        <v/>
      </c>
      <c r="E237" s="107" t="str">
        <f t="shared" si="59"/>
        <v/>
      </c>
      <c r="F237" s="107" t="str">
        <f t="shared" si="59"/>
        <v/>
      </c>
      <c r="G237" s="107" t="str">
        <f t="shared" si="59"/>
        <v/>
      </c>
      <c r="H237" s="107" t="str">
        <f t="shared" si="59"/>
        <v/>
      </c>
      <c r="I237" s="107" t="str">
        <f t="shared" si="59"/>
        <v/>
      </c>
      <c r="J237" s="107" t="str">
        <f t="shared" si="59"/>
        <v/>
      </c>
      <c r="K237" s="107" t="str">
        <f t="shared" si="59"/>
        <v/>
      </c>
      <c r="L237" s="107" t="str">
        <f t="shared" si="59"/>
        <v/>
      </c>
      <c r="M237" s="107" t="str">
        <f t="shared" si="59"/>
        <v/>
      </c>
      <c r="N237" s="107" t="str">
        <f t="shared" si="59"/>
        <v/>
      </c>
      <c r="O237" s="107" t="str">
        <f t="shared" si="59"/>
        <v/>
      </c>
      <c r="P237" s="107" t="str">
        <f t="shared" si="59"/>
        <v/>
      </c>
      <c r="Q237" s="107" t="str">
        <f t="shared" si="59"/>
        <v/>
      </c>
      <c r="R237" s="107" t="str">
        <f t="shared" si="59"/>
        <v/>
      </c>
      <c r="S237" s="107" t="str">
        <f t="shared" si="59"/>
        <v/>
      </c>
      <c r="T237" s="107" t="str">
        <f t="shared" si="59"/>
        <v/>
      </c>
      <c r="U237" s="107" t="str">
        <f t="shared" si="59"/>
        <v/>
      </c>
      <c r="V237" s="107" t="str">
        <f t="shared" si="59"/>
        <v/>
      </c>
      <c r="W237" s="107" t="str">
        <f t="shared" si="59"/>
        <v/>
      </c>
      <c r="X237" s="107" t="str">
        <f t="shared" si="59"/>
        <v/>
      </c>
      <c r="Y237" s="107" t="str">
        <f t="shared" si="59"/>
        <v/>
      </c>
      <c r="Z237" s="107" t="str">
        <f t="shared" si="59"/>
        <v/>
      </c>
      <c r="AA237" s="107" t="str">
        <f t="shared" si="59"/>
        <v/>
      </c>
      <c r="AB237" s="107" t="str">
        <f t="shared" si="59"/>
        <v/>
      </c>
      <c r="AC237" s="107" t="str">
        <f t="shared" si="59"/>
        <v/>
      </c>
      <c r="AD237" s="107" t="str">
        <f t="shared" si="59"/>
        <v/>
      </c>
      <c r="AE237" s="107" t="str">
        <f t="shared" si="59"/>
        <v/>
      </c>
      <c r="AF237" s="107" t="str">
        <f t="shared" si="59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0">IF(B205&lt;100,"",B205-330)</f>
        <v/>
      </c>
      <c r="C238" s="107" t="str">
        <f t="shared" si="60"/>
        <v/>
      </c>
      <c r="D238" s="107" t="str">
        <f t="shared" si="60"/>
        <v/>
      </c>
      <c r="E238" s="107" t="str">
        <f t="shared" si="60"/>
        <v/>
      </c>
      <c r="F238" s="107" t="str">
        <f t="shared" si="60"/>
        <v/>
      </c>
      <c r="G238" s="107" t="str">
        <f t="shared" si="60"/>
        <v/>
      </c>
      <c r="H238" s="107" t="str">
        <f t="shared" si="60"/>
        <v/>
      </c>
      <c r="I238" s="107" t="str">
        <f t="shared" si="60"/>
        <v/>
      </c>
      <c r="J238" s="107" t="str">
        <f t="shared" si="60"/>
        <v/>
      </c>
      <c r="K238" s="107" t="str">
        <f t="shared" si="60"/>
        <v/>
      </c>
      <c r="L238" s="107" t="str">
        <f t="shared" si="60"/>
        <v/>
      </c>
      <c r="M238" s="107" t="str">
        <f t="shared" si="60"/>
        <v/>
      </c>
      <c r="N238" s="107" t="str">
        <f t="shared" si="60"/>
        <v/>
      </c>
      <c r="O238" s="107" t="str">
        <f t="shared" si="60"/>
        <v/>
      </c>
      <c r="P238" s="107" t="str">
        <f t="shared" si="60"/>
        <v/>
      </c>
      <c r="Q238" s="107" t="str">
        <f t="shared" si="60"/>
        <v/>
      </c>
      <c r="R238" s="107" t="str">
        <f t="shared" si="60"/>
        <v/>
      </c>
      <c r="S238" s="107" t="str">
        <f t="shared" si="60"/>
        <v/>
      </c>
      <c r="T238" s="107" t="str">
        <f t="shared" si="60"/>
        <v/>
      </c>
      <c r="U238" s="107" t="str">
        <f t="shared" si="60"/>
        <v/>
      </c>
      <c r="V238" s="107" t="str">
        <f t="shared" si="60"/>
        <v/>
      </c>
      <c r="W238" s="107" t="str">
        <f t="shared" si="60"/>
        <v/>
      </c>
      <c r="X238" s="107" t="str">
        <f t="shared" si="60"/>
        <v/>
      </c>
      <c r="Y238" s="107" t="str">
        <f t="shared" si="60"/>
        <v/>
      </c>
      <c r="Z238" s="107" t="str">
        <f t="shared" si="60"/>
        <v/>
      </c>
      <c r="AA238" s="107" t="str">
        <f t="shared" si="60"/>
        <v/>
      </c>
      <c r="AB238" s="107" t="str">
        <f t="shared" si="60"/>
        <v/>
      </c>
      <c r="AC238" s="107" t="str">
        <f t="shared" si="60"/>
        <v/>
      </c>
      <c r="AD238" s="107" t="str">
        <f t="shared" si="60"/>
        <v/>
      </c>
      <c r="AE238" s="107" t="str">
        <f t="shared" si="60"/>
        <v/>
      </c>
      <c r="AF238" s="107" t="str">
        <f t="shared" si="60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1">IF(C206&lt;100,"",C206-1500)</f>
        <v/>
      </c>
      <c r="D239" s="107" t="str">
        <f t="shared" si="61"/>
        <v/>
      </c>
      <c r="E239" s="107" t="str">
        <f t="shared" si="61"/>
        <v/>
      </c>
      <c r="F239" s="107" t="str">
        <f t="shared" si="61"/>
        <v/>
      </c>
      <c r="G239" s="107" t="str">
        <f t="shared" si="61"/>
        <v/>
      </c>
      <c r="H239" s="107" t="str">
        <f t="shared" si="61"/>
        <v/>
      </c>
      <c r="I239" s="107" t="str">
        <f t="shared" si="61"/>
        <v/>
      </c>
      <c r="J239" s="107" t="str">
        <f t="shared" si="61"/>
        <v/>
      </c>
      <c r="K239" s="107" t="str">
        <f t="shared" si="61"/>
        <v/>
      </c>
      <c r="L239" s="107" t="str">
        <f t="shared" si="61"/>
        <v/>
      </c>
      <c r="M239" s="107" t="str">
        <f t="shared" si="61"/>
        <v/>
      </c>
      <c r="N239" s="107" t="str">
        <f t="shared" si="61"/>
        <v/>
      </c>
      <c r="O239" s="107" t="str">
        <f t="shared" si="61"/>
        <v/>
      </c>
      <c r="P239" s="107" t="str">
        <f t="shared" si="61"/>
        <v/>
      </c>
      <c r="Q239" s="107" t="str">
        <f t="shared" si="61"/>
        <v/>
      </c>
      <c r="R239" s="107" t="str">
        <f t="shared" si="61"/>
        <v/>
      </c>
      <c r="S239" s="107" t="str">
        <f t="shared" si="61"/>
        <v/>
      </c>
      <c r="T239" s="107" t="str">
        <f t="shared" si="61"/>
        <v/>
      </c>
      <c r="U239" s="107" t="str">
        <f t="shared" si="61"/>
        <v/>
      </c>
      <c r="V239" s="107" t="str">
        <f t="shared" si="61"/>
        <v/>
      </c>
      <c r="W239" s="107" t="str">
        <f t="shared" si="61"/>
        <v/>
      </c>
      <c r="X239" s="107" t="str">
        <f t="shared" si="61"/>
        <v/>
      </c>
      <c r="Y239" s="107" t="str">
        <f t="shared" si="61"/>
        <v/>
      </c>
      <c r="Z239" s="107" t="str">
        <f t="shared" si="61"/>
        <v/>
      </c>
      <c r="AA239" s="107" t="str">
        <f t="shared" si="61"/>
        <v/>
      </c>
      <c r="AB239" s="107" t="str">
        <f t="shared" si="61"/>
        <v/>
      </c>
      <c r="AC239" s="107" t="str">
        <f t="shared" si="61"/>
        <v/>
      </c>
      <c r="AD239" s="107" t="str">
        <f t="shared" si="61"/>
        <v/>
      </c>
      <c r="AE239" s="107" t="str">
        <f t="shared" si="61"/>
        <v/>
      </c>
      <c r="AF239" s="107" t="str">
        <f t="shared" si="61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D94:AF100 T11:AF11">
    <cfRule type="expression" dxfId="1687" priority="202">
      <formula>B$9&gt;=20/24</formula>
    </cfRule>
    <cfRule type="expression" dxfId="1686" priority="203">
      <formula>AND(B$9&gt;=14/24,B$9&lt;20/24)</formula>
    </cfRule>
    <cfRule type="expression" dxfId="1685" priority="204">
      <formula>AND(B$9&gt;=8/24,B$9&lt;14/24)</formula>
    </cfRule>
    <cfRule type="expression" dxfId="1684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Z37:AF37">
    <cfRule type="expression" dxfId="1683" priority="197">
      <formula>Z$9&gt;=20/24</formula>
    </cfRule>
    <cfRule type="expression" dxfId="1682" priority="198">
      <formula>AND(Z$9&gt;=14/24,Z$9&lt;20/24)</formula>
    </cfRule>
    <cfRule type="expression" dxfId="1681" priority="199">
      <formula>AND(Z$9&gt;=8/24,Z$9&lt;14/24)</formula>
    </cfRule>
    <cfRule type="expression" dxfId="1680" priority="200">
      <formula>Z$9&lt;8/24</formula>
    </cfRule>
  </conditionalFormatting>
  <conditionalFormatting sqref="AG51 Z37:AF37 M11:AF11">
    <cfRule type="expression" dxfId="1679" priority="196">
      <formula>M11&gt;$AG11</formula>
    </cfRule>
  </conditionalFormatting>
  <conditionalFormatting sqref="A101:A157 A84:A97 A11:A14 A16:A32 A45:A72 A80:A82 A74:A78 A35:A43 A170:A200">
    <cfRule type="expression" dxfId="1678" priority="195">
      <formula>$AH11=0</formula>
    </cfRule>
  </conditionalFormatting>
  <conditionalFormatting sqref="A98">
    <cfRule type="expression" dxfId="1677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676" priority="192">
      <formula>$AH34=0</formula>
    </cfRule>
  </conditionalFormatting>
  <conditionalFormatting sqref="A83">
    <cfRule type="expression" dxfId="1675" priority="191">
      <formula>$AH83=0</formula>
    </cfRule>
  </conditionalFormatting>
  <conditionalFormatting sqref="A15">
    <cfRule type="expression" dxfId="1674" priority="190">
      <formula>$AH15=0</formula>
    </cfRule>
  </conditionalFormatting>
  <conditionalFormatting sqref="A164:A169">
    <cfRule type="expression" dxfId="1673" priority="189">
      <formula>$AH164=0</formula>
    </cfRule>
  </conditionalFormatting>
  <conditionalFormatting sqref="A158:A163">
    <cfRule type="expression" dxfId="1672" priority="188">
      <formula>$AH158=0</formula>
    </cfRule>
  </conditionalFormatting>
  <conditionalFormatting sqref="A44">
    <cfRule type="expression" dxfId="1671" priority="187">
      <formula>$AH44=0</formula>
    </cfRule>
  </conditionalFormatting>
  <conditionalFormatting sqref="A79">
    <cfRule type="expression" dxfId="1670" priority="186">
      <formula>$AH79=0</formula>
    </cfRule>
  </conditionalFormatting>
  <conditionalFormatting sqref="A73">
    <cfRule type="expression" dxfId="1669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1668" priority="181">
      <formula>D$9&gt;=20/24</formula>
    </cfRule>
    <cfRule type="expression" dxfId="1667" priority="182">
      <formula>AND(D$9&gt;=14/24,D$9&lt;20/24)</formula>
    </cfRule>
    <cfRule type="expression" dxfId="1666" priority="183">
      <formula>AND(D$9&gt;=8/24,D$9&lt;14/24)</formula>
    </cfRule>
    <cfRule type="expression" dxfId="1665" priority="184">
      <formula>D$9&lt;8/24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664" priority="209">
      <formula>C$9&gt;=20/24</formula>
    </cfRule>
    <cfRule type="expression" dxfId="1663" priority="210">
      <formula>AND(C$9&gt;=14/24,C$9&lt;20/24)</formula>
    </cfRule>
    <cfRule type="expression" dxfId="1662" priority="211">
      <formula>AND(C$9&gt;=8/24,C$9&lt;14/24)</formula>
    </cfRule>
    <cfRule type="expression" dxfId="1661" priority="212">
      <formula>C$9&lt;8/24</formula>
    </cfRule>
  </conditionalFormatting>
  <conditionalFormatting sqref="A201">
    <cfRule type="expression" dxfId="1660" priority="213">
      <formula>$AH201=0</formula>
    </cfRule>
  </conditionalFormatting>
  <conditionalFormatting sqref="AG213">
    <cfRule type="expression" dxfId="1659" priority="214">
      <formula>B$9&gt;=20/24</formula>
    </cfRule>
    <cfRule type="expression" dxfId="1658" priority="215">
      <formula>AND(B$9&gt;=14/24,B$9&lt;20/24)</formula>
    </cfRule>
    <cfRule type="expression" dxfId="1657" priority="216">
      <formula>AND(B$9&gt;=8/24,B$9&lt;14/24)</formula>
    </cfRule>
    <cfRule type="expression" dxfId="1656" priority="217">
      <formula>B$9&lt;8/24</formula>
    </cfRule>
  </conditionalFormatting>
  <conditionalFormatting sqref="S8">
    <cfRule type="expression" dxfId="1655" priority="175">
      <formula>U$9&gt;=20/24</formula>
    </cfRule>
    <cfRule type="expression" dxfId="1654" priority="176">
      <formula>AND(U$9&gt;=14/24,U$9&lt;20/24)</formula>
    </cfRule>
    <cfRule type="expression" dxfId="1653" priority="177">
      <formula>AND(U$9&gt;=8/24,U$9&lt;14/24)</formula>
    </cfRule>
    <cfRule type="expression" dxfId="1652" priority="178">
      <formula>U$9&lt;8/24</formula>
    </cfRule>
  </conditionalFormatting>
  <conditionalFormatting sqref="AB8">
    <cfRule type="expression" dxfId="1651" priority="171">
      <formula>AD$9&gt;=20/24</formula>
    </cfRule>
    <cfRule type="expression" dxfId="1650" priority="172">
      <formula>AND(AD$9&gt;=14/24,AD$9&lt;20/24)</formula>
    </cfRule>
    <cfRule type="expression" dxfId="1649" priority="173">
      <formula>AND(AD$9&gt;=8/24,AD$9&lt;14/24)</formula>
    </cfRule>
    <cfRule type="expression" dxfId="1648" priority="174">
      <formula>AD$9&lt;8/24</formula>
    </cfRule>
  </conditionalFormatting>
  <conditionalFormatting sqref="AH213:AX213">
    <cfRule type="expression" dxfId="1647" priority="218">
      <formula>AG$9&gt;=20/24</formula>
    </cfRule>
    <cfRule type="expression" dxfId="1646" priority="219">
      <formula>AND(AG$9&gt;=14/24,AG$9&lt;20/24)</formula>
    </cfRule>
    <cfRule type="expression" dxfId="1645" priority="220">
      <formula>AND(AG$9&gt;=8/24,AG$9&lt;14/24)</formula>
    </cfRule>
    <cfRule type="expression" dxfId="1644" priority="221">
      <formula>AG$9&lt;8/24</formula>
    </cfRule>
  </conditionalFormatting>
  <conditionalFormatting sqref="T213">
    <cfRule type="expression" dxfId="1643" priority="222">
      <formula>AX$9&gt;=20/24</formula>
    </cfRule>
    <cfRule type="expression" dxfId="1642" priority="223">
      <formula>AND(AX$9&gt;=14/24,AX$9&lt;20/24)</formula>
    </cfRule>
    <cfRule type="expression" dxfId="1641" priority="224">
      <formula>AND(AX$9&gt;=8/24,AX$9&lt;14/24)</formula>
    </cfRule>
    <cfRule type="expression" dxfId="1640" priority="225">
      <formula>AX$9&lt;8/24</formula>
    </cfRule>
  </conditionalFormatting>
  <conditionalFormatting sqref="A99:A100">
    <cfRule type="expression" dxfId="1639" priority="170">
      <formula>$AH99=0</formula>
    </cfRule>
  </conditionalFormatting>
  <conditionalFormatting sqref="I11:L11 C57:AF57 H40:AF41">
    <cfRule type="expression" dxfId="1638" priority="166">
      <formula>C$9&gt;=20/24</formula>
    </cfRule>
    <cfRule type="expression" dxfId="1637" priority="167">
      <formula>AND(C$9&gt;=14/24,C$9&lt;20/24)</formula>
    </cfRule>
    <cfRule type="expression" dxfId="1636" priority="168">
      <formula>AND(C$9&gt;=8/24,C$9&lt;14/24)</formula>
    </cfRule>
    <cfRule type="expression" dxfId="1635" priority="169">
      <formula>C$9&lt;8/24</formula>
    </cfRule>
  </conditionalFormatting>
  <conditionalFormatting sqref="H39:AF39">
    <cfRule type="expression" dxfId="1634" priority="162">
      <formula>H$9&gt;=20/24</formula>
    </cfRule>
    <cfRule type="expression" dxfId="1633" priority="163">
      <formula>AND(H$9&gt;=14/24,H$9&lt;20/24)</formula>
    </cfRule>
    <cfRule type="expression" dxfId="1632" priority="164">
      <formula>AND(H$9&gt;=8/24,H$9&lt;14/24)</formula>
    </cfRule>
    <cfRule type="expression" dxfId="1631" priority="165">
      <formula>H$9&lt;8/24</formula>
    </cfRule>
  </conditionalFormatting>
  <conditionalFormatting sqref="I11:L11 H39:AF41">
    <cfRule type="expression" dxfId="1630" priority="161">
      <formula>H11&gt;$AG11</formula>
    </cfRule>
  </conditionalFormatting>
  <conditionalFormatting sqref="M11 C83:AF83 C75:AF81 C68:AF73 F60:I63 C56:AF56 C58:I59 I12:M13 N11:S13 J58:S63 T60:T63 F67:T67 T58:W59 U60:W67 M37:Y37 D85:AF91 O16:AF16 O28:AF28 T12:AF13 H53:AF55 X58:AF67">
    <cfRule type="expression" dxfId="1629" priority="157">
      <formula>C$9&gt;=20/24</formula>
    </cfRule>
    <cfRule type="expression" dxfId="1628" priority="158">
      <formula>AND(C$9&gt;=14/24,C$9&lt;20/24)</formula>
    </cfRule>
    <cfRule type="expression" dxfId="1627" priority="159">
      <formula>AND(C$9&gt;=8/24,C$9&lt;14/24)</formula>
    </cfRule>
    <cfRule type="expression" dxfId="1626" priority="160">
      <formula>C$9&lt;8/24</formula>
    </cfRule>
  </conditionalFormatting>
  <conditionalFormatting sqref="M11 C38:AF38 C51:AF52 C56:AF56 I12:M13 N11:S13 H42:T44 M37:Y37 O28:AF28 O16:AF16 T12:AF13 AB42:AF43 H53:AF55">
    <cfRule type="expression" dxfId="1625" priority="148">
      <formula>C11&gt;$AG11</formula>
    </cfRule>
  </conditionalFormatting>
  <conditionalFormatting sqref="AA42:AA43 AC44:AF44">
    <cfRule type="expression" dxfId="1624" priority="127">
      <formula>AA$9&gt;=20/24</formula>
    </cfRule>
    <cfRule type="expression" dxfId="1623" priority="128">
      <formula>AND(AA$9&gt;=14/24,AA$9&lt;20/24)</formula>
    </cfRule>
    <cfRule type="expression" dxfId="1622" priority="129">
      <formula>AND(AA$9&gt;=8/24,AA$9&lt;14/24)</formula>
    </cfRule>
    <cfRule type="expression" dxfId="1621" priority="130">
      <formula>AA$9&lt;8/24</formula>
    </cfRule>
  </conditionalFormatting>
  <conditionalFormatting sqref="AA42:AA43 AC44:AF44">
    <cfRule type="expression" dxfId="1620" priority="126">
      <formula>AA42&gt;$AG42</formula>
    </cfRule>
  </conditionalFormatting>
  <conditionalFormatting sqref="U42:Z50 AA44:AB50 AC45:AF50">
    <cfRule type="expression" dxfId="1619" priority="122">
      <formula>U$9&gt;=20/24</formula>
    </cfRule>
    <cfRule type="expression" dxfId="1618" priority="123">
      <formula>AND(U$9&gt;=14/24,U$9&lt;20/24)</formula>
    </cfRule>
    <cfRule type="expression" dxfId="1617" priority="124">
      <formula>AND(U$9&gt;=8/24,U$9&lt;14/24)</formula>
    </cfRule>
    <cfRule type="expression" dxfId="1616" priority="125">
      <formula>U$9&lt;8/24</formula>
    </cfRule>
  </conditionalFormatting>
  <conditionalFormatting sqref="U42:Z50 AA44:AB50 AC45:AF50">
    <cfRule type="expression" dxfId="1615" priority="121">
      <formula>U42&gt;$AG42</formula>
    </cfRule>
  </conditionalFormatting>
  <conditionalFormatting sqref="C74:I74 C11:H11">
    <cfRule type="expression" dxfId="1614" priority="113">
      <formula>C$9&gt;=20/24</formula>
    </cfRule>
    <cfRule type="expression" dxfId="1613" priority="114">
      <formula>AND(C$9&gt;=14/24,C$9&lt;20/24)</formula>
    </cfRule>
    <cfRule type="expression" dxfId="1612" priority="115">
      <formula>AND(C$9&gt;=8/24,C$9&lt;14/24)</formula>
    </cfRule>
    <cfRule type="expression" dxfId="1611" priority="116">
      <formula>C$9&lt;8/24</formula>
    </cfRule>
  </conditionalFormatting>
  <conditionalFormatting sqref="C11:H11">
    <cfRule type="expression" dxfId="1610" priority="104">
      <formula>C11&gt;$AG11</formula>
    </cfRule>
  </conditionalFormatting>
  <conditionalFormatting sqref="F64:T66">
    <cfRule type="expression" dxfId="1609" priority="78">
      <formula>F$9&gt;=20/24</formula>
    </cfRule>
    <cfRule type="expression" dxfId="1608" priority="79">
      <formula>AND(F$9&gt;=14/24,F$9&lt;20/24)</formula>
    </cfRule>
    <cfRule type="expression" dxfId="1607" priority="80">
      <formula>AND(F$9&gt;=8/24,F$9&lt;14/24)</formula>
    </cfRule>
    <cfRule type="expression" dxfId="1606" priority="81">
      <formula>F$9&lt;8/24</formula>
    </cfRule>
  </conditionalFormatting>
  <conditionalFormatting sqref="H45:T50">
    <cfRule type="expression" dxfId="1605" priority="73">
      <formula>H$9&gt;=20/24</formula>
    </cfRule>
    <cfRule type="expression" dxfId="1604" priority="74">
      <formula>AND(H$9&gt;=14/24,H$9&lt;20/24)</formula>
    </cfRule>
    <cfRule type="expression" dxfId="1603" priority="75">
      <formula>AND(H$9&gt;=8/24,H$9&lt;14/24)</formula>
    </cfRule>
    <cfRule type="expression" dxfId="1602" priority="76">
      <formula>H$9&lt;8/24</formula>
    </cfRule>
  </conditionalFormatting>
  <conditionalFormatting sqref="H45:T50">
    <cfRule type="expression" dxfId="1601" priority="72">
      <formula>H45&gt;$AG45</formula>
    </cfRule>
  </conditionalFormatting>
  <conditionalFormatting sqref="B82 B74 B11 B94:C100">
    <cfRule type="expression" dxfId="1600" priority="59">
      <formula>B$9&gt;=20/24</formula>
    </cfRule>
    <cfRule type="expression" dxfId="1599" priority="60">
      <formula>AND(B$9&gt;=14/24,B$9&lt;20/24)</formula>
    </cfRule>
    <cfRule type="expression" dxfId="1598" priority="61">
      <formula>AND(B$9&gt;=8/24,B$9&lt;14/24)</formula>
    </cfRule>
    <cfRule type="expression" dxfId="1597" priority="62">
      <formula>B$9&lt;8/24</formula>
    </cfRule>
  </conditionalFormatting>
  <conditionalFormatting sqref="B37:L37">
    <cfRule type="expression" dxfId="1596" priority="55">
      <formula>B$9&gt;=20/24</formula>
    </cfRule>
    <cfRule type="expression" dxfId="1595" priority="56">
      <formula>AND(B$9&gt;=14/24,B$9&lt;20/24)</formula>
    </cfRule>
    <cfRule type="expression" dxfId="1594" priority="57">
      <formula>AND(B$9&gt;=8/24,B$9&lt;14/24)</formula>
    </cfRule>
    <cfRule type="expression" dxfId="1593" priority="58">
      <formula>B$9&lt;8/24</formula>
    </cfRule>
  </conditionalFormatting>
  <conditionalFormatting sqref="B11 B37:L37">
    <cfRule type="expression" dxfId="1592" priority="54">
      <formula>B11&gt;$AG11</formula>
    </cfRule>
  </conditionalFormatting>
  <conditionalFormatting sqref="B84:C84">
    <cfRule type="expression" dxfId="1591" priority="50">
      <formula>B$9&gt;=20/24</formula>
    </cfRule>
    <cfRule type="expression" dxfId="1590" priority="51">
      <formula>AND(B$9&gt;=14/24,B$9&lt;20/24)</formula>
    </cfRule>
    <cfRule type="expression" dxfId="1589" priority="52">
      <formula>AND(B$9&gt;=8/24,B$9&lt;14/24)</formula>
    </cfRule>
    <cfRule type="expression" dxfId="1588" priority="53">
      <formula>B$9&lt;8/24</formula>
    </cfRule>
  </conditionalFormatting>
  <conditionalFormatting sqref="B57 B40:G41 B36:AF36">
    <cfRule type="expression" dxfId="1587" priority="46">
      <formula>B$9&gt;=20/24</formula>
    </cfRule>
    <cfRule type="expression" dxfId="1586" priority="47">
      <formula>AND(B$9&gt;=14/24,B$9&lt;20/24)</formula>
    </cfRule>
    <cfRule type="expression" dxfId="1585" priority="48">
      <formula>AND(B$9&gt;=8/24,B$9&lt;14/24)</formula>
    </cfRule>
    <cfRule type="expression" dxfId="1584" priority="49">
      <formula>B$9&lt;8/24</formula>
    </cfRule>
  </conditionalFormatting>
  <conditionalFormatting sqref="B39:G39">
    <cfRule type="expression" dxfId="1583" priority="42">
      <formula>B$9&gt;=20/24</formula>
    </cfRule>
    <cfRule type="expression" dxfId="1582" priority="43">
      <formula>AND(B$9&gt;=14/24,B$9&lt;20/24)</formula>
    </cfRule>
    <cfRule type="expression" dxfId="1581" priority="44">
      <formula>AND(B$9&gt;=8/24,B$9&lt;14/24)</formula>
    </cfRule>
    <cfRule type="expression" dxfId="1580" priority="45">
      <formula>B$9&lt;8/24</formula>
    </cfRule>
  </conditionalFormatting>
  <conditionalFormatting sqref="B39:G41 B36:AF36">
    <cfRule type="expression" dxfId="1579" priority="41">
      <formula>B36&gt;$AG36</formula>
    </cfRule>
  </conditionalFormatting>
  <conditionalFormatting sqref="B83 B75:B81 B53:B56 B58:B73 C53:G55 B85:C91 C60:E67 B12:H14 B16:N16 B28:N31 I14:AF14 B18:AF22 B24:AF26 O29:AF31">
    <cfRule type="expression" dxfId="1578" priority="37">
      <formula>B$9&gt;=20/24</formula>
    </cfRule>
    <cfRule type="expression" dxfId="1577" priority="38">
      <formula>AND(B$9&gt;=14/24,B$9&lt;20/24)</formula>
    </cfRule>
    <cfRule type="expression" dxfId="1576" priority="39">
      <formula>AND(B$9&gt;=8/24,B$9&lt;14/24)</formula>
    </cfRule>
    <cfRule type="expression" dxfId="1575" priority="40">
      <formula>B$9&lt;8/24</formula>
    </cfRule>
  </conditionalFormatting>
  <conditionalFormatting sqref="B32:AF32">
    <cfRule type="expression" dxfId="1574" priority="33">
      <formula>B$9&gt;=20/24</formula>
    </cfRule>
    <cfRule type="expression" dxfId="1573" priority="34">
      <formula>AND(B$9&gt;=14/24,B$9&lt;20/24)</formula>
    </cfRule>
    <cfRule type="expression" dxfId="1572" priority="35">
      <formula>AND(B$9&gt;=8/24,B$9&lt;14/24)</formula>
    </cfRule>
    <cfRule type="expression" dxfId="1571" priority="36">
      <formula>B$9&lt;8/24</formula>
    </cfRule>
  </conditionalFormatting>
  <conditionalFormatting sqref="B35:AF35">
    <cfRule type="expression" dxfId="1570" priority="29">
      <formula>B$9&gt;=20/24</formula>
    </cfRule>
    <cfRule type="expression" dxfId="1569" priority="30">
      <formula>AND(B$9&gt;=14/24,B$9&lt;20/24)</formula>
    </cfRule>
    <cfRule type="expression" dxfId="1568" priority="31">
      <formula>AND(B$9&gt;=8/24,B$9&lt;14/24)</formula>
    </cfRule>
    <cfRule type="expression" dxfId="1567" priority="32">
      <formula>B$9&lt;8/24</formula>
    </cfRule>
  </conditionalFormatting>
  <conditionalFormatting sqref="B38 B51:B56 C53:G55 B42:G43 B12:H16 I14:N16 B24:N32 O14:AF15 B18:AF22 O24:AF27 B34:AF35 O29:AF32">
    <cfRule type="expression" dxfId="1566" priority="28">
      <formula>B12&gt;$AG12</formula>
    </cfRule>
  </conditionalFormatting>
  <conditionalFormatting sqref="B34:AF34">
    <cfRule type="expression" dxfId="1565" priority="24">
      <formula>B$9&gt;=20/24</formula>
    </cfRule>
    <cfRule type="expression" dxfId="1564" priority="25">
      <formula>AND(B$9&gt;=14/24,B$9&lt;20/24)</formula>
    </cfRule>
    <cfRule type="expression" dxfId="1563" priority="26">
      <formula>AND(B$9&gt;=8/24,B$9&lt;14/24)</formula>
    </cfRule>
    <cfRule type="expression" dxfId="1562" priority="27">
      <formula>B$9&lt;8/24</formula>
    </cfRule>
  </conditionalFormatting>
  <conditionalFormatting sqref="B15:AF15">
    <cfRule type="expression" dxfId="1561" priority="20">
      <formula>B$9&gt;=20/24</formula>
    </cfRule>
    <cfRule type="expression" dxfId="1560" priority="21">
      <formula>AND(B$9&gt;=14/24,B$9&lt;20/24)</formula>
    </cfRule>
    <cfRule type="expression" dxfId="1559" priority="22">
      <formula>AND(B$9&gt;=8/24,B$9&lt;14/24)</formula>
    </cfRule>
    <cfRule type="expression" dxfId="1558" priority="23">
      <formula>B$9&lt;8/24</formula>
    </cfRule>
  </conditionalFormatting>
  <conditionalFormatting sqref="B33:AF33">
    <cfRule type="expression" dxfId="1557" priority="16">
      <formula>B$9&gt;=20/24</formula>
    </cfRule>
    <cfRule type="expression" dxfId="1556" priority="17">
      <formula>AND(B$9&gt;=14/24,B$9&lt;20/24)</formula>
    </cfRule>
    <cfRule type="expression" dxfId="1555" priority="18">
      <formula>AND(B$9&gt;=8/24,B$9&lt;14/24)</formula>
    </cfRule>
    <cfRule type="expression" dxfId="1554" priority="19">
      <formula>B$9&lt;8/24</formula>
    </cfRule>
  </conditionalFormatting>
  <conditionalFormatting sqref="B33:AF33">
    <cfRule type="expression" dxfId="1553" priority="15">
      <formula>B33&gt;$AG33</formula>
    </cfRule>
  </conditionalFormatting>
  <conditionalFormatting sqref="B44:G50">
    <cfRule type="expression" dxfId="1552" priority="11">
      <formula>B$9&gt;=20/24</formula>
    </cfRule>
    <cfRule type="expression" dxfId="1551" priority="12">
      <formula>AND(B$9&gt;=14/24,B$9&lt;20/24)</formula>
    </cfRule>
    <cfRule type="expression" dxfId="1550" priority="13">
      <formula>AND(B$9&gt;=8/24,B$9&lt;14/24)</formula>
    </cfRule>
    <cfRule type="expression" dxfId="1549" priority="14">
      <formula>B$9&lt;8/24</formula>
    </cfRule>
  </conditionalFormatting>
  <conditionalFormatting sqref="B44:G50">
    <cfRule type="expression" dxfId="1548" priority="10">
      <formula>B44&gt;$AG44</formula>
    </cfRule>
  </conditionalFormatting>
  <conditionalFormatting sqref="B27:AF27">
    <cfRule type="expression" dxfId="1547" priority="6">
      <formula>B$9&gt;=20/24</formula>
    </cfRule>
    <cfRule type="expression" dxfId="1546" priority="7">
      <formula>AND(B$9&gt;=14/24,B$9&lt;20/24)</formula>
    </cfRule>
    <cfRule type="expression" dxfId="1545" priority="8">
      <formula>AND(B$9&gt;=8/24,B$9&lt;14/24)</formula>
    </cfRule>
    <cfRule type="expression" dxfId="1544" priority="9">
      <formula>B$9&lt;8/24</formula>
    </cfRule>
  </conditionalFormatting>
  <conditionalFormatting sqref="B17:AF17 B23:AF23">
    <cfRule type="expression" dxfId="1543" priority="2">
      <formula>B$9&gt;=20/24</formula>
    </cfRule>
    <cfRule type="expression" dxfId="1542" priority="3">
      <formula>AND(B$9&gt;=14/24,B$9&lt;20/24)</formula>
    </cfRule>
    <cfRule type="expression" dxfId="1541" priority="4">
      <formula>AND(B$9&gt;=8/24,B$9&lt;14/24)</formula>
    </cfRule>
    <cfRule type="expression" dxfId="1540" priority="5">
      <formula>B$9&lt;8/24</formula>
    </cfRule>
  </conditionalFormatting>
  <conditionalFormatting sqref="B17:AF17 B23:AF23">
    <cfRule type="expression" dxfId="1539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E8E44299-79D8-4352-A199-06E9F577030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W64" sqref="W6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7" max="37" width="16.85546875" customWidth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2079/02/25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-206.2</v>
      </c>
      <c r="C5" s="32">
        <f t="shared" si="0"/>
        <v>-194.2</v>
      </c>
      <c r="D5" s="32">
        <f t="shared" si="0"/>
        <v>-175.5</v>
      </c>
      <c r="E5" s="32">
        <f t="shared" si="0"/>
        <v>-202.5</v>
      </c>
      <c r="F5" s="32">
        <f t="shared" si="0"/>
        <v>-202.5</v>
      </c>
      <c r="G5" s="32">
        <f t="shared" si="0"/>
        <v>-205.5</v>
      </c>
      <c r="H5" s="32">
        <f t="shared" si="0"/>
        <v>-225.5</v>
      </c>
      <c r="I5" s="32">
        <f t="shared" si="0"/>
        <v>-212.5</v>
      </c>
      <c r="J5" s="32">
        <f t="shared" si="0"/>
        <v>-161.30000000000001</v>
      </c>
      <c r="K5" s="32">
        <f t="shared" si="0"/>
        <v>-164.5</v>
      </c>
      <c r="L5" s="32">
        <f t="shared" si="0"/>
        <v>-194.59</v>
      </c>
      <c r="M5" s="32">
        <f t="shared" si="0"/>
        <v>-184.59</v>
      </c>
      <c r="N5" s="32">
        <f t="shared" si="0"/>
        <v>-233.5</v>
      </c>
      <c r="O5" s="32">
        <f t="shared" si="0"/>
        <v>-169.3</v>
      </c>
      <c r="P5" s="32">
        <f t="shared" si="0"/>
        <v>-205.2</v>
      </c>
      <c r="Q5" s="32">
        <f t="shared" si="0"/>
        <v>-189.97</v>
      </c>
      <c r="R5" s="32">
        <f t="shared" si="0"/>
        <v>-188.3</v>
      </c>
      <c r="S5" s="32">
        <f t="shared" si="0"/>
        <v>-181.9</v>
      </c>
      <c r="T5" s="32">
        <f t="shared" si="0"/>
        <v>-156.5</v>
      </c>
      <c r="U5" s="32">
        <f t="shared" si="0"/>
        <v>-160.19999999999999</v>
      </c>
      <c r="V5" s="32">
        <f t="shared" si="0"/>
        <v>-185</v>
      </c>
      <c r="W5" s="32">
        <f t="shared" si="0"/>
        <v>-188.5</v>
      </c>
      <c r="X5" s="32">
        <f t="shared" si="0"/>
        <v>-160</v>
      </c>
      <c r="Y5" s="32">
        <f t="shared" si="0"/>
        <v>-81.400000000000006</v>
      </c>
      <c r="Z5" s="32">
        <f t="shared" si="0"/>
        <v>-70.010000000000005</v>
      </c>
      <c r="AA5" s="32">
        <f t="shared" si="0"/>
        <v>-72.499999999999986</v>
      </c>
      <c r="AB5" s="32">
        <f t="shared" si="0"/>
        <v>-93.5</v>
      </c>
      <c r="AC5" s="32">
        <f t="shared" si="0"/>
        <v>-221.5</v>
      </c>
      <c r="AD5" s="32">
        <f t="shared" si="0"/>
        <v>-188.5</v>
      </c>
      <c r="AE5" s="32">
        <f t="shared" si="0"/>
        <v>-260</v>
      </c>
      <c r="AF5" s="32">
        <f>B68</f>
        <v>-216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1437MW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K6">
        <f>(3150940+9122224+1967360+19038916)</f>
        <v>33279440</v>
      </c>
      <c r="AL6" s="30">
        <f>AK6/(AK7*1000)</f>
        <v>5.8762298266059254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Load=-256</v>
      </c>
      <c r="B7" s="37">
        <f>B75</f>
        <v>1376.8400000000001</v>
      </c>
      <c r="C7" s="37">
        <f t="shared" ref="C7:AF7" si="1">C75</f>
        <v>1351.5400000000002</v>
      </c>
      <c r="D7" s="37">
        <f t="shared" si="1"/>
        <v>1413.8400000000001</v>
      </c>
      <c r="E7" s="37">
        <f t="shared" si="1"/>
        <v>1212.1399999999999</v>
      </c>
      <c r="F7" s="37">
        <f t="shared" si="1"/>
        <v>1308.1399999999999</v>
      </c>
      <c r="G7" s="37">
        <f t="shared" si="1"/>
        <v>1306.24</v>
      </c>
      <c r="H7" s="37">
        <f t="shared" si="1"/>
        <v>1295.7399999999998</v>
      </c>
      <c r="I7" s="37">
        <f t="shared" si="1"/>
        <v>1267.7399999999998</v>
      </c>
      <c r="J7" s="37">
        <f t="shared" si="1"/>
        <v>1330.94</v>
      </c>
      <c r="K7" s="37">
        <f t="shared" si="1"/>
        <v>1394.5400000000002</v>
      </c>
      <c r="L7" s="37">
        <f t="shared" si="1"/>
        <v>1414.64</v>
      </c>
      <c r="M7" s="37">
        <f t="shared" si="1"/>
        <v>1431.15</v>
      </c>
      <c r="N7" s="37">
        <f t="shared" si="1"/>
        <v>1436.65</v>
      </c>
      <c r="O7" s="37">
        <f t="shared" si="1"/>
        <v>1406.2400000000002</v>
      </c>
      <c r="P7" s="37">
        <f t="shared" si="1"/>
        <v>1482.3400000000001</v>
      </c>
      <c r="Q7" s="37">
        <f t="shared" si="1"/>
        <v>1468.64</v>
      </c>
      <c r="R7" s="37">
        <f t="shared" si="1"/>
        <v>1446.3700000000001</v>
      </c>
      <c r="S7" s="37">
        <f t="shared" si="1"/>
        <v>1483.94</v>
      </c>
      <c r="T7" s="37">
        <f t="shared" si="1"/>
        <v>1472.44</v>
      </c>
      <c r="U7" s="37">
        <f t="shared" si="1"/>
        <v>1474.8400000000001</v>
      </c>
      <c r="V7" s="37">
        <f t="shared" si="1"/>
        <v>1449.44</v>
      </c>
      <c r="W7" s="37">
        <f t="shared" si="1"/>
        <v>1431.04</v>
      </c>
      <c r="X7" s="37">
        <f t="shared" si="1"/>
        <v>1463.8399999999997</v>
      </c>
      <c r="Y7" s="37">
        <f t="shared" si="1"/>
        <v>1468.7399999999998</v>
      </c>
      <c r="Z7" s="37">
        <f t="shared" si="1"/>
        <v>1541.54</v>
      </c>
      <c r="AA7" s="37">
        <f t="shared" si="1"/>
        <v>1602.9299999999998</v>
      </c>
      <c r="AB7" s="37">
        <f t="shared" si="1"/>
        <v>1621.6399999999999</v>
      </c>
      <c r="AC7" s="37">
        <f t="shared" si="1"/>
        <v>1580.6399999999999</v>
      </c>
      <c r="AD7" s="37">
        <f t="shared" si="1"/>
        <v>1466.6399999999999</v>
      </c>
      <c r="AE7" s="37">
        <f t="shared" si="1"/>
        <v>1499.6399999999999</v>
      </c>
      <c r="AF7" s="37">
        <f t="shared" si="1"/>
        <v>-256.45999999999998</v>
      </c>
      <c r="AG7" s="38"/>
      <c r="AH7" s="39"/>
      <c r="AI7" s="40"/>
      <c r="AK7">
        <f>335+1552+3240+536.4</f>
        <v>5663.4</v>
      </c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456</v>
      </c>
      <c r="C11" s="70">
        <v>456</v>
      </c>
      <c r="D11" s="70">
        <v>456</v>
      </c>
      <c r="E11" s="70">
        <v>456</v>
      </c>
      <c r="F11" s="70">
        <v>456</v>
      </c>
      <c r="G11" s="51">
        <v>426</v>
      </c>
      <c r="H11" s="51">
        <v>400</v>
      </c>
      <c r="I11" s="51">
        <v>400</v>
      </c>
      <c r="J11" s="52">
        <v>430</v>
      </c>
      <c r="K11" s="52">
        <v>456</v>
      </c>
      <c r="L11" s="52">
        <v>456</v>
      </c>
      <c r="M11" s="52">
        <v>456</v>
      </c>
      <c r="N11" s="52">
        <v>456</v>
      </c>
      <c r="O11" s="52">
        <v>456</v>
      </c>
      <c r="P11" s="52">
        <v>456</v>
      </c>
      <c r="Q11" s="52">
        <v>456</v>
      </c>
      <c r="R11" s="52">
        <v>456</v>
      </c>
      <c r="S11" s="52">
        <v>456</v>
      </c>
      <c r="T11" s="49">
        <v>445</v>
      </c>
      <c r="U11" s="49">
        <v>430</v>
      </c>
      <c r="V11" s="49">
        <v>420</v>
      </c>
      <c r="W11" s="49">
        <v>420</v>
      </c>
      <c r="X11" s="49">
        <v>425</v>
      </c>
      <c r="Y11" s="49">
        <v>415</v>
      </c>
      <c r="Z11" s="49">
        <v>390</v>
      </c>
      <c r="AA11" s="49">
        <v>410</v>
      </c>
      <c r="AB11" s="49">
        <v>432</v>
      </c>
      <c r="AC11" s="49">
        <v>432</v>
      </c>
      <c r="AD11" s="49">
        <v>456</v>
      </c>
      <c r="AE11" s="49">
        <v>456</v>
      </c>
      <c r="AF11" s="49"/>
      <c r="AG11" s="53">
        <v>456</v>
      </c>
      <c r="AH11" s="54">
        <f>MAX(B11:AF11)</f>
        <v>456</v>
      </c>
      <c r="AI11" s="55">
        <f>MIN(B11:AF11)</f>
        <v>390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45</v>
      </c>
      <c r="Z12" s="51">
        <v>45</v>
      </c>
      <c r="AA12" s="51">
        <v>45</v>
      </c>
      <c r="AB12" s="51">
        <v>45</v>
      </c>
      <c r="AC12" s="51">
        <v>45</v>
      </c>
      <c r="AD12" s="51">
        <v>45</v>
      </c>
      <c r="AE12" s="51">
        <v>45</v>
      </c>
      <c r="AF12" s="51"/>
      <c r="AG12" s="58">
        <v>60</v>
      </c>
      <c r="AH12" s="54">
        <f t="shared" ref="AH12:AH75" si="2">MAX(B12:AF12)</f>
        <v>60</v>
      </c>
      <c r="AI12" s="55">
        <f t="shared" ref="AI12:AI75" si="3">MIN(B12:AF12)</f>
        <v>45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37.700000000000003</v>
      </c>
      <c r="C13" s="51">
        <v>37.700000000000003</v>
      </c>
      <c r="D13" s="51">
        <v>37.700000000000003</v>
      </c>
      <c r="E13" s="51">
        <v>40.4</v>
      </c>
      <c r="F13" s="51">
        <v>40.4</v>
      </c>
      <c r="G13" s="51">
        <v>40.4</v>
      </c>
      <c r="H13" s="51">
        <v>37.700000000000003</v>
      </c>
      <c r="I13" s="51">
        <v>37.700000000000003</v>
      </c>
      <c r="J13" s="51">
        <v>47.8</v>
      </c>
      <c r="K13" s="51">
        <v>44.9</v>
      </c>
      <c r="L13" s="51">
        <v>44.9</v>
      </c>
      <c r="M13" s="51">
        <v>44.9</v>
      </c>
      <c r="N13" s="51">
        <v>44.9</v>
      </c>
      <c r="O13" s="51">
        <v>44.9</v>
      </c>
      <c r="P13" s="51">
        <v>44.9</v>
      </c>
      <c r="Q13" s="51">
        <v>44.9</v>
      </c>
      <c r="R13" s="51">
        <v>44.9</v>
      </c>
      <c r="S13" s="51">
        <v>44.9</v>
      </c>
      <c r="T13" s="51">
        <v>44.9</v>
      </c>
      <c r="U13" s="51">
        <v>44.9</v>
      </c>
      <c r="V13" s="51">
        <v>44.9</v>
      </c>
      <c r="W13" s="51">
        <v>44.9</v>
      </c>
      <c r="X13" s="51">
        <v>44.9</v>
      </c>
      <c r="Y13" s="51">
        <v>44.9</v>
      </c>
      <c r="Z13" s="51">
        <v>44.9</v>
      </c>
      <c r="AA13" s="51">
        <v>44.9</v>
      </c>
      <c r="AB13" s="51">
        <v>45</v>
      </c>
      <c r="AC13" s="51">
        <v>45</v>
      </c>
      <c r="AD13" s="51">
        <v>45</v>
      </c>
      <c r="AE13" s="51">
        <v>45</v>
      </c>
      <c r="AF13" s="51"/>
      <c r="AG13" s="58">
        <v>52.4</v>
      </c>
      <c r="AH13" s="54">
        <f t="shared" si="2"/>
        <v>47.8</v>
      </c>
      <c r="AI13" s="55">
        <f t="shared" si="3"/>
        <v>37.700000000000003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50.7</v>
      </c>
      <c r="C14" s="51">
        <v>50.7</v>
      </c>
      <c r="D14" s="51">
        <v>50.7</v>
      </c>
      <c r="E14" s="51">
        <v>0</v>
      </c>
      <c r="F14" s="51">
        <v>50.7</v>
      </c>
      <c r="G14" s="51">
        <v>50.7</v>
      </c>
      <c r="H14" s="51">
        <v>50.7</v>
      </c>
      <c r="I14" s="51">
        <v>50.7</v>
      </c>
      <c r="J14" s="51">
        <v>50.7</v>
      </c>
      <c r="K14" s="51">
        <v>50.7</v>
      </c>
      <c r="L14" s="51">
        <v>50.7</v>
      </c>
      <c r="M14" s="51">
        <v>50.7</v>
      </c>
      <c r="N14" s="51">
        <v>50.7</v>
      </c>
      <c r="O14" s="51">
        <v>50.7</v>
      </c>
      <c r="P14" s="51">
        <v>50.7</v>
      </c>
      <c r="Q14" s="51">
        <v>50.7</v>
      </c>
      <c r="R14" s="51">
        <v>50.7</v>
      </c>
      <c r="S14" s="51">
        <v>50.7</v>
      </c>
      <c r="T14" s="51">
        <v>50.7</v>
      </c>
      <c r="U14" s="51">
        <v>50.7</v>
      </c>
      <c r="V14" s="51">
        <v>50.7</v>
      </c>
      <c r="W14" s="51">
        <v>50.7</v>
      </c>
      <c r="X14" s="51">
        <v>50.7</v>
      </c>
      <c r="Y14" s="51">
        <v>50.7</v>
      </c>
      <c r="Z14" s="51">
        <v>50.7</v>
      </c>
      <c r="AA14" s="51">
        <v>50.7</v>
      </c>
      <c r="AB14" s="51">
        <v>50.4</v>
      </c>
      <c r="AC14" s="51">
        <v>50.4</v>
      </c>
      <c r="AD14" s="51">
        <v>50.4</v>
      </c>
      <c r="AE14" s="51">
        <v>50.4</v>
      </c>
      <c r="AF14" s="51"/>
      <c r="AG14" s="58">
        <v>50</v>
      </c>
      <c r="AH14" s="54">
        <f t="shared" si="2"/>
        <v>50.7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45.7</v>
      </c>
      <c r="O15" s="51">
        <v>45.7</v>
      </c>
      <c r="P15" s="51">
        <v>45.7</v>
      </c>
      <c r="Q15" s="51">
        <v>45.7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45.4</v>
      </c>
      <c r="AC15" s="51">
        <v>45.4</v>
      </c>
      <c r="AD15" s="51">
        <v>45.4</v>
      </c>
      <c r="AE15" s="51">
        <v>45.4</v>
      </c>
      <c r="AF15" s="51"/>
      <c r="AG15" s="59">
        <v>45</v>
      </c>
      <c r="AH15" s="54">
        <f t="shared" si="2"/>
        <v>45.7</v>
      </c>
      <c r="AI15" s="55">
        <f t="shared" si="3"/>
        <v>45.4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24</v>
      </c>
      <c r="C16" s="51">
        <v>24</v>
      </c>
      <c r="D16" s="51">
        <v>24</v>
      </c>
      <c r="E16" s="51">
        <v>0</v>
      </c>
      <c r="F16" s="51">
        <v>0</v>
      </c>
      <c r="G16" s="51">
        <v>0</v>
      </c>
      <c r="H16" s="51">
        <v>24</v>
      </c>
      <c r="I16" s="51">
        <v>35</v>
      </c>
      <c r="J16" s="51">
        <v>35</v>
      </c>
      <c r="K16" s="51">
        <v>35</v>
      </c>
      <c r="L16" s="51">
        <v>37</v>
      </c>
      <c r="M16" s="51">
        <v>37</v>
      </c>
      <c r="N16" s="51">
        <v>37</v>
      </c>
      <c r="O16" s="51">
        <v>37</v>
      </c>
      <c r="P16" s="51">
        <v>37</v>
      </c>
      <c r="Q16" s="51">
        <v>37</v>
      </c>
      <c r="R16" s="51">
        <v>37</v>
      </c>
      <c r="S16" s="51">
        <v>37</v>
      </c>
      <c r="T16" s="51">
        <v>37</v>
      </c>
      <c r="U16" s="51">
        <v>37</v>
      </c>
      <c r="V16" s="51">
        <v>37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/>
      <c r="AG16" s="58">
        <v>45</v>
      </c>
      <c r="AH16" s="54">
        <f t="shared" si="2"/>
        <v>40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>
        <v>25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25</v>
      </c>
      <c r="S17" s="51">
        <v>25</v>
      </c>
      <c r="T17" s="51">
        <v>25</v>
      </c>
      <c r="U17" s="51">
        <v>25</v>
      </c>
      <c r="V17" s="51">
        <v>25</v>
      </c>
      <c r="W17" s="51">
        <v>25</v>
      </c>
      <c r="X17" s="51">
        <v>25</v>
      </c>
      <c r="Y17" s="51">
        <v>25</v>
      </c>
      <c r="Z17" s="51">
        <v>25</v>
      </c>
      <c r="AA17" s="51">
        <v>25</v>
      </c>
      <c r="AB17" s="51">
        <v>25</v>
      </c>
      <c r="AC17" s="51">
        <v>25</v>
      </c>
      <c r="AD17" s="51">
        <v>25</v>
      </c>
      <c r="AE17" s="51">
        <v>25</v>
      </c>
      <c r="AF17" s="51"/>
      <c r="AG17" s="58">
        <v>42</v>
      </c>
      <c r="AH17" s="54">
        <f t="shared" si="2"/>
        <v>25</v>
      </c>
      <c r="AI17" s="55">
        <f t="shared" si="3"/>
        <v>25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/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23</v>
      </c>
      <c r="C19" s="51">
        <v>23</v>
      </c>
      <c r="D19" s="51">
        <v>23</v>
      </c>
      <c r="E19" s="51">
        <v>0</v>
      </c>
      <c r="F19" s="51">
        <v>23</v>
      </c>
      <c r="G19" s="51">
        <v>23</v>
      </c>
      <c r="H19" s="51">
        <v>23</v>
      </c>
      <c r="I19" s="51">
        <v>23</v>
      </c>
      <c r="J19" s="51">
        <v>23</v>
      </c>
      <c r="K19" s="51">
        <v>23</v>
      </c>
      <c r="L19" s="51">
        <v>23</v>
      </c>
      <c r="M19" s="51">
        <v>23</v>
      </c>
      <c r="N19" s="51">
        <v>23</v>
      </c>
      <c r="O19" s="51">
        <v>23</v>
      </c>
      <c r="P19" s="51">
        <v>23</v>
      </c>
      <c r="Q19" s="51">
        <v>23</v>
      </c>
      <c r="R19" s="51">
        <v>23</v>
      </c>
      <c r="S19" s="51">
        <v>23</v>
      </c>
      <c r="T19" s="51">
        <v>23</v>
      </c>
      <c r="U19" s="51">
        <v>23</v>
      </c>
      <c r="V19" s="51">
        <v>23</v>
      </c>
      <c r="W19" s="51">
        <v>23</v>
      </c>
      <c r="X19" s="51">
        <v>23</v>
      </c>
      <c r="Y19" s="51">
        <v>23</v>
      </c>
      <c r="Z19" s="51">
        <v>23</v>
      </c>
      <c r="AA19" s="51">
        <v>23</v>
      </c>
      <c r="AB19" s="51">
        <v>23</v>
      </c>
      <c r="AC19" s="51">
        <v>23</v>
      </c>
      <c r="AD19" s="51">
        <v>23</v>
      </c>
      <c r="AE19" s="51">
        <v>23</v>
      </c>
      <c r="AF19" s="51"/>
      <c r="AG19" s="58">
        <v>30</v>
      </c>
      <c r="AH19" s="54">
        <f t="shared" si="2"/>
        <v>23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15.5</v>
      </c>
      <c r="C20" s="51">
        <v>15.5</v>
      </c>
      <c r="D20" s="51">
        <v>15.5</v>
      </c>
      <c r="E20" s="51">
        <v>15.5</v>
      </c>
      <c r="F20" s="51">
        <v>15.5</v>
      </c>
      <c r="G20" s="51">
        <v>15.5</v>
      </c>
      <c r="H20" s="51">
        <v>15.5</v>
      </c>
      <c r="I20" s="51">
        <v>15.5</v>
      </c>
      <c r="J20" s="51">
        <v>15.5</v>
      </c>
      <c r="K20" s="51">
        <v>15.5</v>
      </c>
      <c r="L20" s="51">
        <v>15.5</v>
      </c>
      <c r="M20" s="51">
        <v>15.5</v>
      </c>
      <c r="N20" s="51">
        <v>15.5</v>
      </c>
      <c r="O20" s="51">
        <v>15.5</v>
      </c>
      <c r="P20" s="51">
        <v>15.5</v>
      </c>
      <c r="Q20" s="51">
        <v>15.5</v>
      </c>
      <c r="R20" s="51">
        <v>15.5</v>
      </c>
      <c r="S20" s="51">
        <v>15.5</v>
      </c>
      <c r="T20" s="51">
        <v>15.5</v>
      </c>
      <c r="U20" s="51">
        <v>15.5</v>
      </c>
      <c r="V20" s="51">
        <v>15.5</v>
      </c>
      <c r="W20" s="51">
        <v>15.5</v>
      </c>
      <c r="X20" s="51">
        <v>15.5</v>
      </c>
      <c r="Y20" s="51">
        <v>15.5</v>
      </c>
      <c r="Z20" s="51">
        <v>15.5</v>
      </c>
      <c r="AA20" s="51">
        <v>15.5</v>
      </c>
      <c r="AB20" s="51">
        <v>15.5</v>
      </c>
      <c r="AC20" s="51">
        <v>15.5</v>
      </c>
      <c r="AD20" s="51">
        <v>15.5</v>
      </c>
      <c r="AE20" s="51">
        <v>15.5</v>
      </c>
      <c r="AF20" s="51"/>
      <c r="AG20" s="58">
        <v>27</v>
      </c>
      <c r="AH20" s="54">
        <f t="shared" si="2"/>
        <v>15.5</v>
      </c>
      <c r="AI20" s="55">
        <f t="shared" si="3"/>
        <v>15.5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/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24.7</v>
      </c>
      <c r="C22" s="51">
        <v>24.7</v>
      </c>
      <c r="D22" s="51">
        <v>24.7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23.3</v>
      </c>
      <c r="Y22" s="51">
        <v>23.3</v>
      </c>
      <c r="Z22" s="51">
        <v>23.2</v>
      </c>
      <c r="AA22" s="51">
        <v>23.2</v>
      </c>
      <c r="AB22" s="51">
        <v>23.2</v>
      </c>
      <c r="AC22" s="51">
        <v>23.2</v>
      </c>
      <c r="AD22" s="51">
        <v>23.2</v>
      </c>
      <c r="AE22" s="51">
        <v>23.2</v>
      </c>
      <c r="AF22" s="51"/>
      <c r="AG22" s="58">
        <v>25</v>
      </c>
      <c r="AH22" s="54">
        <f t="shared" si="2"/>
        <v>24.7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/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22.3</v>
      </c>
      <c r="C24" s="51">
        <v>22.3</v>
      </c>
      <c r="D24" s="51">
        <v>22.3</v>
      </c>
      <c r="E24" s="51">
        <v>22.3</v>
      </c>
      <c r="F24" s="51">
        <v>22.3</v>
      </c>
      <c r="G24" s="51">
        <v>22.3</v>
      </c>
      <c r="H24" s="51">
        <v>22.3</v>
      </c>
      <c r="I24" s="51">
        <v>22.3</v>
      </c>
      <c r="J24" s="51">
        <v>22.3</v>
      </c>
      <c r="K24" s="51">
        <v>22.3</v>
      </c>
      <c r="L24" s="51">
        <v>22.3</v>
      </c>
      <c r="M24" s="51">
        <v>22.3</v>
      </c>
      <c r="N24" s="51">
        <v>22.3</v>
      </c>
      <c r="O24" s="51">
        <v>22.3</v>
      </c>
      <c r="P24" s="51">
        <v>22.3</v>
      </c>
      <c r="Q24" s="51">
        <v>22.3</v>
      </c>
      <c r="R24" s="51">
        <v>22.3</v>
      </c>
      <c r="S24" s="51">
        <v>22.3</v>
      </c>
      <c r="T24" s="51">
        <v>22.3</v>
      </c>
      <c r="U24" s="51">
        <v>22.3</v>
      </c>
      <c r="V24" s="51">
        <v>22.3</v>
      </c>
      <c r="W24" s="51">
        <v>22.3</v>
      </c>
      <c r="X24" s="51">
        <v>22.3</v>
      </c>
      <c r="Y24" s="51">
        <v>22.3</v>
      </c>
      <c r="Z24" s="51">
        <v>22.3</v>
      </c>
      <c r="AA24" s="51">
        <v>22.3</v>
      </c>
      <c r="AB24" s="51">
        <v>22.3</v>
      </c>
      <c r="AC24" s="51">
        <v>22.3</v>
      </c>
      <c r="AD24" s="51">
        <v>22.3</v>
      </c>
      <c r="AE24" s="51">
        <v>22.3</v>
      </c>
      <c r="AF24" s="51"/>
      <c r="AG24" s="58">
        <v>25</v>
      </c>
      <c r="AH24" s="54">
        <f t="shared" si="2"/>
        <v>22.3</v>
      </c>
      <c r="AI24" s="55">
        <f t="shared" si="3"/>
        <v>22.3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/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8</v>
      </c>
      <c r="Y26" s="51">
        <v>8</v>
      </c>
      <c r="Z26" s="51">
        <v>8</v>
      </c>
      <c r="AA26" s="51">
        <v>8</v>
      </c>
      <c r="AB26" s="51">
        <v>8</v>
      </c>
      <c r="AC26" s="51">
        <v>8</v>
      </c>
      <c r="AD26" s="51">
        <v>8</v>
      </c>
      <c r="AE26" s="51">
        <v>8</v>
      </c>
      <c r="AF26" s="51"/>
      <c r="AG26" s="58">
        <v>20</v>
      </c>
      <c r="AH26" s="54">
        <f t="shared" si="2"/>
        <v>8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/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0</v>
      </c>
      <c r="F28" s="51">
        <v>0</v>
      </c>
      <c r="G28" s="51">
        <v>0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/>
      <c r="AG28" s="58">
        <v>22.2</v>
      </c>
      <c r="AH28" s="54">
        <f t="shared" si="2"/>
        <v>7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/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/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/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/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/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8.8000000000000007</v>
      </c>
      <c r="C34" s="51">
        <v>8.8000000000000007</v>
      </c>
      <c r="D34" s="51">
        <v>8.8000000000000007</v>
      </c>
      <c r="E34" s="51">
        <v>0</v>
      </c>
      <c r="F34" s="51">
        <v>0</v>
      </c>
      <c r="G34" s="51">
        <v>0</v>
      </c>
      <c r="H34" s="51">
        <v>8.8000000000000007</v>
      </c>
      <c r="I34" s="51">
        <v>8.8000000000000007</v>
      </c>
      <c r="J34" s="51">
        <v>8.8000000000000007</v>
      </c>
      <c r="K34" s="51">
        <v>8.8000000000000007</v>
      </c>
      <c r="L34" s="51">
        <v>8.8000000000000007</v>
      </c>
      <c r="M34" s="51">
        <v>8.8000000000000007</v>
      </c>
      <c r="N34" s="51">
        <v>8.8000000000000007</v>
      </c>
      <c r="O34" s="51">
        <v>8.8000000000000007</v>
      </c>
      <c r="P34" s="51">
        <v>8.8000000000000007</v>
      </c>
      <c r="Q34" s="51">
        <v>8.8000000000000007</v>
      </c>
      <c r="R34" s="51">
        <v>8.8000000000000007</v>
      </c>
      <c r="S34" s="51">
        <v>8.8000000000000007</v>
      </c>
      <c r="T34" s="51">
        <v>8.8000000000000007</v>
      </c>
      <c r="U34" s="51">
        <v>8.8000000000000007</v>
      </c>
      <c r="V34" s="51">
        <v>8.8000000000000007</v>
      </c>
      <c r="W34" s="51">
        <v>8.8000000000000007</v>
      </c>
      <c r="X34" s="51">
        <v>8.8000000000000007</v>
      </c>
      <c r="Y34" s="51">
        <v>8.8000000000000007</v>
      </c>
      <c r="Z34" s="51">
        <v>8.8000000000000007</v>
      </c>
      <c r="AA34" s="51">
        <v>8.8000000000000007</v>
      </c>
      <c r="AB34" s="51">
        <v>8.8000000000000007</v>
      </c>
      <c r="AC34" s="51">
        <v>8.8000000000000007</v>
      </c>
      <c r="AD34" s="51">
        <v>8.8000000000000007</v>
      </c>
      <c r="AE34" s="51">
        <v>8.8000000000000007</v>
      </c>
      <c r="AF34" s="51"/>
      <c r="AG34" s="63">
        <v>20</v>
      </c>
      <c r="AH34" s="54">
        <f t="shared" si="2"/>
        <v>8.8000000000000007</v>
      </c>
      <c r="AI34" s="55">
        <f t="shared" si="3"/>
        <v>0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7</v>
      </c>
      <c r="C35" s="51">
        <v>7</v>
      </c>
      <c r="D35" s="51">
        <v>7</v>
      </c>
      <c r="E35" s="51">
        <v>7</v>
      </c>
      <c r="F35" s="51">
        <v>7</v>
      </c>
      <c r="G35" s="51">
        <v>7</v>
      </c>
      <c r="H35" s="51">
        <v>7</v>
      </c>
      <c r="I35" s="51">
        <v>7</v>
      </c>
      <c r="J35" s="51">
        <v>7</v>
      </c>
      <c r="K35" s="51">
        <v>7</v>
      </c>
      <c r="L35" s="51">
        <v>7</v>
      </c>
      <c r="M35" s="51">
        <v>7</v>
      </c>
      <c r="N35" s="51">
        <v>7</v>
      </c>
      <c r="O35" s="51">
        <v>7</v>
      </c>
      <c r="P35" s="51">
        <v>7</v>
      </c>
      <c r="Q35" s="51">
        <v>7</v>
      </c>
      <c r="R35" s="51">
        <v>7</v>
      </c>
      <c r="S35" s="51">
        <v>7</v>
      </c>
      <c r="T35" s="51">
        <v>7</v>
      </c>
      <c r="U35" s="51">
        <v>7</v>
      </c>
      <c r="V35" s="51">
        <v>7</v>
      </c>
      <c r="W35" s="51">
        <v>7</v>
      </c>
      <c r="X35" s="51">
        <v>7</v>
      </c>
      <c r="Y35" s="51">
        <v>7</v>
      </c>
      <c r="Z35" s="51">
        <v>7</v>
      </c>
      <c r="AA35" s="51">
        <v>7</v>
      </c>
      <c r="AB35" s="51">
        <v>7</v>
      </c>
      <c r="AC35" s="51">
        <v>7</v>
      </c>
      <c r="AD35" s="51">
        <v>7</v>
      </c>
      <c r="AE35" s="51">
        <v>7</v>
      </c>
      <c r="AF35" s="51"/>
      <c r="AG35" s="63">
        <v>15.33</v>
      </c>
      <c r="AH35" s="54">
        <f t="shared" si="2"/>
        <v>7</v>
      </c>
      <c r="AI35" s="55">
        <f t="shared" si="3"/>
        <v>7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260</v>
      </c>
      <c r="C36" s="65">
        <v>260</v>
      </c>
      <c r="D36" s="65">
        <v>260</v>
      </c>
      <c r="E36" s="65">
        <v>260</v>
      </c>
      <c r="F36" s="65">
        <v>260</v>
      </c>
      <c r="G36" s="65">
        <v>260</v>
      </c>
      <c r="H36" s="65">
        <v>260</v>
      </c>
      <c r="I36" s="65">
        <v>260</v>
      </c>
      <c r="J36" s="65">
        <v>260</v>
      </c>
      <c r="K36" s="65">
        <v>260</v>
      </c>
      <c r="L36" s="65">
        <v>260</v>
      </c>
      <c r="M36" s="65">
        <v>260</v>
      </c>
      <c r="N36" s="65">
        <v>260</v>
      </c>
      <c r="O36" s="65">
        <v>260</v>
      </c>
      <c r="P36" s="65">
        <v>260</v>
      </c>
      <c r="Q36" s="65">
        <v>260</v>
      </c>
      <c r="R36" s="65">
        <v>260</v>
      </c>
      <c r="S36" s="65">
        <v>260</v>
      </c>
      <c r="T36" s="65">
        <v>260</v>
      </c>
      <c r="U36" s="65">
        <v>260</v>
      </c>
      <c r="V36" s="65">
        <v>260</v>
      </c>
      <c r="W36" s="65">
        <v>260</v>
      </c>
      <c r="X36" s="65">
        <v>260</v>
      </c>
      <c r="Y36" s="65">
        <v>260</v>
      </c>
      <c r="Z36" s="65">
        <v>260</v>
      </c>
      <c r="AA36" s="65">
        <v>260</v>
      </c>
      <c r="AB36" s="65">
        <v>260</v>
      </c>
      <c r="AC36" s="65">
        <v>260</v>
      </c>
      <c r="AD36" s="65">
        <v>260</v>
      </c>
      <c r="AE36" s="65">
        <v>260</v>
      </c>
      <c r="AF36" s="65"/>
      <c r="AG36" s="63">
        <v>85</v>
      </c>
      <c r="AH36" s="54">
        <f t="shared" si="2"/>
        <v>260</v>
      </c>
      <c r="AI36" s="55">
        <f t="shared" si="3"/>
        <v>260</v>
      </c>
      <c r="AK36" s="56"/>
    </row>
    <row r="37" spans="1:88" ht="15.75" thickBot="1" x14ac:dyDescent="0.3">
      <c r="A37" s="66" t="s">
        <v>45</v>
      </c>
      <c r="B37" s="67">
        <f>60.1+73.7</f>
        <v>133.80000000000001</v>
      </c>
      <c r="C37" s="67">
        <f>60+70.2</f>
        <v>130.19999999999999</v>
      </c>
      <c r="D37" s="67">
        <f>60+70.2</f>
        <v>130.19999999999999</v>
      </c>
      <c r="E37" s="67">
        <f>60+70.2</f>
        <v>130.19999999999999</v>
      </c>
      <c r="F37" s="65">
        <f>62.7+60</f>
        <v>122.7</v>
      </c>
      <c r="G37" s="65">
        <f>61+69.6</f>
        <v>130.6</v>
      </c>
      <c r="H37" s="65">
        <f>68+61.3</f>
        <v>129.30000000000001</v>
      </c>
      <c r="I37" s="65">
        <f>67.8+61.2</f>
        <v>129</v>
      </c>
      <c r="J37" s="65">
        <f>67.2+60.9</f>
        <v>128.1</v>
      </c>
      <c r="K37" s="65">
        <f>62.7+64</f>
        <v>126.7</v>
      </c>
      <c r="L37" s="65">
        <f>62.6+64.3</f>
        <v>126.9</v>
      </c>
      <c r="M37" s="65">
        <f>62.6+64.3</f>
        <v>126.9</v>
      </c>
      <c r="N37" s="65">
        <f>65+63</f>
        <v>128</v>
      </c>
      <c r="O37" s="65">
        <f>65+63</f>
        <v>128</v>
      </c>
      <c r="P37" s="65">
        <f>64.5+62</f>
        <v>126.5</v>
      </c>
      <c r="Q37" s="65">
        <f>64.3+62.3</f>
        <v>126.6</v>
      </c>
      <c r="R37" s="65">
        <f>64+57</f>
        <v>121</v>
      </c>
      <c r="S37" s="65">
        <f>64+57</f>
        <v>121</v>
      </c>
      <c r="T37" s="67">
        <f>62.4+59.6</f>
        <v>122</v>
      </c>
      <c r="U37" s="67">
        <f>66.6+59.7</f>
        <v>126.3</v>
      </c>
      <c r="V37" s="67">
        <f>65+60</f>
        <v>125</v>
      </c>
      <c r="W37" s="67">
        <f>63.5+61.2</f>
        <v>124.7</v>
      </c>
      <c r="X37" s="67">
        <f>63.7+61.2</f>
        <v>124.9</v>
      </c>
      <c r="Y37" s="67">
        <f>63.1+60.5</f>
        <v>123.6</v>
      </c>
      <c r="Z37" s="67">
        <f>62.2+61.2</f>
        <v>123.4</v>
      </c>
      <c r="AA37" s="67">
        <f>66.3+60.8</f>
        <v>127.1</v>
      </c>
      <c r="AB37" s="67">
        <f>67.6+61.3</f>
        <v>128.89999999999998</v>
      </c>
      <c r="AC37" s="67">
        <f>67.6+61.3</f>
        <v>128.89999999999998</v>
      </c>
      <c r="AD37" s="67">
        <f>67.6+61.3</f>
        <v>128.89999999999998</v>
      </c>
      <c r="AE37" s="67">
        <f>67.6+61.3</f>
        <v>128.89999999999998</v>
      </c>
      <c r="AF37" s="67"/>
      <c r="AG37" s="63">
        <v>240</v>
      </c>
      <c r="AH37" s="54">
        <f t="shared" si="2"/>
        <v>133.80000000000001</v>
      </c>
      <c r="AI37" s="55">
        <f t="shared" si="3"/>
        <v>121</v>
      </c>
      <c r="AK37" s="56"/>
    </row>
    <row r="38" spans="1:88" ht="15.75" thickBot="1" x14ac:dyDescent="0.3">
      <c r="A38" s="68" t="s">
        <v>46</v>
      </c>
      <c r="B38" s="69">
        <v>1142.9000000000001</v>
      </c>
      <c r="C38" s="69">
        <f t="shared" ref="C38:AF38" si="4">SUM(C11:C36)</f>
        <v>1153.9000000000001</v>
      </c>
      <c r="D38" s="69">
        <f t="shared" si="4"/>
        <v>1153.9000000000001</v>
      </c>
      <c r="E38" s="69">
        <f t="shared" si="4"/>
        <v>1018.4</v>
      </c>
      <c r="F38" s="69">
        <f t="shared" si="4"/>
        <v>1092.0999999999999</v>
      </c>
      <c r="G38" s="69">
        <f t="shared" si="4"/>
        <v>1062.0999999999999</v>
      </c>
      <c r="H38" s="69">
        <f t="shared" si="4"/>
        <v>1073.1999999999998</v>
      </c>
      <c r="I38" s="69">
        <f t="shared" si="4"/>
        <v>1084.1999999999998</v>
      </c>
      <c r="J38" s="69">
        <f t="shared" si="4"/>
        <v>1124.3</v>
      </c>
      <c r="K38" s="69">
        <f t="shared" si="4"/>
        <v>1147.4000000000001</v>
      </c>
      <c r="L38" s="69">
        <f t="shared" si="4"/>
        <v>1149.4000000000001</v>
      </c>
      <c r="M38" s="69">
        <f t="shared" si="4"/>
        <v>1149.4000000000001</v>
      </c>
      <c r="N38" s="69">
        <f t="shared" si="4"/>
        <v>1149.4000000000001</v>
      </c>
      <c r="O38" s="69">
        <f t="shared" si="4"/>
        <v>1149.4000000000001</v>
      </c>
      <c r="P38" s="69">
        <f t="shared" si="4"/>
        <v>1149.4000000000001</v>
      </c>
      <c r="Q38" s="69">
        <f t="shared" si="4"/>
        <v>1149.4000000000001</v>
      </c>
      <c r="R38" s="69">
        <f t="shared" si="4"/>
        <v>1149.4000000000001</v>
      </c>
      <c r="S38" s="69">
        <f t="shared" si="4"/>
        <v>1149.4000000000001</v>
      </c>
      <c r="T38" s="69">
        <f t="shared" si="4"/>
        <v>1138.4000000000001</v>
      </c>
      <c r="U38" s="69">
        <f t="shared" si="4"/>
        <v>1123.4000000000001</v>
      </c>
      <c r="V38" s="69">
        <f t="shared" si="4"/>
        <v>1113.4000000000001</v>
      </c>
      <c r="W38" s="69">
        <f t="shared" si="4"/>
        <v>1116.4000000000001</v>
      </c>
      <c r="X38" s="69">
        <f t="shared" si="4"/>
        <v>1152.6999999999998</v>
      </c>
      <c r="Y38" s="69">
        <f t="shared" si="4"/>
        <v>1127.6999999999998</v>
      </c>
      <c r="Z38" s="69">
        <f t="shared" si="4"/>
        <v>1102.5999999999999</v>
      </c>
      <c r="AA38" s="69">
        <f t="shared" si="4"/>
        <v>1122.5999999999999</v>
      </c>
      <c r="AB38" s="69">
        <f t="shared" si="4"/>
        <v>1144.0999999999999</v>
      </c>
      <c r="AC38" s="69">
        <f t="shared" si="4"/>
        <v>1144.0999999999999</v>
      </c>
      <c r="AD38" s="69">
        <f t="shared" si="4"/>
        <v>1168.0999999999999</v>
      </c>
      <c r="AE38" s="69">
        <f t="shared" si="4"/>
        <v>1168.0999999999999</v>
      </c>
      <c r="AF38" s="69">
        <f t="shared" si="4"/>
        <v>0</v>
      </c>
      <c r="AG38" s="63">
        <f>SUM(AG11:AG37)</f>
        <v>1492.8299999999997</v>
      </c>
      <c r="AH38" s="54">
        <f t="shared" si="2"/>
        <v>1168.0999999999999</v>
      </c>
      <c r="AI38" s="55">
        <f t="shared" si="3"/>
        <v>0</v>
      </c>
      <c r="AK38" s="56"/>
    </row>
    <row r="39" spans="1:88" x14ac:dyDescent="0.25">
      <c r="A39" s="57" t="s">
        <v>47</v>
      </c>
      <c r="B39" s="51">
        <v>146.4</v>
      </c>
      <c r="C39" s="51">
        <f>142.4</f>
        <v>142.4</v>
      </c>
      <c r="D39" s="51">
        <f>142.4</f>
        <v>142.4</v>
      </c>
      <c r="E39" s="51">
        <v>0</v>
      </c>
      <c r="F39" s="51">
        <v>146.69999999999999</v>
      </c>
      <c r="G39" s="51">
        <v>146.5</v>
      </c>
      <c r="H39" s="51">
        <v>146.19999999999999</v>
      </c>
      <c r="I39" s="51">
        <v>146.69999999999999</v>
      </c>
      <c r="J39" s="51">
        <v>146.5</v>
      </c>
      <c r="K39" s="51">
        <v>146.4</v>
      </c>
      <c r="L39" s="51">
        <v>146.30000000000001</v>
      </c>
      <c r="M39" s="51">
        <v>146.30000000000001</v>
      </c>
      <c r="N39" s="51">
        <v>146.30000000000001</v>
      </c>
      <c r="O39" s="51">
        <v>146.30000000000001</v>
      </c>
      <c r="P39" s="51">
        <v>146.30000000000001</v>
      </c>
      <c r="Q39" s="51">
        <v>144.80000000000001</v>
      </c>
      <c r="R39" s="51">
        <v>144.80000000000001</v>
      </c>
      <c r="S39" s="51">
        <v>144.80000000000001</v>
      </c>
      <c r="T39" s="51">
        <v>144.6</v>
      </c>
      <c r="U39" s="51">
        <v>144.6</v>
      </c>
      <c r="V39" s="51">
        <v>144.6</v>
      </c>
      <c r="W39" s="51">
        <v>144.6</v>
      </c>
      <c r="X39" s="51">
        <v>144.6</v>
      </c>
      <c r="Y39" s="51">
        <v>145</v>
      </c>
      <c r="Z39" s="51">
        <v>145</v>
      </c>
      <c r="AA39" s="51">
        <v>145</v>
      </c>
      <c r="AB39" s="51">
        <v>144.6</v>
      </c>
      <c r="AC39" s="51">
        <v>144.6</v>
      </c>
      <c r="AD39" s="51">
        <v>144.6</v>
      </c>
      <c r="AE39" s="51">
        <v>144.6</v>
      </c>
      <c r="AF39" s="51"/>
      <c r="AG39" s="59">
        <v>144</v>
      </c>
      <c r="AH39" s="54">
        <f t="shared" si="2"/>
        <v>146.69999999999999</v>
      </c>
      <c r="AI39" s="55">
        <f t="shared" si="3"/>
        <v>0</v>
      </c>
      <c r="AK39" s="56"/>
    </row>
    <row r="40" spans="1:88" x14ac:dyDescent="0.25">
      <c r="A40" s="62" t="s">
        <v>48</v>
      </c>
      <c r="B40" s="70">
        <v>69.5</v>
      </c>
      <c r="C40" s="70">
        <v>60</v>
      </c>
      <c r="D40" s="70">
        <v>60</v>
      </c>
      <c r="E40" s="70">
        <v>0</v>
      </c>
      <c r="F40" s="70">
        <v>35</v>
      </c>
      <c r="G40" s="70">
        <v>58.6</v>
      </c>
      <c r="H40" s="70">
        <v>60</v>
      </c>
      <c r="I40" s="70">
        <v>60</v>
      </c>
      <c r="J40" s="70">
        <v>70.3</v>
      </c>
      <c r="K40" s="70">
        <v>70.400000000000006</v>
      </c>
      <c r="L40" s="70">
        <v>71.3</v>
      </c>
      <c r="M40" s="70">
        <v>71.3</v>
      </c>
      <c r="N40" s="70">
        <v>71.3</v>
      </c>
      <c r="O40" s="70">
        <v>71.3</v>
      </c>
      <c r="P40" s="70">
        <v>71.3</v>
      </c>
      <c r="Q40" s="70">
        <v>71.3</v>
      </c>
      <c r="R40" s="70">
        <v>71.3</v>
      </c>
      <c r="S40" s="70">
        <v>71.3</v>
      </c>
      <c r="T40" s="70">
        <v>71.3</v>
      </c>
      <c r="U40" s="70">
        <v>71.3</v>
      </c>
      <c r="V40" s="70">
        <v>71.3</v>
      </c>
      <c r="W40" s="70">
        <v>71.3</v>
      </c>
      <c r="X40" s="70">
        <v>71.3</v>
      </c>
      <c r="Y40" s="70">
        <v>70.3</v>
      </c>
      <c r="Z40" s="70">
        <v>70.3</v>
      </c>
      <c r="AA40" s="70">
        <v>70.3</v>
      </c>
      <c r="AB40" s="70">
        <v>69.3</v>
      </c>
      <c r="AC40" s="70">
        <v>69.3</v>
      </c>
      <c r="AD40" s="70">
        <v>69.3</v>
      </c>
      <c r="AE40" s="70">
        <v>69.3</v>
      </c>
      <c r="AF40" s="70"/>
      <c r="AG40" s="63">
        <v>70</v>
      </c>
      <c r="AH40" s="54">
        <f t="shared" si="2"/>
        <v>71.3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66.8</v>
      </c>
      <c r="C41" s="70">
        <v>66.8</v>
      </c>
      <c r="D41" s="70">
        <v>66.8</v>
      </c>
      <c r="E41" s="70">
        <v>0</v>
      </c>
      <c r="F41" s="70">
        <v>57.4</v>
      </c>
      <c r="G41" s="70">
        <v>65</v>
      </c>
      <c r="H41" s="70">
        <v>65</v>
      </c>
      <c r="I41" s="70">
        <v>65</v>
      </c>
      <c r="J41" s="70">
        <v>65</v>
      </c>
      <c r="K41" s="70">
        <v>64.3</v>
      </c>
      <c r="L41" s="70">
        <v>64.400000000000006</v>
      </c>
      <c r="M41" s="70">
        <v>64.400000000000006</v>
      </c>
      <c r="N41" s="70">
        <v>64.400000000000006</v>
      </c>
      <c r="O41" s="70">
        <v>64.400000000000006</v>
      </c>
      <c r="P41" s="70">
        <v>65</v>
      </c>
      <c r="Q41" s="70">
        <v>65</v>
      </c>
      <c r="R41" s="70">
        <v>65</v>
      </c>
      <c r="S41" s="70">
        <v>65</v>
      </c>
      <c r="T41" s="70">
        <v>65</v>
      </c>
      <c r="U41" s="70">
        <v>65</v>
      </c>
      <c r="V41" s="70">
        <v>65</v>
      </c>
      <c r="W41" s="70">
        <v>65</v>
      </c>
      <c r="X41" s="70">
        <v>65</v>
      </c>
      <c r="Y41" s="70">
        <v>67.2</v>
      </c>
      <c r="Z41" s="70">
        <v>67.2</v>
      </c>
      <c r="AA41" s="70">
        <v>67.2</v>
      </c>
      <c r="AB41" s="70">
        <v>66.900000000000006</v>
      </c>
      <c r="AC41" s="70">
        <v>66.900000000000006</v>
      </c>
      <c r="AD41" s="70">
        <v>66.900000000000006</v>
      </c>
      <c r="AE41" s="70">
        <v>66.900000000000006</v>
      </c>
      <c r="AF41" s="70"/>
      <c r="AG41" s="63">
        <v>69</v>
      </c>
      <c r="AH41" s="54">
        <f t="shared" si="2"/>
        <v>67.2</v>
      </c>
      <c r="AI41" s="55">
        <f t="shared" si="3"/>
        <v>0</v>
      </c>
      <c r="AK41" s="56"/>
    </row>
    <row r="42" spans="1:88" x14ac:dyDescent="0.25">
      <c r="A42" s="62" t="s">
        <v>50</v>
      </c>
      <c r="B42" s="65">
        <v>51.1</v>
      </c>
      <c r="C42" s="65">
        <v>51.1</v>
      </c>
      <c r="D42" s="65">
        <v>60</v>
      </c>
      <c r="E42" s="65">
        <v>60</v>
      </c>
      <c r="F42" s="65">
        <v>61.2</v>
      </c>
      <c r="G42" s="65">
        <v>60.9</v>
      </c>
      <c r="H42" s="65">
        <v>61.2</v>
      </c>
      <c r="I42" s="65">
        <v>61.7</v>
      </c>
      <c r="J42" s="65">
        <v>61.7</v>
      </c>
      <c r="K42" s="65">
        <v>61.7</v>
      </c>
      <c r="L42" s="65">
        <v>61.7</v>
      </c>
      <c r="M42" s="65">
        <v>61.7</v>
      </c>
      <c r="N42" s="65">
        <v>61.7</v>
      </c>
      <c r="O42" s="65">
        <v>61.7</v>
      </c>
      <c r="P42" s="65">
        <v>58.5</v>
      </c>
      <c r="Q42" s="65">
        <v>58.5</v>
      </c>
      <c r="R42" s="65">
        <v>60.4</v>
      </c>
      <c r="S42" s="65">
        <v>60.4</v>
      </c>
      <c r="T42" s="65">
        <v>60.4</v>
      </c>
      <c r="U42" s="65">
        <v>60.4</v>
      </c>
      <c r="V42" s="65">
        <v>60.4</v>
      </c>
      <c r="W42" s="65">
        <v>60.4</v>
      </c>
      <c r="X42" s="65">
        <v>60.4</v>
      </c>
      <c r="Y42" s="70">
        <v>60.2</v>
      </c>
      <c r="Z42" s="70">
        <v>60.2</v>
      </c>
      <c r="AA42" s="70">
        <v>60.2</v>
      </c>
      <c r="AB42" s="65">
        <v>60</v>
      </c>
      <c r="AC42" s="65">
        <v>60</v>
      </c>
      <c r="AD42" s="65">
        <v>60</v>
      </c>
      <c r="AE42" s="65">
        <v>60</v>
      </c>
      <c r="AF42" s="65"/>
      <c r="AG42" s="63">
        <v>60</v>
      </c>
      <c r="AH42" s="54">
        <f t="shared" si="2"/>
        <v>61.7</v>
      </c>
      <c r="AI42" s="55">
        <f t="shared" si="3"/>
        <v>51.1</v>
      </c>
      <c r="AK42" s="56"/>
    </row>
    <row r="43" spans="1:88" x14ac:dyDescent="0.25">
      <c r="A43" s="62" t="s">
        <v>51</v>
      </c>
      <c r="B43" s="65">
        <v>27.4</v>
      </c>
      <c r="C43" s="65">
        <v>27.4</v>
      </c>
      <c r="D43" s="65">
        <v>27.4</v>
      </c>
      <c r="E43" s="65">
        <v>15</v>
      </c>
      <c r="F43" s="65">
        <v>15</v>
      </c>
      <c r="G43" s="65">
        <v>10</v>
      </c>
      <c r="H43" s="65">
        <v>10</v>
      </c>
      <c r="I43" s="65">
        <v>10</v>
      </c>
      <c r="J43" s="65">
        <v>20</v>
      </c>
      <c r="K43" s="65">
        <v>20</v>
      </c>
      <c r="L43" s="65">
        <v>25</v>
      </c>
      <c r="M43" s="65">
        <v>25</v>
      </c>
      <c r="N43" s="65">
        <v>30</v>
      </c>
      <c r="O43" s="65">
        <v>30</v>
      </c>
      <c r="P43" s="65">
        <v>30</v>
      </c>
      <c r="Q43" s="65">
        <v>30</v>
      </c>
      <c r="R43" s="65">
        <v>25.3</v>
      </c>
      <c r="S43" s="65">
        <v>25.3</v>
      </c>
      <c r="T43" s="65">
        <v>25.3</v>
      </c>
      <c r="U43" s="65">
        <v>25.3</v>
      </c>
      <c r="V43" s="65">
        <v>25.3</v>
      </c>
      <c r="W43" s="65">
        <v>0</v>
      </c>
      <c r="X43" s="65">
        <v>0</v>
      </c>
      <c r="Y43" s="70">
        <v>0</v>
      </c>
      <c r="Z43" s="70">
        <v>16.5</v>
      </c>
      <c r="AA43" s="70">
        <v>30</v>
      </c>
      <c r="AB43" s="65">
        <v>30</v>
      </c>
      <c r="AC43" s="65">
        <v>30</v>
      </c>
      <c r="AD43" s="65">
        <v>30</v>
      </c>
      <c r="AE43" s="65">
        <v>30</v>
      </c>
      <c r="AF43" s="65"/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65">
        <v>0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7</v>
      </c>
      <c r="N44" s="65">
        <v>7</v>
      </c>
      <c r="O44" s="65">
        <v>7</v>
      </c>
      <c r="P44" s="65">
        <v>7</v>
      </c>
      <c r="Q44" s="65">
        <v>7</v>
      </c>
      <c r="R44" s="65">
        <v>7</v>
      </c>
      <c r="S44" s="65">
        <v>7</v>
      </c>
      <c r="T44" s="65">
        <v>7</v>
      </c>
      <c r="U44" s="65">
        <v>7</v>
      </c>
      <c r="V44" s="65">
        <v>7</v>
      </c>
      <c r="W44" s="65">
        <v>7</v>
      </c>
      <c r="X44" s="65">
        <v>7</v>
      </c>
      <c r="Y44" s="51">
        <v>7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70"/>
      <c r="AG44" s="63">
        <v>25</v>
      </c>
      <c r="AH44" s="54">
        <f t="shared" si="2"/>
        <v>7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14.7</v>
      </c>
      <c r="C45" s="70">
        <v>14.7</v>
      </c>
      <c r="D45" s="70">
        <v>14.7</v>
      </c>
      <c r="E45" s="70">
        <v>14.7</v>
      </c>
      <c r="F45" s="70">
        <v>14.7</v>
      </c>
      <c r="G45" s="70">
        <v>17</v>
      </c>
      <c r="H45" s="70">
        <v>17</v>
      </c>
      <c r="I45" s="70">
        <v>17</v>
      </c>
      <c r="J45" s="70">
        <v>17</v>
      </c>
      <c r="K45" s="70">
        <v>17</v>
      </c>
      <c r="L45" s="70">
        <v>17</v>
      </c>
      <c r="M45" s="70">
        <v>17</v>
      </c>
      <c r="N45" s="70">
        <v>17</v>
      </c>
      <c r="O45" s="70">
        <v>17</v>
      </c>
      <c r="P45" s="70">
        <v>17</v>
      </c>
      <c r="Q45" s="70">
        <v>17</v>
      </c>
      <c r="R45" s="70">
        <v>17</v>
      </c>
      <c r="S45" s="70">
        <v>17</v>
      </c>
      <c r="T45" s="70">
        <v>17</v>
      </c>
      <c r="U45" s="70">
        <v>17</v>
      </c>
      <c r="V45" s="70">
        <v>17</v>
      </c>
      <c r="W45" s="70">
        <v>17</v>
      </c>
      <c r="X45" s="70">
        <v>17</v>
      </c>
      <c r="Y45" s="70">
        <v>17</v>
      </c>
      <c r="Z45" s="70">
        <v>17</v>
      </c>
      <c r="AA45" s="70">
        <v>17</v>
      </c>
      <c r="AB45" s="70">
        <v>17</v>
      </c>
      <c r="AC45" s="70">
        <v>17</v>
      </c>
      <c r="AD45" s="70">
        <v>17</v>
      </c>
      <c r="AE45" s="70">
        <v>17</v>
      </c>
      <c r="AF45" s="70"/>
      <c r="AG45" s="63">
        <v>24</v>
      </c>
      <c r="AH45" s="54">
        <f t="shared" si="2"/>
        <v>17</v>
      </c>
      <c r="AI45" s="55">
        <f t="shared" si="3"/>
        <v>14.7</v>
      </c>
      <c r="AK45" s="56"/>
    </row>
    <row r="46" spans="1:88" x14ac:dyDescent="0.25">
      <c r="A46" s="62" t="s">
        <v>54</v>
      </c>
      <c r="B46" s="70">
        <v>2</v>
      </c>
      <c r="C46" s="70">
        <v>2</v>
      </c>
      <c r="D46" s="70">
        <v>2</v>
      </c>
      <c r="E46" s="70">
        <v>2</v>
      </c>
      <c r="F46" s="70">
        <v>2</v>
      </c>
      <c r="G46" s="70">
        <v>2</v>
      </c>
      <c r="H46" s="70">
        <v>2</v>
      </c>
      <c r="I46" s="70">
        <v>2</v>
      </c>
      <c r="J46" s="70">
        <v>2</v>
      </c>
      <c r="K46" s="70">
        <v>2</v>
      </c>
      <c r="L46" s="70">
        <v>2</v>
      </c>
      <c r="M46" s="70">
        <v>2</v>
      </c>
      <c r="N46" s="70">
        <v>2</v>
      </c>
      <c r="O46" s="70">
        <v>2</v>
      </c>
      <c r="P46" s="70">
        <v>2</v>
      </c>
      <c r="Q46" s="70">
        <v>2</v>
      </c>
      <c r="R46" s="70">
        <v>2</v>
      </c>
      <c r="S46" s="70">
        <v>2</v>
      </c>
      <c r="T46" s="70">
        <v>2</v>
      </c>
      <c r="U46" s="70">
        <v>2</v>
      </c>
      <c r="V46" s="70">
        <v>2</v>
      </c>
      <c r="W46" s="70">
        <v>2</v>
      </c>
      <c r="X46" s="70">
        <v>2</v>
      </c>
      <c r="Y46" s="70">
        <v>2</v>
      </c>
      <c r="Z46" s="70">
        <v>2</v>
      </c>
      <c r="AA46" s="70">
        <v>2</v>
      </c>
      <c r="AB46" s="70">
        <v>2</v>
      </c>
      <c r="AC46" s="70">
        <v>2</v>
      </c>
      <c r="AD46" s="70">
        <v>2</v>
      </c>
      <c r="AE46" s="70">
        <v>2</v>
      </c>
      <c r="AF46" s="70"/>
      <c r="AG46" s="63">
        <v>15</v>
      </c>
      <c r="AH46" s="54">
        <f t="shared" si="2"/>
        <v>2</v>
      </c>
      <c r="AI46" s="55">
        <f t="shared" si="3"/>
        <v>2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13.6</v>
      </c>
      <c r="C47" s="70">
        <v>13.6</v>
      </c>
      <c r="D47" s="70">
        <v>13.6</v>
      </c>
      <c r="E47" s="70">
        <v>13.6</v>
      </c>
      <c r="F47" s="70">
        <v>13.6</v>
      </c>
      <c r="G47" s="70">
        <v>13.5</v>
      </c>
      <c r="H47" s="70">
        <v>13.5</v>
      </c>
      <c r="I47" s="70">
        <v>13.5</v>
      </c>
      <c r="J47" s="70">
        <v>13.5</v>
      </c>
      <c r="K47" s="70">
        <v>13.5</v>
      </c>
      <c r="L47" s="70">
        <v>13.5</v>
      </c>
      <c r="M47" s="70">
        <v>13.5</v>
      </c>
      <c r="N47" s="70">
        <v>13.5</v>
      </c>
      <c r="O47" s="70">
        <v>13.5</v>
      </c>
      <c r="P47" s="70">
        <v>13.5</v>
      </c>
      <c r="Q47" s="70">
        <v>13.5</v>
      </c>
      <c r="R47" s="70">
        <v>13.5</v>
      </c>
      <c r="S47" s="70">
        <v>13.5</v>
      </c>
      <c r="T47" s="70">
        <v>13.5</v>
      </c>
      <c r="U47" s="70">
        <v>13.5</v>
      </c>
      <c r="V47" s="70">
        <v>13.5</v>
      </c>
      <c r="W47" s="70">
        <v>13.5</v>
      </c>
      <c r="X47" s="70">
        <v>13.5</v>
      </c>
      <c r="Y47" s="70">
        <v>13.5</v>
      </c>
      <c r="Z47" s="70">
        <v>13.5</v>
      </c>
      <c r="AA47" s="70">
        <v>13.5</v>
      </c>
      <c r="AB47" s="70">
        <v>13.5</v>
      </c>
      <c r="AC47" s="70">
        <v>13.5</v>
      </c>
      <c r="AD47" s="70">
        <v>13.5</v>
      </c>
      <c r="AE47" s="70">
        <v>13.5</v>
      </c>
      <c r="AF47" s="70"/>
      <c r="AG47" s="63">
        <v>14.1</v>
      </c>
      <c r="AH47" s="54">
        <f t="shared" si="2"/>
        <v>13.6</v>
      </c>
      <c r="AI47" s="55">
        <f t="shared" si="3"/>
        <v>13.5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12.9</v>
      </c>
      <c r="C48" s="70">
        <v>12.9</v>
      </c>
      <c r="D48" s="70">
        <v>12.9</v>
      </c>
      <c r="E48" s="70">
        <v>0</v>
      </c>
      <c r="F48" s="70">
        <v>0</v>
      </c>
      <c r="G48" s="70">
        <v>0</v>
      </c>
      <c r="H48" s="70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11</v>
      </c>
      <c r="T48" s="70">
        <v>11</v>
      </c>
      <c r="U48" s="70">
        <v>11</v>
      </c>
      <c r="V48" s="70">
        <v>11</v>
      </c>
      <c r="W48" s="70">
        <v>11</v>
      </c>
      <c r="X48" s="70">
        <v>11</v>
      </c>
      <c r="Y48" s="70">
        <v>11</v>
      </c>
      <c r="Z48" s="70">
        <v>11</v>
      </c>
      <c r="AA48" s="70">
        <v>11</v>
      </c>
      <c r="AB48" s="70">
        <v>11</v>
      </c>
      <c r="AC48" s="70">
        <v>11</v>
      </c>
      <c r="AD48" s="70">
        <v>11</v>
      </c>
      <c r="AE48" s="70">
        <v>11</v>
      </c>
      <c r="AF48" s="70"/>
      <c r="AG48" s="63">
        <v>14</v>
      </c>
      <c r="AH48" s="54">
        <f t="shared" si="2"/>
        <v>12.9</v>
      </c>
      <c r="AI48" s="55">
        <f t="shared" si="3"/>
        <v>0</v>
      </c>
      <c r="AK48" s="56"/>
    </row>
    <row r="49" spans="1:37" x14ac:dyDescent="0.25">
      <c r="A49" s="62" t="s">
        <v>57</v>
      </c>
      <c r="B49" s="70">
        <v>6.3</v>
      </c>
      <c r="C49" s="70">
        <v>6.3</v>
      </c>
      <c r="D49" s="70">
        <v>6.3</v>
      </c>
      <c r="E49" s="70">
        <v>6.3</v>
      </c>
      <c r="F49" s="70">
        <v>6.3</v>
      </c>
      <c r="G49" s="70">
        <v>6.5</v>
      </c>
      <c r="H49" s="70">
        <v>6.5</v>
      </c>
      <c r="I49" s="70">
        <v>6.5</v>
      </c>
      <c r="J49" s="70">
        <v>6.5</v>
      </c>
      <c r="K49" s="70">
        <v>6.5</v>
      </c>
      <c r="L49" s="70">
        <v>6.5</v>
      </c>
      <c r="M49" s="70">
        <v>6.5</v>
      </c>
      <c r="N49" s="70">
        <v>6.5</v>
      </c>
      <c r="O49" s="70">
        <v>6.5</v>
      </c>
      <c r="P49" s="70">
        <v>6.5</v>
      </c>
      <c r="Q49" s="70">
        <v>6.5</v>
      </c>
      <c r="R49" s="70">
        <v>6.5</v>
      </c>
      <c r="S49" s="70">
        <v>6.5</v>
      </c>
      <c r="T49" s="70">
        <v>6.5</v>
      </c>
      <c r="U49" s="70">
        <v>6.5</v>
      </c>
      <c r="V49" s="70">
        <v>6.5</v>
      </c>
      <c r="W49" s="70">
        <v>6.5</v>
      </c>
      <c r="X49" s="70">
        <v>6.5</v>
      </c>
      <c r="Y49" s="70">
        <v>6.5</v>
      </c>
      <c r="Z49" s="70">
        <v>6.5</v>
      </c>
      <c r="AA49" s="70">
        <v>6.5</v>
      </c>
      <c r="AB49" s="70">
        <v>6.5</v>
      </c>
      <c r="AC49" s="70">
        <v>6.5</v>
      </c>
      <c r="AD49" s="70">
        <v>6.5</v>
      </c>
      <c r="AE49" s="70">
        <v>6.5</v>
      </c>
      <c r="AF49" s="70"/>
      <c r="AG49" s="63">
        <v>10.050000000000001</v>
      </c>
      <c r="AH49" s="54">
        <f t="shared" si="2"/>
        <v>6.5</v>
      </c>
      <c r="AI49" s="55">
        <f t="shared" si="3"/>
        <v>6.3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70">
        <v>3.1</v>
      </c>
      <c r="R50" s="70">
        <v>3.1</v>
      </c>
      <c r="S50" s="70">
        <v>3.1</v>
      </c>
      <c r="T50" s="70">
        <v>3.1</v>
      </c>
      <c r="U50" s="70">
        <v>3.1</v>
      </c>
      <c r="V50" s="70">
        <v>3.1</v>
      </c>
      <c r="W50" s="70">
        <v>3.1</v>
      </c>
      <c r="X50" s="70">
        <v>3.1</v>
      </c>
      <c r="Y50" s="70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70"/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v>427.34000000000003</v>
      </c>
      <c r="C52" s="69">
        <f t="shared" ref="C52:AF52" si="6">SUM(C39:C51)</f>
        <v>403.84000000000003</v>
      </c>
      <c r="D52" s="69">
        <f t="shared" si="6"/>
        <v>412.74</v>
      </c>
      <c r="E52" s="69">
        <f t="shared" si="6"/>
        <v>118.24</v>
      </c>
      <c r="F52" s="69">
        <f t="shared" si="6"/>
        <v>358.54000000000008</v>
      </c>
      <c r="G52" s="69">
        <f t="shared" si="6"/>
        <v>386.64000000000004</v>
      </c>
      <c r="H52" s="69">
        <f t="shared" si="6"/>
        <v>388.04</v>
      </c>
      <c r="I52" s="69">
        <f t="shared" si="6"/>
        <v>389.04</v>
      </c>
      <c r="J52" s="69">
        <f t="shared" si="6"/>
        <v>409.14000000000004</v>
      </c>
      <c r="K52" s="69">
        <f t="shared" si="6"/>
        <v>408.44000000000005</v>
      </c>
      <c r="L52" s="69">
        <f t="shared" si="6"/>
        <v>414.34000000000003</v>
      </c>
      <c r="M52" s="69">
        <f t="shared" si="6"/>
        <v>421.34000000000003</v>
      </c>
      <c r="N52" s="69">
        <f t="shared" si="6"/>
        <v>426.34000000000003</v>
      </c>
      <c r="O52" s="69">
        <f t="shared" si="6"/>
        <v>426.34000000000003</v>
      </c>
      <c r="P52" s="69">
        <f t="shared" si="6"/>
        <v>423.74000000000007</v>
      </c>
      <c r="Q52" s="69">
        <f t="shared" si="6"/>
        <v>422.24000000000007</v>
      </c>
      <c r="R52" s="69">
        <f t="shared" si="6"/>
        <v>419.44000000000005</v>
      </c>
      <c r="S52" s="69">
        <f t="shared" si="6"/>
        <v>430.44000000000005</v>
      </c>
      <c r="T52" s="69">
        <f t="shared" si="6"/>
        <v>430.24</v>
      </c>
      <c r="U52" s="69">
        <f t="shared" si="6"/>
        <v>430.24</v>
      </c>
      <c r="V52" s="69">
        <f t="shared" si="6"/>
        <v>430.24</v>
      </c>
      <c r="W52" s="69">
        <f t="shared" si="6"/>
        <v>404.94</v>
      </c>
      <c r="X52" s="69">
        <f>SUM(X39:X51)</f>
        <v>404.94</v>
      </c>
      <c r="Y52" s="69">
        <f t="shared" si="6"/>
        <v>406.34000000000003</v>
      </c>
      <c r="Z52" s="69">
        <f t="shared" si="6"/>
        <v>415.84000000000003</v>
      </c>
      <c r="AA52" s="69">
        <f t="shared" si="6"/>
        <v>429.34000000000003</v>
      </c>
      <c r="AB52" s="69">
        <f t="shared" si="6"/>
        <v>427.44</v>
      </c>
      <c r="AC52" s="69">
        <f t="shared" si="6"/>
        <v>427.44</v>
      </c>
      <c r="AD52" s="69">
        <f t="shared" si="6"/>
        <v>427.44</v>
      </c>
      <c r="AE52" s="69">
        <f t="shared" si="6"/>
        <v>427.44</v>
      </c>
      <c r="AF52" s="69">
        <f t="shared" si="6"/>
        <v>3.54</v>
      </c>
      <c r="AG52" s="74">
        <f>SUM(AG39:AG51)</f>
        <v>489.91</v>
      </c>
      <c r="AH52" s="54">
        <f t="shared" si="2"/>
        <v>430.44000000000005</v>
      </c>
      <c r="AI52" s="55">
        <f t="shared" si="3"/>
        <v>3.54</v>
      </c>
      <c r="AK52" s="56"/>
    </row>
    <row r="53" spans="1:37" x14ac:dyDescent="0.25">
      <c r="A53" s="57" t="s">
        <v>61</v>
      </c>
      <c r="B53" s="51">
        <v>14</v>
      </c>
      <c r="C53" s="51">
        <v>0</v>
      </c>
      <c r="D53" s="51">
        <v>20</v>
      </c>
      <c r="E53" s="51">
        <v>30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10</v>
      </c>
      <c r="M53" s="51">
        <v>34</v>
      </c>
      <c r="N53" s="51">
        <v>28.2</v>
      </c>
      <c r="O53" s="51">
        <v>40</v>
      </c>
      <c r="P53" s="51">
        <v>40</v>
      </c>
      <c r="Q53" s="51">
        <v>59.5</v>
      </c>
      <c r="R53" s="51">
        <v>41</v>
      </c>
      <c r="S53" s="51">
        <v>58.3</v>
      </c>
      <c r="T53" s="51">
        <v>44.9</v>
      </c>
      <c r="U53" s="51">
        <v>50</v>
      </c>
      <c r="V53" s="51">
        <v>40</v>
      </c>
      <c r="W53" s="51">
        <v>40</v>
      </c>
      <c r="X53" s="51">
        <v>40</v>
      </c>
      <c r="Y53" s="51">
        <v>40</v>
      </c>
      <c r="Z53" s="51">
        <v>50</v>
      </c>
      <c r="AA53" s="51">
        <v>60</v>
      </c>
      <c r="AB53" s="51">
        <v>60</v>
      </c>
      <c r="AC53" s="51">
        <v>60</v>
      </c>
      <c r="AD53" s="51">
        <v>50</v>
      </c>
      <c r="AE53" s="51">
        <v>50</v>
      </c>
      <c r="AF53" s="51"/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8</v>
      </c>
      <c r="C54" s="70">
        <v>0</v>
      </c>
      <c r="D54" s="70">
        <v>15.7</v>
      </c>
      <c r="E54" s="70">
        <v>15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4</v>
      </c>
      <c r="M54" s="70">
        <v>15.4</v>
      </c>
      <c r="N54" s="70">
        <v>12.7</v>
      </c>
      <c r="O54" s="70">
        <v>17.399999999999999</v>
      </c>
      <c r="P54" s="70">
        <v>28.2</v>
      </c>
      <c r="Q54" s="70">
        <v>31.3</v>
      </c>
      <c r="R54" s="70">
        <v>19.399999999999999</v>
      </c>
      <c r="S54" s="70">
        <v>25</v>
      </c>
      <c r="T54" s="70">
        <v>29.9</v>
      </c>
      <c r="U54" s="70">
        <v>20.399999999999999</v>
      </c>
      <c r="V54" s="70">
        <v>19.100000000000001</v>
      </c>
      <c r="W54" s="70">
        <v>18.100000000000001</v>
      </c>
      <c r="X54" s="70">
        <v>18.100000000000001</v>
      </c>
      <c r="Y54" s="70">
        <v>18.100000000000001</v>
      </c>
      <c r="Z54" s="70">
        <v>25.3</v>
      </c>
      <c r="AA54" s="70">
        <v>30</v>
      </c>
      <c r="AB54" s="70">
        <v>31.2</v>
      </c>
      <c r="AC54" s="70">
        <v>31.2</v>
      </c>
      <c r="AD54" s="70">
        <v>31.2</v>
      </c>
      <c r="AE54" s="70">
        <v>31.2</v>
      </c>
      <c r="AF54" s="70"/>
      <c r="AG54" s="63">
        <v>32</v>
      </c>
      <c r="AH54" s="54">
        <f t="shared" si="2"/>
        <v>31.3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3.6</v>
      </c>
      <c r="C55" s="75">
        <v>0</v>
      </c>
      <c r="D55" s="75">
        <v>5.7</v>
      </c>
      <c r="E55" s="75">
        <v>6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1.4</v>
      </c>
      <c r="M55" s="75">
        <v>5.6</v>
      </c>
      <c r="N55" s="75">
        <v>4.5999999999999996</v>
      </c>
      <c r="O55" s="75">
        <v>6.6</v>
      </c>
      <c r="P55" s="75">
        <v>10.3</v>
      </c>
      <c r="Q55" s="75">
        <v>11.4</v>
      </c>
      <c r="R55" s="75">
        <v>7.1</v>
      </c>
      <c r="S55" s="75">
        <v>9.1</v>
      </c>
      <c r="T55" s="75">
        <v>10.9</v>
      </c>
      <c r="U55" s="75">
        <v>7.3</v>
      </c>
      <c r="V55" s="75">
        <v>6.9</v>
      </c>
      <c r="W55" s="75">
        <v>6.6</v>
      </c>
      <c r="X55" s="75">
        <v>6.6</v>
      </c>
      <c r="Y55" s="75">
        <v>6.6</v>
      </c>
      <c r="Z55" s="75">
        <v>9.1999999999999993</v>
      </c>
      <c r="AA55" s="75">
        <v>11</v>
      </c>
      <c r="AB55" s="75">
        <v>11.4</v>
      </c>
      <c r="AC55" s="75">
        <v>11.4</v>
      </c>
      <c r="AD55" s="75">
        <v>11.4</v>
      </c>
      <c r="AE55" s="75">
        <v>11.4</v>
      </c>
      <c r="AF55" s="75"/>
      <c r="AG55" s="76">
        <v>14</v>
      </c>
      <c r="AH55" s="54">
        <f t="shared" si="2"/>
        <v>11.4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v>22.6</v>
      </c>
      <c r="C56" s="69">
        <f t="shared" ref="C56:AF56" si="7">SUM(C53:C55)</f>
        <v>0</v>
      </c>
      <c r="D56" s="69">
        <f t="shared" si="7"/>
        <v>41.400000000000006</v>
      </c>
      <c r="E56" s="69">
        <f t="shared" si="7"/>
        <v>51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15.4</v>
      </c>
      <c r="M56" s="69">
        <f t="shared" si="7"/>
        <v>55</v>
      </c>
      <c r="N56" s="69">
        <f t="shared" si="7"/>
        <v>45.5</v>
      </c>
      <c r="O56" s="69">
        <f t="shared" si="7"/>
        <v>64</v>
      </c>
      <c r="P56" s="69">
        <f t="shared" si="7"/>
        <v>78.5</v>
      </c>
      <c r="Q56" s="69">
        <f t="shared" si="7"/>
        <v>102.2</v>
      </c>
      <c r="R56" s="69">
        <f t="shared" si="7"/>
        <v>67.5</v>
      </c>
      <c r="S56" s="69">
        <f t="shared" si="7"/>
        <v>92.399999999999991</v>
      </c>
      <c r="T56" s="69">
        <f t="shared" si="7"/>
        <v>85.7</v>
      </c>
      <c r="U56" s="69">
        <f t="shared" si="7"/>
        <v>77.7</v>
      </c>
      <c r="V56" s="69">
        <f t="shared" si="7"/>
        <v>66</v>
      </c>
      <c r="W56" s="69">
        <f t="shared" si="7"/>
        <v>64.7</v>
      </c>
      <c r="X56" s="69">
        <f t="shared" si="7"/>
        <v>64.7</v>
      </c>
      <c r="Y56" s="69">
        <f t="shared" si="7"/>
        <v>64.7</v>
      </c>
      <c r="Z56" s="69">
        <f t="shared" si="7"/>
        <v>84.5</v>
      </c>
      <c r="AA56" s="69">
        <f t="shared" si="7"/>
        <v>101</v>
      </c>
      <c r="AB56" s="69">
        <f t="shared" si="7"/>
        <v>102.60000000000001</v>
      </c>
      <c r="AC56" s="69">
        <f t="shared" si="7"/>
        <v>102.60000000000001</v>
      </c>
      <c r="AD56" s="69">
        <f t="shared" si="7"/>
        <v>92.600000000000009</v>
      </c>
      <c r="AE56" s="69">
        <f t="shared" si="7"/>
        <v>92.600000000000009</v>
      </c>
      <c r="AF56" s="69">
        <f t="shared" si="7"/>
        <v>0</v>
      </c>
      <c r="AG56" s="74">
        <f>SUM(AG53:AG55)</f>
        <v>106</v>
      </c>
      <c r="AH56" s="54">
        <f t="shared" si="2"/>
        <v>102.60000000000001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53.5</v>
      </c>
      <c r="C57" s="51">
        <v>59.3</v>
      </c>
      <c r="D57" s="51">
        <v>59.3</v>
      </c>
      <c r="E57" s="51">
        <v>60</v>
      </c>
      <c r="F57" s="51">
        <v>58</v>
      </c>
      <c r="G57" s="51">
        <v>60</v>
      </c>
      <c r="H57" s="51">
        <v>60</v>
      </c>
      <c r="I57" s="51">
        <v>50</v>
      </c>
      <c r="J57" s="51">
        <v>42</v>
      </c>
      <c r="K57" s="51">
        <v>73.2</v>
      </c>
      <c r="L57" s="51">
        <v>69</v>
      </c>
      <c r="M57" s="51">
        <v>68.91</v>
      </c>
      <c r="N57" s="51">
        <v>68.91</v>
      </c>
      <c r="O57" s="51">
        <v>67</v>
      </c>
      <c r="P57" s="51">
        <v>74.2</v>
      </c>
      <c r="Q57" s="51">
        <v>67.3</v>
      </c>
      <c r="R57" s="51">
        <v>69.53</v>
      </c>
      <c r="S57" s="51">
        <v>71.2</v>
      </c>
      <c r="T57" s="51">
        <v>73.900000000000006</v>
      </c>
      <c r="U57" s="51">
        <v>73</v>
      </c>
      <c r="V57" s="51">
        <v>76.3</v>
      </c>
      <c r="W57" s="51">
        <v>74.5</v>
      </c>
      <c r="X57" s="51">
        <v>66</v>
      </c>
      <c r="Y57" s="51">
        <v>75.400000000000006</v>
      </c>
      <c r="Z57" s="51">
        <v>57.4</v>
      </c>
      <c r="AA57" s="51">
        <v>77.290000000000006</v>
      </c>
      <c r="AB57" s="51">
        <v>79.2</v>
      </c>
      <c r="AC57" s="51">
        <v>78</v>
      </c>
      <c r="AD57" s="51">
        <v>0</v>
      </c>
      <c r="AE57" s="51">
        <v>76</v>
      </c>
      <c r="AF57" s="51"/>
      <c r="AG57" s="59"/>
      <c r="AH57" s="54">
        <f t="shared" si="2"/>
        <v>79.2</v>
      </c>
      <c r="AI57" s="55">
        <f t="shared" si="3"/>
        <v>0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/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-302</v>
      </c>
      <c r="C59" s="70">
        <v>-280</v>
      </c>
      <c r="D59" s="70">
        <v>-268</v>
      </c>
      <c r="E59" s="70">
        <v>-250</v>
      </c>
      <c r="F59" s="70">
        <v>-275</v>
      </c>
      <c r="G59" s="70">
        <v>-287</v>
      </c>
      <c r="H59" s="70">
        <v>-290</v>
      </c>
      <c r="I59" s="70">
        <v>-300</v>
      </c>
      <c r="J59" s="70">
        <v>-270</v>
      </c>
      <c r="K59" s="70">
        <v>-250</v>
      </c>
      <c r="L59" s="70">
        <v>-250</v>
      </c>
      <c r="M59" s="70">
        <v>-280</v>
      </c>
      <c r="N59" s="70">
        <v>-258</v>
      </c>
      <c r="O59" s="70">
        <v>-305</v>
      </c>
      <c r="P59" s="70">
        <v>-248</v>
      </c>
      <c r="Q59" s="70">
        <v>-289</v>
      </c>
      <c r="R59" s="70">
        <v>-276</v>
      </c>
      <c r="S59" s="70">
        <v>-276</v>
      </c>
      <c r="T59" s="70">
        <v>-272.3</v>
      </c>
      <c r="U59" s="70">
        <v>-246</v>
      </c>
      <c r="V59" s="70">
        <v>-253</v>
      </c>
      <c r="W59" s="70">
        <v>-276</v>
      </c>
      <c r="X59" s="70">
        <v>-271</v>
      </c>
      <c r="Y59" s="70">
        <v>-251.9</v>
      </c>
      <c r="Z59" s="70">
        <v>-155.30000000000001</v>
      </c>
      <c r="AA59" s="70">
        <v>-163.80000000000001</v>
      </c>
      <c r="AB59" s="70">
        <v>-170.2</v>
      </c>
      <c r="AC59" s="70">
        <v>-190</v>
      </c>
      <c r="AD59" s="70">
        <v>-240</v>
      </c>
      <c r="AE59" s="70">
        <v>-283</v>
      </c>
      <c r="AF59" s="70">
        <v>-260</v>
      </c>
      <c r="AG59" s="77"/>
      <c r="AH59" s="54">
        <f t="shared" si="2"/>
        <v>-155.30000000000001</v>
      </c>
      <c r="AI59" s="55">
        <f t="shared" si="3"/>
        <v>-305</v>
      </c>
      <c r="AK59" s="56"/>
    </row>
    <row r="60" spans="1:37" x14ac:dyDescent="0.25">
      <c r="A60" s="62" t="s">
        <v>68</v>
      </c>
      <c r="B60" s="78">
        <v>10</v>
      </c>
      <c r="C60" s="78">
        <v>10</v>
      </c>
      <c r="D60" s="78">
        <v>10</v>
      </c>
      <c r="E60" s="78">
        <v>10</v>
      </c>
      <c r="F60" s="78">
        <v>10</v>
      </c>
      <c r="G60" s="78">
        <v>20</v>
      </c>
      <c r="H60" s="78">
        <v>20</v>
      </c>
      <c r="I60" s="78">
        <v>20</v>
      </c>
      <c r="J60" s="78">
        <v>11</v>
      </c>
      <c r="K60" s="78">
        <v>11</v>
      </c>
      <c r="L60" s="78">
        <v>12</v>
      </c>
      <c r="M60" s="78">
        <v>12</v>
      </c>
      <c r="N60" s="78">
        <v>0</v>
      </c>
      <c r="O60" s="78">
        <v>0</v>
      </c>
      <c r="P60" s="78">
        <v>0</v>
      </c>
      <c r="Q60" s="78">
        <v>12</v>
      </c>
      <c r="R60" s="78">
        <v>12</v>
      </c>
      <c r="S60" s="78">
        <v>12</v>
      </c>
      <c r="T60" s="78">
        <v>12</v>
      </c>
      <c r="U60" s="78">
        <v>12</v>
      </c>
      <c r="V60" s="78">
        <v>12</v>
      </c>
      <c r="W60" s="78">
        <v>12</v>
      </c>
      <c r="X60" s="78">
        <v>12</v>
      </c>
      <c r="Y60" s="78">
        <v>12</v>
      </c>
      <c r="Z60" s="78">
        <v>12</v>
      </c>
      <c r="AA60" s="78">
        <v>12</v>
      </c>
      <c r="AB60" s="78">
        <v>14</v>
      </c>
      <c r="AC60" s="78">
        <v>14</v>
      </c>
      <c r="AD60" s="78">
        <v>14</v>
      </c>
      <c r="AE60" s="78">
        <v>14</v>
      </c>
      <c r="AF60" s="78"/>
      <c r="AG60" s="77"/>
      <c r="AH60" s="54">
        <f t="shared" si="2"/>
        <v>20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/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4.5</v>
      </c>
      <c r="C62" s="79">
        <v>4.5</v>
      </c>
      <c r="D62" s="79">
        <v>4.5</v>
      </c>
      <c r="E62" s="79">
        <v>4.5</v>
      </c>
      <c r="F62" s="79">
        <v>4.5</v>
      </c>
      <c r="G62" s="79">
        <v>4.5</v>
      </c>
      <c r="H62" s="79">
        <v>4.5</v>
      </c>
      <c r="I62" s="79">
        <v>4.5</v>
      </c>
      <c r="J62" s="79">
        <v>4.5</v>
      </c>
      <c r="K62" s="79">
        <v>4.5</v>
      </c>
      <c r="L62" s="79">
        <v>4.5</v>
      </c>
      <c r="M62" s="79">
        <v>4.5</v>
      </c>
      <c r="N62" s="79">
        <v>4.5</v>
      </c>
      <c r="O62" s="79">
        <v>4.5</v>
      </c>
      <c r="P62" s="79">
        <v>4.5</v>
      </c>
      <c r="Q62" s="79">
        <v>4.5</v>
      </c>
      <c r="R62" s="79">
        <v>4.5</v>
      </c>
      <c r="S62" s="79">
        <v>4.5</v>
      </c>
      <c r="T62" s="79">
        <v>4.5</v>
      </c>
      <c r="U62" s="79">
        <v>4.5</v>
      </c>
      <c r="V62" s="79">
        <v>4.5</v>
      </c>
      <c r="W62" s="79">
        <v>4.5</v>
      </c>
      <c r="X62" s="79">
        <v>4.5</v>
      </c>
      <c r="Y62" s="79">
        <v>4.5</v>
      </c>
      <c r="Z62" s="79">
        <v>4.5</v>
      </c>
      <c r="AA62" s="79">
        <v>4.5</v>
      </c>
      <c r="AB62" s="79">
        <v>4.5</v>
      </c>
      <c r="AC62" s="79">
        <v>4.5</v>
      </c>
      <c r="AD62" s="79">
        <v>4.5</v>
      </c>
      <c r="AE62" s="79">
        <v>4.5</v>
      </c>
      <c r="AF62" s="79"/>
      <c r="AG62" s="77"/>
      <c r="AH62" s="54">
        <f t="shared" si="2"/>
        <v>4.5</v>
      </c>
      <c r="AI62" s="55">
        <f t="shared" si="3"/>
        <v>4.5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/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/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/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/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/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v>-216</v>
      </c>
      <c r="C68" s="69">
        <f t="shared" ref="C68:AF68" si="8">SUM(C57:C67)</f>
        <v>-206.2</v>
      </c>
      <c r="D68" s="69">
        <f t="shared" si="8"/>
        <v>-194.2</v>
      </c>
      <c r="E68" s="69">
        <f t="shared" si="8"/>
        <v>-175.5</v>
      </c>
      <c r="F68" s="69">
        <f t="shared" si="8"/>
        <v>-202.5</v>
      </c>
      <c r="G68" s="69">
        <f t="shared" si="8"/>
        <v>-202.5</v>
      </c>
      <c r="H68" s="69">
        <f t="shared" si="8"/>
        <v>-205.5</v>
      </c>
      <c r="I68" s="69">
        <f t="shared" si="8"/>
        <v>-225.5</v>
      </c>
      <c r="J68" s="69">
        <f t="shared" si="8"/>
        <v>-212.5</v>
      </c>
      <c r="K68" s="69">
        <f t="shared" si="8"/>
        <v>-161.30000000000001</v>
      </c>
      <c r="L68" s="69">
        <f t="shared" si="8"/>
        <v>-164.5</v>
      </c>
      <c r="M68" s="69">
        <f t="shared" si="8"/>
        <v>-194.59</v>
      </c>
      <c r="N68" s="69">
        <f t="shared" si="8"/>
        <v>-184.59</v>
      </c>
      <c r="O68" s="69">
        <f t="shared" si="8"/>
        <v>-233.5</v>
      </c>
      <c r="P68" s="69">
        <f t="shared" si="8"/>
        <v>-169.3</v>
      </c>
      <c r="Q68" s="69">
        <f t="shared" si="8"/>
        <v>-205.2</v>
      </c>
      <c r="R68" s="69">
        <f t="shared" si="8"/>
        <v>-189.97</v>
      </c>
      <c r="S68" s="69">
        <f t="shared" si="8"/>
        <v>-188.3</v>
      </c>
      <c r="T68" s="69">
        <f t="shared" si="8"/>
        <v>-181.9</v>
      </c>
      <c r="U68" s="69">
        <f t="shared" si="8"/>
        <v>-156.5</v>
      </c>
      <c r="V68" s="69">
        <f>SUM(V57:V67)</f>
        <v>-160.19999999999999</v>
      </c>
      <c r="W68" s="69">
        <f t="shared" si="8"/>
        <v>-185</v>
      </c>
      <c r="X68" s="69">
        <f t="shared" si="8"/>
        <v>-188.5</v>
      </c>
      <c r="Y68" s="69">
        <f t="shared" si="8"/>
        <v>-160</v>
      </c>
      <c r="Z68" s="69">
        <f t="shared" si="8"/>
        <v>-81.400000000000006</v>
      </c>
      <c r="AA68" s="69">
        <f t="shared" si="8"/>
        <v>-70.010000000000005</v>
      </c>
      <c r="AB68" s="69">
        <f t="shared" si="8"/>
        <v>-72.499999999999986</v>
      </c>
      <c r="AC68" s="69">
        <f t="shared" si="8"/>
        <v>-93.5</v>
      </c>
      <c r="AD68" s="69">
        <f t="shared" si="8"/>
        <v>-221.5</v>
      </c>
      <c r="AE68" s="69">
        <f t="shared" si="8"/>
        <v>-188.5</v>
      </c>
      <c r="AF68" s="69">
        <f t="shared" si="8"/>
        <v>-260</v>
      </c>
      <c r="AG68" s="74">
        <f>SUM(AG57:AG67)</f>
        <v>0</v>
      </c>
      <c r="AH68" s="54">
        <f t="shared" si="2"/>
        <v>-70.010000000000005</v>
      </c>
      <c r="AI68" s="55">
        <f t="shared" si="3"/>
        <v>-260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>
        <v>200</v>
      </c>
      <c r="F74" s="86">
        <v>60</v>
      </c>
      <c r="G74" s="86">
        <v>60</v>
      </c>
      <c r="H74" s="86">
        <v>40</v>
      </c>
      <c r="I74" s="86">
        <v>20</v>
      </c>
      <c r="J74" s="86">
        <v>10</v>
      </c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>
        <v>30</v>
      </c>
      <c r="X74" s="86">
        <v>30</v>
      </c>
      <c r="Y74" s="86">
        <v>30</v>
      </c>
      <c r="Z74" s="86">
        <v>20</v>
      </c>
      <c r="AA74" s="86">
        <v>20</v>
      </c>
      <c r="AB74" s="86">
        <v>20</v>
      </c>
      <c r="AC74" s="86"/>
      <c r="AD74" s="86"/>
      <c r="AE74" s="86"/>
      <c r="AF74" s="86"/>
      <c r="AG74" s="74"/>
      <c r="AH74" s="54">
        <f t="shared" si="2"/>
        <v>200</v>
      </c>
      <c r="AI74" s="55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v>1376.8400000000001</v>
      </c>
      <c r="C75" s="84">
        <f t="shared" ref="C75:AF75" si="10">C72+C68+C56+C52+C38+C74</f>
        <v>1351.5400000000002</v>
      </c>
      <c r="D75" s="84">
        <f t="shared" si="10"/>
        <v>1413.8400000000001</v>
      </c>
      <c r="E75" s="84">
        <f t="shared" si="10"/>
        <v>1212.1399999999999</v>
      </c>
      <c r="F75" s="84">
        <f t="shared" si="10"/>
        <v>1308.1399999999999</v>
      </c>
      <c r="G75" s="84">
        <f t="shared" si="10"/>
        <v>1306.24</v>
      </c>
      <c r="H75" s="84">
        <f t="shared" si="10"/>
        <v>1295.7399999999998</v>
      </c>
      <c r="I75" s="84">
        <f t="shared" si="10"/>
        <v>1267.7399999999998</v>
      </c>
      <c r="J75" s="84">
        <f t="shared" si="10"/>
        <v>1330.94</v>
      </c>
      <c r="K75" s="84">
        <f t="shared" si="10"/>
        <v>1394.5400000000002</v>
      </c>
      <c r="L75" s="84">
        <f t="shared" si="10"/>
        <v>1414.64</v>
      </c>
      <c r="M75" s="84">
        <f t="shared" si="10"/>
        <v>1431.15</v>
      </c>
      <c r="N75" s="84">
        <f t="shared" si="10"/>
        <v>1436.65</v>
      </c>
      <c r="O75" s="84">
        <f t="shared" si="10"/>
        <v>1406.2400000000002</v>
      </c>
      <c r="P75" s="84">
        <f t="shared" si="10"/>
        <v>1482.3400000000001</v>
      </c>
      <c r="Q75" s="84">
        <f t="shared" si="10"/>
        <v>1468.64</v>
      </c>
      <c r="R75" s="84">
        <f t="shared" si="10"/>
        <v>1446.3700000000001</v>
      </c>
      <c r="S75" s="84">
        <f t="shared" si="10"/>
        <v>1483.94</v>
      </c>
      <c r="T75" s="84">
        <f t="shared" si="10"/>
        <v>1472.44</v>
      </c>
      <c r="U75" s="84">
        <f t="shared" si="10"/>
        <v>1474.8400000000001</v>
      </c>
      <c r="V75" s="84">
        <f t="shared" si="10"/>
        <v>1449.44</v>
      </c>
      <c r="W75" s="84">
        <f t="shared" si="10"/>
        <v>1431.04</v>
      </c>
      <c r="X75" s="84">
        <f t="shared" si="10"/>
        <v>1463.8399999999997</v>
      </c>
      <c r="Y75" s="84">
        <f t="shared" si="10"/>
        <v>1468.7399999999998</v>
      </c>
      <c r="Z75" s="84">
        <f t="shared" si="10"/>
        <v>1541.54</v>
      </c>
      <c r="AA75" s="84">
        <f t="shared" si="10"/>
        <v>1602.9299999999998</v>
      </c>
      <c r="AB75" s="84">
        <f t="shared" si="10"/>
        <v>1621.6399999999999</v>
      </c>
      <c r="AC75" s="84">
        <f t="shared" si="10"/>
        <v>1580.6399999999999</v>
      </c>
      <c r="AD75" s="84">
        <f t="shared" si="10"/>
        <v>1466.6399999999999</v>
      </c>
      <c r="AE75" s="84">
        <f t="shared" si="10"/>
        <v>1499.6399999999999</v>
      </c>
      <c r="AF75" s="84">
        <f t="shared" si="10"/>
        <v>-256.45999999999998</v>
      </c>
      <c r="AG75" s="74">
        <f>AG72+AG68+AG56+AG52+AG38+AG74</f>
        <v>2144.14</v>
      </c>
      <c r="AH75" s="54">
        <f t="shared" si="2"/>
        <v>1621.6399999999999</v>
      </c>
      <c r="AI75" s="55">
        <f t="shared" si="3"/>
        <v>-256.45999999999998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v>2578.73</v>
      </c>
      <c r="C83" s="69">
        <f t="shared" ref="C83:AG83" si="14">SUM(C70:C82)</f>
        <v>2553.4300000000003</v>
      </c>
      <c r="D83" s="69">
        <f t="shared" si="14"/>
        <v>2615.73</v>
      </c>
      <c r="E83" s="69">
        <f t="shared" si="14"/>
        <v>2614.0299999999997</v>
      </c>
      <c r="F83" s="69">
        <f t="shared" si="14"/>
        <v>2570.0299999999997</v>
      </c>
      <c r="G83" s="69">
        <f t="shared" si="14"/>
        <v>2568.13</v>
      </c>
      <c r="H83" s="69">
        <f t="shared" si="14"/>
        <v>2537.6299999999997</v>
      </c>
      <c r="I83" s="69">
        <f t="shared" si="14"/>
        <v>2489.6299999999997</v>
      </c>
      <c r="J83" s="69">
        <f t="shared" si="14"/>
        <v>2542.83</v>
      </c>
      <c r="K83" s="69">
        <f t="shared" si="14"/>
        <v>2596.4300000000003</v>
      </c>
      <c r="L83" s="69">
        <f t="shared" si="14"/>
        <v>2616.5299999999997</v>
      </c>
      <c r="M83" s="69">
        <f t="shared" si="14"/>
        <v>2633.04</v>
      </c>
      <c r="N83" s="69">
        <f t="shared" si="14"/>
        <v>2638.54</v>
      </c>
      <c r="O83" s="69">
        <f t="shared" si="14"/>
        <v>2608.13</v>
      </c>
      <c r="P83" s="69">
        <f t="shared" si="14"/>
        <v>2684.23</v>
      </c>
      <c r="Q83" s="69">
        <f t="shared" si="14"/>
        <v>2670.5299999999997</v>
      </c>
      <c r="R83" s="69">
        <f t="shared" si="14"/>
        <v>2648.26</v>
      </c>
      <c r="S83" s="69">
        <f t="shared" si="14"/>
        <v>2685.83</v>
      </c>
      <c r="T83" s="69">
        <f t="shared" si="14"/>
        <v>2674.33</v>
      </c>
      <c r="U83" s="69">
        <f t="shared" si="14"/>
        <v>2676.73</v>
      </c>
      <c r="V83" s="69">
        <f t="shared" si="14"/>
        <v>2651.33</v>
      </c>
      <c r="W83" s="69">
        <f t="shared" si="14"/>
        <v>2662.93</v>
      </c>
      <c r="X83" s="69">
        <f t="shared" si="14"/>
        <v>2695.7299999999996</v>
      </c>
      <c r="Y83" s="69">
        <f t="shared" si="14"/>
        <v>2700.6299999999997</v>
      </c>
      <c r="Z83" s="69">
        <f t="shared" si="14"/>
        <v>2763.43</v>
      </c>
      <c r="AA83" s="69">
        <f t="shared" si="14"/>
        <v>2824.8199999999997</v>
      </c>
      <c r="AB83" s="69">
        <f t="shared" si="14"/>
        <v>2843.5299999999997</v>
      </c>
      <c r="AC83" s="69">
        <f t="shared" si="14"/>
        <v>2782.5299999999997</v>
      </c>
      <c r="AD83" s="69">
        <f t="shared" si="14"/>
        <v>2668.5299999999997</v>
      </c>
      <c r="AE83" s="69">
        <f t="shared" si="14"/>
        <v>2701.5299999999997</v>
      </c>
      <c r="AF83" s="69">
        <f t="shared" si="14"/>
        <v>945.42999999999984</v>
      </c>
      <c r="AG83" s="74">
        <f t="shared" si="14"/>
        <v>4360.08</v>
      </c>
      <c r="AH83" s="54">
        <f t="shared" si="11"/>
        <v>2843.5299999999997</v>
      </c>
      <c r="AI83" s="55">
        <f t="shared" si="12"/>
        <v>945.42999999999984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49.96</v>
      </c>
      <c r="C84" s="90">
        <v>50.03</v>
      </c>
      <c r="D84" s="90">
        <v>50.05</v>
      </c>
      <c r="E84" s="90"/>
      <c r="F84" s="90">
        <v>50.042999999999999</v>
      </c>
      <c r="G84" s="90">
        <v>50.021000000000001</v>
      </c>
      <c r="H84" s="90">
        <v>50.036999999999999</v>
      </c>
      <c r="I84" s="90">
        <v>50.024000000000001</v>
      </c>
      <c r="J84" s="90">
        <v>49.887</v>
      </c>
      <c r="K84" s="90">
        <v>49.929000000000002</v>
      </c>
      <c r="L84" s="90">
        <v>49.98</v>
      </c>
      <c r="M84" s="90">
        <v>50.018999999999998</v>
      </c>
      <c r="N84" s="90">
        <v>50.006</v>
      </c>
      <c r="O84" s="90">
        <v>50.033000000000001</v>
      </c>
      <c r="P84" s="90">
        <v>50.027999999999999</v>
      </c>
      <c r="Q84" s="90">
        <v>50</v>
      </c>
      <c r="R84" s="90">
        <v>49.99</v>
      </c>
      <c r="S84" s="90">
        <v>50</v>
      </c>
      <c r="T84" s="90">
        <v>49.954000000000001</v>
      </c>
      <c r="U84" s="90">
        <v>50.061999999999998</v>
      </c>
      <c r="V84" s="90">
        <v>50.01</v>
      </c>
      <c r="W84" s="90">
        <v>50.03</v>
      </c>
      <c r="X84" s="90">
        <v>49.94</v>
      </c>
      <c r="Y84" s="90">
        <v>50.058999999999997</v>
      </c>
      <c r="Z84" s="90">
        <v>50.000999999999998</v>
      </c>
      <c r="AA84" s="90">
        <v>50.055999999999997</v>
      </c>
      <c r="AB84" s="90">
        <v>50.003999999999998</v>
      </c>
      <c r="AC84" s="90"/>
      <c r="AD84" s="90"/>
      <c r="AE84" s="90"/>
      <c r="AF84" s="90"/>
      <c r="AG84" s="91"/>
      <c r="AH84" s="54">
        <f t="shared" si="11"/>
        <v>50.061999999999998</v>
      </c>
      <c r="AI84" s="55">
        <f t="shared" si="12"/>
        <v>49.887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122.4</v>
      </c>
      <c r="C85" s="70">
        <v>122.6</v>
      </c>
      <c r="D85" s="70">
        <v>123.8</v>
      </c>
      <c r="E85" s="70"/>
      <c r="F85" s="70">
        <v>123</v>
      </c>
      <c r="G85" s="70">
        <v>122.4</v>
      </c>
      <c r="H85" s="70">
        <v>122.6</v>
      </c>
      <c r="I85" s="70">
        <v>122.7</v>
      </c>
      <c r="J85" s="70">
        <v>122.4</v>
      </c>
      <c r="K85" s="70">
        <v>121.1</v>
      </c>
      <c r="L85" s="70">
        <v>121.9</v>
      </c>
      <c r="M85" s="70">
        <v>122.1</v>
      </c>
      <c r="N85" s="70">
        <v>120.5</v>
      </c>
      <c r="O85" s="70">
        <v>120.7</v>
      </c>
      <c r="P85" s="70">
        <v>119.6</v>
      </c>
      <c r="Q85" s="70">
        <v>121.4</v>
      </c>
      <c r="R85" s="70">
        <v>121.8</v>
      </c>
      <c r="S85" s="70">
        <v>121.7</v>
      </c>
      <c r="T85" s="70">
        <v>120.3</v>
      </c>
      <c r="U85" s="70">
        <v>121.3</v>
      </c>
      <c r="V85" s="70">
        <v>123.6</v>
      </c>
      <c r="W85" s="70">
        <v>124.2</v>
      </c>
      <c r="X85" s="70">
        <v>125.6</v>
      </c>
      <c r="Y85" s="70">
        <v>125.2</v>
      </c>
      <c r="Z85" s="70">
        <v>124.3</v>
      </c>
      <c r="AA85" s="70">
        <v>123.4</v>
      </c>
      <c r="AB85" s="70">
        <v>125.3</v>
      </c>
      <c r="AC85" s="70"/>
      <c r="AD85" s="70"/>
      <c r="AE85" s="70"/>
      <c r="AF85" s="70"/>
      <c r="AG85" s="93"/>
      <c r="AH85" s="54">
        <f t="shared" si="11"/>
        <v>125.6</v>
      </c>
      <c r="AI85" s="55">
        <f t="shared" si="12"/>
        <v>119.6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127.3</v>
      </c>
      <c r="C86" s="70">
        <v>128</v>
      </c>
      <c r="D86" s="70">
        <v>128.1</v>
      </c>
      <c r="E86" s="70"/>
      <c r="F86" s="70">
        <v>127.6</v>
      </c>
      <c r="G86" s="70">
        <v>127</v>
      </c>
      <c r="H86" s="70">
        <v>127</v>
      </c>
      <c r="I86" s="70">
        <v>126.7</v>
      </c>
      <c r="J86" s="70">
        <v>126.7</v>
      </c>
      <c r="K86" s="70">
        <v>125.7</v>
      </c>
      <c r="L86" s="70">
        <v>125.7</v>
      </c>
      <c r="M86" s="70">
        <v>126.1</v>
      </c>
      <c r="N86" s="70">
        <v>124.7</v>
      </c>
      <c r="O86" s="70">
        <v>124.8</v>
      </c>
      <c r="P86" s="70">
        <v>124</v>
      </c>
      <c r="Q86" s="70">
        <v>125.4</v>
      </c>
      <c r="R86" s="70">
        <v>125.6</v>
      </c>
      <c r="S86" s="70">
        <v>125.8</v>
      </c>
      <c r="T86" s="70">
        <v>124.6</v>
      </c>
      <c r="U86" s="70">
        <v>125.3</v>
      </c>
      <c r="V86" s="70">
        <v>127.5</v>
      </c>
      <c r="W86" s="70">
        <v>128</v>
      </c>
      <c r="X86" s="70">
        <v>128.9</v>
      </c>
      <c r="Y86" s="70">
        <v>128.9</v>
      </c>
      <c r="Z86" s="70">
        <v>128.1</v>
      </c>
      <c r="AA86" s="70">
        <v>127</v>
      </c>
      <c r="AB86" s="70">
        <v>128.80000000000001</v>
      </c>
      <c r="AC86" s="70"/>
      <c r="AD86" s="70"/>
      <c r="AE86" s="70"/>
      <c r="AF86" s="70"/>
      <c r="AG86" s="93"/>
      <c r="AH86" s="54">
        <f t="shared" si="11"/>
        <v>128.9</v>
      </c>
      <c r="AI86" s="55">
        <f t="shared" si="12"/>
        <v>124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128.80000000000001</v>
      </c>
      <c r="C87" s="70">
        <v>127.9</v>
      </c>
      <c r="D87" s="70">
        <v>132.80000000000001</v>
      </c>
      <c r="E87" s="70"/>
      <c r="F87" s="70">
        <v>129.19999999999999</v>
      </c>
      <c r="G87" s="70">
        <v>128.80000000000001</v>
      </c>
      <c r="H87" s="70">
        <v>129.69999999999999</v>
      </c>
      <c r="I87" s="70">
        <v>128.5</v>
      </c>
      <c r="J87" s="70">
        <v>127</v>
      </c>
      <c r="K87" s="70">
        <v>127.9</v>
      </c>
      <c r="L87" s="70">
        <v>126.3</v>
      </c>
      <c r="M87" s="70">
        <v>130</v>
      </c>
      <c r="N87" s="70">
        <v>126.3</v>
      </c>
      <c r="O87" s="70">
        <v>124.7</v>
      </c>
      <c r="P87" s="70">
        <v>124.3</v>
      </c>
      <c r="Q87" s="70">
        <v>128.9</v>
      </c>
      <c r="R87" s="70">
        <v>128.69999999999999</v>
      </c>
      <c r="S87" s="70">
        <v>126.3</v>
      </c>
      <c r="T87" s="70">
        <v>124.7</v>
      </c>
      <c r="U87" s="70">
        <v>126.6</v>
      </c>
      <c r="V87" s="70">
        <v>131.19999999999999</v>
      </c>
      <c r="W87" s="70">
        <v>129.6</v>
      </c>
      <c r="X87" s="70">
        <v>130.4</v>
      </c>
      <c r="Y87" s="70">
        <v>128.69999999999999</v>
      </c>
      <c r="Z87" s="70">
        <v>126.2</v>
      </c>
      <c r="AA87" s="70">
        <v>125.9</v>
      </c>
      <c r="AB87" s="70">
        <v>125.5</v>
      </c>
      <c r="AC87" s="70"/>
      <c r="AD87" s="70"/>
      <c r="AE87" s="70"/>
      <c r="AF87" s="70"/>
      <c r="AG87" s="93"/>
      <c r="AH87" s="54">
        <f t="shared" si="11"/>
        <v>132.80000000000001</v>
      </c>
      <c r="AI87" s="55">
        <f t="shared" si="12"/>
        <v>124.3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132.4</v>
      </c>
      <c r="C88" s="70">
        <v>132.80000000000001</v>
      </c>
      <c r="D88" s="70">
        <v>132.4</v>
      </c>
      <c r="E88" s="70"/>
      <c r="F88" s="70">
        <v>134</v>
      </c>
      <c r="G88" s="70">
        <v>131.9</v>
      </c>
      <c r="H88" s="70">
        <v>132.30000000000001</v>
      </c>
      <c r="I88" s="70">
        <v>131.5</v>
      </c>
      <c r="J88" s="70">
        <v>130</v>
      </c>
      <c r="K88" s="70">
        <v>131.4</v>
      </c>
      <c r="L88" s="70">
        <v>129.4</v>
      </c>
      <c r="M88" s="70">
        <v>132.1</v>
      </c>
      <c r="N88" s="70">
        <v>128</v>
      </c>
      <c r="O88" s="70">
        <v>126</v>
      </c>
      <c r="P88" s="70">
        <v>127</v>
      </c>
      <c r="Q88" s="70">
        <v>132.1</v>
      </c>
      <c r="R88" s="70">
        <v>131.19999999999999</v>
      </c>
      <c r="S88" s="70">
        <v>128.30000000000001</v>
      </c>
      <c r="T88" s="70">
        <v>126.7</v>
      </c>
      <c r="U88" s="70">
        <v>128.30000000000001</v>
      </c>
      <c r="V88" s="70">
        <v>133</v>
      </c>
      <c r="W88" s="70">
        <v>131.6</v>
      </c>
      <c r="X88" s="70">
        <v>132.1</v>
      </c>
      <c r="Y88" s="70">
        <v>131.1</v>
      </c>
      <c r="Z88" s="70">
        <v>128.5</v>
      </c>
      <c r="AA88" s="70">
        <v>128.5</v>
      </c>
      <c r="AB88" s="70">
        <v>129.1</v>
      </c>
      <c r="AC88" s="70"/>
      <c r="AD88" s="70"/>
      <c r="AE88" s="70"/>
      <c r="AF88" s="70"/>
      <c r="AG88" s="93"/>
      <c r="AH88" s="54">
        <f t="shared" si="11"/>
        <v>134</v>
      </c>
      <c r="AI88" s="55">
        <f t="shared" si="12"/>
        <v>126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133.80000000000001</v>
      </c>
      <c r="C89" s="95">
        <v>133.80000000000001</v>
      </c>
      <c r="D89" s="95">
        <v>133.80000000000001</v>
      </c>
      <c r="E89" s="95"/>
      <c r="F89" s="95">
        <v>129.69999999999999</v>
      </c>
      <c r="G89" s="95">
        <v>132.1</v>
      </c>
      <c r="H89" s="95">
        <v>129.30000000000001</v>
      </c>
      <c r="I89" s="95">
        <v>132.1</v>
      </c>
      <c r="J89" s="95">
        <v>130.4</v>
      </c>
      <c r="K89" s="95">
        <v>129.19999999999999</v>
      </c>
      <c r="L89" s="95">
        <v>133.80000000000001</v>
      </c>
      <c r="M89" s="95">
        <v>133.69999999999999</v>
      </c>
      <c r="N89" s="95">
        <v>129.5</v>
      </c>
      <c r="O89" s="95">
        <v>129</v>
      </c>
      <c r="P89" s="95">
        <v>129.19999999999999</v>
      </c>
      <c r="Q89" s="95">
        <v>128.6</v>
      </c>
      <c r="R89" s="95">
        <v>132</v>
      </c>
      <c r="S89" s="95">
        <v>133.1</v>
      </c>
      <c r="T89" s="95">
        <v>132.1</v>
      </c>
      <c r="U89" s="95">
        <v>128.1</v>
      </c>
      <c r="V89" s="95">
        <v>135</v>
      </c>
      <c r="W89" s="95">
        <v>133.30000000000001</v>
      </c>
      <c r="X89" s="95">
        <v>133.1</v>
      </c>
      <c r="Y89" s="95">
        <v>131.9</v>
      </c>
      <c r="Z89" s="95">
        <v>129.4</v>
      </c>
      <c r="AA89" s="95">
        <v>131.6</v>
      </c>
      <c r="AB89" s="95">
        <v>134.4</v>
      </c>
      <c r="AC89" s="95"/>
      <c r="AD89" s="95"/>
      <c r="AE89" s="95"/>
      <c r="AF89" s="95"/>
      <c r="AG89" s="96"/>
      <c r="AH89" s="54">
        <f t="shared" si="11"/>
        <v>135</v>
      </c>
      <c r="AI89" s="55">
        <f t="shared" si="12"/>
        <v>128.1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126.4</v>
      </c>
      <c r="C90" s="70">
        <v>119</v>
      </c>
      <c r="D90" s="70">
        <v>122</v>
      </c>
      <c r="E90" s="70"/>
      <c r="F90" s="70">
        <v>125.1</v>
      </c>
      <c r="G90" s="70">
        <v>125.1</v>
      </c>
      <c r="H90" s="70">
        <v>121</v>
      </c>
      <c r="I90" s="70">
        <v>128</v>
      </c>
      <c r="J90" s="70">
        <v>122.7</v>
      </c>
      <c r="K90" s="70">
        <v>121.5</v>
      </c>
      <c r="L90" s="70">
        <v>122.6</v>
      </c>
      <c r="M90" s="70">
        <v>128</v>
      </c>
      <c r="N90" s="70">
        <v>127</v>
      </c>
      <c r="O90" s="70">
        <v>122.8</v>
      </c>
      <c r="P90" s="70">
        <v>122.5</v>
      </c>
      <c r="Q90" s="70">
        <v>123.6</v>
      </c>
      <c r="R90" s="70">
        <v>130.19999999999999</v>
      </c>
      <c r="S90" s="70">
        <v>125.6</v>
      </c>
      <c r="T90" s="70">
        <v>119.3</v>
      </c>
      <c r="U90" s="70">
        <v>120.7</v>
      </c>
      <c r="V90" s="70">
        <v>119.8</v>
      </c>
      <c r="W90" s="70">
        <v>122.9</v>
      </c>
      <c r="X90" s="70">
        <v>124.3</v>
      </c>
      <c r="Y90" s="70">
        <v>121.8</v>
      </c>
      <c r="Z90" s="70">
        <v>123.9</v>
      </c>
      <c r="AA90" s="70">
        <v>123.1</v>
      </c>
      <c r="AB90" s="70">
        <v>125.2</v>
      </c>
      <c r="AC90" s="70"/>
      <c r="AD90" s="70"/>
      <c r="AE90" s="70"/>
      <c r="AF90" s="70"/>
      <c r="AG90" s="93"/>
      <c r="AH90" s="54">
        <f t="shared" si="11"/>
        <v>130.19999999999999</v>
      </c>
      <c r="AI90" s="55">
        <f t="shared" si="12"/>
        <v>119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64.5</v>
      </c>
      <c r="C91" s="97">
        <v>64.5</v>
      </c>
      <c r="D91" s="97">
        <v>65.2</v>
      </c>
      <c r="E91" s="97"/>
      <c r="F91" s="97">
        <v>64.599999999999994</v>
      </c>
      <c r="G91" s="97">
        <v>64.5</v>
      </c>
      <c r="H91" s="97">
        <v>64.3</v>
      </c>
      <c r="I91" s="97">
        <v>63.9</v>
      </c>
      <c r="J91" s="97">
        <v>63.9</v>
      </c>
      <c r="K91" s="97">
        <v>63.2</v>
      </c>
      <c r="L91" s="97">
        <v>63.3</v>
      </c>
      <c r="M91" s="97">
        <v>63.4</v>
      </c>
      <c r="N91" s="97">
        <v>62.8</v>
      </c>
      <c r="O91" s="97">
        <v>62.5</v>
      </c>
      <c r="P91" s="97">
        <v>62</v>
      </c>
      <c r="Q91" s="97">
        <v>62.6</v>
      </c>
      <c r="R91" s="97">
        <v>62.7</v>
      </c>
      <c r="S91" s="97">
        <v>62.9</v>
      </c>
      <c r="T91" s="97">
        <v>62.9</v>
      </c>
      <c r="U91" s="97">
        <v>62.6</v>
      </c>
      <c r="V91" s="97">
        <v>64.2</v>
      </c>
      <c r="W91" s="97">
        <v>64.5</v>
      </c>
      <c r="X91" s="97">
        <v>64.900000000000006</v>
      </c>
      <c r="Y91" s="97">
        <v>65</v>
      </c>
      <c r="Z91" s="97">
        <v>64.7</v>
      </c>
      <c r="AA91" s="97">
        <v>64.2</v>
      </c>
      <c r="AB91" s="97">
        <v>65.2</v>
      </c>
      <c r="AC91" s="97"/>
      <c r="AD91" s="97"/>
      <c r="AE91" s="97"/>
      <c r="AF91" s="97"/>
      <c r="AG91" s="98"/>
      <c r="AH91" s="54">
        <f t="shared" si="11"/>
        <v>65.2</v>
      </c>
      <c r="AI91" s="55">
        <f t="shared" si="12"/>
        <v>62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v>157.13999999999999</v>
      </c>
      <c r="C93" s="103">
        <f t="shared" ref="C93:AF93" si="15">SUM(C15,C18,C21:C22,C42,C44:C45,C47,C49,C94:C97,C103,C109,C115,C124,C126,C138,C145,C148:C149,C156,C158,C160,C164:C166,C168:C170,C175,C181:C182,C184:C186,C194,C199)</f>
        <v>126.04</v>
      </c>
      <c r="D93" s="103">
        <f t="shared" si="15"/>
        <v>136.44</v>
      </c>
      <c r="E93" s="103">
        <f t="shared" si="15"/>
        <v>195.14</v>
      </c>
      <c r="F93" s="103">
        <f t="shared" si="15"/>
        <v>112.83999999999999</v>
      </c>
      <c r="G93" s="103">
        <f t="shared" si="15"/>
        <v>136.33999999999997</v>
      </c>
      <c r="H93" s="103">
        <f t="shared" si="15"/>
        <v>152.43999999999997</v>
      </c>
      <c r="I93" s="103">
        <f t="shared" si="15"/>
        <v>184.64</v>
      </c>
      <c r="J93" s="103">
        <f t="shared" si="15"/>
        <v>217.74</v>
      </c>
      <c r="K93" s="103">
        <f t="shared" si="15"/>
        <v>242.84</v>
      </c>
      <c r="L93" s="103">
        <f t="shared" si="15"/>
        <v>269.94</v>
      </c>
      <c r="M93" s="103">
        <f t="shared" si="15"/>
        <v>278.84000000000003</v>
      </c>
      <c r="N93" s="103">
        <f t="shared" si="15"/>
        <v>273.84000000000003</v>
      </c>
      <c r="O93" s="103">
        <f t="shared" si="15"/>
        <v>277.84000000000003</v>
      </c>
      <c r="P93" s="103">
        <f t="shared" si="15"/>
        <v>277.53999999999996</v>
      </c>
      <c r="Q93" s="103">
        <f t="shared" si="15"/>
        <v>276.94</v>
      </c>
      <c r="R93" s="103">
        <f t="shared" si="15"/>
        <v>264.54000000000002</v>
      </c>
      <c r="S93" s="103">
        <f t="shared" si="15"/>
        <v>254.93999999999997</v>
      </c>
      <c r="T93" s="103">
        <f t="shared" si="15"/>
        <v>237.03999999999996</v>
      </c>
      <c r="U93" s="103">
        <f t="shared" si="15"/>
        <v>279.83999999999997</v>
      </c>
      <c r="V93" s="103">
        <f t="shared" si="15"/>
        <v>246.43999999999997</v>
      </c>
      <c r="W93" s="103">
        <f>SUM(W15,W18,W21:W22,W42,W44:W45,W47,W49,W94:W97,W103,W109,W115,W124,W126,W138,W145,W148:W149,W156,W158,W160,W164:W166,W168:W170,W175,W181:W182,W184:W186,W194,W199)</f>
        <v>245.23999999999995</v>
      </c>
      <c r="X93" s="103">
        <f>SUM(X15,X18,X21:X22,X42,X44:X45,X47,X49,X94:X97,X103,X109,X115,X124,X126,X138,X145,X148:X149,X156,X158,X160,X164:X166,X168:X170,X175,X181:X182,X184:X186,X194,X199)</f>
        <v>267.34000000000003</v>
      </c>
      <c r="Y93" s="103">
        <f t="shared" si="15"/>
        <v>262.54000000000002</v>
      </c>
      <c r="Z93" s="103">
        <f t="shared" si="15"/>
        <v>312.24000000000007</v>
      </c>
      <c r="AA93" s="103">
        <f t="shared" si="15"/>
        <v>320.74000000000007</v>
      </c>
      <c r="AB93" s="103">
        <f t="shared" si="15"/>
        <v>303.94000000000005</v>
      </c>
      <c r="AC93" s="103">
        <f t="shared" si="15"/>
        <v>220.44</v>
      </c>
      <c r="AD93" s="103">
        <f t="shared" si="15"/>
        <v>220.44</v>
      </c>
      <c r="AE93" s="103">
        <f t="shared" si="15"/>
        <v>220.44</v>
      </c>
      <c r="AF93" s="103">
        <f t="shared" si="15"/>
        <v>34.840000000000003</v>
      </c>
      <c r="AG93" s="104"/>
      <c r="AH93" s="54">
        <f>MAX(C93:AF93)</f>
        <v>320.74000000000007</v>
      </c>
      <c r="AI93" s="55">
        <f>MIN(C93:AF93)</f>
        <v>34.840000000000003</v>
      </c>
    </row>
    <row r="94" spans="1:88" x14ac:dyDescent="0.25">
      <c r="A94" s="105" t="s">
        <v>99</v>
      </c>
      <c r="B94" s="106">
        <v>38.6</v>
      </c>
      <c r="C94" s="106">
        <v>32</v>
      </c>
      <c r="D94" s="106">
        <v>20.399999999999999</v>
      </c>
      <c r="E94" s="106"/>
      <c r="F94" s="106">
        <v>21.5</v>
      </c>
      <c r="G94" s="106">
        <v>33.4</v>
      </c>
      <c r="H94" s="106">
        <v>41.6</v>
      </c>
      <c r="I94" s="106">
        <v>51.4</v>
      </c>
      <c r="J94" s="106">
        <v>50.2</v>
      </c>
      <c r="K94" s="106">
        <v>43.2</v>
      </c>
      <c r="L94" s="106">
        <v>50.3</v>
      </c>
      <c r="M94" s="106">
        <v>57.2</v>
      </c>
      <c r="N94" s="106">
        <v>44.9</v>
      </c>
      <c r="O94" s="106">
        <v>54.2</v>
      </c>
      <c r="P94" s="106">
        <v>45.7</v>
      </c>
      <c r="Q94" s="106">
        <v>44.3</v>
      </c>
      <c r="R94" s="106">
        <v>49.8</v>
      </c>
      <c r="S94" s="106">
        <v>49.4</v>
      </c>
      <c r="T94" s="106">
        <v>53.8</v>
      </c>
      <c r="U94" s="106">
        <v>52.8</v>
      </c>
      <c r="V94" s="106">
        <v>54.9</v>
      </c>
      <c r="W94" s="106">
        <v>44</v>
      </c>
      <c r="X94" s="106">
        <v>39.9</v>
      </c>
      <c r="Y94" s="106">
        <v>40.799999999999997</v>
      </c>
      <c r="Z94" s="106">
        <v>48</v>
      </c>
      <c r="AA94" s="106">
        <v>58.4</v>
      </c>
      <c r="AB94" s="106">
        <v>55.2</v>
      </c>
      <c r="AC94" s="106"/>
      <c r="AD94" s="106"/>
      <c r="AE94" s="106"/>
      <c r="AF94" s="106"/>
      <c r="AG94" s="107">
        <v>75</v>
      </c>
      <c r="AH94" s="54">
        <f t="shared" ref="AH94:AH100" si="16">IF(ABS(MAX(C94:AF94))&gt;ABS(MIN(C94:AF94)),MAX(C94:AF94),MIN(C94:AF94))</f>
        <v>58.4</v>
      </c>
      <c r="AI94" s="108">
        <f t="shared" ref="AI94:AI100" si="17">INDEX($C$9:$AF$9,1,MATCH(AH94,C94:AF94,0))</f>
        <v>0.8125</v>
      </c>
    </row>
    <row r="95" spans="1:88" x14ac:dyDescent="0.25">
      <c r="A95" s="109" t="s">
        <v>100</v>
      </c>
      <c r="B95" s="110">
        <f>-54.3-62.2</f>
        <v>-116.5</v>
      </c>
      <c r="C95" s="110">
        <f>-57.6-60.5</f>
        <v>-118.1</v>
      </c>
      <c r="D95" s="110">
        <f>-52.6-59.9</f>
        <v>-112.5</v>
      </c>
      <c r="E95" s="110"/>
      <c r="F95" s="110">
        <v>-107</v>
      </c>
      <c r="G95" s="110">
        <v>-100</v>
      </c>
      <c r="H95" s="110">
        <v>-95</v>
      </c>
      <c r="I95" s="110">
        <v>-75</v>
      </c>
      <c r="J95" s="110">
        <v>-46</v>
      </c>
      <c r="K95" s="110">
        <v>-78</v>
      </c>
      <c r="L95" s="110">
        <v>-71</v>
      </c>
      <c r="M95" s="110">
        <f>-31.9-40.2</f>
        <v>-72.099999999999994</v>
      </c>
      <c r="N95" s="110">
        <f>-33-41</f>
        <v>-74</v>
      </c>
      <c r="O95" s="110">
        <f>-31.4-40.5</f>
        <v>-71.900000000000006</v>
      </c>
      <c r="P95" s="110">
        <f>-28.1-40.2</f>
        <v>-68.300000000000011</v>
      </c>
      <c r="Q95" s="110">
        <f>-29.5-42.3</f>
        <v>-71.8</v>
      </c>
      <c r="R95" s="110">
        <f>-32.1-41.6</f>
        <v>-73.7</v>
      </c>
      <c r="S95" s="110">
        <f>-35.5-47</f>
        <v>-82.5</v>
      </c>
      <c r="T95" s="110">
        <v>-85</v>
      </c>
      <c r="U95" s="110">
        <v>-76</v>
      </c>
      <c r="V95" s="110">
        <v>-81</v>
      </c>
      <c r="W95" s="110">
        <v>-83</v>
      </c>
      <c r="X95" s="110">
        <v>-79</v>
      </c>
      <c r="Y95" s="110">
        <f>-35-45.8</f>
        <v>-80.8</v>
      </c>
      <c r="Z95" s="110">
        <v>-60</v>
      </c>
      <c r="AA95" s="110">
        <v>-51</v>
      </c>
      <c r="AB95" s="110">
        <v>-54.2</v>
      </c>
      <c r="AC95" s="110"/>
      <c r="AD95" s="110"/>
      <c r="AE95" s="110"/>
      <c r="AF95" s="110"/>
      <c r="AG95" s="107">
        <v>240</v>
      </c>
      <c r="AH95" s="54">
        <f t="shared" si="16"/>
        <v>-118.1</v>
      </c>
      <c r="AI95" s="108">
        <f t="shared" si="17"/>
        <v>4.1666666666666664E-2</v>
      </c>
    </row>
    <row r="96" spans="1:88" x14ac:dyDescent="0.25">
      <c r="A96" s="109" t="s">
        <v>101</v>
      </c>
      <c r="B96" s="110">
        <v>1.1000000000000001</v>
      </c>
      <c r="C96" s="110">
        <v>1.2</v>
      </c>
      <c r="D96" s="110">
        <v>8.6999999999999993</v>
      </c>
      <c r="E96" s="110"/>
      <c r="F96" s="110">
        <v>2</v>
      </c>
      <c r="G96" s="110">
        <v>4.5</v>
      </c>
      <c r="H96" s="110">
        <v>7.1</v>
      </c>
      <c r="I96" s="110">
        <v>9</v>
      </c>
      <c r="J96" s="110">
        <v>14.3</v>
      </c>
      <c r="K96" s="110">
        <v>10.3</v>
      </c>
      <c r="L96" s="110">
        <v>23.5</v>
      </c>
      <c r="M96" s="110">
        <v>32.9</v>
      </c>
      <c r="N96" s="110">
        <v>28.6</v>
      </c>
      <c r="O96" s="110">
        <v>35.299999999999997</v>
      </c>
      <c r="P96" s="110">
        <v>41.6</v>
      </c>
      <c r="Q96" s="110">
        <v>54.8</v>
      </c>
      <c r="R96" s="110">
        <v>41.4</v>
      </c>
      <c r="S96" s="110">
        <v>46.5</v>
      </c>
      <c r="T96" s="110">
        <v>31.1</v>
      </c>
      <c r="U96" s="110">
        <v>52.5</v>
      </c>
      <c r="V96" s="110">
        <v>35.6</v>
      </c>
      <c r="W96" s="110">
        <v>37.299999999999997</v>
      </c>
      <c r="X96" s="110">
        <v>38</v>
      </c>
      <c r="Y96" s="110">
        <v>37.5</v>
      </c>
      <c r="Z96" s="110">
        <v>46.6</v>
      </c>
      <c r="AA96" s="110">
        <v>40.200000000000003</v>
      </c>
      <c r="AB96" s="110">
        <v>27</v>
      </c>
      <c r="AC96" s="110"/>
      <c r="AD96" s="110"/>
      <c r="AE96" s="110"/>
      <c r="AF96" s="110"/>
      <c r="AG96" s="107">
        <v>60</v>
      </c>
      <c r="AH96" s="54">
        <f t="shared" si="16"/>
        <v>54.8</v>
      </c>
      <c r="AI96" s="108">
        <f t="shared" si="17"/>
        <v>0.5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/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68.099999999999994</v>
      </c>
      <c r="L97" s="112">
        <v>67.900000000000006</v>
      </c>
      <c r="M97" s="112">
        <v>54.6</v>
      </c>
      <c r="N97" s="112">
        <v>68.099999999999994</v>
      </c>
      <c r="O97" s="112">
        <v>54</v>
      </c>
      <c r="P97" s="112">
        <v>55.5</v>
      </c>
      <c r="Q97" s="112">
        <v>46.6</v>
      </c>
      <c r="R97" s="112">
        <v>42.1</v>
      </c>
      <c r="S97" s="112">
        <v>36.6</v>
      </c>
      <c r="T97" s="112">
        <v>32.200000000000003</v>
      </c>
      <c r="U97" s="112">
        <v>45.6</v>
      </c>
      <c r="V97" s="112">
        <v>32</v>
      </c>
      <c r="W97" s="112">
        <v>42</v>
      </c>
      <c r="X97" s="112">
        <v>40.200000000000003</v>
      </c>
      <c r="Y97" s="112">
        <v>37</v>
      </c>
      <c r="Z97" s="112">
        <v>56.7</v>
      </c>
      <c r="AA97" s="112">
        <v>52.2</v>
      </c>
      <c r="AB97" s="112">
        <v>55.5</v>
      </c>
      <c r="AC97" s="112"/>
      <c r="AD97" s="112"/>
      <c r="AE97" s="112"/>
      <c r="AF97" s="112"/>
      <c r="AG97" s="113">
        <v>120</v>
      </c>
      <c r="AH97" s="54">
        <f t="shared" si="16"/>
        <v>68.099999999999994</v>
      </c>
      <c r="AI97" s="108">
        <f t="shared" si="17"/>
        <v>0.29166666666666669</v>
      </c>
    </row>
    <row r="98" spans="1:37" x14ac:dyDescent="0.25">
      <c r="A98" s="111" t="s">
        <v>103</v>
      </c>
      <c r="B98" s="112">
        <v>49.1</v>
      </c>
      <c r="C98" s="112">
        <v>48.9</v>
      </c>
      <c r="D98" s="112">
        <v>43.3</v>
      </c>
      <c r="E98" s="112"/>
      <c r="F98" s="112">
        <v>62</v>
      </c>
      <c r="G98" s="112">
        <v>60</v>
      </c>
      <c r="H98" s="112">
        <v>56</v>
      </c>
      <c r="I98" s="112">
        <v>55</v>
      </c>
      <c r="J98" s="112">
        <v>73</v>
      </c>
      <c r="K98" s="112">
        <v>67</v>
      </c>
      <c r="L98" s="112">
        <v>65</v>
      </c>
      <c r="M98" s="112">
        <v>54</v>
      </c>
      <c r="N98" s="112">
        <v>69.099999999999994</v>
      </c>
      <c r="O98" s="112">
        <v>52</v>
      </c>
      <c r="P98" s="112">
        <v>59</v>
      </c>
      <c r="Q98" s="112">
        <v>50.4</v>
      </c>
      <c r="R98" s="112">
        <v>45</v>
      </c>
      <c r="S98" s="112">
        <v>48.2</v>
      </c>
      <c r="T98" s="112">
        <v>42.4</v>
      </c>
      <c r="U98" s="112">
        <v>44.9</v>
      </c>
      <c r="V98" s="112">
        <v>38</v>
      </c>
      <c r="W98" s="112">
        <v>39</v>
      </c>
      <c r="X98" s="112">
        <v>37.700000000000003</v>
      </c>
      <c r="Y98" s="112">
        <v>41.9</v>
      </c>
      <c r="Z98" s="112">
        <v>53</v>
      </c>
      <c r="AA98" s="112">
        <v>50</v>
      </c>
      <c r="AB98" s="112">
        <v>55.4</v>
      </c>
      <c r="AC98" s="112"/>
      <c r="AD98" s="112"/>
      <c r="AE98" s="112"/>
      <c r="AF98" s="112"/>
      <c r="AG98" s="113"/>
      <c r="AH98" s="54">
        <f t="shared" si="16"/>
        <v>73</v>
      </c>
      <c r="AI98" s="108">
        <f t="shared" si="17"/>
        <v>0.27083333333333331</v>
      </c>
    </row>
    <row r="99" spans="1:37" x14ac:dyDescent="0.25">
      <c r="A99" s="111" t="s">
        <v>104</v>
      </c>
      <c r="B99" s="112">
        <v>75</v>
      </c>
      <c r="C99" s="112">
        <v>85</v>
      </c>
      <c r="D99" s="112">
        <v>71</v>
      </c>
      <c r="E99" s="112">
        <v>0</v>
      </c>
      <c r="F99" s="112">
        <v>70</v>
      </c>
      <c r="G99" s="112">
        <v>80</v>
      </c>
      <c r="H99" s="112">
        <v>70</v>
      </c>
      <c r="I99" s="112">
        <v>50</v>
      </c>
      <c r="J99" s="112">
        <v>62</v>
      </c>
      <c r="K99" s="112">
        <v>74</v>
      </c>
      <c r="L99" s="112">
        <v>60</v>
      </c>
      <c r="M99" s="112">
        <v>46.8</v>
      </c>
      <c r="N99" s="112">
        <v>67.3</v>
      </c>
      <c r="O99" s="112">
        <v>51</v>
      </c>
      <c r="P99" s="112">
        <v>44</v>
      </c>
      <c r="Q99" s="112">
        <v>51.9</v>
      </c>
      <c r="R99" s="112">
        <v>38.700000000000003</v>
      </c>
      <c r="S99" s="112">
        <v>31.2</v>
      </c>
      <c r="T99" s="112">
        <v>37.200000000000003</v>
      </c>
      <c r="U99" s="112">
        <v>51</v>
      </c>
      <c r="V99" s="112">
        <v>37.299999999999997</v>
      </c>
      <c r="W99" s="112">
        <v>59.9</v>
      </c>
      <c r="X99" s="112">
        <v>76.2</v>
      </c>
      <c r="Y99" s="112">
        <v>69.099999999999994</v>
      </c>
      <c r="Z99" s="112">
        <v>66.2</v>
      </c>
      <c r="AA99" s="112">
        <v>38.5</v>
      </c>
      <c r="AB99" s="112">
        <v>36.1</v>
      </c>
      <c r="AC99" s="112"/>
      <c r="AD99" s="112"/>
      <c r="AE99" s="112"/>
      <c r="AF99" s="112"/>
      <c r="AG99" s="114"/>
      <c r="AH99" s="54">
        <f t="shared" si="16"/>
        <v>85</v>
      </c>
      <c r="AI99" s="108">
        <f t="shared" si="17"/>
        <v>4.1666666666666664E-2</v>
      </c>
    </row>
    <row r="100" spans="1:37" ht="15.75" thickBot="1" x14ac:dyDescent="0.3">
      <c r="A100" s="115" t="s">
        <v>105</v>
      </c>
      <c r="B100" s="95">
        <v>47.5</v>
      </c>
      <c r="C100" s="95">
        <v>45.8</v>
      </c>
      <c r="D100" s="95">
        <v>45.9</v>
      </c>
      <c r="E100" s="95"/>
      <c r="F100" s="95">
        <v>45</v>
      </c>
      <c r="G100" s="95">
        <v>32</v>
      </c>
      <c r="H100" s="95">
        <v>28</v>
      </c>
      <c r="I100" s="95">
        <v>27</v>
      </c>
      <c r="J100" s="95">
        <v>30</v>
      </c>
      <c r="K100" s="95">
        <v>32</v>
      </c>
      <c r="L100" s="95">
        <v>45</v>
      </c>
      <c r="M100" s="95">
        <v>43</v>
      </c>
      <c r="N100" s="95">
        <v>33</v>
      </c>
      <c r="O100" s="95">
        <v>44</v>
      </c>
      <c r="P100" s="95">
        <v>48.2</v>
      </c>
      <c r="Q100" s="95">
        <v>41.3</v>
      </c>
      <c r="R100" s="95">
        <v>49</v>
      </c>
      <c r="S100" s="95">
        <v>54</v>
      </c>
      <c r="T100" s="95">
        <v>56.8</v>
      </c>
      <c r="U100" s="95">
        <v>52.8</v>
      </c>
      <c r="V100" s="95">
        <v>50.9</v>
      </c>
      <c r="W100" s="95">
        <v>48</v>
      </c>
      <c r="X100" s="95">
        <v>40.700000000000003</v>
      </c>
      <c r="Y100" s="95">
        <v>43.7</v>
      </c>
      <c r="Z100" s="95">
        <v>62.1</v>
      </c>
      <c r="AA100" s="95">
        <v>58.5</v>
      </c>
      <c r="AB100" s="95">
        <v>64.5</v>
      </c>
      <c r="AC100" s="95"/>
      <c r="AD100" s="95"/>
      <c r="AE100" s="95"/>
      <c r="AF100" s="95"/>
      <c r="AG100" s="114"/>
      <c r="AH100" s="54">
        <f t="shared" si="16"/>
        <v>64.5</v>
      </c>
      <c r="AI100" s="108">
        <f t="shared" si="17"/>
        <v>0.83333333333333337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1436.65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25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2079/02/25)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2079/02/25)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1376.8400000000001</v>
      </c>
      <c r="U214" s="161">
        <f t="shared" si="54"/>
        <v>1351.5400000000002</v>
      </c>
      <c r="V214" s="161">
        <f t="shared" si="54"/>
        <v>1413.8400000000001</v>
      </c>
      <c r="W214" s="161">
        <f t="shared" si="54"/>
        <v>1212.1399999999999</v>
      </c>
      <c r="X214" s="161">
        <f t="shared" si="54"/>
        <v>1308.1399999999999</v>
      </c>
      <c r="Y214" s="161">
        <f t="shared" si="54"/>
        <v>1306.24</v>
      </c>
      <c r="Z214" s="161">
        <f t="shared" si="54"/>
        <v>1295.7399999999998</v>
      </c>
      <c r="AA214" s="161">
        <f t="shared" si="54"/>
        <v>1267.7399999999998</v>
      </c>
      <c r="AB214" s="161">
        <f t="shared" si="54"/>
        <v>1330.94</v>
      </c>
      <c r="AC214" s="161">
        <f t="shared" si="54"/>
        <v>1394.5400000000002</v>
      </c>
      <c r="AD214" s="161">
        <f t="shared" si="54"/>
        <v>1414.64</v>
      </c>
      <c r="AE214" s="161">
        <f t="shared" si="54"/>
        <v>1431.15</v>
      </c>
      <c r="AF214" s="161">
        <f t="shared" si="54"/>
        <v>1436.65</v>
      </c>
      <c r="AG214" s="161">
        <f t="shared" si="54"/>
        <v>1406.2400000000002</v>
      </c>
      <c r="AH214" s="161">
        <f t="shared" si="54"/>
        <v>1482.3400000000001</v>
      </c>
      <c r="AI214" s="161">
        <f t="shared" si="54"/>
        <v>1468.64</v>
      </c>
      <c r="AJ214" s="161">
        <f t="shared" si="54"/>
        <v>1446.3700000000001</v>
      </c>
      <c r="AK214" s="161">
        <f t="shared" si="54"/>
        <v>1483.94</v>
      </c>
      <c r="AL214" s="161">
        <f t="shared" si="54"/>
        <v>1472.44</v>
      </c>
      <c r="AM214" s="161">
        <f t="shared" si="54"/>
        <v>1474.8400000000001</v>
      </c>
      <c r="AN214" s="161">
        <f t="shared" si="54"/>
        <v>1449.44</v>
      </c>
      <c r="AO214" s="161">
        <f t="shared" si="54"/>
        <v>1431.04</v>
      </c>
      <c r="AP214" s="161">
        <f t="shared" si="54"/>
        <v>1463.8399999999997</v>
      </c>
      <c r="AQ214" s="161">
        <f t="shared" si="54"/>
        <v>1468.7399999999998</v>
      </c>
      <c r="AR214" s="161">
        <f t="shared" si="54"/>
        <v>1541.54</v>
      </c>
      <c r="AS214" s="161">
        <f t="shared" si="54"/>
        <v>1602.9299999999998</v>
      </c>
      <c r="AT214" s="161">
        <f t="shared" si="54"/>
        <v>1621.6399999999999</v>
      </c>
      <c r="AU214" s="161">
        <f t="shared" si="54"/>
        <v>1580.6399999999999</v>
      </c>
      <c r="AV214" s="161">
        <f t="shared" si="54"/>
        <v>1466.6399999999999</v>
      </c>
      <c r="AW214" s="161">
        <f t="shared" si="54"/>
        <v>1499.6399999999999</v>
      </c>
      <c r="AX214" s="161">
        <f t="shared" si="54"/>
        <v>-256.45999999999998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J74:AF74 T11:AF11">
    <cfRule type="expression" dxfId="1537" priority="202">
      <formula>B$9&gt;=20/24</formula>
    </cfRule>
    <cfRule type="expression" dxfId="1536" priority="203">
      <formula>AND(B$9&gt;=14/24,B$9&lt;20/24)</formula>
    </cfRule>
    <cfRule type="expression" dxfId="1535" priority="204">
      <formula>AND(B$9&gt;=8/24,B$9&lt;14/24)</formula>
    </cfRule>
    <cfRule type="expression" dxfId="1534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T37:AF37">
    <cfRule type="expression" dxfId="1533" priority="197">
      <formula>T$9&gt;=20/24</formula>
    </cfRule>
    <cfRule type="expression" dxfId="1532" priority="198">
      <formula>AND(T$9&gt;=14/24,T$9&lt;20/24)</formula>
    </cfRule>
    <cfRule type="expression" dxfId="1531" priority="199">
      <formula>AND(T$9&gt;=8/24,T$9&lt;14/24)</formula>
    </cfRule>
    <cfRule type="expression" dxfId="1530" priority="200">
      <formula>T$9&lt;8/24</formula>
    </cfRule>
  </conditionalFormatting>
  <conditionalFormatting sqref="AG51 T37:AF37 J11:AF11">
    <cfRule type="expression" dxfId="1529" priority="196">
      <formula>J11&gt;$AG11</formula>
    </cfRule>
  </conditionalFormatting>
  <conditionalFormatting sqref="A101:A157 A84:A97 A11:A14 A16:A32 A45:A72 A80:A82 A74:A78 A35:A43 A170:A200">
    <cfRule type="expression" dxfId="1528" priority="195">
      <formula>$AH11=0</formula>
    </cfRule>
  </conditionalFormatting>
  <conditionalFormatting sqref="A98">
    <cfRule type="expression" dxfId="1527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526" priority="192">
      <formula>$AH34=0</formula>
    </cfRule>
  </conditionalFormatting>
  <conditionalFormatting sqref="A83">
    <cfRule type="expression" dxfId="1525" priority="191">
      <formula>$AH83=0</formula>
    </cfRule>
  </conditionalFormatting>
  <conditionalFormatting sqref="A15">
    <cfRule type="expression" dxfId="1524" priority="190">
      <formula>$AH15=0</formula>
    </cfRule>
  </conditionalFormatting>
  <conditionalFormatting sqref="A164:A169">
    <cfRule type="expression" dxfId="1523" priority="189">
      <formula>$AH164=0</formula>
    </cfRule>
  </conditionalFormatting>
  <conditionalFormatting sqref="A158:A163">
    <cfRule type="expression" dxfId="1522" priority="188">
      <formula>$AH158=0</formula>
    </cfRule>
  </conditionalFormatting>
  <conditionalFormatting sqref="A44">
    <cfRule type="expression" dxfId="1521" priority="187">
      <formula>$AH44=0</formula>
    </cfRule>
  </conditionalFormatting>
  <conditionalFormatting sqref="A79">
    <cfRule type="expression" dxfId="1520" priority="186">
      <formula>$AH79=0</formula>
    </cfRule>
  </conditionalFormatting>
  <conditionalFormatting sqref="A73">
    <cfRule type="expression" dxfId="1519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E84:AF84">
    <cfRule type="expression" dxfId="1518" priority="181">
      <formula>E$9&gt;=20/24</formula>
    </cfRule>
    <cfRule type="expression" dxfId="1517" priority="182">
      <formula>AND(E$9&gt;=14/24,E$9&lt;20/24)</formula>
    </cfRule>
    <cfRule type="expression" dxfId="1516" priority="183">
      <formula>AND(E$9&gt;=8/24,E$9&lt;14/24)</formula>
    </cfRule>
    <cfRule type="expression" dxfId="1515" priority="184">
      <formula>E$9&lt;8/24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514" priority="209">
      <formula>C$9&gt;=20/24</formula>
    </cfRule>
    <cfRule type="expression" dxfId="1513" priority="210">
      <formula>AND(C$9&gt;=14/24,C$9&lt;20/24)</formula>
    </cfRule>
    <cfRule type="expression" dxfId="1512" priority="211">
      <formula>AND(C$9&gt;=8/24,C$9&lt;14/24)</formula>
    </cfRule>
    <cfRule type="expression" dxfId="1511" priority="212">
      <formula>C$9&lt;8/24</formula>
    </cfRule>
  </conditionalFormatting>
  <conditionalFormatting sqref="A201">
    <cfRule type="expression" dxfId="1510" priority="213">
      <formula>$AH201=0</formula>
    </cfRule>
  </conditionalFormatting>
  <conditionalFormatting sqref="AG213">
    <cfRule type="expression" dxfId="1509" priority="214">
      <formula>B$9&gt;=20/24</formula>
    </cfRule>
    <cfRule type="expression" dxfId="1508" priority="215">
      <formula>AND(B$9&gt;=14/24,B$9&lt;20/24)</formula>
    </cfRule>
    <cfRule type="expression" dxfId="1507" priority="216">
      <formula>AND(B$9&gt;=8/24,B$9&lt;14/24)</formula>
    </cfRule>
    <cfRule type="expression" dxfId="1506" priority="217">
      <formula>B$9&lt;8/24</formula>
    </cfRule>
  </conditionalFormatting>
  <conditionalFormatting sqref="S8">
    <cfRule type="expression" dxfId="1505" priority="175">
      <formula>U$9&gt;=20/24</formula>
    </cfRule>
    <cfRule type="expression" dxfId="1504" priority="176">
      <formula>AND(U$9&gt;=14/24,U$9&lt;20/24)</formula>
    </cfRule>
    <cfRule type="expression" dxfId="1503" priority="177">
      <formula>AND(U$9&gt;=8/24,U$9&lt;14/24)</formula>
    </cfRule>
    <cfRule type="expression" dxfId="1502" priority="178">
      <formula>U$9&lt;8/24</formula>
    </cfRule>
  </conditionalFormatting>
  <conditionalFormatting sqref="AB8">
    <cfRule type="expression" dxfId="1501" priority="171">
      <formula>AD$9&gt;=20/24</formula>
    </cfRule>
    <cfRule type="expression" dxfId="1500" priority="172">
      <formula>AND(AD$9&gt;=14/24,AD$9&lt;20/24)</formula>
    </cfRule>
    <cfRule type="expression" dxfId="1499" priority="173">
      <formula>AND(AD$9&gt;=8/24,AD$9&lt;14/24)</formula>
    </cfRule>
    <cfRule type="expression" dxfId="1498" priority="174">
      <formula>AD$9&lt;8/24</formula>
    </cfRule>
  </conditionalFormatting>
  <conditionalFormatting sqref="AH213:AX213">
    <cfRule type="expression" dxfId="1497" priority="218">
      <formula>AG$9&gt;=20/24</formula>
    </cfRule>
    <cfRule type="expression" dxfId="1496" priority="219">
      <formula>AND(AG$9&gt;=14/24,AG$9&lt;20/24)</formula>
    </cfRule>
    <cfRule type="expression" dxfId="1495" priority="220">
      <formula>AND(AG$9&gt;=8/24,AG$9&lt;14/24)</formula>
    </cfRule>
    <cfRule type="expression" dxfId="1494" priority="221">
      <formula>AG$9&lt;8/24</formula>
    </cfRule>
  </conditionalFormatting>
  <conditionalFormatting sqref="T213">
    <cfRule type="expression" dxfId="1493" priority="222">
      <formula>AX$9&gt;=20/24</formula>
    </cfRule>
    <cfRule type="expression" dxfId="1492" priority="223">
      <formula>AND(AX$9&gt;=14/24,AX$9&lt;20/24)</formula>
    </cfRule>
    <cfRule type="expression" dxfId="1491" priority="224">
      <formula>AND(AX$9&gt;=8/24,AX$9&lt;14/24)</formula>
    </cfRule>
    <cfRule type="expression" dxfId="1490" priority="225">
      <formula>AX$9&lt;8/24</formula>
    </cfRule>
  </conditionalFormatting>
  <conditionalFormatting sqref="A99:A100">
    <cfRule type="expression" dxfId="1489" priority="170">
      <formula>$AH99=0</formula>
    </cfRule>
  </conditionalFormatting>
  <conditionalFormatting sqref="AF36 G11:I11 E40:AF41 D57:AF57">
    <cfRule type="expression" dxfId="1488" priority="166">
      <formula>D$9&gt;=20/24</formula>
    </cfRule>
    <cfRule type="expression" dxfId="1487" priority="167">
      <formula>AND(D$9&gt;=14/24,D$9&lt;20/24)</formula>
    </cfRule>
    <cfRule type="expression" dxfId="1486" priority="168">
      <formula>AND(D$9&gt;=8/24,D$9&lt;14/24)</formula>
    </cfRule>
    <cfRule type="expression" dxfId="1485" priority="169">
      <formula>D$9&lt;8/24</formula>
    </cfRule>
  </conditionalFormatting>
  <conditionalFormatting sqref="E39:AF39">
    <cfRule type="expression" dxfId="1484" priority="162">
      <formula>E$9&gt;=20/24</formula>
    </cfRule>
    <cfRule type="expression" dxfId="1483" priority="163">
      <formula>AND(E$9&gt;=14/24,E$9&lt;20/24)</formula>
    </cfRule>
    <cfRule type="expression" dxfId="1482" priority="164">
      <formula>AND(E$9&gt;=8/24,E$9&lt;14/24)</formula>
    </cfRule>
    <cfRule type="expression" dxfId="1481" priority="165">
      <formula>E$9&lt;8/24</formula>
    </cfRule>
  </conditionalFormatting>
  <conditionalFormatting sqref="AF36 G11:I11 E39:AF41">
    <cfRule type="expression" dxfId="1480" priority="161">
      <formula>E11&gt;$AG11</formula>
    </cfRule>
  </conditionalFormatting>
  <conditionalFormatting sqref="C83:AF83 C75:AF81 D58:L59 C68:AF73 AF28:AF31 AF18:AF22 AF24:AF26 E13:H13 B12:H12 I12:J13 G60:L63 H14:J14 G67:S67 M58:S63 E85:AF91 C53:AF56 AB16:AF16 K12:AF14 H36:AE36 T58:AF67">
    <cfRule type="expression" dxfId="1479" priority="157">
      <formula>B$9&gt;=20/24</formula>
    </cfRule>
    <cfRule type="expression" dxfId="1478" priority="158">
      <formula>AND(B$9&gt;=14/24,B$9&lt;20/24)</formula>
    </cfRule>
    <cfRule type="expression" dxfId="1477" priority="159">
      <formula>AND(B$9&gt;=8/24,B$9&lt;14/24)</formula>
    </cfRule>
    <cfRule type="expression" dxfId="1476" priority="160">
      <formula>B$9&lt;8/24</formula>
    </cfRule>
  </conditionalFormatting>
  <conditionalFormatting sqref="AF32">
    <cfRule type="expression" dxfId="1475" priority="153">
      <formula>AF$9&gt;=20/24</formula>
    </cfRule>
    <cfRule type="expression" dxfId="1474" priority="154">
      <formula>AND(AF$9&gt;=14/24,AF$9&lt;20/24)</formula>
    </cfRule>
    <cfRule type="expression" dxfId="1473" priority="155">
      <formula>AND(AF$9&gt;=8/24,AF$9&lt;14/24)</formula>
    </cfRule>
    <cfRule type="expression" dxfId="1472" priority="156">
      <formula>AF$9&lt;8/24</formula>
    </cfRule>
  </conditionalFormatting>
  <conditionalFormatting sqref="AF35">
    <cfRule type="expression" dxfId="1471" priority="149">
      <formula>AF$9&gt;=20/24</formula>
    </cfRule>
    <cfRule type="expression" dxfId="1470" priority="150">
      <formula>AND(AF$9&gt;=14/24,AF$9&lt;20/24)</formula>
    </cfRule>
    <cfRule type="expression" dxfId="1469" priority="151">
      <formula>AND(AF$9&gt;=8/24,AF$9&lt;14/24)</formula>
    </cfRule>
    <cfRule type="expression" dxfId="1468" priority="152">
      <formula>AF$9&lt;8/24</formula>
    </cfRule>
  </conditionalFormatting>
  <conditionalFormatting sqref="E42:G42 F37:L37 C38:AF38 AF34:AF35 AF18:AF22 AF24:AF32 G43:G44 E13:H13 B12:H12 B44:F44 I12:J13 H14:J15 H36:L36 M36:S37 H42:X44 K12:AA15 AB42:AF43 C51:AF56 AB12:AF16 T36:AE36">
    <cfRule type="expression" dxfId="1467" priority="148">
      <formula>B12&gt;$AG12</formula>
    </cfRule>
  </conditionalFormatting>
  <conditionalFormatting sqref="AF34">
    <cfRule type="expression" dxfId="1466" priority="144">
      <formula>AF$9&gt;=20/24</formula>
    </cfRule>
    <cfRule type="expression" dxfId="1465" priority="145">
      <formula>AND(AF$9&gt;=14/24,AF$9&lt;20/24)</formula>
    </cfRule>
    <cfRule type="expression" dxfId="1464" priority="146">
      <formula>AND(AF$9&gt;=8/24,AF$9&lt;14/24)</formula>
    </cfRule>
    <cfRule type="expression" dxfId="1463" priority="147">
      <formula>AF$9&lt;8/24</formula>
    </cfRule>
  </conditionalFormatting>
  <conditionalFormatting sqref="H15:AF15">
    <cfRule type="expression" dxfId="1462" priority="140">
      <formula>H$9&gt;=20/24</formula>
    </cfRule>
    <cfRule type="expression" dxfId="1461" priority="141">
      <formula>AND(H$9&gt;=14/24,H$9&lt;20/24)</formula>
    </cfRule>
    <cfRule type="expression" dxfId="1460" priority="142">
      <formula>AND(H$9&gt;=8/24,H$9&lt;14/24)</formula>
    </cfRule>
    <cfRule type="expression" dxfId="1459" priority="143">
      <formula>H$9&lt;8/24</formula>
    </cfRule>
  </conditionalFormatting>
  <conditionalFormatting sqref="AF33">
    <cfRule type="expression" dxfId="1458" priority="136">
      <formula>AF$9&gt;=20/24</formula>
    </cfRule>
    <cfRule type="expression" dxfId="1457" priority="137">
      <formula>AND(AF$9&gt;=14/24,AF$9&lt;20/24)</formula>
    </cfRule>
    <cfRule type="expression" dxfId="1456" priority="138">
      <formula>AND(AF$9&gt;=8/24,AF$9&lt;14/24)</formula>
    </cfRule>
    <cfRule type="expression" dxfId="1455" priority="139">
      <formula>AF$9&lt;8/24</formula>
    </cfRule>
  </conditionalFormatting>
  <conditionalFormatting sqref="AF33">
    <cfRule type="expression" dxfId="1454" priority="135">
      <formula>AF33&gt;$AG33</formula>
    </cfRule>
  </conditionalFormatting>
  <conditionalFormatting sqref="AF44:AF50 Y42:AA43">
    <cfRule type="expression" dxfId="1453" priority="127">
      <formula>Y$9&gt;=20/24</formula>
    </cfRule>
    <cfRule type="expression" dxfId="1452" priority="128">
      <formula>AND(Y$9&gt;=14/24,Y$9&lt;20/24)</formula>
    </cfRule>
    <cfRule type="expression" dxfId="1451" priority="129">
      <formula>AND(Y$9&gt;=8/24,Y$9&lt;14/24)</formula>
    </cfRule>
    <cfRule type="expression" dxfId="1450" priority="130">
      <formula>Y$9&lt;8/24</formula>
    </cfRule>
  </conditionalFormatting>
  <conditionalFormatting sqref="AF44:AF50 Y42:AA43">
    <cfRule type="expression" dxfId="1449" priority="126">
      <formula>Y42&gt;$AG42</formula>
    </cfRule>
  </conditionalFormatting>
  <conditionalFormatting sqref="Z50:AE50 Y44:AE44">
    <cfRule type="expression" dxfId="1448" priority="122">
      <formula>Y$9&gt;=20/24</formula>
    </cfRule>
    <cfRule type="expression" dxfId="1447" priority="123">
      <formula>AND(Y$9&gt;=14/24,Y$9&lt;20/24)</formula>
    </cfRule>
    <cfRule type="expression" dxfId="1446" priority="124">
      <formula>AND(Y$9&gt;=8/24,Y$9&lt;14/24)</formula>
    </cfRule>
    <cfRule type="expression" dxfId="1445" priority="125">
      <formula>Y$9&lt;8/24</formula>
    </cfRule>
  </conditionalFormatting>
  <conditionalFormatting sqref="Z50:AE50 Y44:AE44">
    <cfRule type="expression" dxfId="1444" priority="121">
      <formula>Y44&gt;$AG44</formula>
    </cfRule>
  </conditionalFormatting>
  <conditionalFormatting sqref="AF27">
    <cfRule type="expression" dxfId="1443" priority="117">
      <formula>AF$9&gt;=20/24</formula>
    </cfRule>
    <cfRule type="expression" dxfId="1442" priority="118">
      <formula>AND(AF$9&gt;=14/24,AF$9&lt;20/24)</formula>
    </cfRule>
    <cfRule type="expression" dxfId="1441" priority="119">
      <formula>AND(AF$9&gt;=8/24,AF$9&lt;14/24)</formula>
    </cfRule>
    <cfRule type="expression" dxfId="1440" priority="120">
      <formula>AF$9&lt;8/24</formula>
    </cfRule>
  </conditionalFormatting>
  <conditionalFormatting sqref="C74:I74 AF23 AF17 H16:AA31 AB17:AE31">
    <cfRule type="expression" dxfId="1439" priority="113">
      <formula>C$9&gt;=20/24</formula>
    </cfRule>
    <cfRule type="expression" dxfId="1438" priority="114">
      <formula>AND(C$9&gt;=14/24,C$9&lt;20/24)</formula>
    </cfRule>
    <cfRule type="expression" dxfId="1437" priority="115">
      <formula>AND(C$9&gt;=8/24,C$9&lt;14/24)</formula>
    </cfRule>
    <cfRule type="expression" dxfId="1436" priority="116">
      <formula>C$9&lt;8/24</formula>
    </cfRule>
  </conditionalFormatting>
  <conditionalFormatting sqref="H32:AE32">
    <cfRule type="expression" dxfId="1435" priority="109">
      <formula>H$9&gt;=20/24</formula>
    </cfRule>
    <cfRule type="expression" dxfId="1434" priority="110">
      <formula>AND(H$9&gt;=14/24,H$9&lt;20/24)</formula>
    </cfRule>
    <cfRule type="expression" dxfId="1433" priority="111">
      <formula>AND(H$9&gt;=8/24,H$9&lt;14/24)</formula>
    </cfRule>
    <cfRule type="expression" dxfId="1432" priority="112">
      <formula>H$9&lt;8/24</formula>
    </cfRule>
  </conditionalFormatting>
  <conditionalFormatting sqref="H35:AE35">
    <cfRule type="expression" dxfId="1431" priority="105">
      <formula>H$9&gt;=20/24</formula>
    </cfRule>
    <cfRule type="expression" dxfId="1430" priority="106">
      <formula>AND(H$9&gt;=14/24,H$9&lt;20/24)</formula>
    </cfRule>
    <cfRule type="expression" dxfId="1429" priority="107">
      <formula>AND(H$9&gt;=8/24,H$9&lt;14/24)</formula>
    </cfRule>
    <cfRule type="expression" dxfId="1428" priority="108">
      <formula>H$9&lt;8/24</formula>
    </cfRule>
  </conditionalFormatting>
  <conditionalFormatting sqref="AF23 AF17 H16:AA32 H34:AE35 AB17:AE32">
    <cfRule type="expression" dxfId="1427" priority="104">
      <formula>H16&gt;$AG16</formula>
    </cfRule>
  </conditionalFormatting>
  <conditionalFormatting sqref="H34:AE34">
    <cfRule type="expression" dxfId="1426" priority="100">
      <formula>H$9&gt;=20/24</formula>
    </cfRule>
    <cfRule type="expression" dxfId="1425" priority="101">
      <formula>AND(H$9&gt;=14/24,H$9&lt;20/24)</formula>
    </cfRule>
    <cfRule type="expression" dxfId="1424" priority="102">
      <formula>AND(H$9&gt;=8/24,H$9&lt;14/24)</formula>
    </cfRule>
    <cfRule type="expression" dxfId="1423" priority="103">
      <formula>H$9&lt;8/24</formula>
    </cfRule>
  </conditionalFormatting>
  <conditionalFormatting sqref="H33:AE33">
    <cfRule type="expression" dxfId="1422" priority="92">
      <formula>H$9&gt;=20/24</formula>
    </cfRule>
    <cfRule type="expression" dxfId="1421" priority="93">
      <formula>AND(H$9&gt;=14/24,H$9&lt;20/24)</formula>
    </cfRule>
    <cfRule type="expression" dxfId="1420" priority="94">
      <formula>AND(H$9&gt;=8/24,H$9&lt;14/24)</formula>
    </cfRule>
    <cfRule type="expression" dxfId="1419" priority="95">
      <formula>H$9&lt;8/24</formula>
    </cfRule>
  </conditionalFormatting>
  <conditionalFormatting sqref="H33:AE33">
    <cfRule type="expression" dxfId="1418" priority="91">
      <formula>H33&gt;$AG33</formula>
    </cfRule>
  </conditionalFormatting>
  <conditionalFormatting sqref="G64:S66">
    <cfRule type="expression" dxfId="1417" priority="78">
      <formula>G$9&gt;=20/24</formula>
    </cfRule>
    <cfRule type="expression" dxfId="1416" priority="79">
      <formula>AND(G$9&gt;=14/24,G$9&lt;20/24)</formula>
    </cfRule>
    <cfRule type="expression" dxfId="1415" priority="80">
      <formula>AND(G$9&gt;=8/24,G$9&lt;14/24)</formula>
    </cfRule>
    <cfRule type="expression" dxfId="1414" priority="81">
      <formula>G$9&lt;8/24</formula>
    </cfRule>
  </conditionalFormatting>
  <conditionalFormatting sqref="Z49:AA49 G49:Y50 G47:AA48 G45:AE45 AB47:AE49">
    <cfRule type="expression" dxfId="1413" priority="73">
      <formula>G$9&gt;=20/24</formula>
    </cfRule>
    <cfRule type="expression" dxfId="1412" priority="74">
      <formula>AND(G$9&gt;=14/24,G$9&lt;20/24)</formula>
    </cfRule>
    <cfRule type="expression" dxfId="1411" priority="75">
      <formula>AND(G$9&gt;=8/24,G$9&lt;14/24)</formula>
    </cfRule>
    <cfRule type="expression" dxfId="1410" priority="76">
      <formula>G$9&lt;8/24</formula>
    </cfRule>
  </conditionalFormatting>
  <conditionalFormatting sqref="Z49:AA49 G49:Y50 G47:AA48 G45:AE45 AB47:AE49">
    <cfRule type="expression" dxfId="1409" priority="72">
      <formula>G45&gt;$AG45</formula>
    </cfRule>
  </conditionalFormatting>
  <conditionalFormatting sqref="B82 B74 B94:B100 B11:F11">
    <cfRule type="expression" dxfId="1408" priority="59">
      <formula>B$9&gt;=20/24</formula>
    </cfRule>
    <cfRule type="expression" dxfId="1407" priority="60">
      <formula>AND(B$9&gt;=14/24,B$9&lt;20/24)</formula>
    </cfRule>
    <cfRule type="expression" dxfId="1406" priority="61">
      <formula>AND(B$9&gt;=8/24,B$9&lt;14/24)</formula>
    </cfRule>
    <cfRule type="expression" dxfId="1405" priority="62">
      <formula>B$9&lt;8/24</formula>
    </cfRule>
  </conditionalFormatting>
  <conditionalFormatting sqref="B37:E37">
    <cfRule type="expression" dxfId="1404" priority="55">
      <formula>B$9&gt;=20/24</formula>
    </cfRule>
    <cfRule type="expression" dxfId="1403" priority="56">
      <formula>AND(B$9&gt;=14/24,B$9&lt;20/24)</formula>
    </cfRule>
    <cfRule type="expression" dxfId="1402" priority="57">
      <formula>AND(B$9&gt;=8/24,B$9&lt;14/24)</formula>
    </cfRule>
    <cfRule type="expression" dxfId="1401" priority="58">
      <formula>B$9&lt;8/24</formula>
    </cfRule>
  </conditionalFormatting>
  <conditionalFormatting sqref="B11:F11 B37:E37">
    <cfRule type="expression" dxfId="1400" priority="54">
      <formula>B11&gt;$AG11</formula>
    </cfRule>
  </conditionalFormatting>
  <conditionalFormatting sqref="B84:D84">
    <cfRule type="expression" dxfId="1399" priority="50">
      <formula>B$9&gt;=20/24</formula>
    </cfRule>
    <cfRule type="expression" dxfId="1398" priority="51">
      <formula>AND(B$9&gt;=14/24,B$9&lt;20/24)</formula>
    </cfRule>
    <cfRule type="expression" dxfId="1397" priority="52">
      <formula>AND(B$9&gt;=8/24,B$9&lt;14/24)</formula>
    </cfRule>
    <cfRule type="expression" dxfId="1396" priority="53">
      <formula>B$9&lt;8/24</formula>
    </cfRule>
  </conditionalFormatting>
  <conditionalFormatting sqref="B57:C57 B40:D41 B36:G36">
    <cfRule type="expression" dxfId="1395" priority="46">
      <formula>B$9&gt;=20/24</formula>
    </cfRule>
    <cfRule type="expression" dxfId="1394" priority="47">
      <formula>AND(B$9&gt;=14/24,B$9&lt;20/24)</formula>
    </cfRule>
    <cfRule type="expression" dxfId="1393" priority="48">
      <formula>AND(B$9&gt;=8/24,B$9&lt;14/24)</formula>
    </cfRule>
    <cfRule type="expression" dxfId="1392" priority="49">
      <formula>B$9&lt;8/24</formula>
    </cfRule>
  </conditionalFormatting>
  <conditionalFormatting sqref="B39:D39">
    <cfRule type="expression" dxfId="1391" priority="42">
      <formula>B$9&gt;=20/24</formula>
    </cfRule>
    <cfRule type="expression" dxfId="1390" priority="43">
      <formula>AND(B$9&gt;=14/24,B$9&lt;20/24)</formula>
    </cfRule>
    <cfRule type="expression" dxfId="1389" priority="44">
      <formula>AND(B$9&gt;=8/24,B$9&lt;14/24)</formula>
    </cfRule>
    <cfRule type="expression" dxfId="1388" priority="45">
      <formula>B$9&lt;8/24</formula>
    </cfRule>
  </conditionalFormatting>
  <conditionalFormatting sqref="B39:D41 B36:G36">
    <cfRule type="expression" dxfId="1387" priority="41">
      <formula>B36&gt;$AG36</formula>
    </cfRule>
  </conditionalFormatting>
  <conditionalFormatting sqref="B83 B75:B81 B53:B56 B58:B73 C58:C67 B85:D91 D60:F67 B13:D13 B28:G31 B18:G22 B24:G26 B16:G16 B14:G14">
    <cfRule type="expression" dxfId="1386" priority="37">
      <formula>B$9&gt;=20/24</formula>
    </cfRule>
    <cfRule type="expression" dxfId="1385" priority="38">
      <formula>AND(B$9&gt;=14/24,B$9&lt;20/24)</formula>
    </cfRule>
    <cfRule type="expression" dxfId="1384" priority="39">
      <formula>AND(B$9&gt;=8/24,B$9&lt;14/24)</formula>
    </cfRule>
    <cfRule type="expression" dxfId="1383" priority="40">
      <formula>B$9&lt;8/24</formula>
    </cfRule>
  </conditionalFormatting>
  <conditionalFormatting sqref="B32:G32">
    <cfRule type="expression" dxfId="1382" priority="33">
      <formula>B$9&gt;=20/24</formula>
    </cfRule>
    <cfRule type="expression" dxfId="1381" priority="34">
      <formula>AND(B$9&gt;=14/24,B$9&lt;20/24)</formula>
    </cfRule>
    <cfRule type="expression" dxfId="1380" priority="35">
      <formula>AND(B$9&gt;=8/24,B$9&lt;14/24)</formula>
    </cfRule>
    <cfRule type="expression" dxfId="1379" priority="36">
      <formula>B$9&lt;8/24</formula>
    </cfRule>
  </conditionalFormatting>
  <conditionalFormatting sqref="B35:G35">
    <cfRule type="expression" dxfId="1378" priority="29">
      <formula>B$9&gt;=20/24</formula>
    </cfRule>
    <cfRule type="expression" dxfId="1377" priority="30">
      <formula>AND(B$9&gt;=14/24,B$9&lt;20/24)</formula>
    </cfRule>
    <cfRule type="expression" dxfId="1376" priority="31">
      <formula>AND(B$9&gt;=8/24,B$9&lt;14/24)</formula>
    </cfRule>
    <cfRule type="expression" dxfId="1375" priority="32">
      <formula>B$9&lt;8/24</formula>
    </cfRule>
  </conditionalFormatting>
  <conditionalFormatting sqref="B38 B51:B56 B42:D43 E43:F43 B13:D13 B34:G35 B18:G22 B24:G32 B14:G16">
    <cfRule type="expression" dxfId="1374" priority="28">
      <formula>B13&gt;$AG13</formula>
    </cfRule>
  </conditionalFormatting>
  <conditionalFormatting sqref="B34:G34">
    <cfRule type="expression" dxfId="1373" priority="24">
      <formula>B$9&gt;=20/24</formula>
    </cfRule>
    <cfRule type="expression" dxfId="1372" priority="25">
      <formula>AND(B$9&gt;=14/24,B$9&lt;20/24)</formula>
    </cfRule>
    <cfRule type="expression" dxfId="1371" priority="26">
      <formula>AND(B$9&gt;=8/24,B$9&lt;14/24)</formula>
    </cfRule>
    <cfRule type="expression" dxfId="1370" priority="27">
      <formula>B$9&lt;8/24</formula>
    </cfRule>
  </conditionalFormatting>
  <conditionalFormatting sqref="B15:G15">
    <cfRule type="expression" dxfId="1369" priority="20">
      <formula>B$9&gt;=20/24</formula>
    </cfRule>
    <cfRule type="expression" dxfId="1368" priority="21">
      <formula>AND(B$9&gt;=14/24,B$9&lt;20/24)</formula>
    </cfRule>
    <cfRule type="expression" dxfId="1367" priority="22">
      <formula>AND(B$9&gt;=8/24,B$9&lt;14/24)</formula>
    </cfRule>
    <cfRule type="expression" dxfId="1366" priority="23">
      <formula>B$9&lt;8/24</formula>
    </cfRule>
  </conditionalFormatting>
  <conditionalFormatting sqref="B33:G33">
    <cfRule type="expression" dxfId="1365" priority="16">
      <formula>B$9&gt;=20/24</formula>
    </cfRule>
    <cfRule type="expression" dxfId="1364" priority="17">
      <formula>AND(B$9&gt;=14/24,B$9&lt;20/24)</formula>
    </cfRule>
    <cfRule type="expression" dxfId="1363" priority="18">
      <formula>AND(B$9&gt;=8/24,B$9&lt;14/24)</formula>
    </cfRule>
    <cfRule type="expression" dxfId="1362" priority="19">
      <formula>B$9&lt;8/24</formula>
    </cfRule>
  </conditionalFormatting>
  <conditionalFormatting sqref="B33:G33">
    <cfRule type="expression" dxfId="1361" priority="15">
      <formula>B33&gt;$AG33</formula>
    </cfRule>
  </conditionalFormatting>
  <conditionalFormatting sqref="B45:F45 B47:F50 B46:AE46">
    <cfRule type="expression" dxfId="1360" priority="11">
      <formula>B$9&gt;=20/24</formula>
    </cfRule>
    <cfRule type="expression" dxfId="1359" priority="12">
      <formula>AND(B$9&gt;=14/24,B$9&lt;20/24)</formula>
    </cfRule>
    <cfRule type="expression" dxfId="1358" priority="13">
      <formula>AND(B$9&gt;=8/24,B$9&lt;14/24)</formula>
    </cfRule>
    <cfRule type="expression" dxfId="1357" priority="14">
      <formula>B$9&lt;8/24</formula>
    </cfRule>
  </conditionalFormatting>
  <conditionalFormatting sqref="B45:F45 B47:F50 B46:AE46">
    <cfRule type="expression" dxfId="1356" priority="10">
      <formula>B45&gt;$AG45</formula>
    </cfRule>
  </conditionalFormatting>
  <conditionalFormatting sqref="B27:G27">
    <cfRule type="expression" dxfId="1355" priority="6">
      <formula>B$9&gt;=20/24</formula>
    </cfRule>
    <cfRule type="expression" dxfId="1354" priority="7">
      <formula>AND(B$9&gt;=14/24,B$9&lt;20/24)</formula>
    </cfRule>
    <cfRule type="expression" dxfId="1353" priority="8">
      <formula>AND(B$9&gt;=8/24,B$9&lt;14/24)</formula>
    </cfRule>
    <cfRule type="expression" dxfId="1352" priority="9">
      <formula>B$9&lt;8/24</formula>
    </cfRule>
  </conditionalFormatting>
  <conditionalFormatting sqref="B17:G17 B23:G23">
    <cfRule type="expression" dxfId="1351" priority="2">
      <formula>B$9&gt;=20/24</formula>
    </cfRule>
    <cfRule type="expression" dxfId="1350" priority="3">
      <formula>AND(B$9&gt;=14/24,B$9&lt;20/24)</formula>
    </cfRule>
    <cfRule type="expression" dxfId="1349" priority="4">
      <formula>AND(B$9&gt;=8/24,B$9&lt;14/24)</formula>
    </cfRule>
    <cfRule type="expression" dxfId="1348" priority="5">
      <formula>B$9&lt;8/24</formula>
    </cfRule>
  </conditionalFormatting>
  <conditionalFormatting sqref="B17:G17 B23:G23">
    <cfRule type="expression" dxfId="1347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AC8295DC-CF30-4E9A-A7DF-F7DFE661999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50" activePane="bottomRight" state="frozen"/>
      <selection activeCell="AF88" sqref="AF88"/>
      <selection pane="topRight" activeCell="AF88" sqref="AF88"/>
      <selection pane="bottomLeft" activeCell="AF88" sqref="AF88"/>
      <selection pane="bottomRight" activeCell="M44" sqref="M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2079/02/26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-234.5</v>
      </c>
      <c r="C5" s="32">
        <f t="shared" si="0"/>
        <v>-246.27999999999997</v>
      </c>
      <c r="D5" s="32">
        <f t="shared" si="0"/>
        <v>-241.5</v>
      </c>
      <c r="E5" s="32">
        <f t="shared" si="0"/>
        <v>-242.5</v>
      </c>
      <c r="F5" s="32">
        <f t="shared" si="0"/>
        <v>-238.43</v>
      </c>
      <c r="G5" s="32">
        <f t="shared" si="0"/>
        <v>-208.3</v>
      </c>
      <c r="H5" s="32">
        <f t="shared" si="0"/>
        <v>-228.3</v>
      </c>
      <c r="I5" s="32">
        <f t="shared" si="0"/>
        <v>-214.79999999999998</v>
      </c>
      <c r="J5" s="32">
        <f t="shared" si="0"/>
        <v>-201.4</v>
      </c>
      <c r="K5" s="32">
        <f t="shared" si="0"/>
        <v>-194.95</v>
      </c>
      <c r="L5" s="32">
        <f t="shared" si="0"/>
        <v>-200</v>
      </c>
      <c r="M5" s="32">
        <f t="shared" si="0"/>
        <v>-193</v>
      </c>
      <c r="N5" s="32">
        <f t="shared" si="0"/>
        <v>-197</v>
      </c>
      <c r="O5" s="32">
        <f t="shared" si="0"/>
        <v>-205</v>
      </c>
      <c r="P5" s="32">
        <f t="shared" si="0"/>
        <v>-163.4</v>
      </c>
      <c r="Q5" s="32">
        <f t="shared" si="0"/>
        <v>-184</v>
      </c>
      <c r="R5" s="32">
        <f t="shared" si="0"/>
        <v>-165.3</v>
      </c>
      <c r="S5" s="32">
        <f t="shared" si="0"/>
        <v>-173.5</v>
      </c>
      <c r="T5" s="32">
        <f t="shared" si="0"/>
        <v>-171.8</v>
      </c>
      <c r="U5" s="32">
        <f t="shared" si="0"/>
        <v>-174.8</v>
      </c>
      <c r="V5" s="32">
        <f t="shared" si="0"/>
        <v>-177.3</v>
      </c>
      <c r="W5" s="32">
        <f t="shared" si="0"/>
        <v>-186</v>
      </c>
      <c r="X5" s="32">
        <f t="shared" si="0"/>
        <v>-165.99999999999997</v>
      </c>
      <c r="Y5" s="32">
        <f t="shared" si="0"/>
        <v>-115.59999999999998</v>
      </c>
      <c r="Z5" s="32">
        <f t="shared" si="0"/>
        <v>-104.89999999999999</v>
      </c>
      <c r="AA5" s="32">
        <f t="shared" si="0"/>
        <v>-123</v>
      </c>
      <c r="AB5" s="32">
        <f t="shared" si="0"/>
        <v>-141.70000000000002</v>
      </c>
      <c r="AC5" s="32">
        <f t="shared" si="0"/>
        <v>-174.79999999999998</v>
      </c>
      <c r="AD5" s="32">
        <f t="shared" si="0"/>
        <v>-206.1</v>
      </c>
      <c r="AE5" s="32">
        <f t="shared" si="0"/>
        <v>-239.2</v>
      </c>
      <c r="AF5" s="32">
        <f>B68</f>
        <v>-221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1446MW at 8:00hr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Load=1242</v>
      </c>
      <c r="B7" s="37">
        <f>B75</f>
        <v>1322.54</v>
      </c>
      <c r="C7" s="37">
        <f t="shared" ref="C7:AF7" si="1">C75</f>
        <v>1311.84</v>
      </c>
      <c r="D7" s="37">
        <f t="shared" si="1"/>
        <v>1387.0600000000002</v>
      </c>
      <c r="E7" s="37">
        <f t="shared" si="1"/>
        <v>1249.2400000000002</v>
      </c>
      <c r="F7" s="37">
        <f t="shared" si="1"/>
        <v>1241.6400000000003</v>
      </c>
      <c r="G7" s="37">
        <f t="shared" si="1"/>
        <v>1243.51</v>
      </c>
      <c r="H7" s="37">
        <f t="shared" si="1"/>
        <v>1252.04</v>
      </c>
      <c r="I7" s="37">
        <f t="shared" si="1"/>
        <v>1279.6399999999999</v>
      </c>
      <c r="J7" s="37">
        <f t="shared" si="1"/>
        <v>1352.04</v>
      </c>
      <c r="K7" s="37">
        <f t="shared" si="1"/>
        <v>1365.24</v>
      </c>
      <c r="L7" s="37">
        <f t="shared" si="1"/>
        <v>1407.7900000000002</v>
      </c>
      <c r="M7" s="37">
        <f t="shared" si="1"/>
        <v>1445.94</v>
      </c>
      <c r="N7" s="37">
        <f t="shared" si="1"/>
        <v>1427.94</v>
      </c>
      <c r="O7" s="37">
        <f t="shared" si="1"/>
        <v>1423.94</v>
      </c>
      <c r="P7" s="37">
        <f t="shared" si="1"/>
        <v>1426.94</v>
      </c>
      <c r="Q7" s="37">
        <f t="shared" si="1"/>
        <v>1451.5400000000002</v>
      </c>
      <c r="R7" s="37">
        <f t="shared" si="1"/>
        <v>1434.14</v>
      </c>
      <c r="S7" s="37">
        <f t="shared" si="1"/>
        <v>1434.74</v>
      </c>
      <c r="T7" s="37">
        <f t="shared" si="1"/>
        <v>1454.44</v>
      </c>
      <c r="U7" s="37">
        <f t="shared" si="1"/>
        <v>1447.2400000000002</v>
      </c>
      <c r="V7" s="37">
        <f t="shared" si="1"/>
        <v>1452.3400000000001</v>
      </c>
      <c r="W7" s="37">
        <f t="shared" si="1"/>
        <v>1418.04</v>
      </c>
      <c r="X7" s="37">
        <f t="shared" si="1"/>
        <v>1420.64</v>
      </c>
      <c r="Y7" s="37">
        <f t="shared" si="1"/>
        <v>1429.0400000000002</v>
      </c>
      <c r="Z7" s="37">
        <f t="shared" si="1"/>
        <v>1469.0400000000002</v>
      </c>
      <c r="AA7" s="37">
        <f t="shared" si="1"/>
        <v>1569.8400000000001</v>
      </c>
      <c r="AB7" s="37">
        <f t="shared" si="1"/>
        <v>1541.74</v>
      </c>
      <c r="AC7" s="37">
        <f t="shared" si="1"/>
        <v>1508.8400000000001</v>
      </c>
      <c r="AD7" s="37">
        <f t="shared" si="1"/>
        <v>1495.94</v>
      </c>
      <c r="AE7" s="37">
        <f t="shared" si="1"/>
        <v>1489.24</v>
      </c>
      <c r="AF7" s="37">
        <f t="shared" si="1"/>
        <v>1449.44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410</v>
      </c>
      <c r="C11" s="50">
        <v>380</v>
      </c>
      <c r="D11" s="50">
        <v>456</v>
      </c>
      <c r="E11" s="50">
        <v>456</v>
      </c>
      <c r="F11" s="50">
        <v>440</v>
      </c>
      <c r="G11" s="51">
        <v>385</v>
      </c>
      <c r="H11" s="51">
        <v>355</v>
      </c>
      <c r="I11" s="51">
        <v>400</v>
      </c>
      <c r="J11" s="52">
        <v>415</v>
      </c>
      <c r="K11" s="52">
        <v>415</v>
      </c>
      <c r="L11" s="52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49">
        <v>456</v>
      </c>
      <c r="T11" s="49">
        <v>456</v>
      </c>
      <c r="U11" s="49">
        <v>450</v>
      </c>
      <c r="V11" s="49">
        <v>450</v>
      </c>
      <c r="W11" s="49">
        <v>456</v>
      </c>
      <c r="X11" s="49">
        <v>435</v>
      </c>
      <c r="Y11" s="49">
        <v>425</v>
      </c>
      <c r="Z11" s="49">
        <v>365</v>
      </c>
      <c r="AA11" s="49">
        <v>456</v>
      </c>
      <c r="AB11" s="49">
        <v>456</v>
      </c>
      <c r="AC11" s="49">
        <v>456</v>
      </c>
      <c r="AD11" s="49">
        <v>456</v>
      </c>
      <c r="AE11" s="49">
        <v>456</v>
      </c>
      <c r="AF11" s="49">
        <v>456</v>
      </c>
      <c r="AG11" s="53">
        <v>456</v>
      </c>
      <c r="AH11" s="54">
        <f>MAX(B11:AF11)</f>
        <v>456</v>
      </c>
      <c r="AI11" s="55">
        <f>MIN(B11:AF11)</f>
        <v>355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45</v>
      </c>
      <c r="C12" s="51">
        <v>45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45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41.5</v>
      </c>
      <c r="C13" s="51">
        <v>49.3</v>
      </c>
      <c r="D13" s="51">
        <v>49.3</v>
      </c>
      <c r="E13" s="51">
        <v>20</v>
      </c>
      <c r="F13" s="51">
        <v>20</v>
      </c>
      <c r="G13" s="51">
        <v>46.6</v>
      </c>
      <c r="H13" s="51">
        <v>47.9</v>
      </c>
      <c r="I13" s="51">
        <v>45.4</v>
      </c>
      <c r="J13" s="51">
        <v>46.4</v>
      </c>
      <c r="K13" s="51">
        <v>46.4</v>
      </c>
      <c r="L13" s="51">
        <v>45.7</v>
      </c>
      <c r="M13" s="51">
        <v>45.7</v>
      </c>
      <c r="N13" s="51">
        <v>45.7</v>
      </c>
      <c r="O13" s="51">
        <v>45.7</v>
      </c>
      <c r="P13" s="51">
        <v>45.7</v>
      </c>
      <c r="Q13" s="51">
        <v>45.7</v>
      </c>
      <c r="R13" s="51">
        <v>45.7</v>
      </c>
      <c r="S13" s="51">
        <v>36</v>
      </c>
      <c r="T13" s="51">
        <v>36.1</v>
      </c>
      <c r="U13" s="51">
        <v>38.700000000000003</v>
      </c>
      <c r="V13" s="51">
        <v>43.8</v>
      </c>
      <c r="W13" s="51">
        <v>43.8</v>
      </c>
      <c r="X13" s="51">
        <v>43.8</v>
      </c>
      <c r="Y13" s="51">
        <v>40.6</v>
      </c>
      <c r="Z13" s="51">
        <v>40.6</v>
      </c>
      <c r="AA13" s="51">
        <v>39.700000000000003</v>
      </c>
      <c r="AB13" s="51">
        <v>39.700000000000003</v>
      </c>
      <c r="AC13" s="51">
        <v>39.700000000000003</v>
      </c>
      <c r="AD13" s="51">
        <v>39.700000000000003</v>
      </c>
      <c r="AE13" s="51">
        <v>39.700000000000003</v>
      </c>
      <c r="AF13" s="51">
        <v>44</v>
      </c>
      <c r="AG13" s="58">
        <v>52.4</v>
      </c>
      <c r="AH13" s="54">
        <f t="shared" si="2"/>
        <v>49.3</v>
      </c>
      <c r="AI13" s="55">
        <f t="shared" si="3"/>
        <v>20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50.2</v>
      </c>
      <c r="C14" s="51">
        <v>50.2</v>
      </c>
      <c r="D14" s="51">
        <v>50.2</v>
      </c>
      <c r="E14" s="51">
        <v>50.2</v>
      </c>
      <c r="F14" s="51">
        <v>50.2</v>
      </c>
      <c r="G14" s="51">
        <v>50.2</v>
      </c>
      <c r="H14" s="51">
        <v>49.8</v>
      </c>
      <c r="I14" s="51">
        <v>50</v>
      </c>
      <c r="J14" s="51">
        <v>50</v>
      </c>
      <c r="K14" s="51">
        <v>50</v>
      </c>
      <c r="L14" s="51">
        <v>50.1</v>
      </c>
      <c r="M14" s="51">
        <v>50.1</v>
      </c>
      <c r="N14" s="51">
        <v>50.1</v>
      </c>
      <c r="O14" s="51">
        <v>50.1</v>
      </c>
      <c r="P14" s="51">
        <v>50.1</v>
      </c>
      <c r="Q14" s="51">
        <v>50.1</v>
      </c>
      <c r="R14" s="51">
        <v>50.1</v>
      </c>
      <c r="S14" s="51">
        <v>50.5</v>
      </c>
      <c r="T14" s="51">
        <v>50.3</v>
      </c>
      <c r="U14" s="51">
        <v>50.1</v>
      </c>
      <c r="V14" s="51">
        <v>50.2</v>
      </c>
      <c r="W14" s="51">
        <v>50.2</v>
      </c>
      <c r="X14" s="51">
        <v>50.2</v>
      </c>
      <c r="Y14" s="51">
        <v>50.6</v>
      </c>
      <c r="Z14" s="51">
        <v>50.3</v>
      </c>
      <c r="AA14" s="51">
        <v>50.4</v>
      </c>
      <c r="AB14" s="51">
        <v>50.4</v>
      </c>
      <c r="AC14" s="51">
        <v>50.4</v>
      </c>
      <c r="AD14" s="51">
        <v>50.4</v>
      </c>
      <c r="AE14" s="51">
        <v>50.4</v>
      </c>
      <c r="AF14" s="51">
        <v>50.5</v>
      </c>
      <c r="AG14" s="58">
        <v>50</v>
      </c>
      <c r="AH14" s="54">
        <f t="shared" si="2"/>
        <v>50.6</v>
      </c>
      <c r="AI14" s="55">
        <f t="shared" si="3"/>
        <v>49.8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45.7</v>
      </c>
      <c r="C15" s="51">
        <v>45.7</v>
      </c>
      <c r="D15" s="51">
        <v>45.6</v>
      </c>
      <c r="E15" s="51">
        <v>45.6</v>
      </c>
      <c r="F15" s="51">
        <v>45.6</v>
      </c>
      <c r="G15" s="51">
        <v>45.7</v>
      </c>
      <c r="H15" s="51">
        <v>45.8</v>
      </c>
      <c r="I15" s="51">
        <v>45.8</v>
      </c>
      <c r="J15" s="51">
        <v>45.6</v>
      </c>
      <c r="K15" s="51">
        <v>45.6</v>
      </c>
      <c r="L15" s="51">
        <v>45.5</v>
      </c>
      <c r="M15" s="51">
        <v>45.5</v>
      </c>
      <c r="N15" s="51">
        <v>45.5</v>
      </c>
      <c r="O15" s="51">
        <v>45.5</v>
      </c>
      <c r="P15" s="51">
        <v>45.5</v>
      </c>
      <c r="Q15" s="51">
        <v>45.5</v>
      </c>
      <c r="R15" s="51">
        <v>45.5</v>
      </c>
      <c r="S15" s="51">
        <v>45.5</v>
      </c>
      <c r="T15" s="51">
        <v>45</v>
      </c>
      <c r="U15" s="51">
        <v>45.6</v>
      </c>
      <c r="V15" s="51">
        <v>45.7</v>
      </c>
      <c r="W15" s="51">
        <v>45.7</v>
      </c>
      <c r="X15" s="51">
        <v>45.7</v>
      </c>
      <c r="Y15" s="51">
        <v>45.6</v>
      </c>
      <c r="Z15" s="51">
        <v>45.5</v>
      </c>
      <c r="AA15" s="51">
        <v>45.4</v>
      </c>
      <c r="AB15" s="51">
        <v>45.4</v>
      </c>
      <c r="AC15" s="51">
        <v>45.4</v>
      </c>
      <c r="AD15" s="51">
        <v>45.4</v>
      </c>
      <c r="AE15" s="51">
        <v>45.4</v>
      </c>
      <c r="AF15" s="51">
        <v>45.6</v>
      </c>
      <c r="AG15" s="59">
        <v>45</v>
      </c>
      <c r="AH15" s="54">
        <f t="shared" si="2"/>
        <v>45.8</v>
      </c>
      <c r="AI15" s="55">
        <f t="shared" si="3"/>
        <v>45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35</v>
      </c>
      <c r="C16" s="51">
        <v>35</v>
      </c>
      <c r="D16" s="51">
        <v>35</v>
      </c>
      <c r="E16" s="51">
        <v>35</v>
      </c>
      <c r="F16" s="51">
        <v>35</v>
      </c>
      <c r="G16" s="51">
        <v>38</v>
      </c>
      <c r="H16" s="51">
        <v>38</v>
      </c>
      <c r="I16" s="51">
        <v>38</v>
      </c>
      <c r="J16" s="51">
        <v>38</v>
      </c>
      <c r="K16" s="51">
        <v>38</v>
      </c>
      <c r="L16" s="51">
        <v>38</v>
      </c>
      <c r="M16" s="51">
        <v>38</v>
      </c>
      <c r="N16" s="51">
        <v>38</v>
      </c>
      <c r="O16" s="51">
        <v>38</v>
      </c>
      <c r="P16" s="51">
        <v>38</v>
      </c>
      <c r="Q16" s="51">
        <v>38</v>
      </c>
      <c r="R16" s="51">
        <v>38</v>
      </c>
      <c r="S16" s="51">
        <v>38</v>
      </c>
      <c r="T16" s="51">
        <v>38</v>
      </c>
      <c r="U16" s="51">
        <v>35</v>
      </c>
      <c r="V16" s="51">
        <v>35</v>
      </c>
      <c r="W16" s="51">
        <v>35</v>
      </c>
      <c r="X16" s="51">
        <v>35</v>
      </c>
      <c r="Y16" s="51">
        <v>35</v>
      </c>
      <c r="Z16" s="51">
        <v>35</v>
      </c>
      <c r="AA16" s="51">
        <v>35</v>
      </c>
      <c r="AB16" s="51">
        <v>35</v>
      </c>
      <c r="AC16" s="51">
        <v>35</v>
      </c>
      <c r="AD16" s="51">
        <v>35</v>
      </c>
      <c r="AE16" s="51">
        <v>35</v>
      </c>
      <c r="AF16" s="51">
        <v>36</v>
      </c>
      <c r="AG16" s="58">
        <v>45</v>
      </c>
      <c r="AH16" s="54">
        <f t="shared" si="2"/>
        <v>38</v>
      </c>
      <c r="AI16" s="55">
        <f t="shared" si="3"/>
        <v>35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8">
        <v>42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23</v>
      </c>
      <c r="C19" s="51">
        <v>23</v>
      </c>
      <c r="D19" s="51">
        <v>23</v>
      </c>
      <c r="E19" s="51">
        <v>26</v>
      </c>
      <c r="F19" s="51">
        <v>26</v>
      </c>
      <c r="G19" s="51">
        <v>26</v>
      </c>
      <c r="H19" s="51">
        <v>26</v>
      </c>
      <c r="I19" s="51">
        <v>26</v>
      </c>
      <c r="J19" s="51">
        <v>26</v>
      </c>
      <c r="K19" s="51">
        <v>26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>
        <v>26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26</v>
      </c>
      <c r="AA19" s="51">
        <v>26</v>
      </c>
      <c r="AB19" s="51">
        <v>26</v>
      </c>
      <c r="AC19" s="51">
        <v>26</v>
      </c>
      <c r="AD19" s="51">
        <v>26</v>
      </c>
      <c r="AE19" s="51">
        <v>26</v>
      </c>
      <c r="AF19" s="51">
        <v>25.9</v>
      </c>
      <c r="AG19" s="58">
        <v>30</v>
      </c>
      <c r="AH19" s="54">
        <f t="shared" si="2"/>
        <v>26</v>
      </c>
      <c r="AI19" s="55">
        <f t="shared" si="3"/>
        <v>23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15.5</v>
      </c>
      <c r="C20" s="51">
        <v>15.5</v>
      </c>
      <c r="D20" s="51">
        <v>15.5</v>
      </c>
      <c r="E20" s="51">
        <v>15.5</v>
      </c>
      <c r="F20" s="51">
        <v>15.5</v>
      </c>
      <c r="G20" s="51">
        <v>15.5</v>
      </c>
      <c r="H20" s="51">
        <v>15.5</v>
      </c>
      <c r="I20" s="51">
        <v>15.5</v>
      </c>
      <c r="J20" s="51">
        <v>15.5</v>
      </c>
      <c r="K20" s="51">
        <v>15.5</v>
      </c>
      <c r="L20" s="51">
        <v>15.5</v>
      </c>
      <c r="M20" s="51">
        <v>15.5</v>
      </c>
      <c r="N20" s="51">
        <v>15.5</v>
      </c>
      <c r="O20" s="51">
        <v>15.5</v>
      </c>
      <c r="P20" s="51">
        <v>15.5</v>
      </c>
      <c r="Q20" s="51">
        <v>15.5</v>
      </c>
      <c r="R20" s="51">
        <v>15.5</v>
      </c>
      <c r="S20" s="51">
        <v>15.5</v>
      </c>
      <c r="T20" s="51">
        <v>15.5</v>
      </c>
      <c r="U20" s="51">
        <v>15.5</v>
      </c>
      <c r="V20" s="51">
        <v>15.5</v>
      </c>
      <c r="W20" s="51">
        <v>15.5</v>
      </c>
      <c r="X20" s="51">
        <v>15.5</v>
      </c>
      <c r="Y20" s="51">
        <v>15.5</v>
      </c>
      <c r="Z20" s="51">
        <v>15.5</v>
      </c>
      <c r="AA20" s="51">
        <v>15.5</v>
      </c>
      <c r="AB20" s="51">
        <v>15.5</v>
      </c>
      <c r="AC20" s="51">
        <v>15.5</v>
      </c>
      <c r="AD20" s="51">
        <v>15.5</v>
      </c>
      <c r="AE20" s="51">
        <v>15.5</v>
      </c>
      <c r="AF20" s="51">
        <v>15.5</v>
      </c>
      <c r="AG20" s="58">
        <v>27</v>
      </c>
      <c r="AH20" s="54">
        <f t="shared" si="2"/>
        <v>15.5</v>
      </c>
      <c r="AI20" s="55">
        <f t="shared" si="3"/>
        <v>15.5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23.2</v>
      </c>
      <c r="C22" s="51">
        <v>23.2</v>
      </c>
      <c r="D22" s="51">
        <v>23.2</v>
      </c>
      <c r="E22" s="51">
        <v>23.2</v>
      </c>
      <c r="F22" s="51">
        <v>23.2</v>
      </c>
      <c r="G22" s="51">
        <v>23.2</v>
      </c>
      <c r="H22" s="51">
        <v>23.2</v>
      </c>
      <c r="I22" s="51">
        <v>23.2</v>
      </c>
      <c r="J22" s="51">
        <v>23.2</v>
      </c>
      <c r="K22" s="51">
        <v>23.2</v>
      </c>
      <c r="L22" s="51">
        <v>23.2</v>
      </c>
      <c r="M22" s="51">
        <v>23.2</v>
      </c>
      <c r="N22" s="51">
        <v>23.2</v>
      </c>
      <c r="O22" s="51">
        <v>23.2</v>
      </c>
      <c r="P22" s="51">
        <v>23.2</v>
      </c>
      <c r="Q22" s="51">
        <v>23.2</v>
      </c>
      <c r="R22" s="51">
        <v>23.2</v>
      </c>
      <c r="S22" s="51">
        <v>23.2</v>
      </c>
      <c r="T22" s="51">
        <v>23.2</v>
      </c>
      <c r="U22" s="51">
        <v>23.2</v>
      </c>
      <c r="V22" s="51">
        <v>23.2</v>
      </c>
      <c r="W22" s="51">
        <v>23.2</v>
      </c>
      <c r="X22" s="51">
        <v>23.2</v>
      </c>
      <c r="Y22" s="51">
        <v>23.2</v>
      </c>
      <c r="Z22" s="51">
        <v>23.2</v>
      </c>
      <c r="AA22" s="51">
        <v>23.2</v>
      </c>
      <c r="AB22" s="51">
        <v>23.2</v>
      </c>
      <c r="AC22" s="51">
        <v>23.2</v>
      </c>
      <c r="AD22" s="51">
        <v>23.2</v>
      </c>
      <c r="AE22" s="51">
        <v>23.2</v>
      </c>
      <c r="AF22" s="51">
        <v>23.5</v>
      </c>
      <c r="AG22" s="58">
        <v>25</v>
      </c>
      <c r="AH22" s="54">
        <f t="shared" si="2"/>
        <v>23.5</v>
      </c>
      <c r="AI22" s="55">
        <f t="shared" si="3"/>
        <v>23.2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22.3</v>
      </c>
      <c r="C24" s="51">
        <v>22.3</v>
      </c>
      <c r="D24" s="51">
        <v>22.3</v>
      </c>
      <c r="E24" s="51">
        <v>19.5</v>
      </c>
      <c r="F24" s="51">
        <v>19.5</v>
      </c>
      <c r="G24" s="51">
        <v>19.5</v>
      </c>
      <c r="H24" s="51">
        <v>19.5</v>
      </c>
      <c r="I24" s="51">
        <v>19.5</v>
      </c>
      <c r="J24" s="51">
        <v>19.5</v>
      </c>
      <c r="K24" s="51">
        <v>19.5</v>
      </c>
      <c r="L24" s="51">
        <v>19.5</v>
      </c>
      <c r="M24" s="51">
        <v>19.5</v>
      </c>
      <c r="N24" s="51">
        <v>19.5</v>
      </c>
      <c r="O24" s="51">
        <v>19.5</v>
      </c>
      <c r="P24" s="51">
        <v>19.5</v>
      </c>
      <c r="Q24" s="51">
        <v>19.5</v>
      </c>
      <c r="R24" s="51">
        <v>19.5</v>
      </c>
      <c r="S24" s="51">
        <v>19.5</v>
      </c>
      <c r="T24" s="51">
        <v>19.5</v>
      </c>
      <c r="U24" s="51">
        <v>19.5</v>
      </c>
      <c r="V24" s="51">
        <v>19.5</v>
      </c>
      <c r="W24" s="51">
        <v>19.5</v>
      </c>
      <c r="X24" s="51">
        <v>19.5</v>
      </c>
      <c r="Y24" s="51">
        <v>19.5</v>
      </c>
      <c r="Z24" s="51">
        <v>19.5</v>
      </c>
      <c r="AA24" s="51">
        <v>19.5</v>
      </c>
      <c r="AB24" s="51">
        <v>19.5</v>
      </c>
      <c r="AC24" s="51">
        <v>19.5</v>
      </c>
      <c r="AD24" s="51">
        <v>19.5</v>
      </c>
      <c r="AE24" s="51">
        <v>19.5</v>
      </c>
      <c r="AF24" s="51">
        <v>23.1</v>
      </c>
      <c r="AG24" s="58">
        <v>25</v>
      </c>
      <c r="AH24" s="54">
        <f t="shared" si="2"/>
        <v>23.1</v>
      </c>
      <c r="AI24" s="55">
        <f t="shared" si="3"/>
        <v>19.5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0</v>
      </c>
      <c r="AD25" s="51">
        <v>0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8</v>
      </c>
      <c r="C26" s="51">
        <v>8</v>
      </c>
      <c r="D26" s="51">
        <v>8</v>
      </c>
      <c r="E26" s="51">
        <v>8</v>
      </c>
      <c r="F26" s="51">
        <v>8</v>
      </c>
      <c r="G26" s="51">
        <v>8</v>
      </c>
      <c r="H26" s="51">
        <v>8</v>
      </c>
      <c r="I26" s="51">
        <v>8</v>
      </c>
      <c r="J26" s="51">
        <v>8</v>
      </c>
      <c r="K26" s="51">
        <v>8</v>
      </c>
      <c r="L26" s="51">
        <v>8</v>
      </c>
      <c r="M26" s="51">
        <v>8</v>
      </c>
      <c r="N26" s="51">
        <v>5</v>
      </c>
      <c r="O26" s="51">
        <v>5</v>
      </c>
      <c r="P26" s="51">
        <v>5</v>
      </c>
      <c r="Q26" s="51">
        <v>5</v>
      </c>
      <c r="R26" s="51">
        <v>5</v>
      </c>
      <c r="S26" s="51">
        <v>5</v>
      </c>
      <c r="T26" s="51">
        <v>5</v>
      </c>
      <c r="U26" s="51">
        <v>5</v>
      </c>
      <c r="V26" s="51">
        <v>5</v>
      </c>
      <c r="W26" s="51">
        <v>5</v>
      </c>
      <c r="X26" s="51">
        <v>5</v>
      </c>
      <c r="Y26" s="51">
        <v>5</v>
      </c>
      <c r="Z26" s="51">
        <v>5</v>
      </c>
      <c r="AA26" s="51">
        <v>5</v>
      </c>
      <c r="AB26" s="51">
        <v>5</v>
      </c>
      <c r="AC26" s="51">
        <v>5</v>
      </c>
      <c r="AD26" s="51">
        <v>5</v>
      </c>
      <c r="AE26" s="51">
        <v>5</v>
      </c>
      <c r="AF26" s="51">
        <v>5</v>
      </c>
      <c r="AG26" s="58">
        <v>20</v>
      </c>
      <c r="AH26" s="54">
        <f t="shared" si="2"/>
        <v>8</v>
      </c>
      <c r="AI26" s="55">
        <f t="shared" si="3"/>
        <v>5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8.8000000000000007</v>
      </c>
      <c r="C34" s="51">
        <v>8.8000000000000007</v>
      </c>
      <c r="D34" s="51">
        <v>8.8000000000000007</v>
      </c>
      <c r="E34" s="51">
        <v>8.8000000000000007</v>
      </c>
      <c r="F34" s="51">
        <v>8.8000000000000007</v>
      </c>
      <c r="G34" s="51">
        <v>8.8000000000000007</v>
      </c>
      <c r="H34" s="51">
        <v>8.8000000000000007</v>
      </c>
      <c r="I34" s="51">
        <v>8.8000000000000007</v>
      </c>
      <c r="J34" s="51">
        <v>8.8000000000000007</v>
      </c>
      <c r="K34" s="51">
        <v>8.8000000000000007</v>
      </c>
      <c r="L34" s="51">
        <v>8.8000000000000007</v>
      </c>
      <c r="M34" s="51">
        <v>8.8000000000000007</v>
      </c>
      <c r="N34" s="51">
        <v>8.8000000000000007</v>
      </c>
      <c r="O34" s="51">
        <v>8.8000000000000007</v>
      </c>
      <c r="P34" s="51">
        <v>8.8000000000000007</v>
      </c>
      <c r="Q34" s="51">
        <v>8.8000000000000007</v>
      </c>
      <c r="R34" s="51">
        <v>8.8000000000000007</v>
      </c>
      <c r="S34" s="51">
        <v>8.8000000000000007</v>
      </c>
      <c r="T34" s="51">
        <v>8.8000000000000007</v>
      </c>
      <c r="U34" s="51">
        <v>8.8000000000000007</v>
      </c>
      <c r="V34" s="51">
        <v>8.8000000000000007</v>
      </c>
      <c r="W34" s="51">
        <v>8.8000000000000007</v>
      </c>
      <c r="X34" s="51">
        <v>8.8000000000000007</v>
      </c>
      <c r="Y34" s="51">
        <v>8.8000000000000007</v>
      </c>
      <c r="Z34" s="51">
        <v>8.8000000000000007</v>
      </c>
      <c r="AA34" s="51">
        <v>8.8000000000000007</v>
      </c>
      <c r="AB34" s="51">
        <v>8.8000000000000007</v>
      </c>
      <c r="AC34" s="51">
        <v>8.8000000000000007</v>
      </c>
      <c r="AD34" s="51">
        <v>8.8000000000000007</v>
      </c>
      <c r="AE34" s="51">
        <v>8.8000000000000007</v>
      </c>
      <c r="AF34" s="51">
        <v>8.8000000000000007</v>
      </c>
      <c r="AG34" s="63">
        <v>20</v>
      </c>
      <c r="AH34" s="54">
        <f t="shared" si="2"/>
        <v>8.8000000000000007</v>
      </c>
      <c r="AI34" s="55">
        <f t="shared" si="3"/>
        <v>8.8000000000000007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7</v>
      </c>
      <c r="C35" s="51">
        <v>7</v>
      </c>
      <c r="D35" s="51">
        <v>7</v>
      </c>
      <c r="E35" s="51">
        <v>7</v>
      </c>
      <c r="F35" s="51">
        <v>7</v>
      </c>
      <c r="G35" s="51">
        <v>7</v>
      </c>
      <c r="H35" s="51">
        <v>7</v>
      </c>
      <c r="I35" s="51">
        <v>7</v>
      </c>
      <c r="J35" s="51">
        <v>7</v>
      </c>
      <c r="K35" s="51">
        <v>7</v>
      </c>
      <c r="L35" s="51">
        <v>7</v>
      </c>
      <c r="M35" s="51">
        <v>7</v>
      </c>
      <c r="N35" s="51">
        <v>7</v>
      </c>
      <c r="O35" s="51">
        <v>7</v>
      </c>
      <c r="P35" s="51">
        <v>7</v>
      </c>
      <c r="Q35" s="51">
        <v>7</v>
      </c>
      <c r="R35" s="51">
        <v>7</v>
      </c>
      <c r="S35" s="51">
        <v>7</v>
      </c>
      <c r="T35" s="51">
        <v>7</v>
      </c>
      <c r="U35" s="51">
        <v>7</v>
      </c>
      <c r="V35" s="51">
        <v>7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7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260</v>
      </c>
      <c r="C36" s="65">
        <v>260</v>
      </c>
      <c r="D36" s="65">
        <v>260</v>
      </c>
      <c r="E36" s="65">
        <v>260</v>
      </c>
      <c r="F36" s="65">
        <v>260</v>
      </c>
      <c r="G36" s="65">
        <v>260</v>
      </c>
      <c r="H36" s="65">
        <v>260</v>
      </c>
      <c r="I36" s="65">
        <v>260</v>
      </c>
      <c r="J36" s="65">
        <v>260</v>
      </c>
      <c r="K36" s="65">
        <v>260</v>
      </c>
      <c r="L36" s="65">
        <v>260</v>
      </c>
      <c r="M36" s="65">
        <v>260</v>
      </c>
      <c r="N36" s="65">
        <v>260</v>
      </c>
      <c r="O36" s="65">
        <v>260</v>
      </c>
      <c r="P36" s="65">
        <v>260</v>
      </c>
      <c r="Q36" s="65">
        <v>260</v>
      </c>
      <c r="R36" s="65">
        <v>260</v>
      </c>
      <c r="S36" s="65">
        <v>260</v>
      </c>
      <c r="T36" s="65">
        <v>260</v>
      </c>
      <c r="U36" s="65">
        <v>260</v>
      </c>
      <c r="V36" s="65">
        <v>260</v>
      </c>
      <c r="W36" s="65">
        <v>260</v>
      </c>
      <c r="X36" s="65">
        <v>260</v>
      </c>
      <c r="Y36" s="65">
        <v>260</v>
      </c>
      <c r="Z36" s="65">
        <v>260</v>
      </c>
      <c r="AA36" s="65">
        <v>260</v>
      </c>
      <c r="AB36" s="65">
        <v>260</v>
      </c>
      <c r="AC36" s="65">
        <v>260</v>
      </c>
      <c r="AD36" s="65">
        <v>260</v>
      </c>
      <c r="AE36" s="65">
        <v>260</v>
      </c>
      <c r="AF36" s="65">
        <v>260</v>
      </c>
      <c r="AG36" s="63">
        <v>85</v>
      </c>
      <c r="AH36" s="54">
        <f t="shared" si="2"/>
        <v>260</v>
      </c>
      <c r="AI36" s="55">
        <f t="shared" si="3"/>
        <v>260</v>
      </c>
      <c r="AK36" s="56"/>
    </row>
    <row r="37" spans="1:88" ht="15.75" thickBot="1" x14ac:dyDescent="0.3">
      <c r="A37" s="66" t="s">
        <v>45</v>
      </c>
      <c r="B37" s="67">
        <f>25.7+71.9</f>
        <v>97.600000000000009</v>
      </c>
      <c r="C37" s="65">
        <f>77.7+25.5</f>
        <v>103.2</v>
      </c>
      <c r="D37" s="65">
        <f>79.9+22.3</f>
        <v>102.2</v>
      </c>
      <c r="E37" s="65">
        <v>100</v>
      </c>
      <c r="F37" s="65">
        <v>102.1</v>
      </c>
      <c r="G37" s="65">
        <f>79.1+21.1</f>
        <v>100.19999999999999</v>
      </c>
      <c r="H37" s="65">
        <f>75.7+21.1</f>
        <v>96.800000000000011</v>
      </c>
      <c r="I37" s="65">
        <f>78.7+21.1</f>
        <v>99.800000000000011</v>
      </c>
      <c r="J37" s="65">
        <f>83.9+21.1</f>
        <v>105</v>
      </c>
      <c r="K37" s="65">
        <f>21.4+77.6</f>
        <v>99</v>
      </c>
      <c r="L37" s="65">
        <f>79.8+20.7</f>
        <v>100.5</v>
      </c>
      <c r="M37" s="65">
        <f>79.8+20.7</f>
        <v>100.5</v>
      </c>
      <c r="N37" s="65">
        <f>79.8+20.7</f>
        <v>100.5</v>
      </c>
      <c r="O37" s="65">
        <f>79.8+20.7</f>
        <v>100.5</v>
      </c>
      <c r="P37" s="65">
        <v>100</v>
      </c>
      <c r="Q37" s="65">
        <v>100</v>
      </c>
      <c r="R37" s="65">
        <v>100</v>
      </c>
      <c r="S37" s="67">
        <f>73.9+29.1</f>
        <v>103</v>
      </c>
      <c r="T37" s="67">
        <f>62.8+25.7</f>
        <v>88.5</v>
      </c>
      <c r="U37" s="67">
        <f>60.6+25.4</f>
        <v>86</v>
      </c>
      <c r="V37" s="67">
        <f>67+26</f>
        <v>93</v>
      </c>
      <c r="W37" s="67">
        <f>77.4+29.6</f>
        <v>107</v>
      </c>
      <c r="X37" s="67">
        <f>26.9+68.1</f>
        <v>95</v>
      </c>
      <c r="Y37" s="67">
        <f>67.1+26.9</f>
        <v>94</v>
      </c>
      <c r="Z37" s="67">
        <f>63.5+24.2</f>
        <v>87.7</v>
      </c>
      <c r="AA37" s="67">
        <f>63.5+26.1</f>
        <v>89.6</v>
      </c>
      <c r="AB37" s="67">
        <f>23+53</f>
        <v>76</v>
      </c>
      <c r="AC37" s="67">
        <f>23.2+45</f>
        <v>68.2</v>
      </c>
      <c r="AD37" s="67">
        <f>25.8+44.5</f>
        <v>70.3</v>
      </c>
      <c r="AE37" s="67">
        <f>63.4+31.9</f>
        <v>95.3</v>
      </c>
      <c r="AF37" s="67">
        <f>31.2+61.3</f>
        <v>92.5</v>
      </c>
      <c r="AG37" s="63">
        <v>240</v>
      </c>
      <c r="AH37" s="54">
        <f t="shared" si="2"/>
        <v>107</v>
      </c>
      <c r="AI37" s="55">
        <f t="shared" si="3"/>
        <v>68.2</v>
      </c>
      <c r="AK37" s="56"/>
    </row>
    <row r="38" spans="1:88" ht="15.75" thickBot="1" x14ac:dyDescent="0.3">
      <c r="A38" s="68" t="s">
        <v>46</v>
      </c>
      <c r="B38" s="69">
        <f t="shared" ref="B38" si="4">SUM(B11:B36)</f>
        <v>1088.7</v>
      </c>
      <c r="C38" s="69">
        <f t="shared" ref="C38:AF38" si="5">SUM(C11:C36)</f>
        <v>1066.5</v>
      </c>
      <c r="D38" s="69">
        <f t="shared" si="5"/>
        <v>1157.4000000000001</v>
      </c>
      <c r="E38" s="69">
        <f t="shared" si="5"/>
        <v>1128.3000000000002</v>
      </c>
      <c r="F38" s="69">
        <f t="shared" si="5"/>
        <v>1112.3000000000002</v>
      </c>
      <c r="G38" s="69">
        <f t="shared" si="5"/>
        <v>1087</v>
      </c>
      <c r="H38" s="69">
        <f t="shared" si="5"/>
        <v>1058</v>
      </c>
      <c r="I38" s="69">
        <f t="shared" si="5"/>
        <v>1100.6999999999998</v>
      </c>
      <c r="J38" s="69">
        <f t="shared" si="5"/>
        <v>1116.5</v>
      </c>
      <c r="K38" s="69">
        <f t="shared" si="5"/>
        <v>1116.5</v>
      </c>
      <c r="L38" s="69">
        <f t="shared" si="5"/>
        <v>1156.8000000000002</v>
      </c>
      <c r="M38" s="69">
        <f t="shared" si="5"/>
        <v>1156.8000000000002</v>
      </c>
      <c r="N38" s="69">
        <f t="shared" si="5"/>
        <v>1153.8000000000002</v>
      </c>
      <c r="O38" s="69">
        <f t="shared" si="5"/>
        <v>1153.8000000000002</v>
      </c>
      <c r="P38" s="69">
        <f t="shared" si="5"/>
        <v>1153.8000000000002</v>
      </c>
      <c r="Q38" s="69">
        <f t="shared" si="5"/>
        <v>1153.8000000000002</v>
      </c>
      <c r="R38" s="69">
        <f t="shared" si="5"/>
        <v>1153.8000000000002</v>
      </c>
      <c r="S38" s="69">
        <f t="shared" si="5"/>
        <v>1144.5</v>
      </c>
      <c r="T38" s="69">
        <f t="shared" si="5"/>
        <v>1143.9000000000001</v>
      </c>
      <c r="U38" s="69">
        <f t="shared" si="5"/>
        <v>1137.9000000000001</v>
      </c>
      <c r="V38" s="69">
        <f t="shared" si="5"/>
        <v>1143.2</v>
      </c>
      <c r="W38" s="69">
        <f t="shared" si="5"/>
        <v>1142.2</v>
      </c>
      <c r="X38" s="69">
        <f t="shared" si="5"/>
        <v>1121.2</v>
      </c>
      <c r="Y38" s="69">
        <f t="shared" si="5"/>
        <v>1108.3000000000002</v>
      </c>
      <c r="Z38" s="69">
        <f t="shared" si="5"/>
        <v>1047.9000000000001</v>
      </c>
      <c r="AA38" s="69">
        <f t="shared" si="5"/>
        <v>1138</v>
      </c>
      <c r="AB38" s="69">
        <f t="shared" si="5"/>
        <v>1138</v>
      </c>
      <c r="AC38" s="69">
        <f t="shared" si="5"/>
        <v>1124</v>
      </c>
      <c r="AD38" s="69">
        <f t="shared" si="5"/>
        <v>1124</v>
      </c>
      <c r="AE38" s="69">
        <f t="shared" si="5"/>
        <v>1138</v>
      </c>
      <c r="AF38" s="69">
        <f t="shared" si="5"/>
        <v>1147.4000000000001</v>
      </c>
      <c r="AG38" s="63">
        <f>SUM(AG11:AG37)</f>
        <v>1492.8299999999997</v>
      </c>
      <c r="AH38" s="54">
        <f t="shared" si="2"/>
        <v>1157.4000000000001</v>
      </c>
      <c r="AI38" s="55">
        <f t="shared" si="3"/>
        <v>1047.9000000000001</v>
      </c>
      <c r="AK38" s="56"/>
    </row>
    <row r="39" spans="1:88" x14ac:dyDescent="0.25">
      <c r="A39" s="57" t="s">
        <v>47</v>
      </c>
      <c r="B39" s="51">
        <v>144.6</v>
      </c>
      <c r="C39" s="51">
        <v>144.6</v>
      </c>
      <c r="D39" s="51">
        <v>144.4</v>
      </c>
      <c r="E39" s="51">
        <v>131</v>
      </c>
      <c r="F39" s="51">
        <v>140</v>
      </c>
      <c r="G39" s="51">
        <v>144.9</v>
      </c>
      <c r="H39" s="51">
        <v>144.6</v>
      </c>
      <c r="I39" s="51">
        <v>144.5</v>
      </c>
      <c r="J39" s="51">
        <v>144.6</v>
      </c>
      <c r="K39" s="51">
        <v>144.69999999999999</v>
      </c>
      <c r="L39" s="51">
        <v>144.1</v>
      </c>
      <c r="M39" s="51">
        <v>144.1</v>
      </c>
      <c r="N39" s="51">
        <v>144.1</v>
      </c>
      <c r="O39" s="51">
        <v>144.1</v>
      </c>
      <c r="P39" s="51">
        <v>144.1</v>
      </c>
      <c r="Q39" s="51">
        <v>144.1</v>
      </c>
      <c r="R39" s="51">
        <v>144.1</v>
      </c>
      <c r="S39" s="51">
        <v>143.5</v>
      </c>
      <c r="T39" s="51">
        <v>143.19999999999999</v>
      </c>
      <c r="U39" s="51">
        <v>144.30000000000001</v>
      </c>
      <c r="V39" s="51">
        <v>144.19999999999999</v>
      </c>
      <c r="W39" s="51">
        <v>144.9</v>
      </c>
      <c r="X39" s="51">
        <v>144.9</v>
      </c>
      <c r="Y39" s="51">
        <v>144.69999999999999</v>
      </c>
      <c r="Z39" s="51">
        <v>144.5</v>
      </c>
      <c r="AA39" s="51">
        <v>144.5</v>
      </c>
      <c r="AB39" s="51">
        <v>144.5</v>
      </c>
      <c r="AC39" s="51">
        <v>144.5</v>
      </c>
      <c r="AD39" s="51">
        <v>144.5</v>
      </c>
      <c r="AE39" s="51">
        <v>144.9</v>
      </c>
      <c r="AF39" s="51">
        <v>144.30000000000001</v>
      </c>
      <c r="AG39" s="59">
        <v>144</v>
      </c>
      <c r="AH39" s="54">
        <f t="shared" si="2"/>
        <v>144.9</v>
      </c>
      <c r="AI39" s="55">
        <f t="shared" si="3"/>
        <v>131</v>
      </c>
      <c r="AK39" s="56"/>
    </row>
    <row r="40" spans="1:88" x14ac:dyDescent="0.25">
      <c r="A40" s="62" t="s">
        <v>48</v>
      </c>
      <c r="B40" s="70">
        <v>69.3</v>
      </c>
      <c r="C40" s="70">
        <v>69.3</v>
      </c>
      <c r="D40" s="70">
        <v>65.2</v>
      </c>
      <c r="E40" s="70">
        <v>36</v>
      </c>
      <c r="F40" s="70">
        <v>36</v>
      </c>
      <c r="G40" s="70">
        <v>66.2</v>
      </c>
      <c r="H40" s="70">
        <v>66.7</v>
      </c>
      <c r="I40" s="70">
        <v>71.400000000000006</v>
      </c>
      <c r="J40" s="70">
        <v>71.8</v>
      </c>
      <c r="K40" s="70">
        <v>70</v>
      </c>
      <c r="L40" s="70">
        <v>68.8</v>
      </c>
      <c r="M40" s="70">
        <v>68.8</v>
      </c>
      <c r="N40" s="70">
        <v>68.8</v>
      </c>
      <c r="O40" s="70">
        <v>68.8</v>
      </c>
      <c r="P40" s="70">
        <v>68.8</v>
      </c>
      <c r="Q40" s="70">
        <v>68.8</v>
      </c>
      <c r="R40" s="70">
        <v>68.8</v>
      </c>
      <c r="S40" s="70">
        <v>69.900000000000006</v>
      </c>
      <c r="T40" s="70">
        <v>69.3</v>
      </c>
      <c r="U40" s="70">
        <v>69.400000000000006</v>
      </c>
      <c r="V40" s="70">
        <v>0</v>
      </c>
      <c r="W40" s="70">
        <v>0</v>
      </c>
      <c r="X40" s="70">
        <v>35.6</v>
      </c>
      <c r="Y40" s="70">
        <v>36.299999999999997</v>
      </c>
      <c r="Z40" s="70">
        <v>36</v>
      </c>
      <c r="AA40" s="70">
        <v>36</v>
      </c>
      <c r="AB40" s="70">
        <v>36</v>
      </c>
      <c r="AC40" s="70">
        <v>36</v>
      </c>
      <c r="AD40" s="70">
        <v>36</v>
      </c>
      <c r="AE40" s="70">
        <v>69.099999999999994</v>
      </c>
      <c r="AF40" s="70">
        <v>69.8</v>
      </c>
      <c r="AG40" s="63">
        <v>70</v>
      </c>
      <c r="AH40" s="54">
        <f t="shared" si="2"/>
        <v>71.8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66.900000000000006</v>
      </c>
      <c r="C41" s="70">
        <v>66.900000000000006</v>
      </c>
      <c r="D41" s="70">
        <v>66.900000000000006</v>
      </c>
      <c r="E41" s="70">
        <v>63.8</v>
      </c>
      <c r="F41" s="70">
        <v>63.8</v>
      </c>
      <c r="G41" s="70">
        <v>56.8</v>
      </c>
      <c r="H41" s="70">
        <v>64.2</v>
      </c>
      <c r="I41" s="70">
        <v>64.5</v>
      </c>
      <c r="J41" s="70">
        <v>64.900000000000006</v>
      </c>
      <c r="K41" s="70">
        <v>65.3</v>
      </c>
      <c r="L41" s="70">
        <v>65.400000000000006</v>
      </c>
      <c r="M41" s="70">
        <v>65.400000000000006</v>
      </c>
      <c r="N41" s="70">
        <v>65.400000000000006</v>
      </c>
      <c r="O41" s="70">
        <v>65.400000000000006</v>
      </c>
      <c r="P41" s="70">
        <v>65.400000000000006</v>
      </c>
      <c r="Q41" s="70">
        <v>65.400000000000006</v>
      </c>
      <c r="R41" s="70">
        <v>65.400000000000006</v>
      </c>
      <c r="S41" s="70">
        <v>65.400000000000006</v>
      </c>
      <c r="T41" s="70">
        <v>65.5</v>
      </c>
      <c r="U41" s="70">
        <v>66.099999999999994</v>
      </c>
      <c r="V41" s="70">
        <v>67.099999999999994</v>
      </c>
      <c r="W41" s="70">
        <v>67.099999999999994</v>
      </c>
      <c r="X41" s="70">
        <v>67.099999999999994</v>
      </c>
      <c r="Y41" s="70">
        <v>67.3</v>
      </c>
      <c r="Z41" s="70">
        <v>66.900000000000006</v>
      </c>
      <c r="AA41" s="70">
        <v>66.900000000000006</v>
      </c>
      <c r="AB41" s="70">
        <v>66.900000000000006</v>
      </c>
      <c r="AC41" s="70">
        <v>66.900000000000006</v>
      </c>
      <c r="AD41" s="70">
        <v>66.900000000000006</v>
      </c>
      <c r="AE41" s="70">
        <v>68.900000000000006</v>
      </c>
      <c r="AF41" s="70">
        <v>68.5</v>
      </c>
      <c r="AG41" s="63">
        <v>69</v>
      </c>
      <c r="AH41" s="54">
        <f t="shared" si="2"/>
        <v>68.900000000000006</v>
      </c>
      <c r="AI41" s="55">
        <f t="shared" si="3"/>
        <v>56.8</v>
      </c>
      <c r="AK41" s="56"/>
    </row>
    <row r="42" spans="1:88" x14ac:dyDescent="0.25">
      <c r="A42" s="62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60.4</v>
      </c>
      <c r="G42" s="65">
        <v>60.4</v>
      </c>
      <c r="H42" s="65">
        <v>60.2</v>
      </c>
      <c r="I42" s="65">
        <v>60.2</v>
      </c>
      <c r="J42" s="65">
        <v>60.2</v>
      </c>
      <c r="K42" s="65">
        <v>60.2</v>
      </c>
      <c r="L42" s="65">
        <v>60.2</v>
      </c>
      <c r="M42" s="65">
        <v>60.2</v>
      </c>
      <c r="N42" s="65">
        <v>60.2</v>
      </c>
      <c r="O42" s="65">
        <v>60.2</v>
      </c>
      <c r="P42" s="65">
        <v>60.2</v>
      </c>
      <c r="Q42" s="65">
        <v>60.2</v>
      </c>
      <c r="R42" s="65">
        <v>60.2</v>
      </c>
      <c r="S42" s="51">
        <v>60</v>
      </c>
      <c r="T42" s="51">
        <v>60</v>
      </c>
      <c r="U42" s="51">
        <v>60</v>
      </c>
      <c r="V42" s="51">
        <v>60</v>
      </c>
      <c r="W42" s="51">
        <v>60</v>
      </c>
      <c r="X42" s="51">
        <v>60</v>
      </c>
      <c r="Y42" s="70">
        <v>60</v>
      </c>
      <c r="Z42" s="70">
        <v>60</v>
      </c>
      <c r="AA42" s="70">
        <v>60</v>
      </c>
      <c r="AB42" s="70">
        <v>60</v>
      </c>
      <c r="AC42" s="70">
        <v>60</v>
      </c>
      <c r="AD42" s="70">
        <v>60</v>
      </c>
      <c r="AE42" s="70">
        <v>60.9</v>
      </c>
      <c r="AF42" s="65">
        <v>60.9</v>
      </c>
      <c r="AG42" s="63">
        <v>60</v>
      </c>
      <c r="AH42" s="54">
        <f t="shared" si="2"/>
        <v>60.9</v>
      </c>
      <c r="AI42" s="55">
        <f t="shared" si="3"/>
        <v>60</v>
      </c>
      <c r="AK42" s="56"/>
    </row>
    <row r="43" spans="1:88" x14ac:dyDescent="0.25">
      <c r="A43" s="62" t="s">
        <v>51</v>
      </c>
      <c r="B43" s="65">
        <v>30</v>
      </c>
      <c r="C43" s="65">
        <v>30</v>
      </c>
      <c r="D43" s="65">
        <v>30</v>
      </c>
      <c r="E43" s="65">
        <v>15</v>
      </c>
      <c r="F43" s="65">
        <v>15</v>
      </c>
      <c r="G43" s="65">
        <v>10</v>
      </c>
      <c r="H43" s="65">
        <v>10</v>
      </c>
      <c r="I43" s="65">
        <v>10</v>
      </c>
      <c r="J43" s="65">
        <v>30</v>
      </c>
      <c r="K43" s="65">
        <v>30</v>
      </c>
      <c r="L43" s="65">
        <v>30</v>
      </c>
      <c r="M43" s="65">
        <v>25</v>
      </c>
      <c r="N43" s="65">
        <v>25</v>
      </c>
      <c r="O43" s="65">
        <v>25</v>
      </c>
      <c r="P43" s="65">
        <v>25</v>
      </c>
      <c r="Q43" s="65">
        <v>30</v>
      </c>
      <c r="R43" s="65">
        <v>30</v>
      </c>
      <c r="S43" s="51">
        <v>6</v>
      </c>
      <c r="T43" s="51">
        <v>0</v>
      </c>
      <c r="U43" s="51">
        <v>0</v>
      </c>
      <c r="V43" s="51">
        <v>25</v>
      </c>
      <c r="W43" s="51">
        <v>28</v>
      </c>
      <c r="X43" s="51">
        <v>30</v>
      </c>
      <c r="Y43" s="51">
        <v>30</v>
      </c>
      <c r="Z43" s="51">
        <v>30</v>
      </c>
      <c r="AA43" s="51">
        <v>30</v>
      </c>
      <c r="AB43" s="51">
        <v>17.5</v>
      </c>
      <c r="AC43" s="51">
        <v>17.5</v>
      </c>
      <c r="AD43" s="51">
        <v>17.5</v>
      </c>
      <c r="AE43" s="51">
        <v>17.5</v>
      </c>
      <c r="AF43" s="65">
        <v>18.5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</v>
      </c>
      <c r="C45" s="70">
        <v>17</v>
      </c>
      <c r="D45" s="70">
        <v>17</v>
      </c>
      <c r="E45" s="70">
        <v>17</v>
      </c>
      <c r="F45" s="70">
        <v>17</v>
      </c>
      <c r="G45" s="70">
        <v>17</v>
      </c>
      <c r="H45" s="70">
        <v>17</v>
      </c>
      <c r="I45" s="70">
        <v>17</v>
      </c>
      <c r="J45" s="70">
        <v>17</v>
      </c>
      <c r="K45" s="70">
        <v>17</v>
      </c>
      <c r="L45" s="70">
        <v>17</v>
      </c>
      <c r="M45" s="70">
        <v>17</v>
      </c>
      <c r="N45" s="70">
        <v>17</v>
      </c>
      <c r="O45" s="70">
        <v>17</v>
      </c>
      <c r="P45" s="70">
        <v>17</v>
      </c>
      <c r="Q45" s="70">
        <v>17</v>
      </c>
      <c r="R45" s="70">
        <v>17</v>
      </c>
      <c r="S45" s="70">
        <v>17</v>
      </c>
      <c r="T45" s="70">
        <v>17</v>
      </c>
      <c r="U45" s="70">
        <v>17</v>
      </c>
      <c r="V45" s="70">
        <v>17</v>
      </c>
      <c r="W45" s="70">
        <v>17</v>
      </c>
      <c r="X45" s="70">
        <v>17</v>
      </c>
      <c r="Y45" s="70">
        <v>17</v>
      </c>
      <c r="Z45" s="70">
        <v>17</v>
      </c>
      <c r="AA45" s="70">
        <v>17</v>
      </c>
      <c r="AB45" s="70">
        <v>17</v>
      </c>
      <c r="AC45" s="70">
        <v>17</v>
      </c>
      <c r="AD45" s="70">
        <v>17</v>
      </c>
      <c r="AE45" s="70">
        <v>0</v>
      </c>
      <c r="AF45" s="70">
        <v>16.7</v>
      </c>
      <c r="AG45" s="63">
        <v>24</v>
      </c>
      <c r="AH45" s="54">
        <f t="shared" si="2"/>
        <v>17</v>
      </c>
      <c r="AI45" s="55">
        <f t="shared" si="3"/>
        <v>0</v>
      </c>
      <c r="AK45" s="56"/>
    </row>
    <row r="46" spans="1:88" x14ac:dyDescent="0.25">
      <c r="A46" s="62" t="s">
        <v>54</v>
      </c>
      <c r="B46" s="70">
        <v>2</v>
      </c>
      <c r="C46" s="70">
        <v>2</v>
      </c>
      <c r="D46" s="70">
        <v>2</v>
      </c>
      <c r="E46" s="70">
        <v>2</v>
      </c>
      <c r="F46" s="70">
        <v>2</v>
      </c>
      <c r="G46" s="70">
        <v>2</v>
      </c>
      <c r="H46" s="70">
        <v>2</v>
      </c>
      <c r="I46" s="70">
        <v>2</v>
      </c>
      <c r="J46" s="70">
        <v>2</v>
      </c>
      <c r="K46" s="70">
        <v>2</v>
      </c>
      <c r="L46" s="70">
        <v>2</v>
      </c>
      <c r="M46" s="70">
        <v>2</v>
      </c>
      <c r="N46" s="70">
        <v>2</v>
      </c>
      <c r="O46" s="70">
        <v>2</v>
      </c>
      <c r="P46" s="70">
        <v>2</v>
      </c>
      <c r="Q46" s="70">
        <v>2</v>
      </c>
      <c r="R46" s="70">
        <v>2</v>
      </c>
      <c r="S46" s="70">
        <v>2</v>
      </c>
      <c r="T46" s="70">
        <v>2</v>
      </c>
      <c r="U46" s="70">
        <v>2</v>
      </c>
      <c r="V46" s="70">
        <v>2</v>
      </c>
      <c r="W46" s="70">
        <v>2</v>
      </c>
      <c r="X46" s="70">
        <v>2</v>
      </c>
      <c r="Y46" s="70">
        <v>2</v>
      </c>
      <c r="Z46" s="70">
        <v>2</v>
      </c>
      <c r="AA46" s="70">
        <v>2</v>
      </c>
      <c r="AB46" s="70">
        <v>2</v>
      </c>
      <c r="AC46" s="70">
        <v>2</v>
      </c>
      <c r="AD46" s="70">
        <v>2</v>
      </c>
      <c r="AE46" s="70">
        <v>2</v>
      </c>
      <c r="AF46" s="70">
        <v>2</v>
      </c>
      <c r="AG46" s="63">
        <v>15</v>
      </c>
      <c r="AH46" s="54">
        <f t="shared" si="2"/>
        <v>2</v>
      </c>
      <c r="AI46" s="55">
        <f t="shared" si="3"/>
        <v>2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13.5</v>
      </c>
      <c r="C47" s="70">
        <v>13.5</v>
      </c>
      <c r="D47" s="70">
        <v>13.5</v>
      </c>
      <c r="E47" s="70">
        <v>13.5</v>
      </c>
      <c r="F47" s="70">
        <v>13.5</v>
      </c>
      <c r="G47" s="70">
        <v>13.5</v>
      </c>
      <c r="H47" s="70">
        <v>13.5</v>
      </c>
      <c r="I47" s="70">
        <v>13.5</v>
      </c>
      <c r="J47" s="70">
        <v>13.5</v>
      </c>
      <c r="K47" s="70">
        <v>13.5</v>
      </c>
      <c r="L47" s="70">
        <v>13.5</v>
      </c>
      <c r="M47" s="70">
        <v>13.5</v>
      </c>
      <c r="N47" s="70">
        <v>13.5</v>
      </c>
      <c r="O47" s="70">
        <v>13.5</v>
      </c>
      <c r="P47" s="70">
        <v>13.5</v>
      </c>
      <c r="Q47" s="70">
        <v>13.5</v>
      </c>
      <c r="R47" s="70">
        <v>13.5</v>
      </c>
      <c r="S47" s="70">
        <v>13.5</v>
      </c>
      <c r="T47" s="70">
        <v>13.5</v>
      </c>
      <c r="U47" s="70">
        <v>13.5</v>
      </c>
      <c r="V47" s="70">
        <v>13.5</v>
      </c>
      <c r="W47" s="70">
        <v>13.5</v>
      </c>
      <c r="X47" s="70">
        <v>13.5</v>
      </c>
      <c r="Y47" s="70">
        <v>13.5</v>
      </c>
      <c r="Z47" s="70">
        <v>13.5</v>
      </c>
      <c r="AA47" s="70">
        <v>13.5</v>
      </c>
      <c r="AB47" s="70">
        <v>13.5</v>
      </c>
      <c r="AC47" s="70">
        <v>13.5</v>
      </c>
      <c r="AD47" s="70">
        <v>13.5</v>
      </c>
      <c r="AE47" s="70">
        <v>5</v>
      </c>
      <c r="AF47" s="70">
        <v>4.3</v>
      </c>
      <c r="AG47" s="63">
        <v>14.1</v>
      </c>
      <c r="AH47" s="54">
        <f t="shared" si="2"/>
        <v>13.5</v>
      </c>
      <c r="AI47" s="55">
        <f t="shared" si="3"/>
        <v>4.3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11</v>
      </c>
      <c r="C48" s="70">
        <v>11</v>
      </c>
      <c r="D48" s="70">
        <v>11</v>
      </c>
      <c r="E48" s="70">
        <v>11</v>
      </c>
      <c r="F48" s="70">
        <v>11</v>
      </c>
      <c r="G48" s="70">
        <v>11</v>
      </c>
      <c r="H48" s="70">
        <v>11</v>
      </c>
      <c r="I48" s="70">
        <v>11</v>
      </c>
      <c r="J48" s="70">
        <v>11</v>
      </c>
      <c r="K48" s="70">
        <v>11</v>
      </c>
      <c r="L48" s="70">
        <v>11</v>
      </c>
      <c r="M48" s="70">
        <v>11</v>
      </c>
      <c r="N48" s="70">
        <v>11</v>
      </c>
      <c r="O48" s="70">
        <v>11</v>
      </c>
      <c r="P48" s="70">
        <v>11</v>
      </c>
      <c r="Q48" s="70">
        <v>11</v>
      </c>
      <c r="R48" s="70">
        <v>11</v>
      </c>
      <c r="S48" s="70">
        <v>11</v>
      </c>
      <c r="T48" s="70">
        <v>11</v>
      </c>
      <c r="U48" s="70">
        <v>11</v>
      </c>
      <c r="V48" s="70">
        <v>11</v>
      </c>
      <c r="W48" s="70">
        <v>11</v>
      </c>
      <c r="X48" s="70">
        <v>11</v>
      </c>
      <c r="Y48" s="70">
        <v>11</v>
      </c>
      <c r="Z48" s="70">
        <v>11</v>
      </c>
      <c r="AA48" s="70">
        <v>11</v>
      </c>
      <c r="AB48" s="70">
        <v>13.3</v>
      </c>
      <c r="AC48" s="70">
        <v>13.3</v>
      </c>
      <c r="AD48" s="70">
        <v>13.3</v>
      </c>
      <c r="AE48" s="70">
        <v>13.3</v>
      </c>
      <c r="AF48" s="70">
        <v>13.3</v>
      </c>
      <c r="AG48" s="63">
        <v>14</v>
      </c>
      <c r="AH48" s="54">
        <f t="shared" si="2"/>
        <v>13.3</v>
      </c>
      <c r="AI48" s="55">
        <f t="shared" si="3"/>
        <v>11</v>
      </c>
      <c r="AK48" s="56"/>
    </row>
    <row r="49" spans="1:37" x14ac:dyDescent="0.25">
      <c r="A49" s="62" t="s">
        <v>57</v>
      </c>
      <c r="B49" s="70">
        <v>6.5</v>
      </c>
      <c r="C49" s="70">
        <v>6.5</v>
      </c>
      <c r="D49" s="70">
        <v>6.5</v>
      </c>
      <c r="E49" s="70">
        <v>6.5</v>
      </c>
      <c r="F49" s="70">
        <v>6.5</v>
      </c>
      <c r="G49" s="70">
        <v>6.5</v>
      </c>
      <c r="H49" s="70">
        <v>6.5</v>
      </c>
      <c r="I49" s="70">
        <v>6.5</v>
      </c>
      <c r="J49" s="70">
        <v>6.5</v>
      </c>
      <c r="K49" s="70">
        <v>6.5</v>
      </c>
      <c r="L49" s="70">
        <v>6.5</v>
      </c>
      <c r="M49" s="70">
        <v>6.5</v>
      </c>
      <c r="N49" s="70">
        <v>6.5</v>
      </c>
      <c r="O49" s="70">
        <v>6.5</v>
      </c>
      <c r="P49" s="70">
        <v>6.5</v>
      </c>
      <c r="Q49" s="70">
        <v>6.5</v>
      </c>
      <c r="R49" s="70">
        <v>6.5</v>
      </c>
      <c r="S49" s="70">
        <v>6.5</v>
      </c>
      <c r="T49" s="70">
        <v>6.5</v>
      </c>
      <c r="U49" s="70">
        <v>6.5</v>
      </c>
      <c r="V49" s="70">
        <v>6.5</v>
      </c>
      <c r="W49" s="70">
        <v>6.5</v>
      </c>
      <c r="X49" s="70">
        <v>6.5</v>
      </c>
      <c r="Y49" s="70">
        <v>6.5</v>
      </c>
      <c r="Z49" s="70">
        <v>6.5</v>
      </c>
      <c r="AA49" s="70">
        <v>6.5</v>
      </c>
      <c r="AB49" s="70">
        <v>6.5</v>
      </c>
      <c r="AC49" s="70">
        <v>6.5</v>
      </c>
      <c r="AD49" s="70">
        <v>6.5</v>
      </c>
      <c r="AE49" s="70">
        <v>6.5</v>
      </c>
      <c r="AF49" s="70">
        <v>6.5</v>
      </c>
      <c r="AG49" s="63">
        <v>10.050000000000001</v>
      </c>
      <c r="AH49" s="54">
        <f t="shared" si="2"/>
        <v>6.5</v>
      </c>
      <c r="AI49" s="55">
        <f t="shared" si="3"/>
        <v>6.5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70">
        <v>3.1</v>
      </c>
      <c r="R50" s="70">
        <v>3.1</v>
      </c>
      <c r="S50" s="70">
        <v>3.1</v>
      </c>
      <c r="T50" s="70">
        <v>3.1</v>
      </c>
      <c r="U50" s="70">
        <v>3.1</v>
      </c>
      <c r="V50" s="70">
        <v>3.1</v>
      </c>
      <c r="W50" s="70">
        <v>3.1</v>
      </c>
      <c r="X50" s="70">
        <v>3.1</v>
      </c>
      <c r="Y50" s="70">
        <v>3.1</v>
      </c>
      <c r="Z50" s="70">
        <v>3.1</v>
      </c>
      <c r="AA50" s="70">
        <v>3.1</v>
      </c>
      <c r="AB50" s="70">
        <v>3.1</v>
      </c>
      <c r="AC50" s="70">
        <v>3.1</v>
      </c>
      <c r="AD50" s="70">
        <v>3.1</v>
      </c>
      <c r="AE50" s="70">
        <v>3.1</v>
      </c>
      <c r="AF50" s="70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7">SUM(B39:B51)</f>
        <v>427.44</v>
      </c>
      <c r="C52" s="69">
        <f t="shared" ref="C52:AF52" si="8">SUM(C39:C51)</f>
        <v>427.44</v>
      </c>
      <c r="D52" s="69">
        <f t="shared" si="8"/>
        <v>423.14000000000004</v>
      </c>
      <c r="E52" s="69">
        <f t="shared" si="8"/>
        <v>362.44000000000005</v>
      </c>
      <c r="F52" s="69">
        <f t="shared" si="8"/>
        <v>371.84000000000003</v>
      </c>
      <c r="G52" s="69">
        <f t="shared" si="8"/>
        <v>394.94000000000005</v>
      </c>
      <c r="H52" s="69">
        <f t="shared" si="8"/>
        <v>402.34000000000003</v>
      </c>
      <c r="I52" s="69">
        <f t="shared" si="8"/>
        <v>407.24</v>
      </c>
      <c r="J52" s="69">
        <f t="shared" si="8"/>
        <v>428.14</v>
      </c>
      <c r="K52" s="69">
        <f t="shared" si="8"/>
        <v>426.84000000000003</v>
      </c>
      <c r="L52" s="69">
        <f t="shared" si="8"/>
        <v>425.14</v>
      </c>
      <c r="M52" s="69">
        <f t="shared" si="8"/>
        <v>420.14</v>
      </c>
      <c r="N52" s="69">
        <f t="shared" si="8"/>
        <v>420.14</v>
      </c>
      <c r="O52" s="69">
        <f t="shared" si="8"/>
        <v>420.14</v>
      </c>
      <c r="P52" s="69">
        <f t="shared" si="8"/>
        <v>420.14</v>
      </c>
      <c r="Q52" s="69">
        <f t="shared" si="8"/>
        <v>425.14</v>
      </c>
      <c r="R52" s="69">
        <f t="shared" si="8"/>
        <v>425.14</v>
      </c>
      <c r="S52" s="69">
        <f t="shared" si="8"/>
        <v>401.44000000000005</v>
      </c>
      <c r="T52" s="69">
        <f t="shared" si="8"/>
        <v>394.64000000000004</v>
      </c>
      <c r="U52" s="69">
        <f t="shared" si="8"/>
        <v>396.44000000000005</v>
      </c>
      <c r="V52" s="69">
        <f t="shared" si="8"/>
        <v>352.94</v>
      </c>
      <c r="W52" s="69">
        <f t="shared" si="8"/>
        <v>356.64000000000004</v>
      </c>
      <c r="X52" s="69">
        <f>SUM(X39:X51)</f>
        <v>394.24000000000007</v>
      </c>
      <c r="Y52" s="69">
        <f t="shared" si="8"/>
        <v>394.94000000000005</v>
      </c>
      <c r="Z52" s="69">
        <f t="shared" si="8"/>
        <v>394.04</v>
      </c>
      <c r="AA52" s="69">
        <f t="shared" si="8"/>
        <v>394.04</v>
      </c>
      <c r="AB52" s="69">
        <f t="shared" si="8"/>
        <v>383.84000000000003</v>
      </c>
      <c r="AC52" s="69">
        <f t="shared" si="8"/>
        <v>383.84000000000003</v>
      </c>
      <c r="AD52" s="69">
        <f t="shared" si="8"/>
        <v>383.84000000000003</v>
      </c>
      <c r="AE52" s="69">
        <f t="shared" si="8"/>
        <v>394.74</v>
      </c>
      <c r="AF52" s="69">
        <f t="shared" si="8"/>
        <v>411.44000000000005</v>
      </c>
      <c r="AG52" s="74">
        <f>SUM(AG39:AG51)</f>
        <v>489.91</v>
      </c>
      <c r="AH52" s="54">
        <f t="shared" si="2"/>
        <v>428.14</v>
      </c>
      <c r="AI52" s="55">
        <f t="shared" si="3"/>
        <v>352.94</v>
      </c>
      <c r="AK52" s="56"/>
    </row>
    <row r="53" spans="1:37" x14ac:dyDescent="0.25">
      <c r="A53" s="57" t="s">
        <v>61</v>
      </c>
      <c r="B53" s="51">
        <v>14</v>
      </c>
      <c r="C53" s="51">
        <v>14</v>
      </c>
      <c r="D53" s="51">
        <v>20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15</v>
      </c>
      <c r="K53" s="51">
        <v>14.4</v>
      </c>
      <c r="L53" s="51">
        <v>14</v>
      </c>
      <c r="M53" s="51">
        <v>44</v>
      </c>
      <c r="N53" s="51">
        <v>30</v>
      </c>
      <c r="O53" s="51">
        <v>30</v>
      </c>
      <c r="P53" s="51">
        <v>35</v>
      </c>
      <c r="Q53" s="51">
        <v>17</v>
      </c>
      <c r="R53" s="51">
        <v>20</v>
      </c>
      <c r="S53" s="51">
        <v>30.4</v>
      </c>
      <c r="T53" s="51">
        <v>55</v>
      </c>
      <c r="U53" s="51">
        <v>50.2</v>
      </c>
      <c r="V53" s="51">
        <v>40.1</v>
      </c>
      <c r="W53" s="51">
        <v>55</v>
      </c>
      <c r="X53" s="51">
        <v>54.1</v>
      </c>
      <c r="Y53" s="51">
        <v>60</v>
      </c>
      <c r="Z53" s="51">
        <v>60</v>
      </c>
      <c r="AA53" s="51">
        <v>60</v>
      </c>
      <c r="AB53" s="51">
        <v>60</v>
      </c>
      <c r="AC53" s="51">
        <v>60</v>
      </c>
      <c r="AD53" s="51">
        <v>60</v>
      </c>
      <c r="AE53" s="51">
        <v>60</v>
      </c>
      <c r="AF53" s="51">
        <v>40</v>
      </c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9.8000000000000007</v>
      </c>
      <c r="C54" s="70">
        <v>9.8000000000000007</v>
      </c>
      <c r="D54" s="70">
        <v>9.4</v>
      </c>
      <c r="E54" s="70">
        <v>0</v>
      </c>
      <c r="F54" s="70">
        <v>0</v>
      </c>
      <c r="G54" s="70">
        <v>0</v>
      </c>
      <c r="H54" s="70">
        <v>0</v>
      </c>
      <c r="I54" s="70">
        <v>0</v>
      </c>
      <c r="J54" s="70">
        <v>5.3</v>
      </c>
      <c r="K54" s="70">
        <v>6.5</v>
      </c>
      <c r="L54" s="70">
        <v>5</v>
      </c>
      <c r="M54" s="70">
        <v>17</v>
      </c>
      <c r="N54" s="70">
        <v>12</v>
      </c>
      <c r="O54" s="70">
        <v>12</v>
      </c>
      <c r="P54" s="70">
        <v>17</v>
      </c>
      <c r="Q54" s="70">
        <v>14</v>
      </c>
      <c r="R54" s="70">
        <v>14</v>
      </c>
      <c r="S54" s="70">
        <v>17.399999999999999</v>
      </c>
      <c r="T54" s="70">
        <v>25.1</v>
      </c>
      <c r="U54" s="70">
        <v>25.3</v>
      </c>
      <c r="V54" s="70">
        <v>30</v>
      </c>
      <c r="W54" s="70">
        <v>30.4</v>
      </c>
      <c r="X54" s="70">
        <v>27.2</v>
      </c>
      <c r="Y54" s="70">
        <v>23.3</v>
      </c>
      <c r="Z54" s="70">
        <v>31.3</v>
      </c>
      <c r="AA54" s="70">
        <v>31.3</v>
      </c>
      <c r="AB54" s="70">
        <v>31.4</v>
      </c>
      <c r="AC54" s="70">
        <v>31.3</v>
      </c>
      <c r="AD54" s="70">
        <v>31.4</v>
      </c>
      <c r="AE54" s="70">
        <v>31.2</v>
      </c>
      <c r="AF54" s="70">
        <v>21.3</v>
      </c>
      <c r="AG54" s="63">
        <v>32</v>
      </c>
      <c r="AH54" s="54">
        <f t="shared" si="2"/>
        <v>31.4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3.6</v>
      </c>
      <c r="C55" s="75">
        <v>3.6</v>
      </c>
      <c r="D55" s="75">
        <v>3.4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1.9</v>
      </c>
      <c r="K55" s="75">
        <v>2.4</v>
      </c>
      <c r="L55" s="75">
        <v>1.8</v>
      </c>
      <c r="M55" s="75">
        <v>8</v>
      </c>
      <c r="N55" s="75">
        <v>5</v>
      </c>
      <c r="O55" s="75">
        <v>5</v>
      </c>
      <c r="P55" s="75">
        <v>6</v>
      </c>
      <c r="Q55" s="75">
        <v>5</v>
      </c>
      <c r="R55" s="75">
        <v>5.2</v>
      </c>
      <c r="S55" s="75">
        <v>6.3</v>
      </c>
      <c r="T55" s="75">
        <v>9.3000000000000007</v>
      </c>
      <c r="U55" s="75">
        <v>9.1999999999999993</v>
      </c>
      <c r="V55" s="75">
        <v>10.9</v>
      </c>
      <c r="W55" s="75">
        <v>11.1</v>
      </c>
      <c r="X55" s="75">
        <v>9.9</v>
      </c>
      <c r="Y55" s="75">
        <v>8.5</v>
      </c>
      <c r="Z55" s="75">
        <v>11.4</v>
      </c>
      <c r="AA55" s="75">
        <v>11.4</v>
      </c>
      <c r="AB55" s="75">
        <v>11.5</v>
      </c>
      <c r="AC55" s="75">
        <v>11.4</v>
      </c>
      <c r="AD55" s="75">
        <v>11.5</v>
      </c>
      <c r="AE55" s="75">
        <v>11.4</v>
      </c>
      <c r="AF55" s="75">
        <v>8.5</v>
      </c>
      <c r="AG55" s="76">
        <v>14</v>
      </c>
      <c r="AH55" s="54">
        <f t="shared" si="2"/>
        <v>11.5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9">SUM(B53:B55)</f>
        <v>27.400000000000002</v>
      </c>
      <c r="C56" s="69">
        <f t="shared" ref="C56:AF56" si="10">SUM(C53:C55)</f>
        <v>27.400000000000002</v>
      </c>
      <c r="D56" s="69">
        <f t="shared" si="10"/>
        <v>32.799999999999997</v>
      </c>
      <c r="E56" s="69">
        <f t="shared" si="10"/>
        <v>0</v>
      </c>
      <c r="F56" s="69">
        <f t="shared" si="10"/>
        <v>0</v>
      </c>
      <c r="G56" s="69">
        <f t="shared" si="10"/>
        <v>0</v>
      </c>
      <c r="H56" s="69">
        <f t="shared" si="10"/>
        <v>0</v>
      </c>
      <c r="I56" s="69">
        <f t="shared" si="10"/>
        <v>0</v>
      </c>
      <c r="J56" s="69">
        <f t="shared" si="10"/>
        <v>22.2</v>
      </c>
      <c r="K56" s="69">
        <f t="shared" si="10"/>
        <v>23.299999999999997</v>
      </c>
      <c r="L56" s="69">
        <f t="shared" si="10"/>
        <v>20.8</v>
      </c>
      <c r="M56" s="69">
        <f t="shared" si="10"/>
        <v>69</v>
      </c>
      <c r="N56" s="69">
        <f t="shared" si="10"/>
        <v>47</v>
      </c>
      <c r="O56" s="69">
        <f t="shared" si="10"/>
        <v>47</v>
      </c>
      <c r="P56" s="69">
        <f t="shared" si="10"/>
        <v>58</v>
      </c>
      <c r="Q56" s="69">
        <f t="shared" si="10"/>
        <v>36</v>
      </c>
      <c r="R56" s="69">
        <f t="shared" si="10"/>
        <v>39.200000000000003</v>
      </c>
      <c r="S56" s="69">
        <f t="shared" si="10"/>
        <v>54.099999999999994</v>
      </c>
      <c r="T56" s="69">
        <f t="shared" si="10"/>
        <v>89.399999999999991</v>
      </c>
      <c r="U56" s="69">
        <f t="shared" si="10"/>
        <v>84.7</v>
      </c>
      <c r="V56" s="69">
        <f t="shared" si="10"/>
        <v>81</v>
      </c>
      <c r="W56" s="69">
        <f t="shared" si="10"/>
        <v>96.5</v>
      </c>
      <c r="X56" s="69">
        <f t="shared" si="10"/>
        <v>91.2</v>
      </c>
      <c r="Y56" s="69">
        <f t="shared" si="10"/>
        <v>91.8</v>
      </c>
      <c r="Z56" s="69">
        <f t="shared" si="10"/>
        <v>102.7</v>
      </c>
      <c r="AA56" s="69">
        <f t="shared" si="10"/>
        <v>102.7</v>
      </c>
      <c r="AB56" s="69">
        <f t="shared" si="10"/>
        <v>102.9</v>
      </c>
      <c r="AC56" s="69">
        <f t="shared" si="10"/>
        <v>102.7</v>
      </c>
      <c r="AD56" s="69">
        <f t="shared" si="10"/>
        <v>102.9</v>
      </c>
      <c r="AE56" s="69">
        <f t="shared" si="10"/>
        <v>102.60000000000001</v>
      </c>
      <c r="AF56" s="69">
        <f t="shared" si="10"/>
        <v>69.8</v>
      </c>
      <c r="AG56" s="74">
        <f>SUM(AG53:AG55)</f>
        <v>106</v>
      </c>
      <c r="AH56" s="54">
        <f t="shared" si="2"/>
        <v>102.9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78.5</v>
      </c>
      <c r="C57" s="51">
        <v>75.5</v>
      </c>
      <c r="D57" s="51">
        <v>75.22</v>
      </c>
      <c r="E57" s="51">
        <v>60</v>
      </c>
      <c r="F57" s="51">
        <v>60</v>
      </c>
      <c r="G57" s="51">
        <v>62.07</v>
      </c>
      <c r="H57" s="51">
        <v>60</v>
      </c>
      <c r="I57" s="51">
        <v>55.2</v>
      </c>
      <c r="J57" s="51">
        <v>68.900000000000006</v>
      </c>
      <c r="K57" s="51">
        <v>62.4</v>
      </c>
      <c r="L57" s="51">
        <v>61.75</v>
      </c>
      <c r="M57" s="51">
        <v>65</v>
      </c>
      <c r="N57" s="51">
        <v>73</v>
      </c>
      <c r="O57" s="51">
        <v>73</v>
      </c>
      <c r="P57" s="51">
        <v>73</v>
      </c>
      <c r="Q57" s="51">
        <v>73</v>
      </c>
      <c r="R57" s="51">
        <v>74</v>
      </c>
      <c r="S57" s="51">
        <v>70.099999999999994</v>
      </c>
      <c r="T57" s="51">
        <v>71.400000000000006</v>
      </c>
      <c r="U57" s="51">
        <v>71.7</v>
      </c>
      <c r="V57" s="51">
        <v>72.7</v>
      </c>
      <c r="W57" s="51">
        <v>75.599999999999994</v>
      </c>
      <c r="X57" s="51">
        <v>72.099999999999994</v>
      </c>
      <c r="Y57" s="51">
        <v>74.900000000000006</v>
      </c>
      <c r="Z57" s="51">
        <v>56.4</v>
      </c>
      <c r="AA57" s="51">
        <v>52.5</v>
      </c>
      <c r="AB57" s="51">
        <v>60</v>
      </c>
      <c r="AC57" s="51">
        <v>62.6</v>
      </c>
      <c r="AD57" s="51">
        <v>62.4</v>
      </c>
      <c r="AE57" s="51">
        <v>58.9</v>
      </c>
      <c r="AF57" s="51">
        <v>57.8</v>
      </c>
      <c r="AG57" s="59"/>
      <c r="AH57" s="54">
        <f t="shared" si="2"/>
        <v>78.5</v>
      </c>
      <c r="AI57" s="55">
        <f t="shared" si="3"/>
        <v>52.5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-318</v>
      </c>
      <c r="C59" s="70">
        <v>-328.5</v>
      </c>
      <c r="D59" s="70">
        <v>-340</v>
      </c>
      <c r="E59" s="70">
        <v>-320</v>
      </c>
      <c r="F59" s="70">
        <v>-321</v>
      </c>
      <c r="G59" s="70">
        <v>-319</v>
      </c>
      <c r="H59" s="70">
        <v>-286.8</v>
      </c>
      <c r="I59" s="70">
        <v>-302</v>
      </c>
      <c r="J59" s="70">
        <v>-302.2</v>
      </c>
      <c r="K59" s="70">
        <v>-282.3</v>
      </c>
      <c r="L59" s="70">
        <v>-275.2</v>
      </c>
      <c r="M59" s="70">
        <v>-287</v>
      </c>
      <c r="N59" s="70">
        <v>-288</v>
      </c>
      <c r="O59" s="70">
        <v>-292</v>
      </c>
      <c r="P59" s="70">
        <v>-300</v>
      </c>
      <c r="Q59" s="70">
        <v>-278</v>
      </c>
      <c r="R59" s="70">
        <v>-300</v>
      </c>
      <c r="S59" s="70">
        <v>-278</v>
      </c>
      <c r="T59" s="70">
        <v>-287.5</v>
      </c>
      <c r="U59" s="70">
        <v>-286.7</v>
      </c>
      <c r="V59" s="70">
        <v>-290.5</v>
      </c>
      <c r="W59" s="70">
        <v>-295</v>
      </c>
      <c r="X59" s="70">
        <v>-300.2</v>
      </c>
      <c r="Y59" s="70">
        <v>-279.2</v>
      </c>
      <c r="Z59" s="70">
        <v>-210.2</v>
      </c>
      <c r="AA59" s="70">
        <v>-190.6</v>
      </c>
      <c r="AB59" s="70">
        <v>-215</v>
      </c>
      <c r="AC59" s="70">
        <v>-235.3</v>
      </c>
      <c r="AD59" s="70">
        <v>-269.2</v>
      </c>
      <c r="AE59" s="70">
        <v>-298</v>
      </c>
      <c r="AF59" s="70">
        <v>-330</v>
      </c>
      <c r="AG59" s="77"/>
      <c r="AH59" s="54">
        <f t="shared" si="2"/>
        <v>-190.6</v>
      </c>
      <c r="AI59" s="55">
        <f t="shared" si="3"/>
        <v>-340</v>
      </c>
      <c r="AK59" s="56"/>
    </row>
    <row r="60" spans="1:37" x14ac:dyDescent="0.25">
      <c r="A60" s="62" t="s">
        <v>68</v>
      </c>
      <c r="B60" s="78">
        <v>14</v>
      </c>
      <c r="C60" s="78">
        <v>14</v>
      </c>
      <c r="D60" s="78">
        <v>14</v>
      </c>
      <c r="E60" s="78">
        <v>14</v>
      </c>
      <c r="F60" s="78">
        <v>14</v>
      </c>
      <c r="G60" s="78">
        <v>14</v>
      </c>
      <c r="H60" s="78">
        <v>14</v>
      </c>
      <c r="I60" s="78">
        <v>14</v>
      </c>
      <c r="J60" s="78">
        <v>14</v>
      </c>
      <c r="K60" s="78">
        <v>14</v>
      </c>
      <c r="L60" s="78">
        <v>14</v>
      </c>
      <c r="M60" s="78">
        <v>14</v>
      </c>
      <c r="N60" s="78">
        <v>14</v>
      </c>
      <c r="O60" s="78">
        <v>14</v>
      </c>
      <c r="P60" s="78">
        <v>14</v>
      </c>
      <c r="Q60" s="78">
        <v>33.6</v>
      </c>
      <c r="R60" s="78">
        <v>34</v>
      </c>
      <c r="S60" s="78">
        <v>34.6</v>
      </c>
      <c r="T60" s="78">
        <v>34.6</v>
      </c>
      <c r="U60" s="78">
        <v>35.200000000000003</v>
      </c>
      <c r="V60" s="78">
        <v>35</v>
      </c>
      <c r="W60" s="78">
        <v>34.1</v>
      </c>
      <c r="X60" s="78">
        <v>34.1</v>
      </c>
      <c r="Y60" s="78">
        <v>30.3</v>
      </c>
      <c r="Z60" s="78">
        <v>30.2</v>
      </c>
      <c r="AA60" s="78">
        <v>25.2</v>
      </c>
      <c r="AB60" s="78">
        <v>24</v>
      </c>
      <c r="AC60" s="78">
        <v>23</v>
      </c>
      <c r="AD60" s="78">
        <v>24</v>
      </c>
      <c r="AE60" s="78">
        <v>25</v>
      </c>
      <c r="AF60" s="78">
        <v>25</v>
      </c>
      <c r="AG60" s="77"/>
      <c r="AH60" s="54">
        <f t="shared" si="2"/>
        <v>35.200000000000003</v>
      </c>
      <c r="AI60" s="55">
        <f t="shared" si="3"/>
        <v>14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4.5</v>
      </c>
      <c r="C62" s="79">
        <v>4.5</v>
      </c>
      <c r="D62" s="79">
        <v>4.5</v>
      </c>
      <c r="E62" s="79">
        <v>4.5</v>
      </c>
      <c r="F62" s="79">
        <v>4.5</v>
      </c>
      <c r="G62" s="79">
        <v>4.5</v>
      </c>
      <c r="H62" s="79">
        <v>4.5</v>
      </c>
      <c r="I62" s="79">
        <v>4.5</v>
      </c>
      <c r="J62" s="79">
        <v>4.5</v>
      </c>
      <c r="K62" s="79">
        <v>4.5</v>
      </c>
      <c r="L62" s="79">
        <v>4.5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4.5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9">
        <v>0</v>
      </c>
      <c r="AF64" s="79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9">
        <v>0</v>
      </c>
      <c r="AF65" s="79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79">
        <v>0</v>
      </c>
      <c r="AF66" s="79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79">
        <v>0</v>
      </c>
      <c r="AF67" s="79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1">SUM(B57:B67)</f>
        <v>-221</v>
      </c>
      <c r="C68" s="69">
        <f t="shared" ref="C68:AF68" si="12">SUM(C57:C67)</f>
        <v>-234.5</v>
      </c>
      <c r="D68" s="69">
        <f t="shared" si="12"/>
        <v>-246.27999999999997</v>
      </c>
      <c r="E68" s="69">
        <f t="shared" si="12"/>
        <v>-241.5</v>
      </c>
      <c r="F68" s="69">
        <f t="shared" si="12"/>
        <v>-242.5</v>
      </c>
      <c r="G68" s="69">
        <f t="shared" si="12"/>
        <v>-238.43</v>
      </c>
      <c r="H68" s="69">
        <f t="shared" si="12"/>
        <v>-208.3</v>
      </c>
      <c r="I68" s="69">
        <f t="shared" si="12"/>
        <v>-228.3</v>
      </c>
      <c r="J68" s="69">
        <f t="shared" si="12"/>
        <v>-214.79999999999998</v>
      </c>
      <c r="K68" s="69">
        <f t="shared" si="12"/>
        <v>-201.4</v>
      </c>
      <c r="L68" s="69">
        <f t="shared" si="12"/>
        <v>-194.95</v>
      </c>
      <c r="M68" s="69">
        <f t="shared" si="12"/>
        <v>-200</v>
      </c>
      <c r="N68" s="69">
        <f t="shared" si="12"/>
        <v>-193</v>
      </c>
      <c r="O68" s="69">
        <f t="shared" si="12"/>
        <v>-197</v>
      </c>
      <c r="P68" s="69">
        <f t="shared" si="12"/>
        <v>-205</v>
      </c>
      <c r="Q68" s="69">
        <f t="shared" si="12"/>
        <v>-163.4</v>
      </c>
      <c r="R68" s="69">
        <f t="shared" si="12"/>
        <v>-184</v>
      </c>
      <c r="S68" s="69">
        <f t="shared" si="12"/>
        <v>-165.3</v>
      </c>
      <c r="T68" s="69">
        <f t="shared" si="12"/>
        <v>-173.5</v>
      </c>
      <c r="U68" s="69">
        <f t="shared" si="12"/>
        <v>-171.8</v>
      </c>
      <c r="V68" s="69">
        <f>SUM(V57:V67)</f>
        <v>-174.8</v>
      </c>
      <c r="W68" s="69">
        <f t="shared" si="12"/>
        <v>-177.3</v>
      </c>
      <c r="X68" s="69">
        <f t="shared" si="12"/>
        <v>-186</v>
      </c>
      <c r="Y68" s="69">
        <f t="shared" si="12"/>
        <v>-165.99999999999997</v>
      </c>
      <c r="Z68" s="69">
        <f t="shared" si="12"/>
        <v>-115.59999999999998</v>
      </c>
      <c r="AA68" s="69">
        <f t="shared" si="12"/>
        <v>-104.89999999999999</v>
      </c>
      <c r="AB68" s="69">
        <f t="shared" si="12"/>
        <v>-123</v>
      </c>
      <c r="AC68" s="69">
        <f t="shared" si="12"/>
        <v>-141.70000000000002</v>
      </c>
      <c r="AD68" s="69">
        <f t="shared" si="12"/>
        <v>-174.79999999999998</v>
      </c>
      <c r="AE68" s="69">
        <f t="shared" si="12"/>
        <v>-206.1</v>
      </c>
      <c r="AF68" s="69">
        <f t="shared" si="12"/>
        <v>-239.2</v>
      </c>
      <c r="AG68" s="74">
        <f>SUM(AG57:AG67)</f>
        <v>0</v>
      </c>
      <c r="AH68" s="54">
        <f t="shared" si="2"/>
        <v>-104.89999999999999</v>
      </c>
      <c r="AI68" s="55">
        <f t="shared" si="3"/>
        <v>-246.27999999999997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3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>
        <v>25</v>
      </c>
      <c r="D74" s="86">
        <v>20</v>
      </c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>
        <v>50</v>
      </c>
      <c r="W74" s="86"/>
      <c r="X74" s="86"/>
      <c r="Y74" s="86"/>
      <c r="Z74" s="86">
        <v>40</v>
      </c>
      <c r="AA74" s="86">
        <v>40</v>
      </c>
      <c r="AB74" s="86">
        <v>40</v>
      </c>
      <c r="AC74" s="86">
        <v>40</v>
      </c>
      <c r="AD74" s="86">
        <v>60</v>
      </c>
      <c r="AE74" s="86">
        <v>60</v>
      </c>
      <c r="AF74" s="86">
        <v>60</v>
      </c>
      <c r="AG74" s="74"/>
      <c r="AH74" s="54">
        <f t="shared" si="2"/>
        <v>60</v>
      </c>
      <c r="AI74" s="55">
        <f t="shared" si="3"/>
        <v>20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4">B72+B68+B56+B52+B38+B74</f>
        <v>1322.54</v>
      </c>
      <c r="C75" s="84">
        <f t="shared" ref="C75:AF75" si="15">C72+C68+C56+C52+C38+C74</f>
        <v>1311.84</v>
      </c>
      <c r="D75" s="84">
        <f t="shared" si="15"/>
        <v>1387.0600000000002</v>
      </c>
      <c r="E75" s="84">
        <f t="shared" si="15"/>
        <v>1249.2400000000002</v>
      </c>
      <c r="F75" s="84">
        <f t="shared" si="15"/>
        <v>1241.6400000000003</v>
      </c>
      <c r="G75" s="84">
        <f t="shared" si="15"/>
        <v>1243.51</v>
      </c>
      <c r="H75" s="84">
        <f t="shared" si="15"/>
        <v>1252.04</v>
      </c>
      <c r="I75" s="84">
        <f t="shared" si="15"/>
        <v>1279.6399999999999</v>
      </c>
      <c r="J75" s="84">
        <f t="shared" si="15"/>
        <v>1352.04</v>
      </c>
      <c r="K75" s="84">
        <f t="shared" si="15"/>
        <v>1365.24</v>
      </c>
      <c r="L75" s="84">
        <f t="shared" si="15"/>
        <v>1407.7900000000002</v>
      </c>
      <c r="M75" s="84">
        <f t="shared" si="15"/>
        <v>1445.94</v>
      </c>
      <c r="N75" s="84">
        <f t="shared" si="15"/>
        <v>1427.94</v>
      </c>
      <c r="O75" s="84">
        <f t="shared" si="15"/>
        <v>1423.94</v>
      </c>
      <c r="P75" s="84">
        <f t="shared" si="15"/>
        <v>1426.94</v>
      </c>
      <c r="Q75" s="84">
        <f t="shared" si="15"/>
        <v>1451.5400000000002</v>
      </c>
      <c r="R75" s="84">
        <f t="shared" si="15"/>
        <v>1434.14</v>
      </c>
      <c r="S75" s="84">
        <f t="shared" si="15"/>
        <v>1434.74</v>
      </c>
      <c r="T75" s="84">
        <f t="shared" si="15"/>
        <v>1454.44</v>
      </c>
      <c r="U75" s="84">
        <f t="shared" si="15"/>
        <v>1447.2400000000002</v>
      </c>
      <c r="V75" s="84">
        <f t="shared" si="15"/>
        <v>1452.3400000000001</v>
      </c>
      <c r="W75" s="84">
        <f t="shared" si="15"/>
        <v>1418.04</v>
      </c>
      <c r="X75" s="84">
        <f t="shared" si="15"/>
        <v>1420.64</v>
      </c>
      <c r="Y75" s="84">
        <f t="shared" si="15"/>
        <v>1429.0400000000002</v>
      </c>
      <c r="Z75" s="84">
        <f t="shared" si="15"/>
        <v>1469.0400000000002</v>
      </c>
      <c r="AA75" s="84">
        <f t="shared" si="15"/>
        <v>1569.8400000000001</v>
      </c>
      <c r="AB75" s="84">
        <f t="shared" si="15"/>
        <v>1541.74</v>
      </c>
      <c r="AC75" s="84">
        <f t="shared" si="15"/>
        <v>1508.8400000000001</v>
      </c>
      <c r="AD75" s="84">
        <f t="shared" si="15"/>
        <v>1495.94</v>
      </c>
      <c r="AE75" s="84">
        <f t="shared" si="15"/>
        <v>1489.24</v>
      </c>
      <c r="AF75" s="84">
        <f t="shared" si="15"/>
        <v>1449.44</v>
      </c>
      <c r="AG75" s="74">
        <f>AG72+AG68+AG56+AG52+AG38+AG74</f>
        <v>2144.14</v>
      </c>
      <c r="AH75" s="54">
        <f t="shared" si="2"/>
        <v>1569.8400000000001</v>
      </c>
      <c r="AI75" s="55">
        <f t="shared" si="3"/>
        <v>1241.6400000000003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6">MAX(B76:AF76)</f>
        <v>0</v>
      </c>
      <c r="AI76" s="55">
        <f t="shared" ref="AI76:AI91" si="17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6"/>
        <v>0</v>
      </c>
      <c r="AI77" s="55">
        <f t="shared" si="17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6"/>
        <v>0</v>
      </c>
      <c r="AI78" s="55">
        <f t="shared" si="17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6"/>
        <v>0</v>
      </c>
      <c r="AI79" s="55">
        <f t="shared" si="17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6"/>
        <v>0</v>
      </c>
      <c r="AI80" s="55">
        <f t="shared" si="17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>
        <v>0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6"/>
        <v>0</v>
      </c>
      <c r="AI81" s="55">
        <f t="shared" si="17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8">SUM(AG76:AG81)</f>
        <v>0</v>
      </c>
      <c r="AH82" s="54">
        <f t="shared" si="16"/>
        <v>0</v>
      </c>
      <c r="AI82" s="55">
        <f t="shared" si="17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19">SUM(B70:B82)</f>
        <v>2524.4299999999998</v>
      </c>
      <c r="C83" s="69">
        <f t="shared" ref="C83:AG83" si="20">SUM(C70:C82)</f>
        <v>2538.7299999999996</v>
      </c>
      <c r="D83" s="69">
        <f t="shared" si="20"/>
        <v>2608.9499999999998</v>
      </c>
      <c r="E83" s="69">
        <f t="shared" si="20"/>
        <v>2451.13</v>
      </c>
      <c r="F83" s="69">
        <f t="shared" si="20"/>
        <v>2443.5300000000002</v>
      </c>
      <c r="G83" s="69">
        <f t="shared" si="20"/>
        <v>2445.3999999999996</v>
      </c>
      <c r="H83" s="69">
        <f t="shared" si="20"/>
        <v>2453.9299999999998</v>
      </c>
      <c r="I83" s="69">
        <f t="shared" si="20"/>
        <v>2481.5299999999997</v>
      </c>
      <c r="J83" s="69">
        <f t="shared" si="20"/>
        <v>2553.9299999999998</v>
      </c>
      <c r="K83" s="69">
        <f t="shared" si="20"/>
        <v>2567.13</v>
      </c>
      <c r="L83" s="69">
        <f t="shared" si="20"/>
        <v>2609.6800000000003</v>
      </c>
      <c r="M83" s="69">
        <f t="shared" si="20"/>
        <v>2647.83</v>
      </c>
      <c r="N83" s="69">
        <f t="shared" si="20"/>
        <v>2629.83</v>
      </c>
      <c r="O83" s="69">
        <f t="shared" si="20"/>
        <v>2625.83</v>
      </c>
      <c r="P83" s="69">
        <f t="shared" si="20"/>
        <v>2628.83</v>
      </c>
      <c r="Q83" s="69">
        <f t="shared" si="20"/>
        <v>2653.4300000000003</v>
      </c>
      <c r="R83" s="69">
        <f t="shared" si="20"/>
        <v>2636.0299999999997</v>
      </c>
      <c r="S83" s="69">
        <f t="shared" si="20"/>
        <v>2636.63</v>
      </c>
      <c r="T83" s="69">
        <f t="shared" si="20"/>
        <v>2656.33</v>
      </c>
      <c r="U83" s="69">
        <f t="shared" si="20"/>
        <v>2649.13</v>
      </c>
      <c r="V83" s="69">
        <f t="shared" si="20"/>
        <v>2704.23</v>
      </c>
      <c r="W83" s="69">
        <f t="shared" si="20"/>
        <v>2619.9299999999998</v>
      </c>
      <c r="X83" s="69">
        <f t="shared" si="20"/>
        <v>2622.5299999999997</v>
      </c>
      <c r="Y83" s="69">
        <f t="shared" si="20"/>
        <v>2630.9300000000003</v>
      </c>
      <c r="Z83" s="69">
        <f t="shared" si="20"/>
        <v>2710.9300000000003</v>
      </c>
      <c r="AA83" s="69">
        <f t="shared" si="20"/>
        <v>2811.73</v>
      </c>
      <c r="AB83" s="69">
        <f t="shared" si="20"/>
        <v>2783.63</v>
      </c>
      <c r="AC83" s="69">
        <f t="shared" si="20"/>
        <v>2750.73</v>
      </c>
      <c r="AD83" s="69">
        <f t="shared" si="20"/>
        <v>2757.83</v>
      </c>
      <c r="AE83" s="69">
        <f t="shared" si="20"/>
        <v>2751.13</v>
      </c>
      <c r="AF83" s="69">
        <f t="shared" si="20"/>
        <v>2711.33</v>
      </c>
      <c r="AG83" s="74">
        <f t="shared" si="20"/>
        <v>4360.08</v>
      </c>
      <c r="AH83" s="54">
        <f t="shared" si="16"/>
        <v>2811.73</v>
      </c>
      <c r="AI83" s="55">
        <f t="shared" si="17"/>
        <v>2443.5300000000002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50.057000000000002</v>
      </c>
      <c r="C84" s="90">
        <v>50.04</v>
      </c>
      <c r="D84" s="90">
        <v>50.067999999999998</v>
      </c>
      <c r="E84" s="90">
        <v>50.06</v>
      </c>
      <c r="F84" s="90">
        <v>50.01</v>
      </c>
      <c r="G84" s="90">
        <v>49.942</v>
      </c>
      <c r="H84" s="90">
        <v>49.930999999999997</v>
      </c>
      <c r="I84" s="90">
        <v>49.759</v>
      </c>
      <c r="J84" s="90">
        <v>49.701000000000001</v>
      </c>
      <c r="K84" s="90">
        <v>50.012999999999998</v>
      </c>
      <c r="L84" s="90">
        <v>50.094999999999999</v>
      </c>
      <c r="M84" s="90">
        <v>50.030999999999999</v>
      </c>
      <c r="N84" s="90">
        <v>50.030999999999999</v>
      </c>
      <c r="O84" s="90">
        <v>50.030999999999999</v>
      </c>
      <c r="P84" s="90">
        <v>50.012999999999998</v>
      </c>
      <c r="Q84" s="90">
        <v>50.012999999999998</v>
      </c>
      <c r="R84" s="90">
        <v>49.941000000000003</v>
      </c>
      <c r="S84" s="90">
        <v>50.045999999999999</v>
      </c>
      <c r="T84" s="90">
        <v>49.997</v>
      </c>
      <c r="U84" s="90">
        <v>50.042000000000002</v>
      </c>
      <c r="V84" s="90">
        <v>50.003</v>
      </c>
      <c r="W84" s="90">
        <v>49.99</v>
      </c>
      <c r="X84" s="90">
        <v>49.973999999999997</v>
      </c>
      <c r="Y84" s="90">
        <v>49.984999999999999</v>
      </c>
      <c r="Z84" s="90">
        <v>50.048999999999999</v>
      </c>
      <c r="AA84" s="90">
        <v>50.058999999999997</v>
      </c>
      <c r="AB84" s="90">
        <v>50.045000000000002</v>
      </c>
      <c r="AC84" s="90">
        <v>50.054000000000002</v>
      </c>
      <c r="AD84" s="90">
        <v>50.027000000000001</v>
      </c>
      <c r="AE84" s="90">
        <v>50.052999999999997</v>
      </c>
      <c r="AF84" s="90">
        <v>49.97</v>
      </c>
      <c r="AG84" s="91"/>
      <c r="AH84" s="54">
        <f t="shared" si="16"/>
        <v>50.094999999999999</v>
      </c>
      <c r="AI84" s="55">
        <f t="shared" si="17"/>
        <v>49.701000000000001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124.7</v>
      </c>
      <c r="C85" s="70">
        <v>130.19999999999999</v>
      </c>
      <c r="D85" s="70">
        <v>125.1</v>
      </c>
      <c r="E85" s="70">
        <v>124</v>
      </c>
      <c r="F85" s="70">
        <v>125.1</v>
      </c>
      <c r="G85" s="70">
        <v>123.7</v>
      </c>
      <c r="H85" s="70">
        <v>123.5</v>
      </c>
      <c r="I85" s="70">
        <v>123</v>
      </c>
      <c r="J85" s="70">
        <v>122.6</v>
      </c>
      <c r="K85" s="70">
        <v>123.7</v>
      </c>
      <c r="L85" s="70">
        <v>123.1</v>
      </c>
      <c r="M85" s="70">
        <v>123.1</v>
      </c>
      <c r="N85" s="70">
        <v>123.1</v>
      </c>
      <c r="O85" s="70">
        <v>123.1</v>
      </c>
      <c r="P85" s="70">
        <v>122.7</v>
      </c>
      <c r="Q85" s="70">
        <v>122.7</v>
      </c>
      <c r="R85" s="70">
        <v>120</v>
      </c>
      <c r="S85" s="70">
        <v>123.2</v>
      </c>
      <c r="T85" s="70">
        <v>121.8</v>
      </c>
      <c r="U85" s="70">
        <v>121.6</v>
      </c>
      <c r="V85" s="70">
        <v>124.7</v>
      </c>
      <c r="W85" s="70">
        <v>126.4</v>
      </c>
      <c r="X85" s="70">
        <v>126.5</v>
      </c>
      <c r="Y85" s="70">
        <v>124.7</v>
      </c>
      <c r="Z85" s="70">
        <v>125.6</v>
      </c>
      <c r="AA85" s="70">
        <v>123.6</v>
      </c>
      <c r="AB85" s="70">
        <v>124</v>
      </c>
      <c r="AC85" s="70">
        <v>124.7</v>
      </c>
      <c r="AD85" s="70">
        <v>124.8</v>
      </c>
      <c r="AE85" s="70">
        <v>124.7</v>
      </c>
      <c r="AF85" s="70">
        <v>124.5</v>
      </c>
      <c r="AG85" s="93"/>
      <c r="AH85" s="54">
        <f t="shared" si="16"/>
        <v>130.19999999999999</v>
      </c>
      <c r="AI85" s="55">
        <f t="shared" si="17"/>
        <v>120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</v>
      </c>
      <c r="C86" s="70">
        <v>133.5</v>
      </c>
      <c r="D86" s="70">
        <v>130</v>
      </c>
      <c r="E86" s="70">
        <v>129</v>
      </c>
      <c r="F86" s="70">
        <v>130</v>
      </c>
      <c r="G86" s="70">
        <v>128.19999999999999</v>
      </c>
      <c r="H86" s="70">
        <v>127.8</v>
      </c>
      <c r="I86" s="70">
        <v>127.7</v>
      </c>
      <c r="J86" s="70">
        <v>127.1</v>
      </c>
      <c r="K86" s="70">
        <v>127.5</v>
      </c>
      <c r="L86" s="70">
        <v>126.6</v>
      </c>
      <c r="M86" s="70">
        <v>126.6</v>
      </c>
      <c r="N86" s="70">
        <v>126.6</v>
      </c>
      <c r="O86" s="70">
        <v>126.6</v>
      </c>
      <c r="P86" s="70">
        <v>126</v>
      </c>
      <c r="Q86" s="70">
        <v>126</v>
      </c>
      <c r="R86" s="70">
        <v>125</v>
      </c>
      <c r="S86" s="70">
        <v>127</v>
      </c>
      <c r="T86" s="70">
        <v>125.1</v>
      </c>
      <c r="U86" s="70">
        <v>125.4</v>
      </c>
      <c r="V86" s="70">
        <v>128</v>
      </c>
      <c r="W86" s="70">
        <v>129.4</v>
      </c>
      <c r="X86" s="70">
        <v>129.19999999999999</v>
      </c>
      <c r="Y86" s="70">
        <v>128</v>
      </c>
      <c r="Z86" s="70">
        <v>128.4</v>
      </c>
      <c r="AA86" s="70">
        <v>127</v>
      </c>
      <c r="AB86" s="70">
        <v>127.7</v>
      </c>
      <c r="AC86" s="70">
        <v>128.4</v>
      </c>
      <c r="AD86" s="70">
        <v>128.80000000000001</v>
      </c>
      <c r="AE86" s="70">
        <v>129.30000000000001</v>
      </c>
      <c r="AF86" s="70">
        <v>129.4</v>
      </c>
      <c r="AG86" s="93"/>
      <c r="AH86" s="54">
        <f t="shared" si="16"/>
        <v>133.5</v>
      </c>
      <c r="AI86" s="55">
        <f t="shared" si="17"/>
        <v>125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129.19999999999999</v>
      </c>
      <c r="C87" s="70">
        <v>129.30000000000001</v>
      </c>
      <c r="D87" s="70">
        <v>129.1</v>
      </c>
      <c r="E87" s="70">
        <v>129</v>
      </c>
      <c r="F87" s="70">
        <v>129.1</v>
      </c>
      <c r="G87" s="70">
        <v>129.4</v>
      </c>
      <c r="H87" s="70">
        <v>129.80000000000001</v>
      </c>
      <c r="I87" s="70">
        <v>129.30000000000001</v>
      </c>
      <c r="J87" s="70">
        <v>127</v>
      </c>
      <c r="K87" s="70">
        <v>129.30000000000001</v>
      </c>
      <c r="L87" s="70">
        <v>127.1</v>
      </c>
      <c r="M87" s="70">
        <v>127.1</v>
      </c>
      <c r="N87" s="70">
        <v>127.1</v>
      </c>
      <c r="O87" s="70">
        <v>127.1</v>
      </c>
      <c r="P87" s="70">
        <v>128</v>
      </c>
      <c r="Q87" s="70">
        <v>128</v>
      </c>
      <c r="R87" s="70">
        <v>130</v>
      </c>
      <c r="S87" s="70">
        <v>127</v>
      </c>
      <c r="T87" s="70">
        <v>128.69999999999999</v>
      </c>
      <c r="U87" s="70">
        <v>129.1</v>
      </c>
      <c r="V87" s="70">
        <v>127.5</v>
      </c>
      <c r="W87" s="70">
        <v>129.6</v>
      </c>
      <c r="X87" s="70">
        <v>127.8</v>
      </c>
      <c r="Y87" s="70">
        <v>127.1</v>
      </c>
      <c r="Z87" s="70">
        <v>127.8</v>
      </c>
      <c r="AA87" s="70">
        <v>128</v>
      </c>
      <c r="AB87" s="70">
        <v>125.6</v>
      </c>
      <c r="AC87" s="70">
        <v>125.2</v>
      </c>
      <c r="AD87" s="70">
        <v>126.4</v>
      </c>
      <c r="AE87" s="70">
        <v>129</v>
      </c>
      <c r="AF87" s="70">
        <v>126.9</v>
      </c>
      <c r="AG87" s="93"/>
      <c r="AH87" s="54">
        <f t="shared" si="16"/>
        <v>130</v>
      </c>
      <c r="AI87" s="55">
        <f t="shared" si="17"/>
        <v>125.2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132.1</v>
      </c>
      <c r="C88" s="70">
        <v>131</v>
      </c>
      <c r="D88" s="70">
        <v>130.19999999999999</v>
      </c>
      <c r="E88" s="70">
        <v>130</v>
      </c>
      <c r="F88" s="70">
        <v>130.19999999999999</v>
      </c>
      <c r="G88" s="70">
        <v>131.9</v>
      </c>
      <c r="H88" s="70">
        <v>132.9</v>
      </c>
      <c r="I88" s="70">
        <v>131.9</v>
      </c>
      <c r="J88" s="70">
        <v>130.6</v>
      </c>
      <c r="K88" s="70">
        <v>131.19999999999999</v>
      </c>
      <c r="L88" s="70">
        <v>129.1</v>
      </c>
      <c r="M88" s="70">
        <v>129.1</v>
      </c>
      <c r="N88" s="70">
        <v>129.1</v>
      </c>
      <c r="O88" s="70">
        <v>129.1</v>
      </c>
      <c r="P88" s="70">
        <v>130</v>
      </c>
      <c r="Q88" s="70">
        <v>130</v>
      </c>
      <c r="R88" s="70">
        <v>12</v>
      </c>
      <c r="S88" s="70">
        <v>129.69999999999999</v>
      </c>
      <c r="T88" s="70">
        <v>131.6</v>
      </c>
      <c r="U88" s="70">
        <v>131.6</v>
      </c>
      <c r="V88" s="70">
        <v>130.69999999999999</v>
      </c>
      <c r="W88" s="70">
        <v>133.30000000000001</v>
      </c>
      <c r="X88" s="70">
        <v>132.4</v>
      </c>
      <c r="Y88" s="70">
        <v>131.30000000000001</v>
      </c>
      <c r="Z88" s="70">
        <v>131.19999999999999</v>
      </c>
      <c r="AA88" s="70">
        <v>130.5</v>
      </c>
      <c r="AB88" s="70">
        <v>129.1</v>
      </c>
      <c r="AC88" s="70">
        <v>128.5</v>
      </c>
      <c r="AD88" s="70">
        <v>130.4</v>
      </c>
      <c r="AE88" s="70">
        <v>132</v>
      </c>
      <c r="AF88" s="70">
        <v>130.19999999999999</v>
      </c>
      <c r="AG88" s="93"/>
      <c r="AH88" s="54">
        <f t="shared" si="16"/>
        <v>133.30000000000001</v>
      </c>
      <c r="AI88" s="55">
        <f t="shared" si="17"/>
        <v>12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130.6</v>
      </c>
      <c r="C89" s="95">
        <v>132.4</v>
      </c>
      <c r="D89" s="95">
        <v>133.19999999999999</v>
      </c>
      <c r="E89" s="95">
        <v>132</v>
      </c>
      <c r="F89" s="95">
        <v>133.19999999999999</v>
      </c>
      <c r="G89" s="95">
        <v>135.30000000000001</v>
      </c>
      <c r="H89" s="95">
        <v>133.69999999999999</v>
      </c>
      <c r="I89" s="95">
        <v>131.69999999999999</v>
      </c>
      <c r="J89" s="95">
        <v>133.6</v>
      </c>
      <c r="K89" s="95">
        <v>133.80000000000001</v>
      </c>
      <c r="L89" s="95">
        <v>132.4</v>
      </c>
      <c r="M89" s="95">
        <v>132.4</v>
      </c>
      <c r="N89" s="95">
        <v>132.4</v>
      </c>
      <c r="O89" s="95">
        <v>132.4</v>
      </c>
      <c r="P89" s="95">
        <v>132</v>
      </c>
      <c r="Q89" s="95">
        <v>132</v>
      </c>
      <c r="R89" s="95">
        <v>130</v>
      </c>
      <c r="S89" s="95">
        <v>131.9</v>
      </c>
      <c r="T89" s="95">
        <v>131.19999999999999</v>
      </c>
      <c r="U89" s="95">
        <v>130.4</v>
      </c>
      <c r="V89" s="95">
        <v>134.30000000000001</v>
      </c>
      <c r="W89" s="95">
        <v>135</v>
      </c>
      <c r="X89" s="95">
        <v>134.9</v>
      </c>
      <c r="Y89" s="95">
        <v>132.80000000000001</v>
      </c>
      <c r="Z89" s="95">
        <v>133.9</v>
      </c>
      <c r="AA89" s="95">
        <v>132.4</v>
      </c>
      <c r="AB89" s="95">
        <v>134.19999999999999</v>
      </c>
      <c r="AC89" s="95">
        <v>133.30000000000001</v>
      </c>
      <c r="AD89" s="95">
        <v>133.6</v>
      </c>
      <c r="AE89" s="95">
        <v>132</v>
      </c>
      <c r="AF89" s="95">
        <v>132.1</v>
      </c>
      <c r="AG89" s="96"/>
      <c r="AH89" s="54">
        <f t="shared" si="16"/>
        <v>135.30000000000001</v>
      </c>
      <c r="AI89" s="55">
        <f t="shared" si="17"/>
        <v>130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117.2</v>
      </c>
      <c r="C90" s="70">
        <v>118.3</v>
      </c>
      <c r="D90" s="70">
        <v>119.8</v>
      </c>
      <c r="E90" s="70">
        <v>126</v>
      </c>
      <c r="F90" s="70">
        <v>119.8</v>
      </c>
      <c r="G90" s="70">
        <v>130.1</v>
      </c>
      <c r="H90" s="70">
        <v>128.6</v>
      </c>
      <c r="I90" s="70">
        <v>121.9</v>
      </c>
      <c r="J90" s="70">
        <v>120.3</v>
      </c>
      <c r="K90" s="70">
        <v>123.3</v>
      </c>
      <c r="L90" s="70">
        <v>123.2</v>
      </c>
      <c r="M90" s="70">
        <v>123.2</v>
      </c>
      <c r="N90" s="70">
        <v>123.2</v>
      </c>
      <c r="O90" s="70">
        <v>123.2</v>
      </c>
      <c r="P90" s="70">
        <v>119</v>
      </c>
      <c r="Q90" s="70">
        <v>119</v>
      </c>
      <c r="R90" s="70">
        <v>119</v>
      </c>
      <c r="S90" s="70">
        <v>123.4</v>
      </c>
      <c r="T90" s="70">
        <v>124.4</v>
      </c>
      <c r="U90" s="70">
        <v>121.3</v>
      </c>
      <c r="V90" s="70">
        <v>117.5</v>
      </c>
      <c r="W90" s="70">
        <v>124</v>
      </c>
      <c r="X90" s="70">
        <v>119</v>
      </c>
      <c r="Y90" s="70">
        <v>121.8</v>
      </c>
      <c r="Z90" s="70">
        <v>128.30000000000001</v>
      </c>
      <c r="AA90" s="70">
        <v>124.3</v>
      </c>
      <c r="AB90" s="70">
        <v>124.6</v>
      </c>
      <c r="AC90" s="70">
        <v>124.2</v>
      </c>
      <c r="AD90" s="70">
        <v>123.8</v>
      </c>
      <c r="AE90" s="70">
        <v>122.6</v>
      </c>
      <c r="AF90" s="70">
        <v>122.7</v>
      </c>
      <c r="AG90" s="93"/>
      <c r="AH90" s="54">
        <f t="shared" si="16"/>
        <v>130.1</v>
      </c>
      <c r="AI90" s="55">
        <f t="shared" si="17"/>
        <v>117.2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64.900000000000006</v>
      </c>
      <c r="C91" s="97">
        <v>67.3</v>
      </c>
      <c r="D91" s="97">
        <v>65.5</v>
      </c>
      <c r="E91" s="97">
        <v>65</v>
      </c>
      <c r="F91" s="97">
        <v>65</v>
      </c>
      <c r="G91" s="97">
        <v>64.400000000000006</v>
      </c>
      <c r="H91" s="97">
        <v>64.3</v>
      </c>
      <c r="I91" s="97">
        <v>64.099999999999994</v>
      </c>
      <c r="J91" s="97">
        <v>64.400000000000006</v>
      </c>
      <c r="K91" s="97">
        <v>64.3</v>
      </c>
      <c r="L91" s="97">
        <v>63.7</v>
      </c>
      <c r="M91" s="97">
        <v>64.400000000000006</v>
      </c>
      <c r="N91" s="97">
        <v>64.400000000000006</v>
      </c>
      <c r="O91" s="97">
        <v>64.400000000000006</v>
      </c>
      <c r="P91" s="97">
        <v>63.8</v>
      </c>
      <c r="Q91" s="97">
        <v>63.8</v>
      </c>
      <c r="R91" s="97">
        <v>63</v>
      </c>
      <c r="S91" s="97">
        <v>63.8</v>
      </c>
      <c r="T91" s="97">
        <v>63.1</v>
      </c>
      <c r="U91" s="97">
        <v>63.1</v>
      </c>
      <c r="V91" s="97">
        <v>64.900000000000006</v>
      </c>
      <c r="W91" s="97">
        <v>65.5</v>
      </c>
      <c r="X91" s="97">
        <v>65.5</v>
      </c>
      <c r="Y91" s="97">
        <v>65</v>
      </c>
      <c r="Z91" s="97">
        <v>65.099999999999994</v>
      </c>
      <c r="AA91" s="97">
        <v>64.599999999999994</v>
      </c>
      <c r="AB91" s="97">
        <v>64.900000000000006</v>
      </c>
      <c r="AC91" s="97">
        <v>65.2</v>
      </c>
      <c r="AD91" s="97">
        <v>65.400000000000006</v>
      </c>
      <c r="AE91" s="97">
        <v>65.599999999999994</v>
      </c>
      <c r="AF91" s="97">
        <v>65.8</v>
      </c>
      <c r="AG91" s="98"/>
      <c r="AH91" s="54">
        <f t="shared" si="16"/>
        <v>67.3</v>
      </c>
      <c r="AI91" s="55">
        <f t="shared" si="17"/>
        <v>63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21">SUM(B15,B18,B21:B22,B42,B44:B45,B47,B49,B94:B97,B103,B109,B115,B124,B126,B138,B145,B148:B149,B156,B158,B160,B164:B166,B168:B170,B175,B181:B182,B184:B186,B194,B199)</f>
        <v>173.14</v>
      </c>
      <c r="C93" s="103">
        <f t="shared" ref="C93:AF93" si="22">SUM(C15,C18,C21:C22,C42,C44:C45,C47,C49,C94:C97,C103,C109,C115,C124,C126,C138,C145,C148:C149,C156,C158,C160,C164:C166,C168:C170,C175,C181:C182,C184:C186,C194,C199)</f>
        <v>249.74</v>
      </c>
      <c r="D93" s="103">
        <f t="shared" si="22"/>
        <v>144.44</v>
      </c>
      <c r="E93" s="103">
        <f t="shared" si="22"/>
        <v>135.13999999999999</v>
      </c>
      <c r="F93" s="103">
        <f t="shared" si="22"/>
        <v>135.53999999999996</v>
      </c>
      <c r="G93" s="103">
        <f t="shared" si="22"/>
        <v>157.63999999999999</v>
      </c>
      <c r="H93" s="103">
        <f t="shared" si="22"/>
        <v>179.23999999999998</v>
      </c>
      <c r="I93" s="103">
        <f t="shared" si="22"/>
        <v>181.13999999999996</v>
      </c>
      <c r="J93" s="103">
        <f t="shared" si="22"/>
        <v>252.73999999999995</v>
      </c>
      <c r="K93" s="103">
        <f t="shared" si="22"/>
        <v>420.64000000000004</v>
      </c>
      <c r="L93" s="103">
        <f t="shared" si="22"/>
        <v>296.64000000000004</v>
      </c>
      <c r="M93" s="103">
        <f t="shared" si="22"/>
        <v>297.74</v>
      </c>
      <c r="N93" s="103">
        <f t="shared" si="22"/>
        <v>287.74</v>
      </c>
      <c r="O93" s="103">
        <f t="shared" si="22"/>
        <v>270.74</v>
      </c>
      <c r="P93" s="103">
        <f t="shared" si="22"/>
        <v>269.74</v>
      </c>
      <c r="Q93" s="103">
        <f t="shared" si="22"/>
        <v>275.74</v>
      </c>
      <c r="R93" s="103">
        <f t="shared" si="22"/>
        <v>250.73999999999998</v>
      </c>
      <c r="S93" s="103">
        <f t="shared" si="22"/>
        <v>268.64</v>
      </c>
      <c r="T93" s="103">
        <f t="shared" si="22"/>
        <v>263.14</v>
      </c>
      <c r="U93" s="103">
        <f t="shared" si="22"/>
        <v>255.83999999999997</v>
      </c>
      <c r="V93" s="103">
        <f t="shared" si="22"/>
        <v>258.44000000000005</v>
      </c>
      <c r="W93" s="103">
        <f>SUM(W15,W18,W21:W22,W42,W44:W45,W47,W49,W94:W97,W103,W109,W115,W124,W126,W138,W145,W148:W149,W156,W158,W160,W164:W166,W168:W170,W175,W181:W182,W184:W186,W194,W199)</f>
        <v>268.74</v>
      </c>
      <c r="X93" s="103">
        <f>SUM(X15,X18,X21:X22,X42,X44:X45,X47,X49,X94:X97,X103,X109,X115,X124,X126,X138,X145,X148:X149,X156,X158,X160,X164:X166,X168:X170,X175,X181:X182,X184:X186,X194,X199)</f>
        <v>261.84000000000003</v>
      </c>
      <c r="Y93" s="103">
        <f t="shared" si="22"/>
        <v>277.74</v>
      </c>
      <c r="Z93" s="103">
        <f t="shared" si="22"/>
        <v>308.84000000000003</v>
      </c>
      <c r="AA93" s="103">
        <f t="shared" si="22"/>
        <v>316.34000000000003</v>
      </c>
      <c r="AB93" s="103">
        <f t="shared" si="22"/>
        <v>277.24</v>
      </c>
      <c r="AC93" s="103">
        <f t="shared" si="22"/>
        <v>252.54</v>
      </c>
      <c r="AD93" s="103">
        <f t="shared" si="22"/>
        <v>226.04000000000002</v>
      </c>
      <c r="AE93" s="103">
        <f t="shared" si="22"/>
        <v>144.53999999999996</v>
      </c>
      <c r="AF93" s="103">
        <f t="shared" si="22"/>
        <v>150.43999999999997</v>
      </c>
      <c r="AG93" s="104"/>
      <c r="AH93" s="54">
        <f>MAX(C93:AF93)</f>
        <v>420.64000000000004</v>
      </c>
      <c r="AI93" s="55">
        <f>MIN(C93:AF93)</f>
        <v>135.13999999999999</v>
      </c>
    </row>
    <row r="94" spans="1:88" x14ac:dyDescent="0.25">
      <c r="A94" s="105" t="s">
        <v>99</v>
      </c>
      <c r="B94" s="106">
        <v>46.7</v>
      </c>
      <c r="C94" s="106">
        <v>38.4</v>
      </c>
      <c r="D94" s="106">
        <v>33.1</v>
      </c>
      <c r="E94" s="106">
        <v>34</v>
      </c>
      <c r="F94" s="106">
        <v>34</v>
      </c>
      <c r="G94" s="106">
        <v>45</v>
      </c>
      <c r="H94" s="106">
        <v>51.1</v>
      </c>
      <c r="I94" s="106">
        <v>54.1</v>
      </c>
      <c r="J94" s="106">
        <v>60.2</v>
      </c>
      <c r="K94" s="106">
        <v>56.4</v>
      </c>
      <c r="L94" s="106">
        <v>56.1</v>
      </c>
      <c r="M94" s="106">
        <v>51</v>
      </c>
      <c r="N94" s="106">
        <v>54</v>
      </c>
      <c r="O94" s="106">
        <v>60</v>
      </c>
      <c r="P94" s="106">
        <v>54</v>
      </c>
      <c r="Q94" s="106">
        <v>50</v>
      </c>
      <c r="R94" s="106">
        <v>50</v>
      </c>
      <c r="S94" s="106">
        <v>50</v>
      </c>
      <c r="T94" s="106">
        <v>50.9</v>
      </c>
      <c r="U94" s="106">
        <v>47.5</v>
      </c>
      <c r="V94" s="106">
        <v>26.1</v>
      </c>
      <c r="W94" s="106">
        <v>37.700000000000003</v>
      </c>
      <c r="X94" s="106">
        <v>38.299999999999997</v>
      </c>
      <c r="Y94" s="106">
        <v>36.1</v>
      </c>
      <c r="Z94" s="106">
        <v>46</v>
      </c>
      <c r="AA94" s="106">
        <v>36.9</v>
      </c>
      <c r="AB94" s="106">
        <v>46.6</v>
      </c>
      <c r="AC94" s="106">
        <v>51.1</v>
      </c>
      <c r="AD94" s="106">
        <v>48.8</v>
      </c>
      <c r="AE94" s="106">
        <v>39.700000000000003</v>
      </c>
      <c r="AF94" s="106">
        <v>40</v>
      </c>
      <c r="AG94" s="107">
        <v>75</v>
      </c>
      <c r="AH94" s="54">
        <f t="shared" ref="AH94:AH100" si="23">IF(ABS(MAX(C94:AF94))&gt;ABS(MIN(C94:AF94)),MAX(C94:AF94),MIN(C94:AF94))</f>
        <v>60.2</v>
      </c>
      <c r="AI94" s="108">
        <f t="shared" ref="AI94:AI100" si="24">INDEX($C$9:$AF$9,1,MATCH(AH94,C94:AF94,0))</f>
        <v>0.27083333333333331</v>
      </c>
    </row>
    <row r="95" spans="1:88" x14ac:dyDescent="0.25">
      <c r="A95" s="109" t="s">
        <v>100</v>
      </c>
      <c r="B95" s="110">
        <v>-118.2</v>
      </c>
      <c r="C95" s="110">
        <v>-72.5</v>
      </c>
      <c r="D95" s="110">
        <v>-120.7</v>
      </c>
      <c r="E95" s="110">
        <v>-116</v>
      </c>
      <c r="F95" s="110">
        <v>-116</v>
      </c>
      <c r="G95" s="110">
        <v>-110.5</v>
      </c>
      <c r="H95" s="110">
        <v>-96.8</v>
      </c>
      <c r="I95" s="110">
        <v>-98.9</v>
      </c>
      <c r="J95" s="110">
        <v>-86.5</v>
      </c>
      <c r="K95" s="110">
        <f>33.8+40.3</f>
        <v>74.099999999999994</v>
      </c>
      <c r="L95" s="110">
        <v>-66.5</v>
      </c>
      <c r="M95" s="110">
        <v>-47</v>
      </c>
      <c r="N95" s="110">
        <v>-46</v>
      </c>
      <c r="O95" s="110">
        <v>-85</v>
      </c>
      <c r="P95" s="110">
        <v>-80</v>
      </c>
      <c r="Q95" s="110">
        <v>-76</v>
      </c>
      <c r="R95" s="110">
        <v>-88</v>
      </c>
      <c r="S95" s="110">
        <v>-81.599999999999994</v>
      </c>
      <c r="T95" s="110">
        <v>-75.7</v>
      </c>
      <c r="U95" s="110">
        <v>-78.2</v>
      </c>
      <c r="V95" s="110">
        <v>-68.099999999999994</v>
      </c>
      <c r="W95" s="110">
        <f>-27.6-39.9</f>
        <v>-67.5</v>
      </c>
      <c r="X95" s="110">
        <v>-73.8</v>
      </c>
      <c r="Y95" s="110">
        <f>-26.7-38.5</f>
        <v>-65.2</v>
      </c>
      <c r="Z95" s="110">
        <f>-20.7-32.7</f>
        <v>-53.400000000000006</v>
      </c>
      <c r="AA95" s="110">
        <v>-55.5</v>
      </c>
      <c r="AB95" s="110">
        <v>-75</v>
      </c>
      <c r="AC95" s="110">
        <v>-67</v>
      </c>
      <c r="AD95" s="110">
        <v>-87</v>
      </c>
      <c r="AE95" s="110">
        <f>-53.6-64.8</f>
        <v>-118.4</v>
      </c>
      <c r="AF95" s="110">
        <v>-122</v>
      </c>
      <c r="AG95" s="107">
        <v>240</v>
      </c>
      <c r="AH95" s="54">
        <f t="shared" si="23"/>
        <v>-122</v>
      </c>
      <c r="AI95" s="108">
        <f t="shared" si="24"/>
        <v>0.95833333333333304</v>
      </c>
    </row>
    <row r="96" spans="1:88" x14ac:dyDescent="0.25">
      <c r="A96" s="109" t="s">
        <v>101</v>
      </c>
      <c r="B96" s="110">
        <v>13.7</v>
      </c>
      <c r="C96" s="110">
        <v>6.3</v>
      </c>
      <c r="D96" s="110">
        <v>11.4</v>
      </c>
      <c r="E96" s="110">
        <v>-3.5</v>
      </c>
      <c r="F96" s="110">
        <v>-3.5</v>
      </c>
      <c r="G96" s="110">
        <v>2</v>
      </c>
      <c r="H96" s="110">
        <v>3.9</v>
      </c>
      <c r="I96" s="110">
        <v>4.9000000000000004</v>
      </c>
      <c r="J96" s="110">
        <v>16.399999999999999</v>
      </c>
      <c r="K96" s="110">
        <v>18.7</v>
      </c>
      <c r="L96" s="110">
        <v>20.100000000000001</v>
      </c>
      <c r="M96" s="110">
        <v>37</v>
      </c>
      <c r="N96" s="110">
        <v>32</v>
      </c>
      <c r="O96" s="110">
        <v>32</v>
      </c>
      <c r="P96" s="110">
        <v>27</v>
      </c>
      <c r="Q96" s="110">
        <v>26</v>
      </c>
      <c r="R96" s="110">
        <v>17</v>
      </c>
      <c r="S96" s="110">
        <v>24.8</v>
      </c>
      <c r="T96" s="110">
        <v>31.4</v>
      </c>
      <c r="U96" s="110">
        <v>32.200000000000003</v>
      </c>
      <c r="V96" s="110">
        <v>33.299999999999997</v>
      </c>
      <c r="W96" s="110">
        <v>43.3</v>
      </c>
      <c r="X96" s="110">
        <v>45.6</v>
      </c>
      <c r="Y96" s="110">
        <v>49.3</v>
      </c>
      <c r="Z96" s="110">
        <v>53</v>
      </c>
      <c r="AA96" s="110">
        <v>52.3</v>
      </c>
      <c r="AB96" s="110">
        <v>48.8</v>
      </c>
      <c r="AC96" s="110">
        <v>48</v>
      </c>
      <c r="AD96" s="110">
        <v>43.8</v>
      </c>
      <c r="AE96" s="110">
        <v>27.4</v>
      </c>
      <c r="AF96" s="110">
        <v>20.100000000000001</v>
      </c>
      <c r="AG96" s="107">
        <v>60</v>
      </c>
      <c r="AH96" s="54">
        <f t="shared" si="23"/>
        <v>53</v>
      </c>
      <c r="AI96" s="108">
        <f t="shared" si="24"/>
        <v>0.79166666666666663</v>
      </c>
    </row>
    <row r="97" spans="1:37" x14ac:dyDescent="0.25">
      <c r="A97" s="111" t="s">
        <v>102</v>
      </c>
      <c r="B97" s="112">
        <v>10.199999999999999</v>
      </c>
      <c r="C97" s="112">
        <v>56.8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41.8</v>
      </c>
      <c r="K97" s="112">
        <v>50.6</v>
      </c>
      <c r="L97" s="112">
        <v>66.2</v>
      </c>
      <c r="M97" s="112">
        <v>36</v>
      </c>
      <c r="N97" s="112">
        <v>27</v>
      </c>
      <c r="O97" s="112">
        <v>43</v>
      </c>
      <c r="P97" s="112">
        <v>48</v>
      </c>
      <c r="Q97" s="112">
        <v>55</v>
      </c>
      <c r="R97" s="112">
        <v>51</v>
      </c>
      <c r="S97" s="112">
        <v>54.9</v>
      </c>
      <c r="T97" s="112">
        <v>36.5</v>
      </c>
      <c r="U97" s="112">
        <v>33.700000000000003</v>
      </c>
      <c r="V97" s="112">
        <v>46.4</v>
      </c>
      <c r="W97" s="112">
        <v>34.5</v>
      </c>
      <c r="X97" s="112">
        <v>31</v>
      </c>
      <c r="Y97" s="112">
        <v>36.9</v>
      </c>
      <c r="Z97" s="112">
        <v>42.7</v>
      </c>
      <c r="AA97" s="112">
        <v>62.2</v>
      </c>
      <c r="AB97" s="112">
        <v>36.4</v>
      </c>
      <c r="AC97" s="112">
        <v>0</v>
      </c>
      <c r="AD97" s="112">
        <v>0</v>
      </c>
      <c r="AE97" s="112">
        <v>0</v>
      </c>
      <c r="AF97" s="112">
        <v>0</v>
      </c>
      <c r="AG97" s="113">
        <v>120</v>
      </c>
      <c r="AH97" s="54">
        <f t="shared" si="23"/>
        <v>66.2</v>
      </c>
      <c r="AI97" s="108">
        <f t="shared" si="24"/>
        <v>0.3125</v>
      </c>
    </row>
    <row r="98" spans="1:37" x14ac:dyDescent="0.25">
      <c r="A98" s="111" t="s">
        <v>103</v>
      </c>
      <c r="B98" s="112">
        <v>29.2</v>
      </c>
      <c r="C98" s="112">
        <v>16.899999999999999</v>
      </c>
      <c r="D98" s="112">
        <v>13.4</v>
      </c>
      <c r="E98" s="112">
        <v>30</v>
      </c>
      <c r="F98" s="112">
        <v>30</v>
      </c>
      <c r="G98" s="112">
        <v>40.700000000000003</v>
      </c>
      <c r="H98" s="112">
        <v>46.6</v>
      </c>
      <c r="I98" s="112">
        <v>37.5</v>
      </c>
      <c r="J98" s="112">
        <v>37.6</v>
      </c>
      <c r="K98" s="112">
        <v>43.9</v>
      </c>
      <c r="L98" s="112">
        <v>56.3</v>
      </c>
      <c r="M98" s="112">
        <v>54</v>
      </c>
      <c r="N98" s="112">
        <v>73</v>
      </c>
      <c r="O98" s="112">
        <v>43</v>
      </c>
      <c r="P98" s="112">
        <v>45</v>
      </c>
      <c r="Q98" s="112">
        <v>52</v>
      </c>
      <c r="R98" s="112">
        <v>55</v>
      </c>
      <c r="S98" s="112">
        <v>55.4</v>
      </c>
      <c r="T98" s="112">
        <v>41.4</v>
      </c>
      <c r="U98" s="112">
        <v>38.200000000000003</v>
      </c>
      <c r="V98" s="112">
        <v>43.7</v>
      </c>
      <c r="W98" s="112">
        <v>31</v>
      </c>
      <c r="X98" s="112">
        <v>29</v>
      </c>
      <c r="Y98" s="112">
        <v>35.1</v>
      </c>
      <c r="Z98" s="112">
        <v>36.799999999999997</v>
      </c>
      <c r="AA98" s="112">
        <v>54.8</v>
      </c>
      <c r="AB98" s="112">
        <v>31.6</v>
      </c>
      <c r="AC98" s="112">
        <v>38.9</v>
      </c>
      <c r="AD98" s="112">
        <v>36.1</v>
      </c>
      <c r="AE98" s="112">
        <v>32.1</v>
      </c>
      <c r="AF98" s="112">
        <v>30.1</v>
      </c>
      <c r="AG98" s="113"/>
      <c r="AH98" s="54">
        <f t="shared" si="23"/>
        <v>73</v>
      </c>
      <c r="AI98" s="108">
        <f t="shared" si="24"/>
        <v>0.375</v>
      </c>
    </row>
    <row r="99" spans="1:37" x14ac:dyDescent="0.25">
      <c r="A99" s="111" t="s">
        <v>104</v>
      </c>
      <c r="B99" s="112">
        <v>16.100000000000001</v>
      </c>
      <c r="C99" s="112">
        <v>45.3</v>
      </c>
      <c r="D99" s="112">
        <v>56</v>
      </c>
      <c r="E99" s="112">
        <v>41</v>
      </c>
      <c r="F99" s="112">
        <v>41</v>
      </c>
      <c r="G99" s="112">
        <v>63.2</v>
      </c>
      <c r="H99" s="112">
        <v>54.3</v>
      </c>
      <c r="I99" s="112">
        <v>52.7</v>
      </c>
      <c r="J99" s="112">
        <v>33.4</v>
      </c>
      <c r="K99" s="112">
        <v>45.1</v>
      </c>
      <c r="L99" s="112" t="s">
        <v>234</v>
      </c>
      <c r="M99" s="112">
        <v>44</v>
      </c>
      <c r="N99" s="112">
        <v>53</v>
      </c>
      <c r="O99" s="112">
        <v>29</v>
      </c>
      <c r="P99" s="112">
        <v>54</v>
      </c>
      <c r="Q99" s="112">
        <v>50</v>
      </c>
      <c r="R99" s="112">
        <v>48</v>
      </c>
      <c r="S99" s="112">
        <v>47.3</v>
      </c>
      <c r="T99" s="112">
        <v>42.6</v>
      </c>
      <c r="U99" s="112">
        <v>53.5</v>
      </c>
      <c r="V99" s="112">
        <v>1</v>
      </c>
      <c r="W99" s="112">
        <v>40</v>
      </c>
      <c r="X99" s="112">
        <v>41.1</v>
      </c>
      <c r="Y99" s="112">
        <v>48.4</v>
      </c>
      <c r="Z99" s="112">
        <v>41</v>
      </c>
      <c r="AA99" s="112">
        <v>57</v>
      </c>
      <c r="AB99" s="112">
        <v>42</v>
      </c>
      <c r="AC99" s="112">
        <v>55.5</v>
      </c>
      <c r="AD99" s="112">
        <v>73.400000000000006</v>
      </c>
      <c r="AE99" s="112">
        <v>69.5</v>
      </c>
      <c r="AF99" s="112">
        <v>78.099999999999994</v>
      </c>
      <c r="AG99" s="114"/>
      <c r="AH99" s="54">
        <f t="shared" si="23"/>
        <v>78.099999999999994</v>
      </c>
      <c r="AI99" s="108">
        <f t="shared" si="24"/>
        <v>0.95833333333333304</v>
      </c>
    </row>
    <row r="100" spans="1:37" ht="15.75" thickBot="1" x14ac:dyDescent="0.3">
      <c r="A100" s="115" t="s">
        <v>105</v>
      </c>
      <c r="B100" s="95">
        <v>43</v>
      </c>
      <c r="C100" s="95">
        <v>37.5</v>
      </c>
      <c r="D100" s="95">
        <v>37</v>
      </c>
      <c r="E100" s="95">
        <v>31</v>
      </c>
      <c r="F100" s="95">
        <v>31</v>
      </c>
      <c r="G100" s="95">
        <v>30.2</v>
      </c>
      <c r="H100" s="95">
        <v>31.7</v>
      </c>
      <c r="I100" s="95">
        <v>27.1</v>
      </c>
      <c r="J100" s="95">
        <v>25.6</v>
      </c>
      <c r="K100" s="95">
        <v>28.7</v>
      </c>
      <c r="L100" s="95">
        <v>28</v>
      </c>
      <c r="M100" s="95">
        <v>41</v>
      </c>
      <c r="N100" s="95">
        <v>36</v>
      </c>
      <c r="O100" s="95">
        <v>48</v>
      </c>
      <c r="P100" s="95">
        <v>50</v>
      </c>
      <c r="Q100" s="95">
        <v>40</v>
      </c>
      <c r="R100" s="95">
        <v>30</v>
      </c>
      <c r="S100" s="95">
        <v>44.3</v>
      </c>
      <c r="T100" s="95">
        <v>50.9</v>
      </c>
      <c r="U100" s="95">
        <v>56.2</v>
      </c>
      <c r="V100" s="95">
        <v>47.7</v>
      </c>
      <c r="W100" s="95">
        <v>47.5</v>
      </c>
      <c r="X100" s="95">
        <v>45</v>
      </c>
      <c r="Y100" s="95">
        <v>53.3</v>
      </c>
      <c r="Z100" s="95">
        <v>66.099999999999994</v>
      </c>
      <c r="AA100" s="95">
        <v>81.2</v>
      </c>
      <c r="AB100" s="95">
        <v>90.4</v>
      </c>
      <c r="AC100" s="95">
        <v>88.6</v>
      </c>
      <c r="AD100" s="95">
        <v>83.3</v>
      </c>
      <c r="AE100" s="95">
        <v>81</v>
      </c>
      <c r="AF100" s="95">
        <v>74.2</v>
      </c>
      <c r="AG100" s="114"/>
      <c r="AH100" s="54">
        <f t="shared" si="23"/>
        <v>90.4</v>
      </c>
      <c r="AI100" s="108">
        <f t="shared" si="24"/>
        <v>0.83333333333333337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5">AF102</f>
        <v>9.9</v>
      </c>
      <c r="C102" s="53">
        <v>9.9</v>
      </c>
      <c r="D102" s="121">
        <f t="shared" ref="D102:S107" si="26">C102</f>
        <v>9.9</v>
      </c>
      <c r="E102" s="121">
        <f t="shared" si="26"/>
        <v>9.9</v>
      </c>
      <c r="F102" s="121">
        <f t="shared" si="26"/>
        <v>9.9</v>
      </c>
      <c r="G102" s="121">
        <f t="shared" si="26"/>
        <v>9.9</v>
      </c>
      <c r="H102" s="121">
        <f t="shared" si="26"/>
        <v>9.9</v>
      </c>
      <c r="I102" s="121">
        <f t="shared" si="26"/>
        <v>9.9</v>
      </c>
      <c r="J102" s="121">
        <f t="shared" si="26"/>
        <v>9.9</v>
      </c>
      <c r="K102" s="121">
        <f t="shared" si="26"/>
        <v>9.9</v>
      </c>
      <c r="L102" s="121">
        <f t="shared" si="26"/>
        <v>9.9</v>
      </c>
      <c r="M102" s="121">
        <f t="shared" si="26"/>
        <v>9.9</v>
      </c>
      <c r="N102" s="121">
        <f t="shared" si="26"/>
        <v>9.9</v>
      </c>
      <c r="O102" s="121">
        <f t="shared" si="26"/>
        <v>9.9</v>
      </c>
      <c r="P102" s="121">
        <f t="shared" si="26"/>
        <v>9.9</v>
      </c>
      <c r="Q102" s="121">
        <f t="shared" si="26"/>
        <v>9.9</v>
      </c>
      <c r="R102" s="121">
        <f t="shared" si="26"/>
        <v>9.9</v>
      </c>
      <c r="S102" s="121">
        <f t="shared" si="26"/>
        <v>9.9</v>
      </c>
      <c r="T102" s="121">
        <f t="shared" ref="T102:AF107" si="27">S102</f>
        <v>9.9</v>
      </c>
      <c r="U102" s="121">
        <f t="shared" si="27"/>
        <v>9.9</v>
      </c>
      <c r="V102" s="121">
        <f t="shared" si="27"/>
        <v>9.9</v>
      </c>
      <c r="W102" s="121">
        <f t="shared" si="27"/>
        <v>9.9</v>
      </c>
      <c r="X102" s="121">
        <f t="shared" si="27"/>
        <v>9.9</v>
      </c>
      <c r="Y102" s="121">
        <f t="shared" si="27"/>
        <v>9.9</v>
      </c>
      <c r="Z102" s="121">
        <f t="shared" si="27"/>
        <v>9.9</v>
      </c>
      <c r="AA102" s="121">
        <f t="shared" si="27"/>
        <v>9.9</v>
      </c>
      <c r="AB102" s="121">
        <f t="shared" si="27"/>
        <v>9.9</v>
      </c>
      <c r="AC102" s="121">
        <f t="shared" si="27"/>
        <v>9.9</v>
      </c>
      <c r="AD102" s="121">
        <f t="shared" si="27"/>
        <v>9.9</v>
      </c>
      <c r="AE102" s="121">
        <f t="shared" si="27"/>
        <v>9.9</v>
      </c>
      <c r="AF102" s="121">
        <f t="shared" si="27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5"/>
        <v>9.6</v>
      </c>
      <c r="C103" s="124">
        <v>9.6</v>
      </c>
      <c r="D103" s="123">
        <f t="shared" si="26"/>
        <v>9.6</v>
      </c>
      <c r="E103" s="123">
        <f t="shared" si="26"/>
        <v>9.6</v>
      </c>
      <c r="F103" s="123">
        <f t="shared" si="26"/>
        <v>9.6</v>
      </c>
      <c r="G103" s="123">
        <f t="shared" si="26"/>
        <v>9.6</v>
      </c>
      <c r="H103" s="123">
        <f t="shared" si="26"/>
        <v>9.6</v>
      </c>
      <c r="I103" s="123">
        <f t="shared" si="26"/>
        <v>9.6</v>
      </c>
      <c r="J103" s="123">
        <f t="shared" si="26"/>
        <v>9.6</v>
      </c>
      <c r="K103" s="123">
        <f t="shared" si="26"/>
        <v>9.6</v>
      </c>
      <c r="L103" s="123">
        <f t="shared" si="26"/>
        <v>9.6</v>
      </c>
      <c r="M103" s="123">
        <f t="shared" si="26"/>
        <v>9.6</v>
      </c>
      <c r="N103" s="123">
        <f t="shared" si="26"/>
        <v>9.6</v>
      </c>
      <c r="O103" s="123">
        <f t="shared" si="26"/>
        <v>9.6</v>
      </c>
      <c r="P103" s="123">
        <f t="shared" si="26"/>
        <v>9.6</v>
      </c>
      <c r="Q103" s="123">
        <f t="shared" si="26"/>
        <v>9.6</v>
      </c>
      <c r="R103" s="123">
        <f t="shared" si="26"/>
        <v>9.6</v>
      </c>
      <c r="S103" s="123">
        <f t="shared" si="26"/>
        <v>9.6</v>
      </c>
      <c r="T103" s="123">
        <f t="shared" si="27"/>
        <v>9.6</v>
      </c>
      <c r="U103" s="123">
        <f t="shared" si="27"/>
        <v>9.6</v>
      </c>
      <c r="V103" s="123">
        <f t="shared" si="27"/>
        <v>9.6</v>
      </c>
      <c r="W103" s="123">
        <f t="shared" si="27"/>
        <v>9.6</v>
      </c>
      <c r="X103" s="123">
        <f t="shared" si="27"/>
        <v>9.6</v>
      </c>
      <c r="Y103" s="123">
        <f t="shared" si="27"/>
        <v>9.6</v>
      </c>
      <c r="Z103" s="123">
        <f t="shared" si="27"/>
        <v>9.6</v>
      </c>
      <c r="AA103" s="123">
        <f t="shared" si="27"/>
        <v>9.6</v>
      </c>
      <c r="AB103" s="123">
        <f t="shared" si="27"/>
        <v>9.6</v>
      </c>
      <c r="AC103" s="123">
        <f t="shared" si="27"/>
        <v>9.6</v>
      </c>
      <c r="AD103" s="123">
        <f t="shared" si="27"/>
        <v>9.6</v>
      </c>
      <c r="AE103" s="123">
        <f t="shared" si="27"/>
        <v>9.6</v>
      </c>
      <c r="AF103" s="123">
        <f t="shared" si="27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5"/>
        <v>9.98</v>
      </c>
      <c r="C104" s="124">
        <v>9.98</v>
      </c>
      <c r="D104" s="123">
        <f t="shared" si="26"/>
        <v>9.98</v>
      </c>
      <c r="E104" s="123">
        <f t="shared" si="26"/>
        <v>9.98</v>
      </c>
      <c r="F104" s="123">
        <f t="shared" si="26"/>
        <v>9.98</v>
      </c>
      <c r="G104" s="123">
        <f t="shared" si="26"/>
        <v>9.98</v>
      </c>
      <c r="H104" s="123">
        <f t="shared" si="26"/>
        <v>9.98</v>
      </c>
      <c r="I104" s="123">
        <f t="shared" si="26"/>
        <v>9.98</v>
      </c>
      <c r="J104" s="123">
        <f t="shared" si="26"/>
        <v>9.98</v>
      </c>
      <c r="K104" s="123">
        <f t="shared" si="26"/>
        <v>9.98</v>
      </c>
      <c r="L104" s="123">
        <f t="shared" si="26"/>
        <v>9.98</v>
      </c>
      <c r="M104" s="123">
        <f t="shared" si="26"/>
        <v>9.98</v>
      </c>
      <c r="N104" s="123">
        <f t="shared" si="26"/>
        <v>9.98</v>
      </c>
      <c r="O104" s="123">
        <f t="shared" si="26"/>
        <v>9.98</v>
      </c>
      <c r="P104" s="123">
        <f t="shared" si="26"/>
        <v>9.98</v>
      </c>
      <c r="Q104" s="123">
        <f t="shared" si="26"/>
        <v>9.98</v>
      </c>
      <c r="R104" s="123">
        <f t="shared" si="26"/>
        <v>9.98</v>
      </c>
      <c r="S104" s="123">
        <f t="shared" si="26"/>
        <v>9.98</v>
      </c>
      <c r="T104" s="123">
        <f t="shared" si="27"/>
        <v>9.98</v>
      </c>
      <c r="U104" s="123">
        <f t="shared" si="27"/>
        <v>9.98</v>
      </c>
      <c r="V104" s="123">
        <f t="shared" si="27"/>
        <v>9.98</v>
      </c>
      <c r="W104" s="123">
        <f t="shared" si="27"/>
        <v>9.98</v>
      </c>
      <c r="X104" s="123">
        <f t="shared" si="27"/>
        <v>9.98</v>
      </c>
      <c r="Y104" s="123">
        <f t="shared" si="27"/>
        <v>9.98</v>
      </c>
      <c r="Z104" s="123">
        <f t="shared" si="27"/>
        <v>9.98</v>
      </c>
      <c r="AA104" s="123">
        <f t="shared" si="27"/>
        <v>9.98</v>
      </c>
      <c r="AB104" s="123">
        <f t="shared" si="27"/>
        <v>9.98</v>
      </c>
      <c r="AC104" s="123">
        <f t="shared" si="27"/>
        <v>9.98</v>
      </c>
      <c r="AD104" s="123">
        <f t="shared" si="27"/>
        <v>9.98</v>
      </c>
      <c r="AE104" s="123">
        <f t="shared" si="27"/>
        <v>9.98</v>
      </c>
      <c r="AF104" s="123">
        <f t="shared" si="27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5"/>
        <v>9.1</v>
      </c>
      <c r="C105" s="124">
        <v>9.1</v>
      </c>
      <c r="D105" s="123">
        <f t="shared" si="26"/>
        <v>9.1</v>
      </c>
      <c r="E105" s="123">
        <f t="shared" si="26"/>
        <v>9.1</v>
      </c>
      <c r="F105" s="123">
        <f t="shared" si="26"/>
        <v>9.1</v>
      </c>
      <c r="G105" s="123">
        <f t="shared" si="26"/>
        <v>9.1</v>
      </c>
      <c r="H105" s="123">
        <f t="shared" si="26"/>
        <v>9.1</v>
      </c>
      <c r="I105" s="123">
        <f t="shared" si="26"/>
        <v>9.1</v>
      </c>
      <c r="J105" s="123">
        <f t="shared" si="26"/>
        <v>9.1</v>
      </c>
      <c r="K105" s="123">
        <f t="shared" si="26"/>
        <v>9.1</v>
      </c>
      <c r="L105" s="123">
        <f t="shared" si="26"/>
        <v>9.1</v>
      </c>
      <c r="M105" s="123">
        <f t="shared" si="26"/>
        <v>9.1</v>
      </c>
      <c r="N105" s="123">
        <f t="shared" si="26"/>
        <v>9.1</v>
      </c>
      <c r="O105" s="123">
        <f t="shared" si="26"/>
        <v>9.1</v>
      </c>
      <c r="P105" s="123">
        <f t="shared" si="26"/>
        <v>9.1</v>
      </c>
      <c r="Q105" s="123">
        <f t="shared" si="26"/>
        <v>9.1</v>
      </c>
      <c r="R105" s="123">
        <f t="shared" si="26"/>
        <v>9.1</v>
      </c>
      <c r="S105" s="123">
        <f t="shared" si="26"/>
        <v>9.1</v>
      </c>
      <c r="T105" s="123">
        <f t="shared" si="27"/>
        <v>9.1</v>
      </c>
      <c r="U105" s="123">
        <f t="shared" si="27"/>
        <v>9.1</v>
      </c>
      <c r="V105" s="123">
        <f t="shared" si="27"/>
        <v>9.1</v>
      </c>
      <c r="W105" s="123">
        <f t="shared" si="27"/>
        <v>9.1</v>
      </c>
      <c r="X105" s="123">
        <f t="shared" si="27"/>
        <v>9.1</v>
      </c>
      <c r="Y105" s="123">
        <f t="shared" si="27"/>
        <v>9.1</v>
      </c>
      <c r="Z105" s="123">
        <f t="shared" si="27"/>
        <v>9.1</v>
      </c>
      <c r="AA105" s="123">
        <f t="shared" si="27"/>
        <v>9.1</v>
      </c>
      <c r="AB105" s="123">
        <f t="shared" si="27"/>
        <v>9.1</v>
      </c>
      <c r="AC105" s="123">
        <f t="shared" si="27"/>
        <v>9.1</v>
      </c>
      <c r="AD105" s="123">
        <f t="shared" si="27"/>
        <v>9.1</v>
      </c>
      <c r="AE105" s="123">
        <f t="shared" si="27"/>
        <v>9.1</v>
      </c>
      <c r="AF105" s="123">
        <f t="shared" si="27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5"/>
        <v>9.18</v>
      </c>
      <c r="C106" s="124">
        <v>9.18</v>
      </c>
      <c r="D106" s="123">
        <f t="shared" si="26"/>
        <v>9.18</v>
      </c>
      <c r="E106" s="123">
        <f t="shared" si="26"/>
        <v>9.18</v>
      </c>
      <c r="F106" s="123">
        <f t="shared" si="26"/>
        <v>9.18</v>
      </c>
      <c r="G106" s="123">
        <f t="shared" si="26"/>
        <v>9.18</v>
      </c>
      <c r="H106" s="123">
        <f t="shared" si="26"/>
        <v>9.18</v>
      </c>
      <c r="I106" s="123">
        <f t="shared" si="26"/>
        <v>9.18</v>
      </c>
      <c r="J106" s="123">
        <f t="shared" si="26"/>
        <v>9.18</v>
      </c>
      <c r="K106" s="123">
        <f t="shared" si="26"/>
        <v>9.18</v>
      </c>
      <c r="L106" s="123">
        <f t="shared" si="26"/>
        <v>9.18</v>
      </c>
      <c r="M106" s="123">
        <f t="shared" si="26"/>
        <v>9.18</v>
      </c>
      <c r="N106" s="123">
        <f t="shared" si="26"/>
        <v>9.18</v>
      </c>
      <c r="O106" s="123">
        <f t="shared" si="26"/>
        <v>9.18</v>
      </c>
      <c r="P106" s="123">
        <f t="shared" si="26"/>
        <v>9.18</v>
      </c>
      <c r="Q106" s="123">
        <f t="shared" si="26"/>
        <v>9.18</v>
      </c>
      <c r="R106" s="123">
        <f t="shared" si="26"/>
        <v>9.18</v>
      </c>
      <c r="S106" s="123">
        <f t="shared" si="26"/>
        <v>9.18</v>
      </c>
      <c r="T106" s="123">
        <f t="shared" si="27"/>
        <v>9.18</v>
      </c>
      <c r="U106" s="123">
        <f t="shared" si="27"/>
        <v>9.18</v>
      </c>
      <c r="V106" s="123">
        <f t="shared" si="27"/>
        <v>9.18</v>
      </c>
      <c r="W106" s="123">
        <f t="shared" si="27"/>
        <v>9.18</v>
      </c>
      <c r="X106" s="123">
        <f t="shared" si="27"/>
        <v>9.18</v>
      </c>
      <c r="Y106" s="123">
        <f t="shared" si="27"/>
        <v>9.18</v>
      </c>
      <c r="Z106" s="123">
        <f t="shared" si="27"/>
        <v>9.18</v>
      </c>
      <c r="AA106" s="123">
        <f t="shared" si="27"/>
        <v>9.18</v>
      </c>
      <c r="AB106" s="123">
        <f t="shared" si="27"/>
        <v>9.18</v>
      </c>
      <c r="AC106" s="123">
        <f t="shared" si="27"/>
        <v>9.18</v>
      </c>
      <c r="AD106" s="123">
        <f t="shared" si="27"/>
        <v>9.18</v>
      </c>
      <c r="AE106" s="123">
        <f t="shared" si="27"/>
        <v>9.18</v>
      </c>
      <c r="AF106" s="123">
        <f t="shared" si="27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5"/>
        <v>7</v>
      </c>
      <c r="C107" s="124">
        <v>7</v>
      </c>
      <c r="D107" s="123">
        <f t="shared" si="26"/>
        <v>7</v>
      </c>
      <c r="E107" s="123">
        <f t="shared" si="26"/>
        <v>7</v>
      </c>
      <c r="F107" s="123">
        <f t="shared" si="26"/>
        <v>7</v>
      </c>
      <c r="G107" s="123">
        <f t="shared" si="26"/>
        <v>7</v>
      </c>
      <c r="H107" s="123">
        <f t="shared" si="26"/>
        <v>7</v>
      </c>
      <c r="I107" s="123">
        <f t="shared" si="26"/>
        <v>7</v>
      </c>
      <c r="J107" s="123">
        <f t="shared" si="26"/>
        <v>7</v>
      </c>
      <c r="K107" s="123">
        <f t="shared" si="26"/>
        <v>7</v>
      </c>
      <c r="L107" s="123">
        <f t="shared" si="26"/>
        <v>7</v>
      </c>
      <c r="M107" s="123">
        <f t="shared" si="26"/>
        <v>7</v>
      </c>
      <c r="N107" s="123">
        <f t="shared" si="26"/>
        <v>7</v>
      </c>
      <c r="O107" s="123">
        <f t="shared" si="26"/>
        <v>7</v>
      </c>
      <c r="P107" s="123">
        <f t="shared" si="26"/>
        <v>7</v>
      </c>
      <c r="Q107" s="123">
        <f t="shared" si="26"/>
        <v>7</v>
      </c>
      <c r="R107" s="123">
        <f t="shared" si="26"/>
        <v>7</v>
      </c>
      <c r="S107" s="123">
        <f t="shared" si="26"/>
        <v>7</v>
      </c>
      <c r="T107" s="123">
        <f t="shared" si="27"/>
        <v>7</v>
      </c>
      <c r="U107" s="123">
        <f t="shared" si="27"/>
        <v>7</v>
      </c>
      <c r="V107" s="123">
        <f t="shared" si="27"/>
        <v>7</v>
      </c>
      <c r="W107" s="123">
        <f t="shared" si="27"/>
        <v>7</v>
      </c>
      <c r="X107" s="123">
        <f t="shared" si="27"/>
        <v>7</v>
      </c>
      <c r="Y107" s="123">
        <f t="shared" si="27"/>
        <v>7</v>
      </c>
      <c r="Z107" s="123">
        <f t="shared" si="27"/>
        <v>7</v>
      </c>
      <c r="AA107" s="123">
        <f t="shared" si="27"/>
        <v>7</v>
      </c>
      <c r="AB107" s="123">
        <f t="shared" si="27"/>
        <v>7</v>
      </c>
      <c r="AC107" s="123">
        <f t="shared" si="27"/>
        <v>7</v>
      </c>
      <c r="AD107" s="123">
        <f t="shared" si="27"/>
        <v>7</v>
      </c>
      <c r="AE107" s="123">
        <f t="shared" si="27"/>
        <v>7</v>
      </c>
      <c r="AF107" s="123">
        <f t="shared" si="27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8">C109</f>
        <v>2.25</v>
      </c>
      <c r="E109" s="123">
        <f t="shared" si="28"/>
        <v>2.25</v>
      </c>
      <c r="F109" s="123">
        <f t="shared" si="28"/>
        <v>2.25</v>
      </c>
      <c r="G109" s="123">
        <f t="shared" si="28"/>
        <v>2.25</v>
      </c>
      <c r="H109" s="123">
        <f t="shared" si="28"/>
        <v>2.25</v>
      </c>
      <c r="I109" s="123">
        <f t="shared" si="28"/>
        <v>2.25</v>
      </c>
      <c r="J109" s="123">
        <f t="shared" si="28"/>
        <v>2.25</v>
      </c>
      <c r="K109" s="123">
        <f t="shared" si="28"/>
        <v>2.25</v>
      </c>
      <c r="L109" s="123">
        <f t="shared" si="28"/>
        <v>2.25</v>
      </c>
      <c r="M109" s="123">
        <f t="shared" si="28"/>
        <v>2.25</v>
      </c>
      <c r="N109" s="123">
        <f t="shared" si="28"/>
        <v>2.25</v>
      </c>
      <c r="O109" s="123">
        <f t="shared" si="28"/>
        <v>2.25</v>
      </c>
      <c r="P109" s="123">
        <f t="shared" si="28"/>
        <v>2.25</v>
      </c>
      <c r="Q109" s="123">
        <f t="shared" si="28"/>
        <v>2.25</v>
      </c>
      <c r="R109" s="123">
        <f t="shared" si="28"/>
        <v>2.25</v>
      </c>
      <c r="S109" s="123">
        <f t="shared" si="28"/>
        <v>2.25</v>
      </c>
      <c r="T109" s="123">
        <f t="shared" ref="T109:AF110" si="29">S109</f>
        <v>2.25</v>
      </c>
      <c r="U109" s="123">
        <f t="shared" si="29"/>
        <v>2.25</v>
      </c>
      <c r="V109" s="123">
        <f t="shared" si="29"/>
        <v>2.25</v>
      </c>
      <c r="W109" s="123">
        <f t="shared" si="29"/>
        <v>2.25</v>
      </c>
      <c r="X109" s="123">
        <f t="shared" si="29"/>
        <v>2.25</v>
      </c>
      <c r="Y109" s="123">
        <f t="shared" si="29"/>
        <v>2.25</v>
      </c>
      <c r="Z109" s="123">
        <f t="shared" si="29"/>
        <v>2.25</v>
      </c>
      <c r="AA109" s="123">
        <f t="shared" si="29"/>
        <v>2.25</v>
      </c>
      <c r="AB109" s="123">
        <f t="shared" si="29"/>
        <v>2.25</v>
      </c>
      <c r="AC109" s="123">
        <f t="shared" si="29"/>
        <v>2.25</v>
      </c>
      <c r="AD109" s="123">
        <f t="shared" si="29"/>
        <v>2.25</v>
      </c>
      <c r="AE109" s="123">
        <f t="shared" si="29"/>
        <v>2.25</v>
      </c>
      <c r="AF109" s="123">
        <f t="shared" si="29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8"/>
        <v>1.64</v>
      </c>
      <c r="E110" s="123">
        <f t="shared" si="28"/>
        <v>1.64</v>
      </c>
      <c r="F110" s="123">
        <f t="shared" si="28"/>
        <v>1.64</v>
      </c>
      <c r="G110" s="123">
        <f t="shared" si="28"/>
        <v>1.64</v>
      </c>
      <c r="H110" s="123">
        <f t="shared" si="28"/>
        <v>1.64</v>
      </c>
      <c r="I110" s="123">
        <f t="shared" si="28"/>
        <v>1.64</v>
      </c>
      <c r="J110" s="123">
        <f t="shared" si="28"/>
        <v>1.64</v>
      </c>
      <c r="K110" s="123">
        <f t="shared" si="28"/>
        <v>1.64</v>
      </c>
      <c r="L110" s="123">
        <f t="shared" si="28"/>
        <v>1.64</v>
      </c>
      <c r="M110" s="123">
        <f t="shared" si="28"/>
        <v>1.64</v>
      </c>
      <c r="N110" s="123">
        <f t="shared" si="28"/>
        <v>1.64</v>
      </c>
      <c r="O110" s="123">
        <f t="shared" si="28"/>
        <v>1.64</v>
      </c>
      <c r="P110" s="123">
        <f t="shared" si="28"/>
        <v>1.64</v>
      </c>
      <c r="Q110" s="123">
        <f t="shared" si="28"/>
        <v>1.64</v>
      </c>
      <c r="R110" s="123">
        <f t="shared" si="28"/>
        <v>1.64</v>
      </c>
      <c r="S110" s="123">
        <f t="shared" si="28"/>
        <v>1.64</v>
      </c>
      <c r="T110" s="123">
        <f t="shared" si="29"/>
        <v>1.64</v>
      </c>
      <c r="U110" s="123">
        <f t="shared" si="29"/>
        <v>1.64</v>
      </c>
      <c r="V110" s="123">
        <f t="shared" si="29"/>
        <v>1.64</v>
      </c>
      <c r="W110" s="123">
        <f t="shared" si="29"/>
        <v>1.64</v>
      </c>
      <c r="X110" s="123">
        <f t="shared" si="29"/>
        <v>1.64</v>
      </c>
      <c r="Y110" s="123">
        <f t="shared" si="29"/>
        <v>1.64</v>
      </c>
      <c r="Z110" s="123">
        <f t="shared" si="29"/>
        <v>1.64</v>
      </c>
      <c r="AA110" s="123">
        <f t="shared" si="29"/>
        <v>1.64</v>
      </c>
      <c r="AB110" s="123">
        <f t="shared" si="29"/>
        <v>1.64</v>
      </c>
      <c r="AC110" s="123">
        <f t="shared" si="29"/>
        <v>1.64</v>
      </c>
      <c r="AD110" s="123">
        <f t="shared" si="29"/>
        <v>1.64</v>
      </c>
      <c r="AE110" s="123">
        <f t="shared" si="29"/>
        <v>1.64</v>
      </c>
      <c r="AF110" s="123">
        <f t="shared" si="29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0">AF112</f>
        <v>1.62</v>
      </c>
      <c r="C112" s="124">
        <v>1.62</v>
      </c>
      <c r="D112" s="123">
        <f t="shared" ref="D112:S119" si="31">C112</f>
        <v>1.62</v>
      </c>
      <c r="E112" s="123">
        <f t="shared" si="31"/>
        <v>1.62</v>
      </c>
      <c r="F112" s="123">
        <f t="shared" si="31"/>
        <v>1.62</v>
      </c>
      <c r="G112" s="123">
        <f t="shared" si="31"/>
        <v>1.62</v>
      </c>
      <c r="H112" s="123">
        <f t="shared" si="31"/>
        <v>1.62</v>
      </c>
      <c r="I112" s="123">
        <f t="shared" si="31"/>
        <v>1.62</v>
      </c>
      <c r="J112" s="123">
        <f t="shared" si="31"/>
        <v>1.62</v>
      </c>
      <c r="K112" s="123">
        <f t="shared" si="31"/>
        <v>1.62</v>
      </c>
      <c r="L112" s="123">
        <f t="shared" si="31"/>
        <v>1.62</v>
      </c>
      <c r="M112" s="123">
        <f t="shared" si="31"/>
        <v>1.62</v>
      </c>
      <c r="N112" s="123">
        <f t="shared" si="31"/>
        <v>1.62</v>
      </c>
      <c r="O112" s="123">
        <f t="shared" si="31"/>
        <v>1.62</v>
      </c>
      <c r="P112" s="123">
        <f t="shared" si="31"/>
        <v>1.62</v>
      </c>
      <c r="Q112" s="123">
        <f t="shared" si="31"/>
        <v>1.62</v>
      </c>
      <c r="R112" s="123">
        <f t="shared" si="31"/>
        <v>1.62</v>
      </c>
      <c r="S112" s="123">
        <f t="shared" si="31"/>
        <v>1.62</v>
      </c>
      <c r="T112" s="123">
        <f t="shared" ref="T112:AF127" si="32">S112</f>
        <v>1.62</v>
      </c>
      <c r="U112" s="123">
        <f t="shared" si="32"/>
        <v>1.62</v>
      </c>
      <c r="V112" s="123">
        <f t="shared" si="32"/>
        <v>1.62</v>
      </c>
      <c r="W112" s="123">
        <f t="shared" si="32"/>
        <v>1.62</v>
      </c>
      <c r="X112" s="123">
        <f t="shared" si="32"/>
        <v>1.62</v>
      </c>
      <c r="Y112" s="123">
        <f t="shared" si="32"/>
        <v>1.62</v>
      </c>
      <c r="Z112" s="123">
        <f t="shared" si="32"/>
        <v>1.62</v>
      </c>
      <c r="AA112" s="123">
        <f t="shared" si="32"/>
        <v>1.62</v>
      </c>
      <c r="AB112" s="123">
        <f t="shared" si="32"/>
        <v>1.62</v>
      </c>
      <c r="AC112" s="123">
        <f t="shared" si="32"/>
        <v>1.62</v>
      </c>
      <c r="AD112" s="123">
        <f t="shared" si="32"/>
        <v>1.62</v>
      </c>
      <c r="AE112" s="123">
        <f t="shared" si="32"/>
        <v>1.62</v>
      </c>
      <c r="AF112" s="123">
        <f t="shared" si="32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0"/>
        <v>8.36</v>
      </c>
      <c r="C113" s="124">
        <v>8.36</v>
      </c>
      <c r="D113" s="123">
        <f t="shared" si="31"/>
        <v>8.36</v>
      </c>
      <c r="E113" s="123">
        <f t="shared" si="31"/>
        <v>8.36</v>
      </c>
      <c r="F113" s="123">
        <f t="shared" si="31"/>
        <v>8.36</v>
      </c>
      <c r="G113" s="123">
        <f t="shared" si="31"/>
        <v>8.36</v>
      </c>
      <c r="H113" s="123">
        <f t="shared" si="31"/>
        <v>8.36</v>
      </c>
      <c r="I113" s="123">
        <f t="shared" si="31"/>
        <v>8.36</v>
      </c>
      <c r="J113" s="123">
        <f t="shared" si="31"/>
        <v>8.36</v>
      </c>
      <c r="K113" s="123">
        <f t="shared" si="31"/>
        <v>8.36</v>
      </c>
      <c r="L113" s="123">
        <f t="shared" si="31"/>
        <v>8.36</v>
      </c>
      <c r="M113" s="123">
        <f t="shared" si="31"/>
        <v>8.36</v>
      </c>
      <c r="N113" s="123">
        <f t="shared" si="31"/>
        <v>8.36</v>
      </c>
      <c r="O113" s="123">
        <f t="shared" si="31"/>
        <v>8.36</v>
      </c>
      <c r="P113" s="123">
        <f t="shared" si="31"/>
        <v>8.36</v>
      </c>
      <c r="Q113" s="123">
        <f t="shared" si="31"/>
        <v>8.36</v>
      </c>
      <c r="R113" s="123">
        <f t="shared" si="31"/>
        <v>8.36</v>
      </c>
      <c r="S113" s="123">
        <f t="shared" si="31"/>
        <v>8.36</v>
      </c>
      <c r="T113" s="123">
        <f t="shared" si="32"/>
        <v>8.36</v>
      </c>
      <c r="U113" s="123">
        <f t="shared" si="32"/>
        <v>8.36</v>
      </c>
      <c r="V113" s="123">
        <f t="shared" si="32"/>
        <v>8.36</v>
      </c>
      <c r="W113" s="123">
        <f t="shared" si="32"/>
        <v>8.36</v>
      </c>
      <c r="X113" s="123">
        <f t="shared" si="32"/>
        <v>8.36</v>
      </c>
      <c r="Y113" s="123">
        <f t="shared" si="32"/>
        <v>8.36</v>
      </c>
      <c r="Z113" s="123">
        <f t="shared" si="32"/>
        <v>8.36</v>
      </c>
      <c r="AA113" s="123">
        <f t="shared" si="32"/>
        <v>8.36</v>
      </c>
      <c r="AB113" s="123">
        <f t="shared" si="32"/>
        <v>8.36</v>
      </c>
      <c r="AC113" s="123">
        <f t="shared" si="32"/>
        <v>8.36</v>
      </c>
      <c r="AD113" s="123">
        <f t="shared" si="32"/>
        <v>8.36</v>
      </c>
      <c r="AE113" s="123">
        <f t="shared" si="32"/>
        <v>8.36</v>
      </c>
      <c r="AF113" s="123">
        <f t="shared" si="32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0"/>
        <v>5.4</v>
      </c>
      <c r="C114" s="124">
        <v>8</v>
      </c>
      <c r="D114" s="123">
        <f t="shared" si="31"/>
        <v>8</v>
      </c>
      <c r="E114" s="123">
        <f t="shared" si="31"/>
        <v>8</v>
      </c>
      <c r="F114" s="123">
        <f t="shared" si="31"/>
        <v>8</v>
      </c>
      <c r="G114" s="123">
        <f t="shared" si="31"/>
        <v>8</v>
      </c>
      <c r="H114" s="123">
        <f t="shared" si="31"/>
        <v>8</v>
      </c>
      <c r="I114" s="123">
        <f t="shared" si="31"/>
        <v>8</v>
      </c>
      <c r="J114" s="123">
        <v>5.4</v>
      </c>
      <c r="K114" s="123">
        <f t="shared" si="31"/>
        <v>5.4</v>
      </c>
      <c r="L114" s="123">
        <f t="shared" si="31"/>
        <v>5.4</v>
      </c>
      <c r="M114" s="123">
        <f t="shared" si="31"/>
        <v>5.4</v>
      </c>
      <c r="N114" s="123">
        <f t="shared" si="31"/>
        <v>5.4</v>
      </c>
      <c r="O114" s="123">
        <f t="shared" si="31"/>
        <v>5.4</v>
      </c>
      <c r="P114" s="123">
        <f t="shared" si="31"/>
        <v>5.4</v>
      </c>
      <c r="Q114" s="123">
        <f t="shared" si="31"/>
        <v>5.4</v>
      </c>
      <c r="R114" s="123">
        <f t="shared" si="31"/>
        <v>5.4</v>
      </c>
      <c r="S114" s="123">
        <f t="shared" si="31"/>
        <v>5.4</v>
      </c>
      <c r="T114" s="123">
        <f t="shared" si="32"/>
        <v>5.4</v>
      </c>
      <c r="U114" s="123">
        <f t="shared" si="32"/>
        <v>5.4</v>
      </c>
      <c r="V114" s="123">
        <f t="shared" si="32"/>
        <v>5.4</v>
      </c>
      <c r="W114" s="123">
        <f t="shared" si="32"/>
        <v>5.4</v>
      </c>
      <c r="X114" s="123">
        <f t="shared" si="32"/>
        <v>5.4</v>
      </c>
      <c r="Y114" s="123">
        <f t="shared" si="32"/>
        <v>5.4</v>
      </c>
      <c r="Z114" s="123">
        <f t="shared" si="32"/>
        <v>5.4</v>
      </c>
      <c r="AA114" s="123">
        <f t="shared" si="32"/>
        <v>5.4</v>
      </c>
      <c r="AB114" s="123">
        <f t="shared" si="32"/>
        <v>5.4</v>
      </c>
      <c r="AC114" s="123">
        <f t="shared" si="32"/>
        <v>5.4</v>
      </c>
      <c r="AD114" s="123">
        <f t="shared" si="32"/>
        <v>5.4</v>
      </c>
      <c r="AE114" s="123">
        <f t="shared" si="32"/>
        <v>5.4</v>
      </c>
      <c r="AF114" s="123">
        <f t="shared" si="32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0"/>
        <v>6.57</v>
      </c>
      <c r="C115" s="124">
        <v>6.57</v>
      </c>
      <c r="D115" s="123">
        <f t="shared" si="31"/>
        <v>6.57</v>
      </c>
      <c r="E115" s="123">
        <f t="shared" si="31"/>
        <v>6.57</v>
      </c>
      <c r="F115" s="123">
        <f t="shared" si="31"/>
        <v>6.57</v>
      </c>
      <c r="G115" s="123">
        <f t="shared" si="31"/>
        <v>6.57</v>
      </c>
      <c r="H115" s="123">
        <f t="shared" si="31"/>
        <v>6.57</v>
      </c>
      <c r="I115" s="123">
        <f t="shared" si="31"/>
        <v>6.57</v>
      </c>
      <c r="J115" s="123">
        <f t="shared" si="31"/>
        <v>6.57</v>
      </c>
      <c r="K115" s="123">
        <f t="shared" si="31"/>
        <v>6.57</v>
      </c>
      <c r="L115" s="123">
        <f t="shared" si="31"/>
        <v>6.57</v>
      </c>
      <c r="M115" s="123">
        <f t="shared" si="31"/>
        <v>6.57</v>
      </c>
      <c r="N115" s="123">
        <f t="shared" si="31"/>
        <v>6.57</v>
      </c>
      <c r="O115" s="123">
        <f t="shared" si="31"/>
        <v>6.57</v>
      </c>
      <c r="P115" s="123">
        <f t="shared" si="31"/>
        <v>6.57</v>
      </c>
      <c r="Q115" s="123">
        <f t="shared" si="31"/>
        <v>6.57</v>
      </c>
      <c r="R115" s="123">
        <f t="shared" si="31"/>
        <v>6.57</v>
      </c>
      <c r="S115" s="123">
        <f t="shared" si="31"/>
        <v>6.57</v>
      </c>
      <c r="T115" s="123">
        <f t="shared" si="32"/>
        <v>6.57</v>
      </c>
      <c r="U115" s="123">
        <f t="shared" si="32"/>
        <v>6.57</v>
      </c>
      <c r="V115" s="123">
        <f t="shared" si="32"/>
        <v>6.57</v>
      </c>
      <c r="W115" s="123">
        <f t="shared" si="32"/>
        <v>6.57</v>
      </c>
      <c r="X115" s="123">
        <f t="shared" si="32"/>
        <v>6.57</v>
      </c>
      <c r="Y115" s="123">
        <f t="shared" si="32"/>
        <v>6.57</v>
      </c>
      <c r="Z115" s="123">
        <f t="shared" si="32"/>
        <v>6.57</v>
      </c>
      <c r="AA115" s="123">
        <f t="shared" si="32"/>
        <v>6.57</v>
      </c>
      <c r="AB115" s="123">
        <f t="shared" si="32"/>
        <v>6.57</v>
      </c>
      <c r="AC115" s="123">
        <f t="shared" si="32"/>
        <v>6.57</v>
      </c>
      <c r="AD115" s="123">
        <f t="shared" si="32"/>
        <v>6.57</v>
      </c>
      <c r="AE115" s="123">
        <f t="shared" si="32"/>
        <v>6.57</v>
      </c>
      <c r="AF115" s="123">
        <f t="shared" si="32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0"/>
        <v>3.43</v>
      </c>
      <c r="C116" s="124">
        <v>3.43</v>
      </c>
      <c r="D116" s="123">
        <f t="shared" si="31"/>
        <v>3.43</v>
      </c>
      <c r="E116" s="123">
        <f t="shared" si="31"/>
        <v>3.43</v>
      </c>
      <c r="F116" s="123">
        <f t="shared" si="31"/>
        <v>3.43</v>
      </c>
      <c r="G116" s="123">
        <f t="shared" si="31"/>
        <v>3.43</v>
      </c>
      <c r="H116" s="123">
        <f t="shared" si="31"/>
        <v>3.43</v>
      </c>
      <c r="I116" s="123">
        <f t="shared" si="31"/>
        <v>3.43</v>
      </c>
      <c r="J116" s="123">
        <f t="shared" si="31"/>
        <v>3.43</v>
      </c>
      <c r="K116" s="123">
        <f t="shared" si="31"/>
        <v>3.43</v>
      </c>
      <c r="L116" s="123">
        <f t="shared" si="31"/>
        <v>3.43</v>
      </c>
      <c r="M116" s="123">
        <f t="shared" si="31"/>
        <v>3.43</v>
      </c>
      <c r="N116" s="123">
        <f t="shared" si="31"/>
        <v>3.43</v>
      </c>
      <c r="O116" s="123">
        <f t="shared" si="31"/>
        <v>3.43</v>
      </c>
      <c r="P116" s="123">
        <f t="shared" si="31"/>
        <v>3.43</v>
      </c>
      <c r="Q116" s="123">
        <f t="shared" si="31"/>
        <v>3.43</v>
      </c>
      <c r="R116" s="123">
        <f t="shared" si="31"/>
        <v>3.43</v>
      </c>
      <c r="S116" s="123">
        <f t="shared" si="31"/>
        <v>3.43</v>
      </c>
      <c r="T116" s="123">
        <f t="shared" si="32"/>
        <v>3.43</v>
      </c>
      <c r="U116" s="123">
        <f t="shared" si="32"/>
        <v>3.43</v>
      </c>
      <c r="V116" s="123">
        <f t="shared" si="32"/>
        <v>3.43</v>
      </c>
      <c r="W116" s="123">
        <f t="shared" si="32"/>
        <v>3.43</v>
      </c>
      <c r="X116" s="123">
        <f t="shared" si="32"/>
        <v>3.43</v>
      </c>
      <c r="Y116" s="123">
        <f t="shared" si="32"/>
        <v>3.43</v>
      </c>
      <c r="Z116" s="123">
        <f t="shared" si="32"/>
        <v>3.43</v>
      </c>
      <c r="AA116" s="123">
        <f t="shared" si="32"/>
        <v>3.43</v>
      </c>
      <c r="AB116" s="123">
        <f t="shared" si="32"/>
        <v>3.43</v>
      </c>
      <c r="AC116" s="123">
        <f t="shared" si="32"/>
        <v>3.43</v>
      </c>
      <c r="AD116" s="123">
        <f t="shared" si="32"/>
        <v>3.43</v>
      </c>
      <c r="AE116" s="123">
        <f t="shared" si="32"/>
        <v>3.43</v>
      </c>
      <c r="AF116" s="123">
        <f t="shared" si="32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0"/>
        <v>2.96</v>
      </c>
      <c r="C117" s="124">
        <v>2.96</v>
      </c>
      <c r="D117" s="123">
        <f t="shared" si="31"/>
        <v>2.96</v>
      </c>
      <c r="E117" s="123">
        <f t="shared" si="31"/>
        <v>2.96</v>
      </c>
      <c r="F117" s="123">
        <f t="shared" si="31"/>
        <v>2.96</v>
      </c>
      <c r="G117" s="123">
        <f t="shared" si="31"/>
        <v>2.96</v>
      </c>
      <c r="H117" s="123">
        <f t="shared" si="31"/>
        <v>2.96</v>
      </c>
      <c r="I117" s="123">
        <f t="shared" si="31"/>
        <v>2.96</v>
      </c>
      <c r="J117" s="123">
        <f t="shared" si="31"/>
        <v>2.96</v>
      </c>
      <c r="K117" s="123">
        <f t="shared" si="31"/>
        <v>2.96</v>
      </c>
      <c r="L117" s="123">
        <f t="shared" si="31"/>
        <v>2.96</v>
      </c>
      <c r="M117" s="123">
        <f t="shared" si="31"/>
        <v>2.96</v>
      </c>
      <c r="N117" s="123">
        <f t="shared" si="31"/>
        <v>2.96</v>
      </c>
      <c r="O117" s="123">
        <f t="shared" si="31"/>
        <v>2.96</v>
      </c>
      <c r="P117" s="123">
        <f t="shared" si="31"/>
        <v>2.96</v>
      </c>
      <c r="Q117" s="123">
        <f t="shared" si="31"/>
        <v>2.96</v>
      </c>
      <c r="R117" s="123">
        <f t="shared" si="31"/>
        <v>2.96</v>
      </c>
      <c r="S117" s="123">
        <f t="shared" si="31"/>
        <v>2.96</v>
      </c>
      <c r="T117" s="123">
        <f t="shared" si="32"/>
        <v>2.96</v>
      </c>
      <c r="U117" s="123">
        <f t="shared" si="32"/>
        <v>2.96</v>
      </c>
      <c r="V117" s="123">
        <f t="shared" si="32"/>
        <v>2.96</v>
      </c>
      <c r="W117" s="123">
        <f t="shared" si="32"/>
        <v>2.96</v>
      </c>
      <c r="X117" s="123">
        <f t="shared" si="32"/>
        <v>2.96</v>
      </c>
      <c r="Y117" s="123">
        <f t="shared" si="32"/>
        <v>2.96</v>
      </c>
      <c r="Z117" s="123">
        <f t="shared" si="32"/>
        <v>2.96</v>
      </c>
      <c r="AA117" s="123">
        <f t="shared" si="32"/>
        <v>2.96</v>
      </c>
      <c r="AB117" s="123">
        <f t="shared" si="32"/>
        <v>2.96</v>
      </c>
      <c r="AC117" s="123">
        <f t="shared" si="32"/>
        <v>2.96</v>
      </c>
      <c r="AD117" s="123">
        <f t="shared" si="32"/>
        <v>2.96</v>
      </c>
      <c r="AE117" s="123">
        <f t="shared" si="32"/>
        <v>2.96</v>
      </c>
      <c r="AF117" s="123">
        <f t="shared" si="32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0"/>
        <v>8</v>
      </c>
      <c r="C118" s="124">
        <v>8</v>
      </c>
      <c r="D118" s="123">
        <f t="shared" si="31"/>
        <v>8</v>
      </c>
      <c r="E118" s="123">
        <f t="shared" si="31"/>
        <v>8</v>
      </c>
      <c r="F118" s="123">
        <f t="shared" si="31"/>
        <v>8</v>
      </c>
      <c r="G118" s="123">
        <f t="shared" si="31"/>
        <v>8</v>
      </c>
      <c r="H118" s="123">
        <f t="shared" si="31"/>
        <v>8</v>
      </c>
      <c r="I118" s="123">
        <f t="shared" si="31"/>
        <v>8</v>
      </c>
      <c r="J118" s="123">
        <f t="shared" si="31"/>
        <v>8</v>
      </c>
      <c r="K118" s="123">
        <f t="shared" si="31"/>
        <v>8</v>
      </c>
      <c r="L118" s="123">
        <f t="shared" si="31"/>
        <v>8</v>
      </c>
      <c r="M118" s="123">
        <f t="shared" si="31"/>
        <v>8</v>
      </c>
      <c r="N118" s="123">
        <f t="shared" si="31"/>
        <v>8</v>
      </c>
      <c r="O118" s="123">
        <f t="shared" si="31"/>
        <v>8</v>
      </c>
      <c r="P118" s="123">
        <f t="shared" si="31"/>
        <v>8</v>
      </c>
      <c r="Q118" s="123">
        <f t="shared" si="31"/>
        <v>8</v>
      </c>
      <c r="R118" s="123">
        <f t="shared" si="31"/>
        <v>8</v>
      </c>
      <c r="S118" s="123">
        <f t="shared" si="31"/>
        <v>8</v>
      </c>
      <c r="T118" s="123">
        <f t="shared" si="32"/>
        <v>8</v>
      </c>
      <c r="U118" s="123">
        <f t="shared" si="32"/>
        <v>8</v>
      </c>
      <c r="V118" s="123">
        <f t="shared" si="32"/>
        <v>8</v>
      </c>
      <c r="W118" s="123">
        <f t="shared" si="32"/>
        <v>8</v>
      </c>
      <c r="X118" s="123">
        <f t="shared" si="32"/>
        <v>8</v>
      </c>
      <c r="Y118" s="123">
        <f t="shared" si="32"/>
        <v>8</v>
      </c>
      <c r="Z118" s="123">
        <f t="shared" si="32"/>
        <v>8</v>
      </c>
      <c r="AA118" s="123">
        <f t="shared" si="32"/>
        <v>8</v>
      </c>
      <c r="AB118" s="123">
        <f t="shared" si="32"/>
        <v>8</v>
      </c>
      <c r="AC118" s="123">
        <f t="shared" si="32"/>
        <v>8</v>
      </c>
      <c r="AD118" s="123">
        <f t="shared" si="32"/>
        <v>8</v>
      </c>
      <c r="AE118" s="123">
        <f t="shared" si="32"/>
        <v>8</v>
      </c>
      <c r="AF118" s="123">
        <f t="shared" si="32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0"/>
        <v>7</v>
      </c>
      <c r="C119" s="124">
        <v>7</v>
      </c>
      <c r="D119" s="123">
        <f>C119</f>
        <v>7</v>
      </c>
      <c r="E119" s="123">
        <f t="shared" si="31"/>
        <v>7</v>
      </c>
      <c r="F119" s="123">
        <f t="shared" si="31"/>
        <v>7</v>
      </c>
      <c r="G119" s="123">
        <f t="shared" si="31"/>
        <v>7</v>
      </c>
      <c r="H119" s="123">
        <f t="shared" si="31"/>
        <v>7</v>
      </c>
      <c r="I119" s="123">
        <f t="shared" si="31"/>
        <v>7</v>
      </c>
      <c r="J119" s="123">
        <f t="shared" si="31"/>
        <v>7</v>
      </c>
      <c r="K119" s="123">
        <f t="shared" si="31"/>
        <v>7</v>
      </c>
      <c r="L119" s="123">
        <f t="shared" si="31"/>
        <v>7</v>
      </c>
      <c r="M119" s="123">
        <f t="shared" si="31"/>
        <v>7</v>
      </c>
      <c r="N119" s="123">
        <f t="shared" si="31"/>
        <v>7</v>
      </c>
      <c r="O119" s="123">
        <f t="shared" si="31"/>
        <v>7</v>
      </c>
      <c r="P119" s="123">
        <f t="shared" si="31"/>
        <v>7</v>
      </c>
      <c r="Q119" s="123">
        <f t="shared" si="31"/>
        <v>7</v>
      </c>
      <c r="R119" s="123">
        <f t="shared" si="31"/>
        <v>7</v>
      </c>
      <c r="S119" s="123">
        <f t="shared" si="31"/>
        <v>7</v>
      </c>
      <c r="T119" s="123">
        <f t="shared" si="32"/>
        <v>7</v>
      </c>
      <c r="U119" s="123">
        <f t="shared" si="32"/>
        <v>7</v>
      </c>
      <c r="V119" s="123">
        <f t="shared" si="32"/>
        <v>7</v>
      </c>
      <c r="W119" s="123">
        <f t="shared" si="32"/>
        <v>7</v>
      </c>
      <c r="X119" s="123">
        <f t="shared" si="32"/>
        <v>7</v>
      </c>
      <c r="Y119" s="123">
        <f t="shared" si="32"/>
        <v>7</v>
      </c>
      <c r="Z119" s="123">
        <f t="shared" si="32"/>
        <v>7</v>
      </c>
      <c r="AA119" s="123">
        <f t="shared" si="32"/>
        <v>7</v>
      </c>
      <c r="AB119" s="123">
        <f t="shared" si="32"/>
        <v>7</v>
      </c>
      <c r="AC119" s="123">
        <f t="shared" si="32"/>
        <v>7</v>
      </c>
      <c r="AD119" s="123">
        <f t="shared" si="32"/>
        <v>7</v>
      </c>
      <c r="AE119" s="123">
        <f t="shared" si="32"/>
        <v>7</v>
      </c>
      <c r="AF119" s="123">
        <f t="shared" si="32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0"/>
        <v>3.47</v>
      </c>
      <c r="C120" s="124">
        <v>3.47</v>
      </c>
      <c r="D120" s="123">
        <f t="shared" ref="D120:S129" si="33">C120</f>
        <v>3.47</v>
      </c>
      <c r="E120" s="123">
        <f t="shared" si="33"/>
        <v>3.47</v>
      </c>
      <c r="F120" s="123">
        <f t="shared" si="33"/>
        <v>3.47</v>
      </c>
      <c r="G120" s="123">
        <f t="shared" si="33"/>
        <v>3.47</v>
      </c>
      <c r="H120" s="123">
        <f t="shared" si="33"/>
        <v>3.47</v>
      </c>
      <c r="I120" s="123">
        <f t="shared" si="33"/>
        <v>3.47</v>
      </c>
      <c r="J120" s="123">
        <f t="shared" si="33"/>
        <v>3.47</v>
      </c>
      <c r="K120" s="123">
        <f t="shared" si="33"/>
        <v>3.47</v>
      </c>
      <c r="L120" s="123">
        <f t="shared" si="33"/>
        <v>3.47</v>
      </c>
      <c r="M120" s="123">
        <f t="shared" si="33"/>
        <v>3.47</v>
      </c>
      <c r="N120" s="123">
        <f t="shared" si="33"/>
        <v>3.47</v>
      </c>
      <c r="O120" s="123">
        <f t="shared" si="33"/>
        <v>3.47</v>
      </c>
      <c r="P120" s="123">
        <f t="shared" si="33"/>
        <v>3.47</v>
      </c>
      <c r="Q120" s="123">
        <f t="shared" si="33"/>
        <v>3.47</v>
      </c>
      <c r="R120" s="123">
        <f t="shared" si="33"/>
        <v>3.47</v>
      </c>
      <c r="S120" s="123">
        <f t="shared" si="33"/>
        <v>3.47</v>
      </c>
      <c r="T120" s="123">
        <f t="shared" si="32"/>
        <v>3.47</v>
      </c>
      <c r="U120" s="123">
        <f t="shared" si="32"/>
        <v>3.47</v>
      </c>
      <c r="V120" s="123">
        <f t="shared" si="32"/>
        <v>3.47</v>
      </c>
      <c r="W120" s="123">
        <f t="shared" si="32"/>
        <v>3.47</v>
      </c>
      <c r="X120" s="123">
        <f t="shared" si="32"/>
        <v>3.47</v>
      </c>
      <c r="Y120" s="123">
        <f t="shared" si="32"/>
        <v>3.47</v>
      </c>
      <c r="Z120" s="123">
        <f t="shared" si="32"/>
        <v>3.47</v>
      </c>
      <c r="AA120" s="123">
        <f t="shared" si="32"/>
        <v>3.47</v>
      </c>
      <c r="AB120" s="123">
        <f t="shared" si="32"/>
        <v>3.47</v>
      </c>
      <c r="AC120" s="123">
        <f t="shared" si="32"/>
        <v>3.47</v>
      </c>
      <c r="AD120" s="123">
        <f t="shared" si="32"/>
        <v>3.47</v>
      </c>
      <c r="AE120" s="123">
        <f t="shared" si="32"/>
        <v>3.47</v>
      </c>
      <c r="AF120" s="123">
        <f t="shared" si="32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0"/>
        <v>2.1</v>
      </c>
      <c r="C121" s="124">
        <v>2.1</v>
      </c>
      <c r="D121" s="123">
        <f t="shared" si="33"/>
        <v>2.1</v>
      </c>
      <c r="E121" s="123">
        <f t="shared" si="33"/>
        <v>2.1</v>
      </c>
      <c r="F121" s="123">
        <f t="shared" si="33"/>
        <v>2.1</v>
      </c>
      <c r="G121" s="123">
        <f t="shared" si="33"/>
        <v>2.1</v>
      </c>
      <c r="H121" s="123">
        <f t="shared" si="33"/>
        <v>2.1</v>
      </c>
      <c r="I121" s="123">
        <f t="shared" si="33"/>
        <v>2.1</v>
      </c>
      <c r="J121" s="123">
        <f t="shared" si="33"/>
        <v>2.1</v>
      </c>
      <c r="K121" s="123">
        <f t="shared" si="33"/>
        <v>2.1</v>
      </c>
      <c r="L121" s="123">
        <f t="shared" si="33"/>
        <v>2.1</v>
      </c>
      <c r="M121" s="123">
        <f t="shared" si="33"/>
        <v>2.1</v>
      </c>
      <c r="N121" s="123">
        <f t="shared" si="33"/>
        <v>2.1</v>
      </c>
      <c r="O121" s="123">
        <f t="shared" si="33"/>
        <v>2.1</v>
      </c>
      <c r="P121" s="123">
        <f t="shared" si="33"/>
        <v>2.1</v>
      </c>
      <c r="Q121" s="123">
        <f t="shared" si="33"/>
        <v>2.1</v>
      </c>
      <c r="R121" s="123">
        <f t="shared" si="33"/>
        <v>2.1</v>
      </c>
      <c r="S121" s="123">
        <f t="shared" si="33"/>
        <v>2.1</v>
      </c>
      <c r="T121" s="123">
        <f t="shared" si="32"/>
        <v>2.1</v>
      </c>
      <c r="U121" s="123">
        <f t="shared" si="32"/>
        <v>2.1</v>
      </c>
      <c r="V121" s="123">
        <f t="shared" si="32"/>
        <v>2.1</v>
      </c>
      <c r="W121" s="123">
        <f t="shared" si="32"/>
        <v>2.1</v>
      </c>
      <c r="X121" s="123">
        <f t="shared" si="32"/>
        <v>2.1</v>
      </c>
      <c r="Y121" s="123">
        <f t="shared" si="32"/>
        <v>2.1</v>
      </c>
      <c r="Z121" s="123">
        <f t="shared" si="32"/>
        <v>2.1</v>
      </c>
      <c r="AA121" s="123">
        <f t="shared" si="32"/>
        <v>2.1</v>
      </c>
      <c r="AB121" s="123">
        <f t="shared" si="32"/>
        <v>2.1</v>
      </c>
      <c r="AC121" s="123">
        <f t="shared" si="32"/>
        <v>2.1</v>
      </c>
      <c r="AD121" s="123">
        <f t="shared" si="32"/>
        <v>2.1</v>
      </c>
      <c r="AE121" s="123">
        <f t="shared" si="32"/>
        <v>2.1</v>
      </c>
      <c r="AF121" s="123">
        <f t="shared" si="32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0"/>
        <v>9.3000000000000007</v>
      </c>
      <c r="C122" s="124">
        <v>9.3000000000000007</v>
      </c>
      <c r="D122" s="123">
        <f t="shared" si="33"/>
        <v>9.3000000000000007</v>
      </c>
      <c r="E122" s="123">
        <f t="shared" si="33"/>
        <v>9.3000000000000007</v>
      </c>
      <c r="F122" s="123">
        <f t="shared" si="33"/>
        <v>9.3000000000000007</v>
      </c>
      <c r="G122" s="123">
        <f t="shared" si="33"/>
        <v>9.3000000000000007</v>
      </c>
      <c r="H122" s="123">
        <f t="shared" si="33"/>
        <v>9.3000000000000007</v>
      </c>
      <c r="I122" s="123">
        <f t="shared" si="33"/>
        <v>9.3000000000000007</v>
      </c>
      <c r="J122" s="123">
        <f t="shared" si="33"/>
        <v>9.3000000000000007</v>
      </c>
      <c r="K122" s="123">
        <f t="shared" si="33"/>
        <v>9.3000000000000007</v>
      </c>
      <c r="L122" s="123">
        <f t="shared" si="33"/>
        <v>9.3000000000000007</v>
      </c>
      <c r="M122" s="123">
        <f t="shared" si="33"/>
        <v>9.3000000000000007</v>
      </c>
      <c r="N122" s="123">
        <f t="shared" si="33"/>
        <v>9.3000000000000007</v>
      </c>
      <c r="O122" s="123">
        <f t="shared" si="33"/>
        <v>9.3000000000000007</v>
      </c>
      <c r="P122" s="123">
        <f t="shared" si="33"/>
        <v>9.3000000000000007</v>
      </c>
      <c r="Q122" s="123">
        <f t="shared" si="33"/>
        <v>9.3000000000000007</v>
      </c>
      <c r="R122" s="123">
        <f t="shared" si="33"/>
        <v>9.3000000000000007</v>
      </c>
      <c r="S122" s="123">
        <f t="shared" si="33"/>
        <v>9.3000000000000007</v>
      </c>
      <c r="T122" s="123">
        <f t="shared" si="32"/>
        <v>9.3000000000000007</v>
      </c>
      <c r="U122" s="123">
        <f t="shared" si="32"/>
        <v>9.3000000000000007</v>
      </c>
      <c r="V122" s="123">
        <f t="shared" si="32"/>
        <v>9.3000000000000007</v>
      </c>
      <c r="W122" s="123">
        <f t="shared" si="32"/>
        <v>9.3000000000000007</v>
      </c>
      <c r="X122" s="123">
        <f t="shared" si="32"/>
        <v>9.3000000000000007</v>
      </c>
      <c r="Y122" s="123">
        <f t="shared" si="32"/>
        <v>9.3000000000000007</v>
      </c>
      <c r="Z122" s="123">
        <f t="shared" si="32"/>
        <v>9.3000000000000007</v>
      </c>
      <c r="AA122" s="123">
        <f t="shared" si="32"/>
        <v>9.3000000000000007</v>
      </c>
      <c r="AB122" s="123">
        <f t="shared" si="32"/>
        <v>9.3000000000000007</v>
      </c>
      <c r="AC122" s="123">
        <f t="shared" si="32"/>
        <v>9.3000000000000007</v>
      </c>
      <c r="AD122" s="123">
        <f t="shared" si="32"/>
        <v>9.3000000000000007</v>
      </c>
      <c r="AE122" s="123">
        <f t="shared" si="32"/>
        <v>9.3000000000000007</v>
      </c>
      <c r="AF122" s="123">
        <f t="shared" si="32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0"/>
        <v>0</v>
      </c>
      <c r="C123" s="124">
        <v>0</v>
      </c>
      <c r="D123" s="123">
        <f t="shared" si="33"/>
        <v>0</v>
      </c>
      <c r="E123" s="123">
        <f t="shared" si="33"/>
        <v>0</v>
      </c>
      <c r="F123" s="123">
        <f t="shared" si="33"/>
        <v>0</v>
      </c>
      <c r="G123" s="123">
        <f t="shared" si="33"/>
        <v>0</v>
      </c>
      <c r="H123" s="123">
        <f t="shared" si="33"/>
        <v>0</v>
      </c>
      <c r="I123" s="123">
        <f t="shared" si="33"/>
        <v>0</v>
      </c>
      <c r="J123" s="123">
        <f t="shared" si="33"/>
        <v>0</v>
      </c>
      <c r="K123" s="123">
        <f t="shared" si="33"/>
        <v>0</v>
      </c>
      <c r="L123" s="123">
        <f t="shared" si="33"/>
        <v>0</v>
      </c>
      <c r="M123" s="123">
        <f t="shared" si="33"/>
        <v>0</v>
      </c>
      <c r="N123" s="123">
        <f t="shared" si="33"/>
        <v>0</v>
      </c>
      <c r="O123" s="123">
        <f t="shared" si="33"/>
        <v>0</v>
      </c>
      <c r="P123" s="123">
        <f t="shared" si="33"/>
        <v>0</v>
      </c>
      <c r="Q123" s="123">
        <f t="shared" si="33"/>
        <v>0</v>
      </c>
      <c r="R123" s="123">
        <f t="shared" si="33"/>
        <v>0</v>
      </c>
      <c r="S123" s="123">
        <f t="shared" si="33"/>
        <v>0</v>
      </c>
      <c r="T123" s="123">
        <f t="shared" si="32"/>
        <v>0</v>
      </c>
      <c r="U123" s="123">
        <f t="shared" si="32"/>
        <v>0</v>
      </c>
      <c r="V123" s="123">
        <f t="shared" si="32"/>
        <v>0</v>
      </c>
      <c r="W123" s="123">
        <f t="shared" si="32"/>
        <v>0</v>
      </c>
      <c r="X123" s="123">
        <f t="shared" si="32"/>
        <v>0</v>
      </c>
      <c r="Y123" s="123">
        <f t="shared" si="32"/>
        <v>0</v>
      </c>
      <c r="Z123" s="123">
        <f t="shared" si="32"/>
        <v>0</v>
      </c>
      <c r="AA123" s="123">
        <f t="shared" si="32"/>
        <v>0</v>
      </c>
      <c r="AB123" s="123">
        <f t="shared" si="32"/>
        <v>0</v>
      </c>
      <c r="AC123" s="123">
        <f t="shared" si="32"/>
        <v>0</v>
      </c>
      <c r="AD123" s="123">
        <f t="shared" si="32"/>
        <v>0</v>
      </c>
      <c r="AE123" s="123">
        <f t="shared" si="32"/>
        <v>0</v>
      </c>
      <c r="AF123" s="123">
        <f t="shared" si="32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0"/>
        <v>;/</v>
      </c>
      <c r="C125" s="124">
        <v>5</v>
      </c>
      <c r="D125" s="123">
        <f t="shared" si="33"/>
        <v>5</v>
      </c>
      <c r="E125" s="123">
        <f t="shared" si="33"/>
        <v>5</v>
      </c>
      <c r="F125" s="123">
        <f t="shared" si="33"/>
        <v>5</v>
      </c>
      <c r="G125" s="123">
        <f t="shared" si="33"/>
        <v>5</v>
      </c>
      <c r="H125" s="123">
        <f t="shared" si="33"/>
        <v>5</v>
      </c>
      <c r="I125" s="123" t="s">
        <v>131</v>
      </c>
      <c r="J125" s="123" t="str">
        <f t="shared" si="33"/>
        <v>;/</v>
      </c>
      <c r="K125" s="123" t="str">
        <f t="shared" si="33"/>
        <v>;/</v>
      </c>
      <c r="L125" s="123" t="str">
        <f t="shared" si="33"/>
        <v>;/</v>
      </c>
      <c r="M125" s="123" t="str">
        <f t="shared" si="33"/>
        <v>;/</v>
      </c>
      <c r="N125" s="123" t="str">
        <f t="shared" si="33"/>
        <v>;/</v>
      </c>
      <c r="O125" s="123" t="str">
        <f t="shared" si="33"/>
        <v>;/</v>
      </c>
      <c r="P125" s="123" t="str">
        <f t="shared" si="33"/>
        <v>;/</v>
      </c>
      <c r="Q125" s="123" t="str">
        <f t="shared" si="33"/>
        <v>;/</v>
      </c>
      <c r="R125" s="123" t="str">
        <f t="shared" si="33"/>
        <v>;/</v>
      </c>
      <c r="S125" s="123" t="str">
        <f t="shared" si="33"/>
        <v>;/</v>
      </c>
      <c r="T125" s="123" t="str">
        <f t="shared" si="32"/>
        <v>;/</v>
      </c>
      <c r="U125" s="123" t="str">
        <f t="shared" si="32"/>
        <v>;/</v>
      </c>
      <c r="V125" s="123" t="str">
        <f t="shared" si="32"/>
        <v>;/</v>
      </c>
      <c r="W125" s="123" t="str">
        <f t="shared" si="32"/>
        <v>;/</v>
      </c>
      <c r="X125" s="123" t="str">
        <f t="shared" si="32"/>
        <v>;/</v>
      </c>
      <c r="Y125" s="123" t="str">
        <f t="shared" si="32"/>
        <v>;/</v>
      </c>
      <c r="Z125" s="123" t="str">
        <f t="shared" si="32"/>
        <v>;/</v>
      </c>
      <c r="AA125" s="123" t="str">
        <f t="shared" si="32"/>
        <v>;/</v>
      </c>
      <c r="AB125" s="123" t="str">
        <f t="shared" si="32"/>
        <v>;/</v>
      </c>
      <c r="AC125" s="123" t="str">
        <f t="shared" si="32"/>
        <v>;/</v>
      </c>
      <c r="AD125" s="123" t="str">
        <f t="shared" si="32"/>
        <v>;/</v>
      </c>
      <c r="AE125" s="123" t="str">
        <f t="shared" si="32"/>
        <v>;/</v>
      </c>
      <c r="AF125" s="123" t="str">
        <f t="shared" si="32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0"/>
        <v>1</v>
      </c>
      <c r="C126" s="124">
        <v>1</v>
      </c>
      <c r="D126" s="123">
        <f t="shared" si="33"/>
        <v>1</v>
      </c>
      <c r="E126" s="123">
        <f t="shared" si="33"/>
        <v>1</v>
      </c>
      <c r="F126" s="123">
        <f t="shared" si="33"/>
        <v>1</v>
      </c>
      <c r="G126" s="123">
        <f t="shared" si="33"/>
        <v>1</v>
      </c>
      <c r="H126" s="123">
        <f t="shared" si="33"/>
        <v>1</v>
      </c>
      <c r="I126" s="123">
        <f t="shared" si="33"/>
        <v>1</v>
      </c>
      <c r="J126" s="123">
        <f t="shared" si="33"/>
        <v>1</v>
      </c>
      <c r="K126" s="123">
        <f t="shared" si="33"/>
        <v>1</v>
      </c>
      <c r="L126" s="123">
        <f t="shared" si="33"/>
        <v>1</v>
      </c>
      <c r="M126" s="123">
        <f t="shared" si="33"/>
        <v>1</v>
      </c>
      <c r="N126" s="123">
        <f t="shared" si="33"/>
        <v>1</v>
      </c>
      <c r="O126" s="123">
        <f t="shared" si="33"/>
        <v>1</v>
      </c>
      <c r="P126" s="123">
        <f t="shared" si="33"/>
        <v>1</v>
      </c>
      <c r="Q126" s="123">
        <f t="shared" si="33"/>
        <v>1</v>
      </c>
      <c r="R126" s="123">
        <f t="shared" si="33"/>
        <v>1</v>
      </c>
      <c r="S126" s="123">
        <f t="shared" si="33"/>
        <v>1</v>
      </c>
      <c r="T126" s="123">
        <f t="shared" si="32"/>
        <v>1</v>
      </c>
      <c r="U126" s="123">
        <f t="shared" si="32"/>
        <v>1</v>
      </c>
      <c r="V126" s="123">
        <f t="shared" si="32"/>
        <v>1</v>
      </c>
      <c r="W126" s="123">
        <f t="shared" si="32"/>
        <v>1</v>
      </c>
      <c r="X126" s="123">
        <f t="shared" si="32"/>
        <v>1</v>
      </c>
      <c r="Y126" s="123">
        <f t="shared" si="32"/>
        <v>1</v>
      </c>
      <c r="Z126" s="123">
        <f t="shared" si="32"/>
        <v>1</v>
      </c>
      <c r="AA126" s="123">
        <f t="shared" si="32"/>
        <v>1</v>
      </c>
      <c r="AB126" s="123">
        <f t="shared" si="32"/>
        <v>1</v>
      </c>
      <c r="AC126" s="123">
        <f t="shared" si="32"/>
        <v>1</v>
      </c>
      <c r="AD126" s="123">
        <f t="shared" si="32"/>
        <v>1</v>
      </c>
      <c r="AE126" s="123">
        <f t="shared" si="32"/>
        <v>1</v>
      </c>
      <c r="AF126" s="123">
        <f t="shared" si="32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0"/>
        <v>1.58</v>
      </c>
      <c r="C127" s="124">
        <v>1.58</v>
      </c>
      <c r="D127" s="123">
        <f t="shared" si="33"/>
        <v>1.58</v>
      </c>
      <c r="E127" s="123">
        <f t="shared" si="33"/>
        <v>1.58</v>
      </c>
      <c r="F127" s="123">
        <f t="shared" si="33"/>
        <v>1.58</v>
      </c>
      <c r="G127" s="123">
        <f t="shared" si="33"/>
        <v>1.58</v>
      </c>
      <c r="H127" s="123">
        <f t="shared" si="33"/>
        <v>1.58</v>
      </c>
      <c r="I127" s="123">
        <f t="shared" si="33"/>
        <v>1.58</v>
      </c>
      <c r="J127" s="123">
        <f t="shared" si="33"/>
        <v>1.58</v>
      </c>
      <c r="K127" s="123">
        <f t="shared" si="33"/>
        <v>1.58</v>
      </c>
      <c r="L127" s="123">
        <f t="shared" si="33"/>
        <v>1.58</v>
      </c>
      <c r="M127" s="123">
        <f t="shared" si="33"/>
        <v>1.58</v>
      </c>
      <c r="N127" s="123">
        <f t="shared" si="33"/>
        <v>1.58</v>
      </c>
      <c r="O127" s="123">
        <f t="shared" si="33"/>
        <v>1.58</v>
      </c>
      <c r="P127" s="123">
        <f t="shared" si="33"/>
        <v>1.58</v>
      </c>
      <c r="Q127" s="123">
        <f t="shared" si="33"/>
        <v>1.58</v>
      </c>
      <c r="R127" s="123">
        <f t="shared" si="33"/>
        <v>1.58</v>
      </c>
      <c r="S127" s="123">
        <f t="shared" si="33"/>
        <v>1.58</v>
      </c>
      <c r="T127" s="123">
        <f t="shared" si="32"/>
        <v>1.58</v>
      </c>
      <c r="U127" s="123">
        <f t="shared" si="32"/>
        <v>1.58</v>
      </c>
      <c r="V127" s="123">
        <f t="shared" si="32"/>
        <v>1.58</v>
      </c>
      <c r="W127" s="123">
        <f t="shared" si="32"/>
        <v>1.58</v>
      </c>
      <c r="X127" s="123">
        <f t="shared" si="32"/>
        <v>1.58</v>
      </c>
      <c r="Y127" s="123">
        <f t="shared" si="32"/>
        <v>1.58</v>
      </c>
      <c r="Z127" s="123">
        <f t="shared" si="32"/>
        <v>1.58</v>
      </c>
      <c r="AA127" s="123">
        <f t="shared" si="32"/>
        <v>1.58</v>
      </c>
      <c r="AB127" s="123">
        <f t="shared" si="32"/>
        <v>1.58</v>
      </c>
      <c r="AC127" s="123">
        <f t="shared" si="32"/>
        <v>1.58</v>
      </c>
      <c r="AD127" s="123">
        <f t="shared" si="32"/>
        <v>1.58</v>
      </c>
      <c r="AE127" s="123">
        <f t="shared" si="32"/>
        <v>1.58</v>
      </c>
      <c r="AF127" s="123">
        <f t="shared" si="32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0"/>
        <v>1.46</v>
      </c>
      <c r="C128" s="124">
        <v>1.46</v>
      </c>
      <c r="D128" s="123">
        <f t="shared" si="33"/>
        <v>1.46</v>
      </c>
      <c r="E128" s="123">
        <f t="shared" si="33"/>
        <v>1.46</v>
      </c>
      <c r="F128" s="123">
        <f t="shared" si="33"/>
        <v>1.46</v>
      </c>
      <c r="G128" s="123">
        <f t="shared" si="33"/>
        <v>1.46</v>
      </c>
      <c r="H128" s="123">
        <f t="shared" si="33"/>
        <v>1.46</v>
      </c>
      <c r="I128" s="123">
        <f t="shared" si="33"/>
        <v>1.46</v>
      </c>
      <c r="J128" s="123">
        <f t="shared" si="33"/>
        <v>1.46</v>
      </c>
      <c r="K128" s="123">
        <f t="shared" si="33"/>
        <v>1.46</v>
      </c>
      <c r="L128" s="123">
        <f t="shared" si="33"/>
        <v>1.46</v>
      </c>
      <c r="M128" s="123">
        <f t="shared" si="33"/>
        <v>1.46</v>
      </c>
      <c r="N128" s="123">
        <f t="shared" si="33"/>
        <v>1.46</v>
      </c>
      <c r="O128" s="123">
        <f t="shared" si="33"/>
        <v>1.46</v>
      </c>
      <c r="P128" s="123">
        <f t="shared" si="33"/>
        <v>1.46</v>
      </c>
      <c r="Q128" s="123">
        <f t="shared" si="33"/>
        <v>1.46</v>
      </c>
      <c r="R128" s="123">
        <f t="shared" si="33"/>
        <v>1.46</v>
      </c>
      <c r="S128" s="123">
        <f t="shared" si="33"/>
        <v>1.46</v>
      </c>
      <c r="T128" s="123">
        <f t="shared" ref="T128:AF129" si="34">S128</f>
        <v>1.46</v>
      </c>
      <c r="U128" s="123">
        <f t="shared" si="34"/>
        <v>1.46</v>
      </c>
      <c r="V128" s="123">
        <f t="shared" si="34"/>
        <v>1.46</v>
      </c>
      <c r="W128" s="123">
        <f t="shared" si="34"/>
        <v>1.46</v>
      </c>
      <c r="X128" s="123">
        <f t="shared" si="34"/>
        <v>1.46</v>
      </c>
      <c r="Y128" s="123">
        <f t="shared" si="34"/>
        <v>1.46</v>
      </c>
      <c r="Z128" s="123">
        <f t="shared" si="34"/>
        <v>1.46</v>
      </c>
      <c r="AA128" s="123">
        <f t="shared" si="34"/>
        <v>1.46</v>
      </c>
      <c r="AB128" s="123">
        <f t="shared" si="34"/>
        <v>1.46</v>
      </c>
      <c r="AC128" s="123">
        <f t="shared" si="34"/>
        <v>1.46</v>
      </c>
      <c r="AD128" s="123">
        <f t="shared" si="34"/>
        <v>1.46</v>
      </c>
      <c r="AE128" s="123">
        <f t="shared" si="34"/>
        <v>1.46</v>
      </c>
      <c r="AF128" s="123">
        <f t="shared" si="34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0"/>
        <v>1.48</v>
      </c>
      <c r="C129" s="124">
        <v>1.48</v>
      </c>
      <c r="D129" s="123">
        <f t="shared" si="33"/>
        <v>1.48</v>
      </c>
      <c r="E129" s="123">
        <f t="shared" si="33"/>
        <v>1.48</v>
      </c>
      <c r="F129" s="123">
        <f t="shared" si="33"/>
        <v>1.48</v>
      </c>
      <c r="G129" s="123">
        <f t="shared" si="33"/>
        <v>1.48</v>
      </c>
      <c r="H129" s="123">
        <f t="shared" si="33"/>
        <v>1.48</v>
      </c>
      <c r="I129" s="123">
        <f t="shared" si="33"/>
        <v>1.48</v>
      </c>
      <c r="J129" s="123">
        <f t="shared" si="33"/>
        <v>1.48</v>
      </c>
      <c r="K129" s="123">
        <f t="shared" si="33"/>
        <v>1.48</v>
      </c>
      <c r="L129" s="123">
        <f t="shared" si="33"/>
        <v>1.48</v>
      </c>
      <c r="M129" s="123">
        <f t="shared" si="33"/>
        <v>1.48</v>
      </c>
      <c r="N129" s="123">
        <f t="shared" si="33"/>
        <v>1.48</v>
      </c>
      <c r="O129" s="123">
        <f t="shared" si="33"/>
        <v>1.48</v>
      </c>
      <c r="P129" s="123">
        <f t="shared" si="33"/>
        <v>1.48</v>
      </c>
      <c r="Q129" s="123">
        <f t="shared" si="33"/>
        <v>1.48</v>
      </c>
      <c r="R129" s="123">
        <f t="shared" si="33"/>
        <v>1.48</v>
      </c>
      <c r="S129" s="123">
        <f t="shared" si="33"/>
        <v>1.48</v>
      </c>
      <c r="T129" s="123">
        <f t="shared" si="34"/>
        <v>1.48</v>
      </c>
      <c r="U129" s="123">
        <f t="shared" si="34"/>
        <v>1.48</v>
      </c>
      <c r="V129" s="123">
        <f t="shared" si="34"/>
        <v>1.48</v>
      </c>
      <c r="W129" s="123">
        <f t="shared" si="34"/>
        <v>1.48</v>
      </c>
      <c r="X129" s="123">
        <f t="shared" si="34"/>
        <v>1.48</v>
      </c>
      <c r="Y129" s="123">
        <f t="shared" si="34"/>
        <v>1.48</v>
      </c>
      <c r="Z129" s="123">
        <f t="shared" si="34"/>
        <v>1.48</v>
      </c>
      <c r="AA129" s="123">
        <f t="shared" si="34"/>
        <v>1.48</v>
      </c>
      <c r="AB129" s="123">
        <f t="shared" si="34"/>
        <v>1.48</v>
      </c>
      <c r="AC129" s="123">
        <f t="shared" si="34"/>
        <v>1.48</v>
      </c>
      <c r="AD129" s="123">
        <f t="shared" si="34"/>
        <v>1.48</v>
      </c>
      <c r="AE129" s="123">
        <f t="shared" si="34"/>
        <v>1.48</v>
      </c>
      <c r="AF129" s="123">
        <f t="shared" si="34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5">AF131</f>
        <v>2.2000000000000002</v>
      </c>
      <c r="C131" s="124">
        <v>2.2000000000000002</v>
      </c>
      <c r="D131" s="123">
        <f t="shared" ref="D131:S138" si="36">C131</f>
        <v>2.2000000000000002</v>
      </c>
      <c r="E131" s="123">
        <f t="shared" si="36"/>
        <v>2.2000000000000002</v>
      </c>
      <c r="F131" s="123">
        <f t="shared" si="36"/>
        <v>2.2000000000000002</v>
      </c>
      <c r="G131" s="123">
        <f t="shared" si="36"/>
        <v>2.2000000000000002</v>
      </c>
      <c r="H131" s="123">
        <f t="shared" si="36"/>
        <v>2.2000000000000002</v>
      </c>
      <c r="I131" s="123">
        <f t="shared" si="36"/>
        <v>2.2000000000000002</v>
      </c>
      <c r="J131" s="123">
        <f t="shared" si="36"/>
        <v>2.2000000000000002</v>
      </c>
      <c r="K131" s="123">
        <f t="shared" si="36"/>
        <v>2.2000000000000002</v>
      </c>
      <c r="L131" s="123">
        <f t="shared" si="36"/>
        <v>2.2000000000000002</v>
      </c>
      <c r="M131" s="123">
        <f t="shared" si="36"/>
        <v>2.2000000000000002</v>
      </c>
      <c r="N131" s="123">
        <f t="shared" si="36"/>
        <v>2.2000000000000002</v>
      </c>
      <c r="O131" s="123">
        <f t="shared" si="36"/>
        <v>2.2000000000000002</v>
      </c>
      <c r="P131" s="123">
        <f t="shared" si="36"/>
        <v>2.2000000000000002</v>
      </c>
      <c r="Q131" s="123">
        <f t="shared" si="36"/>
        <v>2.2000000000000002</v>
      </c>
      <c r="R131" s="123">
        <f t="shared" si="36"/>
        <v>2.2000000000000002</v>
      </c>
      <c r="S131" s="123">
        <f t="shared" si="36"/>
        <v>2.2000000000000002</v>
      </c>
      <c r="T131" s="123">
        <f t="shared" ref="T131:AF138" si="37">S131</f>
        <v>2.2000000000000002</v>
      </c>
      <c r="U131" s="123">
        <f t="shared" si="37"/>
        <v>2.2000000000000002</v>
      </c>
      <c r="V131" s="123">
        <f t="shared" si="37"/>
        <v>2.2000000000000002</v>
      </c>
      <c r="W131" s="123">
        <f t="shared" si="37"/>
        <v>2.2000000000000002</v>
      </c>
      <c r="X131" s="123">
        <f t="shared" si="37"/>
        <v>2.2000000000000002</v>
      </c>
      <c r="Y131" s="123">
        <f t="shared" si="37"/>
        <v>2.2000000000000002</v>
      </c>
      <c r="Z131" s="123">
        <f t="shared" si="37"/>
        <v>2.2000000000000002</v>
      </c>
      <c r="AA131" s="123">
        <f t="shared" si="37"/>
        <v>2.2000000000000002</v>
      </c>
      <c r="AB131" s="123">
        <f t="shared" si="37"/>
        <v>2.2000000000000002</v>
      </c>
      <c r="AC131" s="123">
        <f t="shared" si="37"/>
        <v>2.2000000000000002</v>
      </c>
      <c r="AD131" s="123">
        <f t="shared" si="37"/>
        <v>2.2000000000000002</v>
      </c>
      <c r="AE131" s="123">
        <f t="shared" si="37"/>
        <v>2.2000000000000002</v>
      </c>
      <c r="AF131" s="123">
        <f t="shared" si="37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5"/>
        <v>2</v>
      </c>
      <c r="C132" s="124">
        <v>2</v>
      </c>
      <c r="D132" s="123">
        <f t="shared" si="36"/>
        <v>2</v>
      </c>
      <c r="E132" s="123">
        <f t="shared" si="36"/>
        <v>2</v>
      </c>
      <c r="F132" s="123">
        <f t="shared" si="36"/>
        <v>2</v>
      </c>
      <c r="G132" s="123">
        <f t="shared" si="36"/>
        <v>2</v>
      </c>
      <c r="H132" s="123">
        <f t="shared" si="36"/>
        <v>2</v>
      </c>
      <c r="I132" s="123">
        <f t="shared" si="36"/>
        <v>2</v>
      </c>
      <c r="J132" s="123">
        <f t="shared" si="36"/>
        <v>2</v>
      </c>
      <c r="K132" s="123">
        <f t="shared" si="36"/>
        <v>2</v>
      </c>
      <c r="L132" s="123">
        <f t="shared" si="36"/>
        <v>2</v>
      </c>
      <c r="M132" s="123">
        <f t="shared" si="36"/>
        <v>2</v>
      </c>
      <c r="N132" s="123">
        <f t="shared" si="36"/>
        <v>2</v>
      </c>
      <c r="O132" s="123">
        <f t="shared" si="36"/>
        <v>2</v>
      </c>
      <c r="P132" s="123">
        <f t="shared" si="36"/>
        <v>2</v>
      </c>
      <c r="Q132" s="123">
        <f t="shared" si="36"/>
        <v>2</v>
      </c>
      <c r="R132" s="123">
        <f t="shared" si="36"/>
        <v>2</v>
      </c>
      <c r="S132" s="123">
        <f t="shared" si="36"/>
        <v>2</v>
      </c>
      <c r="T132" s="123">
        <f t="shared" si="37"/>
        <v>2</v>
      </c>
      <c r="U132" s="123">
        <f t="shared" si="37"/>
        <v>2</v>
      </c>
      <c r="V132" s="123">
        <f t="shared" si="37"/>
        <v>2</v>
      </c>
      <c r="W132" s="123">
        <f t="shared" si="37"/>
        <v>2</v>
      </c>
      <c r="X132" s="123">
        <f t="shared" si="37"/>
        <v>2</v>
      </c>
      <c r="Y132" s="123">
        <f t="shared" si="37"/>
        <v>2</v>
      </c>
      <c r="Z132" s="123">
        <f t="shared" si="37"/>
        <v>2</v>
      </c>
      <c r="AA132" s="123">
        <f t="shared" si="37"/>
        <v>2</v>
      </c>
      <c r="AB132" s="123">
        <f t="shared" si="37"/>
        <v>2</v>
      </c>
      <c r="AC132" s="123">
        <f t="shared" si="37"/>
        <v>2</v>
      </c>
      <c r="AD132" s="123">
        <f t="shared" si="37"/>
        <v>2</v>
      </c>
      <c r="AE132" s="123">
        <f t="shared" si="37"/>
        <v>2</v>
      </c>
      <c r="AF132" s="123">
        <f t="shared" si="37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5"/>
        <v>1.25</v>
      </c>
      <c r="C133" s="124">
        <v>1.25</v>
      </c>
      <c r="D133" s="123">
        <f t="shared" si="36"/>
        <v>1.25</v>
      </c>
      <c r="E133" s="123">
        <f t="shared" si="36"/>
        <v>1.25</v>
      </c>
      <c r="F133" s="123">
        <f t="shared" si="36"/>
        <v>1.25</v>
      </c>
      <c r="G133" s="123">
        <f t="shared" si="36"/>
        <v>1.25</v>
      </c>
      <c r="H133" s="123">
        <f t="shared" si="36"/>
        <v>1.25</v>
      </c>
      <c r="I133" s="123">
        <f t="shared" si="36"/>
        <v>1.25</v>
      </c>
      <c r="J133" s="123">
        <f t="shared" si="36"/>
        <v>1.25</v>
      </c>
      <c r="K133" s="123">
        <f t="shared" si="36"/>
        <v>1.25</v>
      </c>
      <c r="L133" s="123">
        <f t="shared" si="36"/>
        <v>1.25</v>
      </c>
      <c r="M133" s="123">
        <f t="shared" si="36"/>
        <v>1.25</v>
      </c>
      <c r="N133" s="123">
        <f t="shared" si="36"/>
        <v>1.25</v>
      </c>
      <c r="O133" s="123">
        <f t="shared" si="36"/>
        <v>1.25</v>
      </c>
      <c r="P133" s="123">
        <f t="shared" si="36"/>
        <v>1.25</v>
      </c>
      <c r="Q133" s="123">
        <f t="shared" si="36"/>
        <v>1.25</v>
      </c>
      <c r="R133" s="123">
        <f t="shared" si="36"/>
        <v>1.25</v>
      </c>
      <c r="S133" s="123">
        <f t="shared" si="36"/>
        <v>1.25</v>
      </c>
      <c r="T133" s="123">
        <f t="shared" si="37"/>
        <v>1.25</v>
      </c>
      <c r="U133" s="123">
        <f t="shared" si="37"/>
        <v>1.25</v>
      </c>
      <c r="V133" s="123">
        <f t="shared" si="37"/>
        <v>1.25</v>
      </c>
      <c r="W133" s="123">
        <f t="shared" si="37"/>
        <v>1.25</v>
      </c>
      <c r="X133" s="123">
        <f t="shared" si="37"/>
        <v>1.25</v>
      </c>
      <c r="Y133" s="123">
        <f t="shared" si="37"/>
        <v>1.25</v>
      </c>
      <c r="Z133" s="123">
        <f t="shared" si="37"/>
        <v>1.25</v>
      </c>
      <c r="AA133" s="123">
        <f t="shared" si="37"/>
        <v>1.25</v>
      </c>
      <c r="AB133" s="123">
        <f t="shared" si="37"/>
        <v>1.25</v>
      </c>
      <c r="AC133" s="123">
        <f t="shared" si="37"/>
        <v>1.25</v>
      </c>
      <c r="AD133" s="123">
        <f t="shared" si="37"/>
        <v>1.25</v>
      </c>
      <c r="AE133" s="123">
        <f t="shared" si="37"/>
        <v>1.25</v>
      </c>
      <c r="AF133" s="123">
        <f t="shared" si="37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5"/>
        <v>1.1499999999999999</v>
      </c>
      <c r="C134" s="124">
        <v>1.1499999999999999</v>
      </c>
      <c r="D134" s="123">
        <f t="shared" si="36"/>
        <v>1.1499999999999999</v>
      </c>
      <c r="E134" s="123">
        <f t="shared" si="36"/>
        <v>1.1499999999999999</v>
      </c>
      <c r="F134" s="123">
        <f t="shared" si="36"/>
        <v>1.1499999999999999</v>
      </c>
      <c r="G134" s="123">
        <f t="shared" si="36"/>
        <v>1.1499999999999999</v>
      </c>
      <c r="H134" s="123">
        <f t="shared" si="36"/>
        <v>1.1499999999999999</v>
      </c>
      <c r="I134" s="123">
        <f t="shared" si="36"/>
        <v>1.1499999999999999</v>
      </c>
      <c r="J134" s="123">
        <f t="shared" si="36"/>
        <v>1.1499999999999999</v>
      </c>
      <c r="K134" s="123">
        <f t="shared" si="36"/>
        <v>1.1499999999999999</v>
      </c>
      <c r="L134" s="123">
        <f t="shared" si="36"/>
        <v>1.1499999999999999</v>
      </c>
      <c r="M134" s="123">
        <f t="shared" si="36"/>
        <v>1.1499999999999999</v>
      </c>
      <c r="N134" s="123">
        <f t="shared" si="36"/>
        <v>1.1499999999999999</v>
      </c>
      <c r="O134" s="123">
        <f t="shared" si="36"/>
        <v>1.1499999999999999</v>
      </c>
      <c r="P134" s="123">
        <f t="shared" si="36"/>
        <v>1.1499999999999999</v>
      </c>
      <c r="Q134" s="123">
        <f t="shared" si="36"/>
        <v>1.1499999999999999</v>
      </c>
      <c r="R134" s="123">
        <f t="shared" si="36"/>
        <v>1.1499999999999999</v>
      </c>
      <c r="S134" s="123">
        <f t="shared" si="36"/>
        <v>1.1499999999999999</v>
      </c>
      <c r="T134" s="123">
        <f t="shared" si="37"/>
        <v>1.1499999999999999</v>
      </c>
      <c r="U134" s="123">
        <f t="shared" si="37"/>
        <v>1.1499999999999999</v>
      </c>
      <c r="V134" s="123">
        <f t="shared" si="37"/>
        <v>1.1499999999999999</v>
      </c>
      <c r="W134" s="123">
        <f t="shared" si="37"/>
        <v>1.1499999999999999</v>
      </c>
      <c r="X134" s="123">
        <f t="shared" si="37"/>
        <v>1.1499999999999999</v>
      </c>
      <c r="Y134" s="123">
        <f t="shared" si="37"/>
        <v>1.1499999999999999</v>
      </c>
      <c r="Z134" s="123">
        <f t="shared" si="37"/>
        <v>1.1499999999999999</v>
      </c>
      <c r="AA134" s="123">
        <f t="shared" si="37"/>
        <v>1.1499999999999999</v>
      </c>
      <c r="AB134" s="123">
        <f t="shared" si="37"/>
        <v>1.1499999999999999</v>
      </c>
      <c r="AC134" s="123">
        <f t="shared" si="37"/>
        <v>1.1499999999999999</v>
      </c>
      <c r="AD134" s="123">
        <f t="shared" si="37"/>
        <v>1.1499999999999999</v>
      </c>
      <c r="AE134" s="123">
        <f t="shared" si="37"/>
        <v>1.1499999999999999</v>
      </c>
      <c r="AF134" s="123">
        <f t="shared" si="37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5"/>
        <v>2.133</v>
      </c>
      <c r="C135" s="124">
        <v>2.133</v>
      </c>
      <c r="D135" s="123">
        <f t="shared" si="36"/>
        <v>2.133</v>
      </c>
      <c r="E135" s="123">
        <f t="shared" si="36"/>
        <v>2.133</v>
      </c>
      <c r="F135" s="123">
        <f t="shared" si="36"/>
        <v>2.133</v>
      </c>
      <c r="G135" s="123">
        <f t="shared" si="36"/>
        <v>2.133</v>
      </c>
      <c r="H135" s="123">
        <f t="shared" si="36"/>
        <v>2.133</v>
      </c>
      <c r="I135" s="123">
        <f t="shared" si="36"/>
        <v>2.133</v>
      </c>
      <c r="J135" s="123">
        <f t="shared" si="36"/>
        <v>2.133</v>
      </c>
      <c r="K135" s="123">
        <f t="shared" si="36"/>
        <v>2.133</v>
      </c>
      <c r="L135" s="123">
        <f t="shared" si="36"/>
        <v>2.133</v>
      </c>
      <c r="M135" s="123">
        <f t="shared" si="36"/>
        <v>2.133</v>
      </c>
      <c r="N135" s="123">
        <f t="shared" si="36"/>
        <v>2.133</v>
      </c>
      <c r="O135" s="123">
        <f t="shared" si="36"/>
        <v>2.133</v>
      </c>
      <c r="P135" s="123">
        <f t="shared" si="36"/>
        <v>2.133</v>
      </c>
      <c r="Q135" s="123">
        <f t="shared" si="36"/>
        <v>2.133</v>
      </c>
      <c r="R135" s="123">
        <f t="shared" si="36"/>
        <v>2.133</v>
      </c>
      <c r="S135" s="123">
        <f t="shared" si="36"/>
        <v>2.133</v>
      </c>
      <c r="T135" s="123">
        <f t="shared" si="37"/>
        <v>2.133</v>
      </c>
      <c r="U135" s="123">
        <f t="shared" si="37"/>
        <v>2.133</v>
      </c>
      <c r="V135" s="123">
        <f t="shared" si="37"/>
        <v>2.133</v>
      </c>
      <c r="W135" s="123">
        <f t="shared" si="37"/>
        <v>2.133</v>
      </c>
      <c r="X135" s="123">
        <f t="shared" si="37"/>
        <v>2.133</v>
      </c>
      <c r="Y135" s="123">
        <f t="shared" si="37"/>
        <v>2.133</v>
      </c>
      <c r="Z135" s="123">
        <f t="shared" si="37"/>
        <v>2.133</v>
      </c>
      <c r="AA135" s="123">
        <f t="shared" si="37"/>
        <v>2.133</v>
      </c>
      <c r="AB135" s="123">
        <f t="shared" si="37"/>
        <v>2.133</v>
      </c>
      <c r="AC135" s="123">
        <f t="shared" si="37"/>
        <v>2.133</v>
      </c>
      <c r="AD135" s="123">
        <f t="shared" si="37"/>
        <v>2.133</v>
      </c>
      <c r="AE135" s="123">
        <f t="shared" si="37"/>
        <v>2.133</v>
      </c>
      <c r="AF135" s="123">
        <f t="shared" si="37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5"/>
        <v>2.09</v>
      </c>
      <c r="C136" s="124">
        <v>2.09</v>
      </c>
      <c r="D136" s="123">
        <f t="shared" si="36"/>
        <v>2.09</v>
      </c>
      <c r="E136" s="123">
        <f t="shared" si="36"/>
        <v>2.09</v>
      </c>
      <c r="F136" s="123">
        <f t="shared" si="36"/>
        <v>2.09</v>
      </c>
      <c r="G136" s="123">
        <f t="shared" si="36"/>
        <v>2.09</v>
      </c>
      <c r="H136" s="123">
        <f t="shared" si="36"/>
        <v>2.09</v>
      </c>
      <c r="I136" s="123">
        <f t="shared" si="36"/>
        <v>2.09</v>
      </c>
      <c r="J136" s="123">
        <f t="shared" si="36"/>
        <v>2.09</v>
      </c>
      <c r="K136" s="123">
        <f t="shared" si="36"/>
        <v>2.09</v>
      </c>
      <c r="L136" s="123">
        <f t="shared" si="36"/>
        <v>2.09</v>
      </c>
      <c r="M136" s="123">
        <f t="shared" si="36"/>
        <v>2.09</v>
      </c>
      <c r="N136" s="123">
        <f t="shared" si="36"/>
        <v>2.09</v>
      </c>
      <c r="O136" s="123">
        <f t="shared" si="36"/>
        <v>2.09</v>
      </c>
      <c r="P136" s="123">
        <f t="shared" si="36"/>
        <v>2.09</v>
      </c>
      <c r="Q136" s="123">
        <f t="shared" si="36"/>
        <v>2.09</v>
      </c>
      <c r="R136" s="123">
        <f t="shared" si="36"/>
        <v>2.09</v>
      </c>
      <c r="S136" s="123">
        <f t="shared" si="36"/>
        <v>2.09</v>
      </c>
      <c r="T136" s="123">
        <f t="shared" si="37"/>
        <v>2.09</v>
      </c>
      <c r="U136" s="123">
        <f t="shared" si="37"/>
        <v>2.09</v>
      </c>
      <c r="V136" s="123">
        <f t="shared" si="37"/>
        <v>2.09</v>
      </c>
      <c r="W136" s="123">
        <f t="shared" si="37"/>
        <v>2.09</v>
      </c>
      <c r="X136" s="123">
        <f t="shared" si="37"/>
        <v>2.09</v>
      </c>
      <c r="Y136" s="123">
        <f t="shared" si="37"/>
        <v>2.09</v>
      </c>
      <c r="Z136" s="123">
        <f t="shared" si="37"/>
        <v>2.09</v>
      </c>
      <c r="AA136" s="123">
        <f t="shared" si="37"/>
        <v>2.09</v>
      </c>
      <c r="AB136" s="123">
        <f t="shared" si="37"/>
        <v>2.09</v>
      </c>
      <c r="AC136" s="123">
        <f t="shared" si="37"/>
        <v>2.09</v>
      </c>
      <c r="AD136" s="123">
        <f t="shared" si="37"/>
        <v>2.09</v>
      </c>
      <c r="AE136" s="123">
        <f t="shared" si="37"/>
        <v>2.09</v>
      </c>
      <c r="AF136" s="123">
        <f t="shared" si="37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5"/>
        <v>1.1399999999999999</v>
      </c>
      <c r="C137" s="124">
        <v>1.1399999999999999</v>
      </c>
      <c r="D137" s="123">
        <f t="shared" si="36"/>
        <v>1.1399999999999999</v>
      </c>
      <c r="E137" s="123">
        <f t="shared" si="36"/>
        <v>1.1399999999999999</v>
      </c>
      <c r="F137" s="123">
        <f t="shared" si="36"/>
        <v>1.1399999999999999</v>
      </c>
      <c r="G137" s="123">
        <f t="shared" si="36"/>
        <v>1.1399999999999999</v>
      </c>
      <c r="H137" s="123">
        <f t="shared" si="36"/>
        <v>1.1399999999999999</v>
      </c>
      <c r="I137" s="123">
        <f t="shared" si="36"/>
        <v>1.1399999999999999</v>
      </c>
      <c r="J137" s="123">
        <f t="shared" si="36"/>
        <v>1.1399999999999999</v>
      </c>
      <c r="K137" s="123">
        <f t="shared" si="36"/>
        <v>1.1399999999999999</v>
      </c>
      <c r="L137" s="123">
        <f t="shared" si="36"/>
        <v>1.1399999999999999</v>
      </c>
      <c r="M137" s="123">
        <f t="shared" si="36"/>
        <v>1.1399999999999999</v>
      </c>
      <c r="N137" s="123">
        <f t="shared" si="36"/>
        <v>1.1399999999999999</v>
      </c>
      <c r="O137" s="123">
        <f t="shared" si="36"/>
        <v>1.1399999999999999</v>
      </c>
      <c r="P137" s="123">
        <f t="shared" si="36"/>
        <v>1.1399999999999999</v>
      </c>
      <c r="Q137" s="123">
        <f t="shared" si="36"/>
        <v>1.1399999999999999</v>
      </c>
      <c r="R137" s="123">
        <f t="shared" si="36"/>
        <v>1.1399999999999999</v>
      </c>
      <c r="S137" s="123">
        <f t="shared" si="36"/>
        <v>1.1399999999999999</v>
      </c>
      <c r="T137" s="123">
        <f t="shared" si="37"/>
        <v>1.1399999999999999</v>
      </c>
      <c r="U137" s="123">
        <f t="shared" si="37"/>
        <v>1.1399999999999999</v>
      </c>
      <c r="V137" s="123">
        <f t="shared" si="37"/>
        <v>1.1399999999999999</v>
      </c>
      <c r="W137" s="123">
        <f t="shared" si="37"/>
        <v>1.1399999999999999</v>
      </c>
      <c r="X137" s="123">
        <f t="shared" si="37"/>
        <v>1.1399999999999999</v>
      </c>
      <c r="Y137" s="123">
        <f t="shared" si="37"/>
        <v>1.1399999999999999</v>
      </c>
      <c r="Z137" s="123">
        <f t="shared" si="37"/>
        <v>1.1399999999999999</v>
      </c>
      <c r="AA137" s="123">
        <f t="shared" si="37"/>
        <v>1.1399999999999999</v>
      </c>
      <c r="AB137" s="123">
        <f t="shared" si="37"/>
        <v>1.1399999999999999</v>
      </c>
      <c r="AC137" s="123">
        <f t="shared" si="37"/>
        <v>1.1399999999999999</v>
      </c>
      <c r="AD137" s="123">
        <f t="shared" si="37"/>
        <v>1.1399999999999999</v>
      </c>
      <c r="AE137" s="123">
        <f t="shared" si="37"/>
        <v>1.1399999999999999</v>
      </c>
      <c r="AF137" s="123">
        <f t="shared" si="37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5"/>
        <v>0.82</v>
      </c>
      <c r="C138" s="124">
        <v>0.82</v>
      </c>
      <c r="D138" s="123">
        <f t="shared" si="36"/>
        <v>0.82</v>
      </c>
      <c r="E138" s="123">
        <f t="shared" si="36"/>
        <v>0.82</v>
      </c>
      <c r="F138" s="123">
        <f t="shared" si="36"/>
        <v>0.82</v>
      </c>
      <c r="G138" s="123">
        <f t="shared" si="36"/>
        <v>0.82</v>
      </c>
      <c r="H138" s="123">
        <f t="shared" si="36"/>
        <v>0.82</v>
      </c>
      <c r="I138" s="123">
        <f t="shared" si="36"/>
        <v>0.82</v>
      </c>
      <c r="J138" s="123">
        <f t="shared" si="36"/>
        <v>0.82</v>
      </c>
      <c r="K138" s="123">
        <f t="shared" si="36"/>
        <v>0.82</v>
      </c>
      <c r="L138" s="123">
        <f t="shared" si="36"/>
        <v>0.82</v>
      </c>
      <c r="M138" s="123">
        <f t="shared" si="36"/>
        <v>0.82</v>
      </c>
      <c r="N138" s="123">
        <f t="shared" si="36"/>
        <v>0.82</v>
      </c>
      <c r="O138" s="123">
        <f t="shared" si="36"/>
        <v>0.82</v>
      </c>
      <c r="P138" s="123">
        <f t="shared" si="36"/>
        <v>0.82</v>
      </c>
      <c r="Q138" s="123">
        <f t="shared" si="36"/>
        <v>0.82</v>
      </c>
      <c r="R138" s="123">
        <f t="shared" si="36"/>
        <v>0.82</v>
      </c>
      <c r="S138" s="123">
        <f t="shared" si="36"/>
        <v>0.82</v>
      </c>
      <c r="T138" s="123">
        <f t="shared" si="37"/>
        <v>0.82</v>
      </c>
      <c r="U138" s="123">
        <f t="shared" si="37"/>
        <v>0.82</v>
      </c>
      <c r="V138" s="123">
        <f t="shared" si="37"/>
        <v>0.82</v>
      </c>
      <c r="W138" s="123">
        <f t="shared" si="37"/>
        <v>0.82</v>
      </c>
      <c r="X138" s="123">
        <f t="shared" si="37"/>
        <v>0.82</v>
      </c>
      <c r="Y138" s="123">
        <f t="shared" si="37"/>
        <v>0.82</v>
      </c>
      <c r="Z138" s="123">
        <f t="shared" si="37"/>
        <v>0.82</v>
      </c>
      <c r="AA138" s="123">
        <f t="shared" si="37"/>
        <v>0.82</v>
      </c>
      <c r="AB138" s="123">
        <f t="shared" si="37"/>
        <v>0.82</v>
      </c>
      <c r="AC138" s="123">
        <f t="shared" si="37"/>
        <v>0.82</v>
      </c>
      <c r="AD138" s="123">
        <f t="shared" si="37"/>
        <v>0.82</v>
      </c>
      <c r="AE138" s="123">
        <f t="shared" si="37"/>
        <v>0.82</v>
      </c>
      <c r="AF138" s="123">
        <f t="shared" si="37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8">AF140</f>
        <v>2</v>
      </c>
      <c r="C140" s="124">
        <v>2</v>
      </c>
      <c r="D140" s="123">
        <f t="shared" ref="D140:S146" si="39">C140</f>
        <v>2</v>
      </c>
      <c r="E140" s="123">
        <f t="shared" si="39"/>
        <v>2</v>
      </c>
      <c r="F140" s="123">
        <f t="shared" si="39"/>
        <v>2</v>
      </c>
      <c r="G140" s="123">
        <f t="shared" si="39"/>
        <v>2</v>
      </c>
      <c r="H140" s="123">
        <f t="shared" si="39"/>
        <v>2</v>
      </c>
      <c r="I140" s="123">
        <f t="shared" si="39"/>
        <v>2</v>
      </c>
      <c r="J140" s="123">
        <f t="shared" si="39"/>
        <v>2</v>
      </c>
      <c r="K140" s="123">
        <f t="shared" si="39"/>
        <v>2</v>
      </c>
      <c r="L140" s="123">
        <f t="shared" si="39"/>
        <v>2</v>
      </c>
      <c r="M140" s="123">
        <f t="shared" si="39"/>
        <v>2</v>
      </c>
      <c r="N140" s="123">
        <f t="shared" si="39"/>
        <v>2</v>
      </c>
      <c r="O140" s="123">
        <f t="shared" si="39"/>
        <v>2</v>
      </c>
      <c r="P140" s="123">
        <f t="shared" si="39"/>
        <v>2</v>
      </c>
      <c r="Q140" s="123">
        <f t="shared" si="39"/>
        <v>2</v>
      </c>
      <c r="R140" s="123">
        <f t="shared" si="39"/>
        <v>2</v>
      </c>
      <c r="S140" s="123">
        <f t="shared" si="39"/>
        <v>2</v>
      </c>
      <c r="T140" s="123">
        <f t="shared" ref="T140:AF146" si="40">S140</f>
        <v>2</v>
      </c>
      <c r="U140" s="123">
        <f t="shared" si="40"/>
        <v>2</v>
      </c>
      <c r="V140" s="123">
        <f t="shared" si="40"/>
        <v>2</v>
      </c>
      <c r="W140" s="123">
        <f t="shared" si="40"/>
        <v>2</v>
      </c>
      <c r="X140" s="123">
        <f t="shared" si="40"/>
        <v>2</v>
      </c>
      <c r="Y140" s="123">
        <f t="shared" si="40"/>
        <v>2</v>
      </c>
      <c r="Z140" s="123">
        <f t="shared" si="40"/>
        <v>2</v>
      </c>
      <c r="AA140" s="123">
        <f t="shared" si="40"/>
        <v>2</v>
      </c>
      <c r="AB140" s="123">
        <f t="shared" si="40"/>
        <v>2</v>
      </c>
      <c r="AC140" s="123">
        <f t="shared" si="40"/>
        <v>2</v>
      </c>
      <c r="AD140" s="123">
        <f t="shared" si="40"/>
        <v>2</v>
      </c>
      <c r="AE140" s="123">
        <f t="shared" si="40"/>
        <v>2</v>
      </c>
      <c r="AF140" s="123">
        <f t="shared" si="40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8"/>
        <v>5.61</v>
      </c>
      <c r="C141" s="124">
        <v>5.61</v>
      </c>
      <c r="D141" s="123">
        <f t="shared" si="39"/>
        <v>5.61</v>
      </c>
      <c r="E141" s="123">
        <f t="shared" si="39"/>
        <v>5.61</v>
      </c>
      <c r="F141" s="123">
        <f t="shared" si="39"/>
        <v>5.61</v>
      </c>
      <c r="G141" s="123">
        <f t="shared" si="39"/>
        <v>5.61</v>
      </c>
      <c r="H141" s="123">
        <f t="shared" si="39"/>
        <v>5.61</v>
      </c>
      <c r="I141" s="123">
        <f t="shared" si="39"/>
        <v>5.61</v>
      </c>
      <c r="J141" s="123">
        <f t="shared" si="39"/>
        <v>5.61</v>
      </c>
      <c r="K141" s="123">
        <f t="shared" si="39"/>
        <v>5.61</v>
      </c>
      <c r="L141" s="123">
        <f t="shared" si="39"/>
        <v>5.61</v>
      </c>
      <c r="M141" s="123">
        <f t="shared" si="39"/>
        <v>5.61</v>
      </c>
      <c r="N141" s="123">
        <f t="shared" si="39"/>
        <v>5.61</v>
      </c>
      <c r="O141" s="123">
        <f t="shared" si="39"/>
        <v>5.61</v>
      </c>
      <c r="P141" s="123">
        <f t="shared" si="39"/>
        <v>5.61</v>
      </c>
      <c r="Q141" s="123">
        <f t="shared" si="39"/>
        <v>5.61</v>
      </c>
      <c r="R141" s="123">
        <f t="shared" si="39"/>
        <v>5.61</v>
      </c>
      <c r="S141" s="123">
        <f t="shared" si="39"/>
        <v>5.61</v>
      </c>
      <c r="T141" s="123">
        <f t="shared" si="40"/>
        <v>5.61</v>
      </c>
      <c r="U141" s="123">
        <f t="shared" si="40"/>
        <v>5.61</v>
      </c>
      <c r="V141" s="123">
        <f t="shared" si="40"/>
        <v>5.61</v>
      </c>
      <c r="W141" s="123">
        <f t="shared" si="40"/>
        <v>5.61</v>
      </c>
      <c r="X141" s="123">
        <f t="shared" si="40"/>
        <v>5.61</v>
      </c>
      <c r="Y141" s="123">
        <f t="shared" si="40"/>
        <v>5.61</v>
      </c>
      <c r="Z141" s="123">
        <f t="shared" si="40"/>
        <v>5.61</v>
      </c>
      <c r="AA141" s="123">
        <f t="shared" si="40"/>
        <v>5.61</v>
      </c>
      <c r="AB141" s="123">
        <f t="shared" si="40"/>
        <v>5.61</v>
      </c>
      <c r="AC141" s="123">
        <f t="shared" si="40"/>
        <v>5.61</v>
      </c>
      <c r="AD141" s="123">
        <f t="shared" si="40"/>
        <v>5.61</v>
      </c>
      <c r="AE141" s="123">
        <f t="shared" si="40"/>
        <v>5.61</v>
      </c>
      <c r="AF141" s="123">
        <f t="shared" si="40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8"/>
        <v>1.25</v>
      </c>
      <c r="C142" s="124">
        <v>1.25</v>
      </c>
      <c r="D142" s="123">
        <f t="shared" si="39"/>
        <v>1.25</v>
      </c>
      <c r="E142" s="123">
        <f t="shared" si="39"/>
        <v>1.25</v>
      </c>
      <c r="F142" s="123">
        <f t="shared" si="39"/>
        <v>1.25</v>
      </c>
      <c r="G142" s="123">
        <f t="shared" si="39"/>
        <v>1.25</v>
      </c>
      <c r="H142" s="123">
        <f t="shared" si="39"/>
        <v>1.25</v>
      </c>
      <c r="I142" s="123">
        <f t="shared" si="39"/>
        <v>1.25</v>
      </c>
      <c r="J142" s="123">
        <f t="shared" si="39"/>
        <v>1.25</v>
      </c>
      <c r="K142" s="123">
        <f t="shared" si="39"/>
        <v>1.25</v>
      </c>
      <c r="L142" s="123">
        <f t="shared" si="39"/>
        <v>1.25</v>
      </c>
      <c r="M142" s="123">
        <f t="shared" si="39"/>
        <v>1.25</v>
      </c>
      <c r="N142" s="123">
        <f t="shared" si="39"/>
        <v>1.25</v>
      </c>
      <c r="O142" s="123">
        <f t="shared" si="39"/>
        <v>1.25</v>
      </c>
      <c r="P142" s="123">
        <f t="shared" si="39"/>
        <v>1.25</v>
      </c>
      <c r="Q142" s="123">
        <f t="shared" si="39"/>
        <v>1.25</v>
      </c>
      <c r="R142" s="123">
        <f t="shared" si="39"/>
        <v>1.25</v>
      </c>
      <c r="S142" s="123">
        <f t="shared" si="39"/>
        <v>1.25</v>
      </c>
      <c r="T142" s="123">
        <f t="shared" si="40"/>
        <v>1.25</v>
      </c>
      <c r="U142" s="123">
        <f t="shared" si="40"/>
        <v>1.25</v>
      </c>
      <c r="V142" s="123">
        <f t="shared" si="40"/>
        <v>1.25</v>
      </c>
      <c r="W142" s="123">
        <f t="shared" si="40"/>
        <v>1.25</v>
      </c>
      <c r="X142" s="123">
        <f t="shared" si="40"/>
        <v>1.25</v>
      </c>
      <c r="Y142" s="123">
        <f t="shared" si="40"/>
        <v>1.25</v>
      </c>
      <c r="Z142" s="123">
        <f t="shared" si="40"/>
        <v>1.25</v>
      </c>
      <c r="AA142" s="123">
        <f t="shared" si="40"/>
        <v>1.25</v>
      </c>
      <c r="AB142" s="123">
        <f t="shared" si="40"/>
        <v>1.25</v>
      </c>
      <c r="AC142" s="123">
        <f t="shared" si="40"/>
        <v>1.25</v>
      </c>
      <c r="AD142" s="123">
        <f t="shared" si="40"/>
        <v>1.25</v>
      </c>
      <c r="AE142" s="123">
        <f t="shared" si="40"/>
        <v>1.25</v>
      </c>
      <c r="AF142" s="123">
        <f t="shared" si="40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8"/>
        <v>1.46</v>
      </c>
      <c r="C144" s="124">
        <v>1.46</v>
      </c>
      <c r="D144" s="123">
        <f t="shared" si="39"/>
        <v>1.46</v>
      </c>
      <c r="E144" s="123">
        <f t="shared" si="39"/>
        <v>1.46</v>
      </c>
      <c r="F144" s="123">
        <f t="shared" si="39"/>
        <v>1.46</v>
      </c>
      <c r="G144" s="123">
        <f t="shared" si="39"/>
        <v>1.46</v>
      </c>
      <c r="H144" s="123">
        <f t="shared" si="39"/>
        <v>1.46</v>
      </c>
      <c r="I144" s="123">
        <f t="shared" si="39"/>
        <v>1.46</v>
      </c>
      <c r="J144" s="123">
        <f t="shared" si="39"/>
        <v>1.46</v>
      </c>
      <c r="K144" s="123">
        <f t="shared" si="39"/>
        <v>1.46</v>
      </c>
      <c r="L144" s="123">
        <f t="shared" si="39"/>
        <v>1.46</v>
      </c>
      <c r="M144" s="123">
        <f t="shared" si="39"/>
        <v>1.46</v>
      </c>
      <c r="N144" s="123">
        <f t="shared" si="39"/>
        <v>1.46</v>
      </c>
      <c r="O144" s="123">
        <f t="shared" si="39"/>
        <v>1.46</v>
      </c>
      <c r="P144" s="123">
        <f t="shared" si="39"/>
        <v>1.46</v>
      </c>
      <c r="Q144" s="123">
        <f t="shared" si="39"/>
        <v>1.46</v>
      </c>
      <c r="R144" s="123">
        <f t="shared" si="39"/>
        <v>1.46</v>
      </c>
      <c r="S144" s="123">
        <f t="shared" si="39"/>
        <v>1.46</v>
      </c>
      <c r="T144" s="123">
        <f t="shared" si="40"/>
        <v>1.46</v>
      </c>
      <c r="U144" s="123">
        <f t="shared" si="40"/>
        <v>1.46</v>
      </c>
      <c r="V144" s="123">
        <f t="shared" si="40"/>
        <v>1.46</v>
      </c>
      <c r="W144" s="123">
        <f t="shared" si="40"/>
        <v>1.46</v>
      </c>
      <c r="X144" s="123">
        <f t="shared" si="40"/>
        <v>1.46</v>
      </c>
      <c r="Y144" s="123">
        <f t="shared" si="40"/>
        <v>1.46</v>
      </c>
      <c r="Z144" s="123">
        <f t="shared" si="40"/>
        <v>1.46</v>
      </c>
      <c r="AA144" s="123">
        <f t="shared" si="40"/>
        <v>1.46</v>
      </c>
      <c r="AB144" s="123">
        <f t="shared" si="40"/>
        <v>1.46</v>
      </c>
      <c r="AC144" s="123">
        <f t="shared" si="40"/>
        <v>1.46</v>
      </c>
      <c r="AD144" s="123">
        <f t="shared" si="40"/>
        <v>1.46</v>
      </c>
      <c r="AE144" s="123">
        <f t="shared" si="40"/>
        <v>1.46</v>
      </c>
      <c r="AF144" s="123">
        <f t="shared" si="40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8"/>
        <v>3</v>
      </c>
      <c r="C145" s="124">
        <v>3</v>
      </c>
      <c r="D145" s="123">
        <f t="shared" si="39"/>
        <v>3</v>
      </c>
      <c r="E145" s="123">
        <f t="shared" si="39"/>
        <v>3</v>
      </c>
      <c r="F145" s="123">
        <f t="shared" si="39"/>
        <v>3</v>
      </c>
      <c r="G145" s="123">
        <f t="shared" si="39"/>
        <v>3</v>
      </c>
      <c r="H145" s="123">
        <f t="shared" si="39"/>
        <v>3</v>
      </c>
      <c r="I145" s="123">
        <f t="shared" si="39"/>
        <v>3</v>
      </c>
      <c r="J145" s="123">
        <f t="shared" si="39"/>
        <v>3</v>
      </c>
      <c r="K145" s="123">
        <f t="shared" si="39"/>
        <v>3</v>
      </c>
      <c r="L145" s="123">
        <f t="shared" si="39"/>
        <v>3</v>
      </c>
      <c r="M145" s="123">
        <f t="shared" si="39"/>
        <v>3</v>
      </c>
      <c r="N145" s="123">
        <f t="shared" si="39"/>
        <v>3</v>
      </c>
      <c r="O145" s="123">
        <f t="shared" si="39"/>
        <v>3</v>
      </c>
      <c r="P145" s="123">
        <f t="shared" si="39"/>
        <v>3</v>
      </c>
      <c r="Q145" s="123">
        <f t="shared" si="39"/>
        <v>3</v>
      </c>
      <c r="R145" s="123">
        <f t="shared" si="39"/>
        <v>3</v>
      </c>
      <c r="S145" s="123">
        <f t="shared" si="39"/>
        <v>3</v>
      </c>
      <c r="T145" s="123">
        <f t="shared" si="40"/>
        <v>3</v>
      </c>
      <c r="U145" s="123">
        <f t="shared" si="40"/>
        <v>3</v>
      </c>
      <c r="V145" s="123">
        <f t="shared" si="40"/>
        <v>3</v>
      </c>
      <c r="W145" s="123">
        <f t="shared" si="40"/>
        <v>3</v>
      </c>
      <c r="X145" s="123">
        <f t="shared" si="40"/>
        <v>3</v>
      </c>
      <c r="Y145" s="123">
        <f t="shared" si="40"/>
        <v>3</v>
      </c>
      <c r="Z145" s="123">
        <f t="shared" si="40"/>
        <v>3</v>
      </c>
      <c r="AA145" s="123">
        <f t="shared" si="40"/>
        <v>3</v>
      </c>
      <c r="AB145" s="123">
        <f t="shared" si="40"/>
        <v>3</v>
      </c>
      <c r="AC145" s="123">
        <f t="shared" si="40"/>
        <v>3</v>
      </c>
      <c r="AD145" s="123">
        <f t="shared" si="40"/>
        <v>3</v>
      </c>
      <c r="AE145" s="123">
        <f t="shared" si="40"/>
        <v>3</v>
      </c>
      <c r="AF145" s="123">
        <f t="shared" si="40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8"/>
        <v>3.3</v>
      </c>
      <c r="C146" s="124">
        <v>3.3</v>
      </c>
      <c r="D146" s="123">
        <f t="shared" si="39"/>
        <v>3.3</v>
      </c>
      <c r="E146" s="123">
        <f t="shared" si="39"/>
        <v>3.3</v>
      </c>
      <c r="F146" s="123">
        <f t="shared" si="39"/>
        <v>3.3</v>
      </c>
      <c r="G146" s="123">
        <f t="shared" si="39"/>
        <v>3.3</v>
      </c>
      <c r="H146" s="123">
        <f t="shared" si="39"/>
        <v>3.3</v>
      </c>
      <c r="I146" s="123">
        <f t="shared" si="39"/>
        <v>3.3</v>
      </c>
      <c r="J146" s="123">
        <f t="shared" si="39"/>
        <v>3.3</v>
      </c>
      <c r="K146" s="123">
        <f t="shared" si="39"/>
        <v>3.3</v>
      </c>
      <c r="L146" s="123">
        <f t="shared" si="39"/>
        <v>3.3</v>
      </c>
      <c r="M146" s="123">
        <f t="shared" si="39"/>
        <v>3.3</v>
      </c>
      <c r="N146" s="123">
        <f t="shared" si="39"/>
        <v>3.3</v>
      </c>
      <c r="O146" s="123">
        <f t="shared" si="39"/>
        <v>3.3</v>
      </c>
      <c r="P146" s="123">
        <f t="shared" si="39"/>
        <v>3.3</v>
      </c>
      <c r="Q146" s="123">
        <f t="shared" si="39"/>
        <v>3.3</v>
      </c>
      <c r="R146" s="123">
        <f t="shared" si="39"/>
        <v>3.3</v>
      </c>
      <c r="S146" s="123">
        <f t="shared" si="39"/>
        <v>3.3</v>
      </c>
      <c r="T146" s="123">
        <f t="shared" si="40"/>
        <v>3.3</v>
      </c>
      <c r="U146" s="123">
        <f t="shared" si="40"/>
        <v>3.3</v>
      </c>
      <c r="V146" s="123">
        <f t="shared" si="40"/>
        <v>3.3</v>
      </c>
      <c r="W146" s="123">
        <f t="shared" si="40"/>
        <v>3.3</v>
      </c>
      <c r="X146" s="123">
        <f t="shared" si="40"/>
        <v>3.3</v>
      </c>
      <c r="Y146" s="123">
        <f t="shared" si="40"/>
        <v>3.3</v>
      </c>
      <c r="Z146" s="123">
        <f t="shared" si="40"/>
        <v>3.3</v>
      </c>
      <c r="AA146" s="123">
        <f t="shared" si="40"/>
        <v>3.3</v>
      </c>
      <c r="AB146" s="123">
        <f t="shared" si="40"/>
        <v>3.3</v>
      </c>
      <c r="AC146" s="123">
        <f t="shared" si="40"/>
        <v>3.3</v>
      </c>
      <c r="AD146" s="123">
        <f t="shared" si="40"/>
        <v>3.3</v>
      </c>
      <c r="AE146" s="123">
        <f t="shared" si="40"/>
        <v>3.3</v>
      </c>
      <c r="AF146" s="123">
        <f t="shared" si="40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1">C148</f>
        <v>1.76</v>
      </c>
      <c r="E148" s="123">
        <f t="shared" si="41"/>
        <v>1.76</v>
      </c>
      <c r="F148" s="123">
        <f t="shared" si="41"/>
        <v>1.76</v>
      </c>
      <c r="G148" s="123">
        <f t="shared" si="41"/>
        <v>1.76</v>
      </c>
      <c r="H148" s="123">
        <f t="shared" si="41"/>
        <v>1.76</v>
      </c>
      <c r="I148" s="123">
        <f t="shared" si="41"/>
        <v>1.76</v>
      </c>
      <c r="J148" s="123">
        <f t="shared" si="41"/>
        <v>1.76</v>
      </c>
      <c r="K148" s="123">
        <f t="shared" si="41"/>
        <v>1.76</v>
      </c>
      <c r="L148" s="123">
        <f t="shared" si="41"/>
        <v>1.76</v>
      </c>
      <c r="M148" s="123">
        <f t="shared" si="41"/>
        <v>1.76</v>
      </c>
      <c r="N148" s="123">
        <f t="shared" si="41"/>
        <v>1.76</v>
      </c>
      <c r="O148" s="123">
        <f t="shared" si="41"/>
        <v>1.76</v>
      </c>
      <c r="P148" s="123">
        <f t="shared" si="41"/>
        <v>1.76</v>
      </c>
      <c r="Q148" s="123">
        <f t="shared" si="41"/>
        <v>1.76</v>
      </c>
      <c r="R148" s="123">
        <f t="shared" si="41"/>
        <v>1.76</v>
      </c>
      <c r="S148" s="123">
        <f t="shared" si="41"/>
        <v>1.76</v>
      </c>
      <c r="T148" s="123">
        <f t="shared" ref="T148:AF149" si="42">S148</f>
        <v>1.76</v>
      </c>
      <c r="U148" s="123">
        <f t="shared" si="42"/>
        <v>1.76</v>
      </c>
      <c r="V148" s="123">
        <f t="shared" si="42"/>
        <v>1.76</v>
      </c>
      <c r="W148" s="123">
        <f t="shared" si="42"/>
        <v>1.76</v>
      </c>
      <c r="X148" s="123">
        <f t="shared" si="42"/>
        <v>1.76</v>
      </c>
      <c r="Y148" s="123">
        <f t="shared" si="42"/>
        <v>1.76</v>
      </c>
      <c r="Z148" s="123">
        <f t="shared" si="42"/>
        <v>1.76</v>
      </c>
      <c r="AA148" s="123">
        <f t="shared" si="42"/>
        <v>1.76</v>
      </c>
      <c r="AB148" s="123">
        <f t="shared" si="42"/>
        <v>1.76</v>
      </c>
      <c r="AC148" s="123">
        <f t="shared" si="42"/>
        <v>1.76</v>
      </c>
      <c r="AD148" s="123">
        <f t="shared" si="42"/>
        <v>1.76</v>
      </c>
      <c r="AE148" s="123">
        <f t="shared" si="42"/>
        <v>1.76</v>
      </c>
      <c r="AF148" s="123">
        <f t="shared" si="42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1"/>
        <v>0</v>
      </c>
      <c r="E149" s="123">
        <f t="shared" si="41"/>
        <v>0</v>
      </c>
      <c r="F149" s="123">
        <f t="shared" si="41"/>
        <v>0</v>
      </c>
      <c r="G149" s="123">
        <f t="shared" si="41"/>
        <v>0</v>
      </c>
      <c r="H149" s="123">
        <f t="shared" si="41"/>
        <v>0</v>
      </c>
      <c r="I149" s="123">
        <f t="shared" si="41"/>
        <v>0</v>
      </c>
      <c r="J149" s="123">
        <f t="shared" si="41"/>
        <v>0</v>
      </c>
      <c r="K149" s="123">
        <f t="shared" si="41"/>
        <v>0</v>
      </c>
      <c r="L149" s="123">
        <f t="shared" si="41"/>
        <v>0</v>
      </c>
      <c r="M149" s="123">
        <f t="shared" si="41"/>
        <v>0</v>
      </c>
      <c r="N149" s="123">
        <f t="shared" si="41"/>
        <v>0</v>
      </c>
      <c r="O149" s="123">
        <f t="shared" si="41"/>
        <v>0</v>
      </c>
      <c r="P149" s="123">
        <f t="shared" si="41"/>
        <v>0</v>
      </c>
      <c r="Q149" s="123">
        <f t="shared" si="41"/>
        <v>0</v>
      </c>
      <c r="R149" s="123">
        <f t="shared" si="41"/>
        <v>0</v>
      </c>
      <c r="S149" s="123">
        <f t="shared" si="41"/>
        <v>0</v>
      </c>
      <c r="T149" s="123">
        <f t="shared" si="42"/>
        <v>0</v>
      </c>
      <c r="U149" s="123">
        <f t="shared" si="42"/>
        <v>0</v>
      </c>
      <c r="V149" s="123">
        <f t="shared" si="42"/>
        <v>0</v>
      </c>
      <c r="W149" s="123">
        <f t="shared" si="42"/>
        <v>0</v>
      </c>
      <c r="X149" s="123">
        <f t="shared" si="42"/>
        <v>0</v>
      </c>
      <c r="Y149" s="123">
        <f t="shared" si="42"/>
        <v>0</v>
      </c>
      <c r="Z149" s="123">
        <f t="shared" si="42"/>
        <v>0</v>
      </c>
      <c r="AA149" s="123">
        <f t="shared" si="42"/>
        <v>0</v>
      </c>
      <c r="AB149" s="123">
        <f t="shared" si="42"/>
        <v>0</v>
      </c>
      <c r="AC149" s="123">
        <f t="shared" si="42"/>
        <v>0</v>
      </c>
      <c r="AD149" s="123">
        <f t="shared" si="42"/>
        <v>0</v>
      </c>
      <c r="AE149" s="123">
        <f t="shared" si="42"/>
        <v>0</v>
      </c>
      <c r="AF149" s="123">
        <f t="shared" si="42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3">C151</f>
        <v>0.1</v>
      </c>
      <c r="E151" s="123">
        <f t="shared" si="43"/>
        <v>0.1</v>
      </c>
      <c r="F151" s="123">
        <f t="shared" si="43"/>
        <v>0.1</v>
      </c>
      <c r="G151" s="123">
        <f t="shared" si="43"/>
        <v>0.1</v>
      </c>
      <c r="H151" s="123">
        <f t="shared" si="43"/>
        <v>0.1</v>
      </c>
      <c r="I151" s="123">
        <f t="shared" si="43"/>
        <v>0.1</v>
      </c>
      <c r="J151" s="123">
        <f t="shared" si="43"/>
        <v>0.1</v>
      </c>
      <c r="K151" s="123">
        <f t="shared" si="43"/>
        <v>0.1</v>
      </c>
      <c r="L151" s="123">
        <f t="shared" si="43"/>
        <v>0.1</v>
      </c>
      <c r="M151" s="123">
        <f t="shared" si="43"/>
        <v>0.1</v>
      </c>
      <c r="N151" s="123">
        <f t="shared" si="43"/>
        <v>0.1</v>
      </c>
      <c r="O151" s="123">
        <f t="shared" si="43"/>
        <v>0.1</v>
      </c>
      <c r="P151" s="123">
        <f t="shared" si="43"/>
        <v>0.1</v>
      </c>
      <c r="Q151" s="123">
        <f t="shared" si="43"/>
        <v>0.1</v>
      </c>
      <c r="R151" s="123">
        <f t="shared" si="43"/>
        <v>0.1</v>
      </c>
      <c r="S151" s="123">
        <f t="shared" si="43"/>
        <v>0.1</v>
      </c>
      <c r="T151" s="123">
        <f t="shared" ref="T151:AF154" si="44">S151</f>
        <v>0.1</v>
      </c>
      <c r="U151" s="123">
        <f t="shared" si="44"/>
        <v>0.1</v>
      </c>
      <c r="V151" s="123">
        <f t="shared" si="44"/>
        <v>0.1</v>
      </c>
      <c r="W151" s="123">
        <f t="shared" si="44"/>
        <v>0.1</v>
      </c>
      <c r="X151" s="123">
        <f t="shared" si="44"/>
        <v>0.1</v>
      </c>
      <c r="Y151" s="123">
        <f t="shared" si="44"/>
        <v>0.1</v>
      </c>
      <c r="Z151" s="123">
        <f t="shared" si="44"/>
        <v>0.1</v>
      </c>
      <c r="AA151" s="123">
        <f t="shared" si="44"/>
        <v>0.1</v>
      </c>
      <c r="AB151" s="123">
        <f t="shared" si="44"/>
        <v>0.1</v>
      </c>
      <c r="AC151" s="123">
        <f t="shared" si="44"/>
        <v>0.1</v>
      </c>
      <c r="AD151" s="123">
        <f t="shared" si="44"/>
        <v>0.1</v>
      </c>
      <c r="AE151" s="123">
        <f t="shared" si="44"/>
        <v>0.1</v>
      </c>
      <c r="AF151" s="123">
        <f t="shared" si="44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3"/>
        <v>2.0499999999999998</v>
      </c>
      <c r="E152" s="123">
        <f t="shared" si="43"/>
        <v>2.0499999999999998</v>
      </c>
      <c r="F152" s="123">
        <f t="shared" si="43"/>
        <v>2.0499999999999998</v>
      </c>
      <c r="G152" s="123">
        <f t="shared" si="43"/>
        <v>2.0499999999999998</v>
      </c>
      <c r="H152" s="123">
        <f t="shared" si="43"/>
        <v>2.0499999999999998</v>
      </c>
      <c r="I152" s="123">
        <f t="shared" si="43"/>
        <v>2.0499999999999998</v>
      </c>
      <c r="J152" s="123">
        <f t="shared" si="43"/>
        <v>2.0499999999999998</v>
      </c>
      <c r="K152" s="123">
        <f t="shared" si="43"/>
        <v>2.0499999999999998</v>
      </c>
      <c r="L152" s="123">
        <f t="shared" si="43"/>
        <v>2.0499999999999998</v>
      </c>
      <c r="M152" s="123">
        <f t="shared" si="43"/>
        <v>2.0499999999999998</v>
      </c>
      <c r="N152" s="123">
        <f t="shared" si="43"/>
        <v>2.0499999999999998</v>
      </c>
      <c r="O152" s="123">
        <f t="shared" si="43"/>
        <v>2.0499999999999998</v>
      </c>
      <c r="P152" s="123">
        <f t="shared" si="43"/>
        <v>2.0499999999999998</v>
      </c>
      <c r="Q152" s="123">
        <f t="shared" si="43"/>
        <v>2.0499999999999998</v>
      </c>
      <c r="R152" s="123">
        <f t="shared" si="43"/>
        <v>2.0499999999999998</v>
      </c>
      <c r="S152" s="123">
        <f t="shared" si="43"/>
        <v>2.0499999999999998</v>
      </c>
      <c r="T152" s="123">
        <f t="shared" si="44"/>
        <v>2.0499999999999998</v>
      </c>
      <c r="U152" s="123">
        <f t="shared" si="44"/>
        <v>2.0499999999999998</v>
      </c>
      <c r="V152" s="123">
        <f t="shared" si="44"/>
        <v>2.0499999999999998</v>
      </c>
      <c r="W152" s="123">
        <f t="shared" si="44"/>
        <v>2.0499999999999998</v>
      </c>
      <c r="X152" s="123">
        <f t="shared" si="44"/>
        <v>2.0499999999999998</v>
      </c>
      <c r="Y152" s="123">
        <f t="shared" si="44"/>
        <v>2.0499999999999998</v>
      </c>
      <c r="Z152" s="123">
        <f t="shared" si="44"/>
        <v>2.0499999999999998</v>
      </c>
      <c r="AA152" s="123">
        <f t="shared" si="44"/>
        <v>2.0499999999999998</v>
      </c>
      <c r="AB152" s="123">
        <f t="shared" si="44"/>
        <v>2.0499999999999998</v>
      </c>
      <c r="AC152" s="123">
        <f t="shared" si="44"/>
        <v>2.0499999999999998</v>
      </c>
      <c r="AD152" s="123">
        <f t="shared" si="44"/>
        <v>2.0499999999999998</v>
      </c>
      <c r="AE152" s="123">
        <f t="shared" si="44"/>
        <v>2.0499999999999998</v>
      </c>
      <c r="AF152" s="123">
        <f t="shared" si="44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3"/>
        <v>2.7</v>
      </c>
      <c r="E153" s="123">
        <f t="shared" si="43"/>
        <v>2.7</v>
      </c>
      <c r="F153" s="123">
        <f t="shared" si="43"/>
        <v>2.7</v>
      </c>
      <c r="G153" s="123">
        <f t="shared" si="43"/>
        <v>2.7</v>
      </c>
      <c r="H153" s="123">
        <f t="shared" si="43"/>
        <v>2.7</v>
      </c>
      <c r="I153" s="123">
        <f t="shared" si="43"/>
        <v>2.7</v>
      </c>
      <c r="J153" s="123">
        <f t="shared" si="43"/>
        <v>2.7</v>
      </c>
      <c r="K153" s="123">
        <f t="shared" si="43"/>
        <v>2.7</v>
      </c>
      <c r="L153" s="123">
        <f t="shared" si="43"/>
        <v>2.7</v>
      </c>
      <c r="M153" s="123">
        <f t="shared" si="43"/>
        <v>2.7</v>
      </c>
      <c r="N153" s="123">
        <f t="shared" si="43"/>
        <v>2.7</v>
      </c>
      <c r="O153" s="123">
        <f t="shared" si="43"/>
        <v>2.7</v>
      </c>
      <c r="P153" s="123">
        <f t="shared" si="43"/>
        <v>2.7</v>
      </c>
      <c r="Q153" s="123">
        <f t="shared" si="43"/>
        <v>2.7</v>
      </c>
      <c r="R153" s="123">
        <f t="shared" si="43"/>
        <v>2.7</v>
      </c>
      <c r="S153" s="123">
        <f t="shared" si="43"/>
        <v>2.7</v>
      </c>
      <c r="T153" s="123">
        <f t="shared" si="44"/>
        <v>2.7</v>
      </c>
      <c r="U153" s="123">
        <f t="shared" si="44"/>
        <v>2.7</v>
      </c>
      <c r="V153" s="123">
        <f t="shared" si="44"/>
        <v>2.7</v>
      </c>
      <c r="W153" s="123">
        <f t="shared" si="44"/>
        <v>2.7</v>
      </c>
      <c r="X153" s="123">
        <f t="shared" si="44"/>
        <v>2.7</v>
      </c>
      <c r="Y153" s="123">
        <f t="shared" si="44"/>
        <v>2.7</v>
      </c>
      <c r="Z153" s="123">
        <f t="shared" si="44"/>
        <v>2.7</v>
      </c>
      <c r="AA153" s="123">
        <f t="shared" si="44"/>
        <v>2.7</v>
      </c>
      <c r="AB153" s="123">
        <f t="shared" si="44"/>
        <v>2.7</v>
      </c>
      <c r="AC153" s="123">
        <f t="shared" si="44"/>
        <v>2.7</v>
      </c>
      <c r="AD153" s="123">
        <f t="shared" si="44"/>
        <v>2.7</v>
      </c>
      <c r="AE153" s="123">
        <f t="shared" si="44"/>
        <v>2.7</v>
      </c>
      <c r="AF153" s="123">
        <f t="shared" si="44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3"/>
        <v>2.15</v>
      </c>
      <c r="E154" s="123">
        <f t="shared" si="43"/>
        <v>2.15</v>
      </c>
      <c r="F154" s="123">
        <f t="shared" si="43"/>
        <v>2.15</v>
      </c>
      <c r="G154" s="123">
        <f t="shared" si="43"/>
        <v>2.15</v>
      </c>
      <c r="H154" s="123">
        <f t="shared" si="43"/>
        <v>2.15</v>
      </c>
      <c r="I154" s="123">
        <f t="shared" si="43"/>
        <v>2.15</v>
      </c>
      <c r="J154" s="123">
        <f t="shared" si="43"/>
        <v>2.15</v>
      </c>
      <c r="K154" s="123">
        <f t="shared" si="43"/>
        <v>2.15</v>
      </c>
      <c r="L154" s="123">
        <f t="shared" si="43"/>
        <v>2.15</v>
      </c>
      <c r="M154" s="123">
        <f t="shared" si="43"/>
        <v>2.15</v>
      </c>
      <c r="N154" s="123">
        <f t="shared" si="43"/>
        <v>2.15</v>
      </c>
      <c r="O154" s="123">
        <f t="shared" si="43"/>
        <v>2.15</v>
      </c>
      <c r="P154" s="123">
        <f t="shared" si="43"/>
        <v>2.15</v>
      </c>
      <c r="Q154" s="123">
        <f t="shared" si="43"/>
        <v>2.15</v>
      </c>
      <c r="R154" s="123">
        <f t="shared" si="43"/>
        <v>2.15</v>
      </c>
      <c r="S154" s="123">
        <f t="shared" si="43"/>
        <v>2.15</v>
      </c>
      <c r="T154" s="123">
        <f t="shared" si="44"/>
        <v>2.15</v>
      </c>
      <c r="U154" s="123">
        <f t="shared" si="44"/>
        <v>2.15</v>
      </c>
      <c r="V154" s="123">
        <f t="shared" si="44"/>
        <v>2.15</v>
      </c>
      <c r="W154" s="123">
        <f t="shared" si="44"/>
        <v>2.15</v>
      </c>
      <c r="X154" s="123">
        <f t="shared" si="44"/>
        <v>2.15</v>
      </c>
      <c r="Y154" s="123">
        <f t="shared" si="44"/>
        <v>2.15</v>
      </c>
      <c r="Z154" s="123">
        <f t="shared" si="44"/>
        <v>2.15</v>
      </c>
      <c r="AA154" s="123">
        <f t="shared" si="44"/>
        <v>2.15</v>
      </c>
      <c r="AB154" s="123">
        <f t="shared" si="44"/>
        <v>2.15</v>
      </c>
      <c r="AC154" s="123">
        <f t="shared" si="44"/>
        <v>2.15</v>
      </c>
      <c r="AD154" s="123">
        <f t="shared" si="44"/>
        <v>2.15</v>
      </c>
      <c r="AE154" s="123">
        <f t="shared" si="44"/>
        <v>2.15</v>
      </c>
      <c r="AF154" s="123">
        <f t="shared" si="44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5">AF156</f>
        <v>0.9</v>
      </c>
      <c r="C156" s="124">
        <v>0.9</v>
      </c>
      <c r="D156" s="123">
        <f t="shared" ref="D156:S168" si="46">C156</f>
        <v>0.9</v>
      </c>
      <c r="E156" s="123">
        <f t="shared" si="46"/>
        <v>0.9</v>
      </c>
      <c r="F156" s="123">
        <f t="shared" si="46"/>
        <v>0.9</v>
      </c>
      <c r="G156" s="123">
        <f t="shared" si="46"/>
        <v>0.9</v>
      </c>
      <c r="H156" s="123">
        <f t="shared" si="46"/>
        <v>0.9</v>
      </c>
      <c r="I156" s="123">
        <f t="shared" si="46"/>
        <v>0.9</v>
      </c>
      <c r="J156" s="123">
        <f t="shared" si="46"/>
        <v>0.9</v>
      </c>
      <c r="K156" s="123">
        <f t="shared" si="46"/>
        <v>0.9</v>
      </c>
      <c r="L156" s="123">
        <f t="shared" si="46"/>
        <v>0.9</v>
      </c>
      <c r="M156" s="123">
        <f t="shared" si="46"/>
        <v>0.9</v>
      </c>
      <c r="N156" s="123">
        <f t="shared" si="46"/>
        <v>0.9</v>
      </c>
      <c r="O156" s="123">
        <f t="shared" si="46"/>
        <v>0.9</v>
      </c>
      <c r="P156" s="123">
        <f t="shared" si="46"/>
        <v>0.9</v>
      </c>
      <c r="Q156" s="123">
        <f t="shared" si="46"/>
        <v>0.9</v>
      </c>
      <c r="R156" s="123">
        <f t="shared" si="46"/>
        <v>0.9</v>
      </c>
      <c r="S156" s="123">
        <f t="shared" si="46"/>
        <v>0.9</v>
      </c>
      <c r="T156" s="123">
        <f t="shared" ref="S156:AF168" si="47">S156</f>
        <v>0.9</v>
      </c>
      <c r="U156" s="123">
        <f t="shared" si="47"/>
        <v>0.9</v>
      </c>
      <c r="V156" s="123">
        <f t="shared" si="47"/>
        <v>0.9</v>
      </c>
      <c r="W156" s="123">
        <f t="shared" si="47"/>
        <v>0.9</v>
      </c>
      <c r="X156" s="123">
        <f t="shared" si="47"/>
        <v>0.9</v>
      </c>
      <c r="Y156" s="123">
        <f t="shared" si="47"/>
        <v>0.9</v>
      </c>
      <c r="Z156" s="123">
        <f t="shared" si="47"/>
        <v>0.9</v>
      </c>
      <c r="AA156" s="123">
        <f t="shared" si="47"/>
        <v>0.9</v>
      </c>
      <c r="AB156" s="123">
        <f t="shared" si="47"/>
        <v>0.9</v>
      </c>
      <c r="AC156" s="123">
        <f t="shared" si="47"/>
        <v>0.9</v>
      </c>
      <c r="AD156" s="123">
        <f t="shared" si="47"/>
        <v>0.9</v>
      </c>
      <c r="AE156" s="123">
        <f t="shared" si="47"/>
        <v>0.9</v>
      </c>
      <c r="AF156" s="123">
        <f t="shared" si="47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5"/>
        <v>1.08</v>
      </c>
      <c r="C157" s="124">
        <v>1.08</v>
      </c>
      <c r="D157" s="123">
        <f t="shared" si="46"/>
        <v>1.08</v>
      </c>
      <c r="E157" s="123">
        <f t="shared" si="46"/>
        <v>1.08</v>
      </c>
      <c r="F157" s="123">
        <f t="shared" si="46"/>
        <v>1.08</v>
      </c>
      <c r="G157" s="123">
        <f t="shared" si="46"/>
        <v>1.08</v>
      </c>
      <c r="H157" s="123">
        <f t="shared" si="46"/>
        <v>1.08</v>
      </c>
      <c r="I157" s="123">
        <f t="shared" si="46"/>
        <v>1.08</v>
      </c>
      <c r="J157" s="123">
        <f t="shared" si="46"/>
        <v>1.08</v>
      </c>
      <c r="K157" s="123">
        <f t="shared" si="46"/>
        <v>1.08</v>
      </c>
      <c r="L157" s="123">
        <f t="shared" si="46"/>
        <v>1.08</v>
      </c>
      <c r="M157" s="123">
        <f t="shared" si="46"/>
        <v>1.08</v>
      </c>
      <c r="N157" s="123">
        <f t="shared" si="46"/>
        <v>1.08</v>
      </c>
      <c r="O157" s="123">
        <f t="shared" si="46"/>
        <v>1.08</v>
      </c>
      <c r="P157" s="123">
        <f t="shared" si="46"/>
        <v>1.08</v>
      </c>
      <c r="Q157" s="123">
        <f t="shared" si="46"/>
        <v>1.08</v>
      </c>
      <c r="R157" s="123">
        <f t="shared" si="46"/>
        <v>1.08</v>
      </c>
      <c r="S157" s="123">
        <f t="shared" si="46"/>
        <v>1.08</v>
      </c>
      <c r="T157" s="123">
        <f t="shared" si="47"/>
        <v>1.08</v>
      </c>
      <c r="U157" s="123">
        <f t="shared" si="47"/>
        <v>1.08</v>
      </c>
      <c r="V157" s="123">
        <f t="shared" si="47"/>
        <v>1.08</v>
      </c>
      <c r="W157" s="123">
        <f t="shared" si="47"/>
        <v>1.08</v>
      </c>
      <c r="X157" s="123">
        <f t="shared" si="47"/>
        <v>1.08</v>
      </c>
      <c r="Y157" s="123">
        <f t="shared" si="47"/>
        <v>1.08</v>
      </c>
      <c r="Z157" s="123">
        <f t="shared" si="47"/>
        <v>1.08</v>
      </c>
      <c r="AA157" s="123">
        <f t="shared" si="47"/>
        <v>1.08</v>
      </c>
      <c r="AB157" s="123">
        <f t="shared" si="47"/>
        <v>1.08</v>
      </c>
      <c r="AC157" s="123">
        <f t="shared" si="47"/>
        <v>1.08</v>
      </c>
      <c r="AD157" s="123">
        <f t="shared" si="47"/>
        <v>1.08</v>
      </c>
      <c r="AE157" s="123">
        <f t="shared" si="47"/>
        <v>1.08</v>
      </c>
      <c r="AF157" s="123">
        <f t="shared" si="47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5"/>
        <v>2.37</v>
      </c>
      <c r="C158" s="124">
        <v>2.37</v>
      </c>
      <c r="D158" s="123">
        <f t="shared" si="46"/>
        <v>2.37</v>
      </c>
      <c r="E158" s="123">
        <f t="shared" si="46"/>
        <v>2.37</v>
      </c>
      <c r="F158" s="123">
        <f t="shared" si="46"/>
        <v>2.37</v>
      </c>
      <c r="G158" s="123">
        <f t="shared" si="46"/>
        <v>2.37</v>
      </c>
      <c r="H158" s="123">
        <f t="shared" si="46"/>
        <v>2.37</v>
      </c>
      <c r="I158" s="123">
        <f t="shared" si="46"/>
        <v>2.37</v>
      </c>
      <c r="J158" s="123">
        <f t="shared" si="46"/>
        <v>2.37</v>
      </c>
      <c r="K158" s="123">
        <f t="shared" si="46"/>
        <v>2.37</v>
      </c>
      <c r="L158" s="123">
        <f t="shared" si="46"/>
        <v>2.37</v>
      </c>
      <c r="M158" s="123">
        <f t="shared" si="46"/>
        <v>2.37</v>
      </c>
      <c r="N158" s="123">
        <f t="shared" si="46"/>
        <v>2.37</v>
      </c>
      <c r="O158" s="123">
        <f t="shared" si="46"/>
        <v>2.37</v>
      </c>
      <c r="P158" s="123">
        <f t="shared" si="46"/>
        <v>2.37</v>
      </c>
      <c r="Q158" s="123">
        <f t="shared" si="46"/>
        <v>2.37</v>
      </c>
      <c r="R158" s="123">
        <f t="shared" si="46"/>
        <v>2.37</v>
      </c>
      <c r="S158" s="123">
        <f t="shared" si="46"/>
        <v>2.37</v>
      </c>
      <c r="T158" s="123">
        <f t="shared" si="47"/>
        <v>2.37</v>
      </c>
      <c r="U158" s="123">
        <f t="shared" si="47"/>
        <v>2.37</v>
      </c>
      <c r="V158" s="123">
        <f t="shared" si="47"/>
        <v>2.37</v>
      </c>
      <c r="W158" s="123">
        <f t="shared" si="47"/>
        <v>2.37</v>
      </c>
      <c r="X158" s="123">
        <f t="shared" si="47"/>
        <v>2.37</v>
      </c>
      <c r="Y158" s="123">
        <f t="shared" si="47"/>
        <v>2.37</v>
      </c>
      <c r="Z158" s="123">
        <f t="shared" si="47"/>
        <v>2.37</v>
      </c>
      <c r="AA158" s="123">
        <f t="shared" si="47"/>
        <v>2.37</v>
      </c>
      <c r="AB158" s="123">
        <f t="shared" si="47"/>
        <v>2.37</v>
      </c>
      <c r="AC158" s="123">
        <f t="shared" si="47"/>
        <v>2.37</v>
      </c>
      <c r="AD158" s="123">
        <f t="shared" si="47"/>
        <v>2.37</v>
      </c>
      <c r="AE158" s="123">
        <f t="shared" si="47"/>
        <v>2.37</v>
      </c>
      <c r="AF158" s="123">
        <f t="shared" si="47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5"/>
        <v>1.81</v>
      </c>
      <c r="C159" s="124">
        <v>1.81</v>
      </c>
      <c r="D159" s="123">
        <f t="shared" si="46"/>
        <v>1.81</v>
      </c>
      <c r="E159" s="123">
        <f t="shared" si="46"/>
        <v>1.81</v>
      </c>
      <c r="F159" s="123">
        <f t="shared" si="46"/>
        <v>1.81</v>
      </c>
      <c r="G159" s="123">
        <f t="shared" si="46"/>
        <v>1.81</v>
      </c>
      <c r="H159" s="123">
        <f t="shared" si="46"/>
        <v>1.81</v>
      </c>
      <c r="I159" s="123">
        <f t="shared" si="46"/>
        <v>1.81</v>
      </c>
      <c r="J159" s="123">
        <f t="shared" si="46"/>
        <v>1.81</v>
      </c>
      <c r="K159" s="123">
        <f t="shared" si="46"/>
        <v>1.81</v>
      </c>
      <c r="L159" s="123">
        <f t="shared" si="46"/>
        <v>1.81</v>
      </c>
      <c r="M159" s="123">
        <f t="shared" si="46"/>
        <v>1.81</v>
      </c>
      <c r="N159" s="123">
        <f t="shared" si="46"/>
        <v>1.81</v>
      </c>
      <c r="O159" s="123">
        <f t="shared" si="46"/>
        <v>1.81</v>
      </c>
      <c r="P159" s="123">
        <f t="shared" si="46"/>
        <v>1.81</v>
      </c>
      <c r="Q159" s="123">
        <f t="shared" si="46"/>
        <v>1.81</v>
      </c>
      <c r="R159" s="123">
        <f t="shared" si="46"/>
        <v>1.81</v>
      </c>
      <c r="S159" s="123">
        <f t="shared" si="46"/>
        <v>1.81</v>
      </c>
      <c r="T159" s="123">
        <f t="shared" si="47"/>
        <v>1.81</v>
      </c>
      <c r="U159" s="123">
        <f t="shared" si="47"/>
        <v>1.81</v>
      </c>
      <c r="V159" s="123">
        <f t="shared" si="47"/>
        <v>1.81</v>
      </c>
      <c r="W159" s="123">
        <f t="shared" si="47"/>
        <v>1.81</v>
      </c>
      <c r="X159" s="123">
        <f t="shared" si="47"/>
        <v>1.81</v>
      </c>
      <c r="Y159" s="123">
        <f t="shared" si="47"/>
        <v>1.81</v>
      </c>
      <c r="Z159" s="123">
        <f t="shared" si="47"/>
        <v>1.81</v>
      </c>
      <c r="AA159" s="123">
        <f t="shared" si="47"/>
        <v>1.81</v>
      </c>
      <c r="AB159" s="123">
        <f t="shared" si="47"/>
        <v>1.81</v>
      </c>
      <c r="AC159" s="123">
        <f t="shared" si="47"/>
        <v>1.81</v>
      </c>
      <c r="AD159" s="123">
        <f t="shared" si="47"/>
        <v>1.81</v>
      </c>
      <c r="AE159" s="123">
        <f t="shared" si="47"/>
        <v>1.81</v>
      </c>
      <c r="AF159" s="123">
        <f t="shared" si="47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5"/>
        <v>1.0900000000000001</v>
      </c>
      <c r="C160" s="124">
        <v>1.0900000000000001</v>
      </c>
      <c r="D160" s="123">
        <f t="shared" si="46"/>
        <v>1.0900000000000001</v>
      </c>
      <c r="E160" s="123">
        <f t="shared" si="46"/>
        <v>1.0900000000000001</v>
      </c>
      <c r="F160" s="123">
        <f t="shared" si="46"/>
        <v>1.0900000000000001</v>
      </c>
      <c r="G160" s="123">
        <f t="shared" si="46"/>
        <v>1.0900000000000001</v>
      </c>
      <c r="H160" s="123">
        <f t="shared" si="46"/>
        <v>1.0900000000000001</v>
      </c>
      <c r="I160" s="123">
        <f t="shared" si="46"/>
        <v>1.0900000000000001</v>
      </c>
      <c r="J160" s="123">
        <f t="shared" si="46"/>
        <v>1.0900000000000001</v>
      </c>
      <c r="K160" s="123">
        <f t="shared" si="46"/>
        <v>1.0900000000000001</v>
      </c>
      <c r="L160" s="123">
        <f t="shared" si="46"/>
        <v>1.0900000000000001</v>
      </c>
      <c r="M160" s="123">
        <f t="shared" si="46"/>
        <v>1.0900000000000001</v>
      </c>
      <c r="N160" s="123">
        <f t="shared" si="46"/>
        <v>1.0900000000000001</v>
      </c>
      <c r="O160" s="123">
        <f t="shared" si="46"/>
        <v>1.0900000000000001</v>
      </c>
      <c r="P160" s="123">
        <f t="shared" si="46"/>
        <v>1.0900000000000001</v>
      </c>
      <c r="Q160" s="123">
        <f t="shared" si="46"/>
        <v>1.0900000000000001</v>
      </c>
      <c r="R160" s="123">
        <f t="shared" si="46"/>
        <v>1.0900000000000001</v>
      </c>
      <c r="S160" s="123">
        <f t="shared" si="46"/>
        <v>1.0900000000000001</v>
      </c>
      <c r="T160" s="123">
        <f t="shared" si="47"/>
        <v>1.0900000000000001</v>
      </c>
      <c r="U160" s="123">
        <f t="shared" si="47"/>
        <v>1.0900000000000001</v>
      </c>
      <c r="V160" s="123">
        <f t="shared" si="47"/>
        <v>1.0900000000000001</v>
      </c>
      <c r="W160" s="123">
        <f t="shared" si="47"/>
        <v>1.0900000000000001</v>
      </c>
      <c r="X160" s="123">
        <f t="shared" si="47"/>
        <v>1.0900000000000001</v>
      </c>
      <c r="Y160" s="123">
        <f t="shared" si="47"/>
        <v>1.0900000000000001</v>
      </c>
      <c r="Z160" s="123">
        <f t="shared" si="47"/>
        <v>1.0900000000000001</v>
      </c>
      <c r="AA160" s="123">
        <f t="shared" si="47"/>
        <v>1.0900000000000001</v>
      </c>
      <c r="AB160" s="123">
        <f t="shared" si="47"/>
        <v>1.0900000000000001</v>
      </c>
      <c r="AC160" s="123">
        <f t="shared" si="47"/>
        <v>1.0900000000000001</v>
      </c>
      <c r="AD160" s="123">
        <f t="shared" si="47"/>
        <v>1.0900000000000001</v>
      </c>
      <c r="AE160" s="123">
        <f t="shared" si="47"/>
        <v>1.0900000000000001</v>
      </c>
      <c r="AF160" s="123">
        <f t="shared" si="47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5"/>
        <v>1.58</v>
      </c>
      <c r="C161" s="124">
        <v>1.58</v>
      </c>
      <c r="D161" s="123">
        <f t="shared" si="46"/>
        <v>1.58</v>
      </c>
      <c r="E161" s="123">
        <f t="shared" si="46"/>
        <v>1.58</v>
      </c>
      <c r="F161" s="123">
        <f t="shared" si="46"/>
        <v>1.58</v>
      </c>
      <c r="G161" s="123">
        <f t="shared" si="46"/>
        <v>1.58</v>
      </c>
      <c r="H161" s="123">
        <f t="shared" si="46"/>
        <v>1.58</v>
      </c>
      <c r="I161" s="123">
        <f t="shared" si="46"/>
        <v>1.58</v>
      </c>
      <c r="J161" s="123">
        <f t="shared" si="46"/>
        <v>1.58</v>
      </c>
      <c r="K161" s="123">
        <f t="shared" si="46"/>
        <v>1.58</v>
      </c>
      <c r="L161" s="123">
        <f t="shared" si="46"/>
        <v>1.58</v>
      </c>
      <c r="M161" s="123">
        <f t="shared" si="46"/>
        <v>1.58</v>
      </c>
      <c r="N161" s="123">
        <f t="shared" si="46"/>
        <v>1.58</v>
      </c>
      <c r="O161" s="123">
        <f t="shared" si="46"/>
        <v>1.58</v>
      </c>
      <c r="P161" s="123">
        <f t="shared" si="46"/>
        <v>1.58</v>
      </c>
      <c r="Q161" s="123">
        <f t="shared" si="46"/>
        <v>1.58</v>
      </c>
      <c r="R161" s="123">
        <f t="shared" si="46"/>
        <v>1.58</v>
      </c>
      <c r="S161" s="123">
        <f t="shared" si="46"/>
        <v>1.58</v>
      </c>
      <c r="T161" s="123">
        <f t="shared" si="47"/>
        <v>1.58</v>
      </c>
      <c r="U161" s="123">
        <f t="shared" si="47"/>
        <v>1.58</v>
      </c>
      <c r="V161" s="123">
        <f t="shared" si="47"/>
        <v>1.58</v>
      </c>
      <c r="W161" s="123">
        <f t="shared" si="47"/>
        <v>1.58</v>
      </c>
      <c r="X161" s="123">
        <f t="shared" si="47"/>
        <v>1.58</v>
      </c>
      <c r="Y161" s="123">
        <f t="shared" si="47"/>
        <v>1.58</v>
      </c>
      <c r="Z161" s="123">
        <f t="shared" si="47"/>
        <v>1.58</v>
      </c>
      <c r="AA161" s="123">
        <f t="shared" si="47"/>
        <v>1.58</v>
      </c>
      <c r="AB161" s="123">
        <f t="shared" si="47"/>
        <v>1.58</v>
      </c>
      <c r="AC161" s="123">
        <f t="shared" si="47"/>
        <v>1.58</v>
      </c>
      <c r="AD161" s="123">
        <f t="shared" si="47"/>
        <v>1.58</v>
      </c>
      <c r="AE161" s="123">
        <f t="shared" si="47"/>
        <v>1.58</v>
      </c>
      <c r="AF161" s="123">
        <f t="shared" si="47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5"/>
        <v>2</v>
      </c>
      <c r="C162" s="124">
        <v>2</v>
      </c>
      <c r="D162" s="123">
        <f t="shared" si="46"/>
        <v>2</v>
      </c>
      <c r="E162" s="123">
        <f t="shared" si="46"/>
        <v>2</v>
      </c>
      <c r="F162" s="123">
        <f t="shared" si="46"/>
        <v>2</v>
      </c>
      <c r="G162" s="123">
        <f t="shared" si="46"/>
        <v>2</v>
      </c>
      <c r="H162" s="123">
        <f t="shared" si="46"/>
        <v>2</v>
      </c>
      <c r="I162" s="123">
        <f t="shared" si="46"/>
        <v>2</v>
      </c>
      <c r="J162" s="123">
        <f t="shared" si="46"/>
        <v>2</v>
      </c>
      <c r="K162" s="123">
        <f t="shared" si="46"/>
        <v>2</v>
      </c>
      <c r="L162" s="123">
        <f t="shared" si="46"/>
        <v>2</v>
      </c>
      <c r="M162" s="123">
        <f t="shared" si="46"/>
        <v>2</v>
      </c>
      <c r="N162" s="123">
        <f t="shared" si="46"/>
        <v>2</v>
      </c>
      <c r="O162" s="123">
        <f t="shared" si="46"/>
        <v>2</v>
      </c>
      <c r="P162" s="123">
        <f t="shared" si="46"/>
        <v>2</v>
      </c>
      <c r="Q162" s="123">
        <f t="shared" si="46"/>
        <v>2</v>
      </c>
      <c r="R162" s="123">
        <f t="shared" si="46"/>
        <v>2</v>
      </c>
      <c r="S162" s="123">
        <f t="shared" si="46"/>
        <v>2</v>
      </c>
      <c r="T162" s="123">
        <f t="shared" si="47"/>
        <v>2</v>
      </c>
      <c r="U162" s="123">
        <f t="shared" si="47"/>
        <v>2</v>
      </c>
      <c r="V162" s="123">
        <f t="shared" si="47"/>
        <v>2</v>
      </c>
      <c r="W162" s="123">
        <f t="shared" si="47"/>
        <v>2</v>
      </c>
      <c r="X162" s="123">
        <f t="shared" si="47"/>
        <v>2</v>
      </c>
      <c r="Y162" s="123">
        <f t="shared" si="47"/>
        <v>2</v>
      </c>
      <c r="Z162" s="123">
        <f t="shared" si="47"/>
        <v>2</v>
      </c>
      <c r="AA162" s="123">
        <f t="shared" si="47"/>
        <v>2</v>
      </c>
      <c r="AB162" s="123">
        <f t="shared" si="47"/>
        <v>2</v>
      </c>
      <c r="AC162" s="123">
        <f t="shared" si="47"/>
        <v>2</v>
      </c>
      <c r="AD162" s="123">
        <f t="shared" si="47"/>
        <v>2</v>
      </c>
      <c r="AE162" s="123">
        <f t="shared" si="47"/>
        <v>2</v>
      </c>
      <c r="AF162" s="123">
        <f t="shared" si="47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5"/>
        <v>0.47</v>
      </c>
      <c r="C163" s="124">
        <v>0.47</v>
      </c>
      <c r="D163" s="123">
        <f t="shared" si="46"/>
        <v>0.47</v>
      </c>
      <c r="E163" s="123">
        <f t="shared" si="46"/>
        <v>0.47</v>
      </c>
      <c r="F163" s="123">
        <f t="shared" si="46"/>
        <v>0.47</v>
      </c>
      <c r="G163" s="123">
        <f t="shared" si="46"/>
        <v>0.47</v>
      </c>
      <c r="H163" s="123">
        <f t="shared" si="46"/>
        <v>0.47</v>
      </c>
      <c r="I163" s="123">
        <f t="shared" si="46"/>
        <v>0.47</v>
      </c>
      <c r="J163" s="123">
        <f t="shared" si="46"/>
        <v>0.47</v>
      </c>
      <c r="K163" s="123">
        <f t="shared" si="46"/>
        <v>0.47</v>
      </c>
      <c r="L163" s="123">
        <f t="shared" si="46"/>
        <v>0.47</v>
      </c>
      <c r="M163" s="123">
        <f t="shared" si="46"/>
        <v>0.47</v>
      </c>
      <c r="N163" s="123">
        <f t="shared" si="46"/>
        <v>0.47</v>
      </c>
      <c r="O163" s="123">
        <f t="shared" si="46"/>
        <v>0.47</v>
      </c>
      <c r="P163" s="123">
        <f t="shared" si="46"/>
        <v>0.47</v>
      </c>
      <c r="Q163" s="123">
        <f t="shared" si="46"/>
        <v>0.47</v>
      </c>
      <c r="R163" s="123">
        <f t="shared" si="46"/>
        <v>0.47</v>
      </c>
      <c r="S163" s="123">
        <f t="shared" si="46"/>
        <v>0.47</v>
      </c>
      <c r="T163" s="123">
        <f t="shared" si="47"/>
        <v>0.47</v>
      </c>
      <c r="U163" s="123">
        <f t="shared" si="47"/>
        <v>0.47</v>
      </c>
      <c r="V163" s="123">
        <f t="shared" si="47"/>
        <v>0.47</v>
      </c>
      <c r="W163" s="123">
        <f t="shared" si="47"/>
        <v>0.47</v>
      </c>
      <c r="X163" s="123">
        <f t="shared" si="47"/>
        <v>0.47</v>
      </c>
      <c r="Y163" s="123">
        <f t="shared" si="47"/>
        <v>0.47</v>
      </c>
      <c r="Z163" s="123">
        <f t="shared" si="47"/>
        <v>0.47</v>
      </c>
      <c r="AA163" s="123">
        <f t="shared" si="47"/>
        <v>0.47</v>
      </c>
      <c r="AB163" s="123">
        <f t="shared" si="47"/>
        <v>0.47</v>
      </c>
      <c r="AC163" s="123">
        <f t="shared" si="47"/>
        <v>0.47</v>
      </c>
      <c r="AD163" s="123">
        <f t="shared" si="47"/>
        <v>0.47</v>
      </c>
      <c r="AE163" s="123">
        <f t="shared" si="47"/>
        <v>0.47</v>
      </c>
      <c r="AF163" s="123">
        <f t="shared" si="47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5"/>
        <v>0</v>
      </c>
      <c r="C164" s="124">
        <v>0</v>
      </c>
      <c r="D164" s="123">
        <f t="shared" si="46"/>
        <v>0</v>
      </c>
      <c r="E164" s="123">
        <f t="shared" si="46"/>
        <v>0</v>
      </c>
      <c r="F164" s="123">
        <f t="shared" si="46"/>
        <v>0</v>
      </c>
      <c r="G164" s="123">
        <f t="shared" si="46"/>
        <v>0</v>
      </c>
      <c r="H164" s="123">
        <f t="shared" si="46"/>
        <v>0</v>
      </c>
      <c r="I164" s="123">
        <f t="shared" si="46"/>
        <v>0</v>
      </c>
      <c r="J164" s="123">
        <f t="shared" si="46"/>
        <v>0</v>
      </c>
      <c r="K164" s="123">
        <f t="shared" si="46"/>
        <v>0</v>
      </c>
      <c r="L164" s="123">
        <f t="shared" si="46"/>
        <v>0</v>
      </c>
      <c r="M164" s="123">
        <f t="shared" si="46"/>
        <v>0</v>
      </c>
      <c r="N164" s="123">
        <f t="shared" si="46"/>
        <v>0</v>
      </c>
      <c r="O164" s="123">
        <f t="shared" si="46"/>
        <v>0</v>
      </c>
      <c r="P164" s="123">
        <f t="shared" si="46"/>
        <v>0</v>
      </c>
      <c r="Q164" s="123">
        <f t="shared" si="46"/>
        <v>0</v>
      </c>
      <c r="R164" s="123">
        <f t="shared" si="46"/>
        <v>0</v>
      </c>
      <c r="S164" s="123">
        <f t="shared" si="46"/>
        <v>0</v>
      </c>
      <c r="T164" s="123">
        <f t="shared" si="47"/>
        <v>0</v>
      </c>
      <c r="U164" s="123">
        <f t="shared" si="47"/>
        <v>0</v>
      </c>
      <c r="V164" s="123">
        <f t="shared" si="47"/>
        <v>0</v>
      </c>
      <c r="W164" s="123">
        <f t="shared" si="47"/>
        <v>0</v>
      </c>
      <c r="X164" s="123">
        <f t="shared" si="47"/>
        <v>0</v>
      </c>
      <c r="Y164" s="123">
        <f t="shared" si="47"/>
        <v>0</v>
      </c>
      <c r="Z164" s="123">
        <f t="shared" si="47"/>
        <v>0</v>
      </c>
      <c r="AA164" s="123">
        <f t="shared" si="47"/>
        <v>0</v>
      </c>
      <c r="AB164" s="123">
        <f t="shared" si="47"/>
        <v>0</v>
      </c>
      <c r="AC164" s="123">
        <f t="shared" si="47"/>
        <v>0</v>
      </c>
      <c r="AD164" s="123">
        <f t="shared" si="47"/>
        <v>0</v>
      </c>
      <c r="AE164" s="123">
        <f t="shared" si="47"/>
        <v>0</v>
      </c>
      <c r="AF164" s="123">
        <f t="shared" si="47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7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5"/>
        <v>0.8</v>
      </c>
      <c r="C166" s="124">
        <v>0.8</v>
      </c>
      <c r="D166" s="123">
        <f t="shared" si="46"/>
        <v>0.8</v>
      </c>
      <c r="E166" s="123">
        <f t="shared" si="46"/>
        <v>0.8</v>
      </c>
      <c r="F166" s="123">
        <f t="shared" si="46"/>
        <v>0.8</v>
      </c>
      <c r="G166" s="123">
        <f t="shared" si="46"/>
        <v>0.8</v>
      </c>
      <c r="H166" s="123">
        <f t="shared" si="46"/>
        <v>0.8</v>
      </c>
      <c r="I166" s="123">
        <f t="shared" si="46"/>
        <v>0.8</v>
      </c>
      <c r="J166" s="123">
        <f t="shared" si="46"/>
        <v>0.8</v>
      </c>
      <c r="K166" s="123">
        <f t="shared" si="46"/>
        <v>0.8</v>
      </c>
      <c r="L166" s="123">
        <f t="shared" si="46"/>
        <v>0.8</v>
      </c>
      <c r="M166" s="123">
        <f t="shared" si="46"/>
        <v>0.8</v>
      </c>
      <c r="N166" s="123">
        <f t="shared" si="46"/>
        <v>0.8</v>
      </c>
      <c r="O166" s="123">
        <f t="shared" si="46"/>
        <v>0.8</v>
      </c>
      <c r="P166" s="123">
        <f t="shared" si="46"/>
        <v>0.8</v>
      </c>
      <c r="Q166" s="123">
        <f t="shared" si="46"/>
        <v>0.8</v>
      </c>
      <c r="R166" s="123">
        <f t="shared" si="46"/>
        <v>0.8</v>
      </c>
      <c r="S166" s="123">
        <f t="shared" si="47"/>
        <v>0.8</v>
      </c>
      <c r="T166" s="123">
        <f t="shared" si="47"/>
        <v>0.8</v>
      </c>
      <c r="U166" s="123">
        <f t="shared" si="47"/>
        <v>0.8</v>
      </c>
      <c r="V166" s="123">
        <f t="shared" si="47"/>
        <v>0.8</v>
      </c>
      <c r="W166" s="123">
        <f t="shared" si="47"/>
        <v>0.8</v>
      </c>
      <c r="X166" s="123">
        <f t="shared" si="47"/>
        <v>0.8</v>
      </c>
      <c r="Y166" s="123">
        <f t="shared" si="47"/>
        <v>0.8</v>
      </c>
      <c r="Z166" s="123">
        <f t="shared" si="47"/>
        <v>0.8</v>
      </c>
      <c r="AA166" s="123">
        <f t="shared" si="47"/>
        <v>0.8</v>
      </c>
      <c r="AB166" s="123">
        <f t="shared" si="47"/>
        <v>0.8</v>
      </c>
      <c r="AC166" s="123">
        <f t="shared" si="47"/>
        <v>0.8</v>
      </c>
      <c r="AD166" s="123">
        <f t="shared" si="47"/>
        <v>0.8</v>
      </c>
      <c r="AE166" s="123">
        <f t="shared" si="47"/>
        <v>0.8</v>
      </c>
      <c r="AF166" s="123">
        <f t="shared" si="47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5"/>
        <v>1.5</v>
      </c>
      <c r="C167" s="124">
        <v>1.5</v>
      </c>
      <c r="D167" s="123">
        <f t="shared" si="46"/>
        <v>1.5</v>
      </c>
      <c r="E167" s="123">
        <f t="shared" si="46"/>
        <v>1.5</v>
      </c>
      <c r="F167" s="123">
        <f t="shared" si="46"/>
        <v>1.5</v>
      </c>
      <c r="G167" s="123">
        <f t="shared" si="46"/>
        <v>1.5</v>
      </c>
      <c r="H167" s="123">
        <f t="shared" si="46"/>
        <v>1.5</v>
      </c>
      <c r="I167" s="123">
        <f t="shared" si="46"/>
        <v>1.5</v>
      </c>
      <c r="J167" s="123">
        <f t="shared" si="46"/>
        <v>1.5</v>
      </c>
      <c r="K167" s="123">
        <f t="shared" si="46"/>
        <v>1.5</v>
      </c>
      <c r="L167" s="123">
        <f t="shared" si="46"/>
        <v>1.5</v>
      </c>
      <c r="M167" s="123">
        <f t="shared" si="46"/>
        <v>1.5</v>
      </c>
      <c r="N167" s="123">
        <f t="shared" si="46"/>
        <v>1.5</v>
      </c>
      <c r="O167" s="123">
        <f t="shared" si="46"/>
        <v>1.5</v>
      </c>
      <c r="P167" s="123">
        <f t="shared" si="46"/>
        <v>1.5</v>
      </c>
      <c r="Q167" s="123">
        <f t="shared" si="46"/>
        <v>1.5</v>
      </c>
      <c r="R167" s="123">
        <f t="shared" si="46"/>
        <v>1.5</v>
      </c>
      <c r="S167" s="123">
        <f t="shared" si="47"/>
        <v>1.5</v>
      </c>
      <c r="T167" s="123">
        <f t="shared" si="47"/>
        <v>1.5</v>
      </c>
      <c r="U167" s="123">
        <f t="shared" si="47"/>
        <v>1.5</v>
      </c>
      <c r="V167" s="123">
        <f t="shared" si="47"/>
        <v>1.5</v>
      </c>
      <c r="W167" s="123">
        <f t="shared" si="47"/>
        <v>1.5</v>
      </c>
      <c r="X167" s="123">
        <f t="shared" si="47"/>
        <v>1.5</v>
      </c>
      <c r="Y167" s="123">
        <f t="shared" si="47"/>
        <v>1.5</v>
      </c>
      <c r="Z167" s="123">
        <f t="shared" si="47"/>
        <v>1.5</v>
      </c>
      <c r="AA167" s="123">
        <f t="shared" si="47"/>
        <v>1.5</v>
      </c>
      <c r="AB167" s="123">
        <f t="shared" si="47"/>
        <v>1.5</v>
      </c>
      <c r="AC167" s="123">
        <f t="shared" si="47"/>
        <v>1.5</v>
      </c>
      <c r="AD167" s="123">
        <f t="shared" si="47"/>
        <v>1.5</v>
      </c>
      <c r="AE167" s="123">
        <f t="shared" si="47"/>
        <v>1.5</v>
      </c>
      <c r="AF167" s="123">
        <f t="shared" si="47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5"/>
        <v>1</v>
      </c>
      <c r="C168" s="124">
        <v>1</v>
      </c>
      <c r="D168" s="123">
        <f t="shared" si="46"/>
        <v>1</v>
      </c>
      <c r="E168" s="123">
        <f t="shared" si="46"/>
        <v>1</v>
      </c>
      <c r="F168" s="123">
        <f t="shared" si="46"/>
        <v>1</v>
      </c>
      <c r="G168" s="123">
        <f t="shared" si="46"/>
        <v>1</v>
      </c>
      <c r="H168" s="123">
        <f t="shared" si="46"/>
        <v>1</v>
      </c>
      <c r="I168" s="123">
        <f t="shared" si="46"/>
        <v>1</v>
      </c>
      <c r="J168" s="123">
        <f t="shared" si="46"/>
        <v>1</v>
      </c>
      <c r="K168" s="123">
        <f t="shared" si="46"/>
        <v>1</v>
      </c>
      <c r="L168" s="123">
        <f t="shared" si="46"/>
        <v>1</v>
      </c>
      <c r="M168" s="123">
        <f t="shared" si="46"/>
        <v>1</v>
      </c>
      <c r="N168" s="123">
        <f t="shared" si="46"/>
        <v>1</v>
      </c>
      <c r="O168" s="123">
        <f t="shared" si="46"/>
        <v>1</v>
      </c>
      <c r="P168" s="123">
        <f t="shared" si="46"/>
        <v>1</v>
      </c>
      <c r="Q168" s="123">
        <f t="shared" si="46"/>
        <v>1</v>
      </c>
      <c r="R168" s="123">
        <f t="shared" si="46"/>
        <v>1</v>
      </c>
      <c r="S168" s="123">
        <f t="shared" si="47"/>
        <v>1</v>
      </c>
      <c r="T168" s="123">
        <f t="shared" si="47"/>
        <v>1</v>
      </c>
      <c r="U168" s="123">
        <f t="shared" si="47"/>
        <v>1</v>
      </c>
      <c r="V168" s="123">
        <f t="shared" si="47"/>
        <v>1</v>
      </c>
      <c r="W168" s="123">
        <f t="shared" si="47"/>
        <v>1</v>
      </c>
      <c r="X168" s="123">
        <f t="shared" si="47"/>
        <v>1</v>
      </c>
      <c r="Y168" s="123">
        <f t="shared" si="47"/>
        <v>1</v>
      </c>
      <c r="Z168" s="123">
        <f t="shared" si="47"/>
        <v>1</v>
      </c>
      <c r="AA168" s="123">
        <f t="shared" si="47"/>
        <v>1</v>
      </c>
      <c r="AB168" s="123">
        <f t="shared" si="47"/>
        <v>1</v>
      </c>
      <c r="AC168" s="123">
        <f t="shared" si="47"/>
        <v>1</v>
      </c>
      <c r="AD168" s="123">
        <f t="shared" si="47"/>
        <v>1</v>
      </c>
      <c r="AE168" s="123">
        <f t="shared" si="47"/>
        <v>1</v>
      </c>
      <c r="AF168" s="123">
        <f t="shared" si="47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8">AF170</f>
        <v>1</v>
      </c>
      <c r="C170" s="124">
        <v>1</v>
      </c>
      <c r="D170" s="123">
        <f t="shared" ref="D170:S177" si="49">C170</f>
        <v>1</v>
      </c>
      <c r="E170" s="123">
        <f t="shared" si="49"/>
        <v>1</v>
      </c>
      <c r="F170" s="123">
        <f t="shared" si="49"/>
        <v>1</v>
      </c>
      <c r="G170" s="123">
        <f t="shared" si="49"/>
        <v>1</v>
      </c>
      <c r="H170" s="123">
        <f t="shared" si="49"/>
        <v>1</v>
      </c>
      <c r="I170" s="123">
        <f t="shared" si="49"/>
        <v>1</v>
      </c>
      <c r="J170" s="123">
        <f t="shared" si="49"/>
        <v>1</v>
      </c>
      <c r="K170" s="123">
        <f t="shared" si="49"/>
        <v>1</v>
      </c>
      <c r="L170" s="123">
        <f t="shared" si="49"/>
        <v>1</v>
      </c>
      <c r="M170" s="123">
        <f t="shared" si="49"/>
        <v>1</v>
      </c>
      <c r="N170" s="123">
        <f t="shared" si="49"/>
        <v>1</v>
      </c>
      <c r="O170" s="123">
        <f t="shared" si="49"/>
        <v>1</v>
      </c>
      <c r="P170" s="123">
        <f t="shared" si="49"/>
        <v>1</v>
      </c>
      <c r="Q170" s="123">
        <f t="shared" si="49"/>
        <v>1</v>
      </c>
      <c r="R170" s="123">
        <f t="shared" si="49"/>
        <v>1</v>
      </c>
      <c r="S170" s="123">
        <f t="shared" si="49"/>
        <v>1</v>
      </c>
      <c r="T170" s="123">
        <f t="shared" ref="S170:AF177" si="50">S170</f>
        <v>1</v>
      </c>
      <c r="U170" s="123">
        <f t="shared" si="50"/>
        <v>1</v>
      </c>
      <c r="V170" s="123">
        <f t="shared" si="50"/>
        <v>1</v>
      </c>
      <c r="W170" s="123">
        <f t="shared" si="50"/>
        <v>1</v>
      </c>
      <c r="X170" s="123">
        <f t="shared" si="50"/>
        <v>1</v>
      </c>
      <c r="Y170" s="123">
        <f t="shared" si="50"/>
        <v>1</v>
      </c>
      <c r="Z170" s="123">
        <f t="shared" si="50"/>
        <v>1</v>
      </c>
      <c r="AA170" s="123">
        <f t="shared" si="50"/>
        <v>1</v>
      </c>
      <c r="AB170" s="123">
        <f t="shared" si="50"/>
        <v>1</v>
      </c>
      <c r="AC170" s="123">
        <f t="shared" si="50"/>
        <v>1</v>
      </c>
      <c r="AD170" s="123">
        <f t="shared" si="50"/>
        <v>1</v>
      </c>
      <c r="AE170" s="123">
        <f t="shared" si="50"/>
        <v>1</v>
      </c>
      <c r="AF170" s="123">
        <f t="shared" si="50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8"/>
        <v>0.42</v>
      </c>
      <c r="C171" s="124">
        <v>0.42</v>
      </c>
      <c r="D171" s="123">
        <f t="shared" si="49"/>
        <v>0.42</v>
      </c>
      <c r="E171" s="123">
        <f t="shared" si="49"/>
        <v>0.42</v>
      </c>
      <c r="F171" s="123">
        <f t="shared" si="49"/>
        <v>0.42</v>
      </c>
      <c r="G171" s="123">
        <f t="shared" si="49"/>
        <v>0.42</v>
      </c>
      <c r="H171" s="123">
        <f t="shared" si="49"/>
        <v>0.42</v>
      </c>
      <c r="I171" s="123">
        <f t="shared" si="49"/>
        <v>0.42</v>
      </c>
      <c r="J171" s="123">
        <f t="shared" si="49"/>
        <v>0.42</v>
      </c>
      <c r="K171" s="123">
        <f t="shared" si="49"/>
        <v>0.42</v>
      </c>
      <c r="L171" s="123">
        <f t="shared" si="49"/>
        <v>0.42</v>
      </c>
      <c r="M171" s="123">
        <f t="shared" si="49"/>
        <v>0.42</v>
      </c>
      <c r="N171" s="123">
        <f t="shared" si="49"/>
        <v>0.42</v>
      </c>
      <c r="O171" s="123">
        <f t="shared" si="49"/>
        <v>0.42</v>
      </c>
      <c r="P171" s="123">
        <f t="shared" si="49"/>
        <v>0.42</v>
      </c>
      <c r="Q171" s="123">
        <f t="shared" si="49"/>
        <v>0.42</v>
      </c>
      <c r="R171" s="123">
        <f t="shared" si="49"/>
        <v>0.42</v>
      </c>
      <c r="S171" s="123">
        <f t="shared" si="50"/>
        <v>0.42</v>
      </c>
      <c r="T171" s="123">
        <f t="shared" si="50"/>
        <v>0.42</v>
      </c>
      <c r="U171" s="123">
        <f t="shared" si="50"/>
        <v>0.42</v>
      </c>
      <c r="V171" s="123">
        <f t="shared" si="50"/>
        <v>0.42</v>
      </c>
      <c r="W171" s="123">
        <f t="shared" si="50"/>
        <v>0.42</v>
      </c>
      <c r="X171" s="123">
        <f t="shared" si="50"/>
        <v>0.42</v>
      </c>
      <c r="Y171" s="123">
        <f t="shared" si="50"/>
        <v>0.42</v>
      </c>
      <c r="Z171" s="123">
        <f t="shared" si="50"/>
        <v>0.42</v>
      </c>
      <c r="AA171" s="123">
        <f t="shared" si="50"/>
        <v>0.42</v>
      </c>
      <c r="AB171" s="123">
        <f t="shared" si="50"/>
        <v>0.42</v>
      </c>
      <c r="AC171" s="123">
        <f t="shared" si="50"/>
        <v>0.42</v>
      </c>
      <c r="AD171" s="123">
        <f t="shared" si="50"/>
        <v>0.42</v>
      </c>
      <c r="AE171" s="123">
        <f t="shared" si="50"/>
        <v>0.42</v>
      </c>
      <c r="AF171" s="123">
        <f t="shared" si="50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8"/>
        <v>0.46</v>
      </c>
      <c r="C172" s="124">
        <v>0.46</v>
      </c>
      <c r="D172" s="123">
        <f t="shared" si="49"/>
        <v>0.46</v>
      </c>
      <c r="E172" s="123">
        <f t="shared" si="49"/>
        <v>0.46</v>
      </c>
      <c r="F172" s="123">
        <f t="shared" si="49"/>
        <v>0.46</v>
      </c>
      <c r="G172" s="123">
        <f t="shared" si="49"/>
        <v>0.46</v>
      </c>
      <c r="H172" s="123">
        <f t="shared" si="49"/>
        <v>0.46</v>
      </c>
      <c r="I172" s="123">
        <f t="shared" si="49"/>
        <v>0.46</v>
      </c>
      <c r="J172" s="123">
        <f t="shared" si="49"/>
        <v>0.46</v>
      </c>
      <c r="K172" s="123">
        <f t="shared" si="49"/>
        <v>0.46</v>
      </c>
      <c r="L172" s="123">
        <f t="shared" si="49"/>
        <v>0.46</v>
      </c>
      <c r="M172" s="123">
        <f t="shared" si="49"/>
        <v>0.46</v>
      </c>
      <c r="N172" s="123">
        <f t="shared" si="49"/>
        <v>0.46</v>
      </c>
      <c r="O172" s="123">
        <f t="shared" si="49"/>
        <v>0.46</v>
      </c>
      <c r="P172" s="123">
        <f t="shared" si="49"/>
        <v>0.46</v>
      </c>
      <c r="Q172" s="123">
        <f t="shared" si="49"/>
        <v>0.46</v>
      </c>
      <c r="R172" s="123">
        <f t="shared" si="49"/>
        <v>0.46</v>
      </c>
      <c r="S172" s="123">
        <f t="shared" si="50"/>
        <v>0.46</v>
      </c>
      <c r="T172" s="123">
        <f t="shared" si="50"/>
        <v>0.46</v>
      </c>
      <c r="U172" s="123">
        <f t="shared" si="50"/>
        <v>0.46</v>
      </c>
      <c r="V172" s="123">
        <f t="shared" si="50"/>
        <v>0.46</v>
      </c>
      <c r="W172" s="123">
        <f t="shared" si="50"/>
        <v>0.46</v>
      </c>
      <c r="X172" s="123">
        <f t="shared" si="50"/>
        <v>0.46</v>
      </c>
      <c r="Y172" s="123">
        <f t="shared" si="50"/>
        <v>0.46</v>
      </c>
      <c r="Z172" s="123">
        <f t="shared" si="50"/>
        <v>0.46</v>
      </c>
      <c r="AA172" s="123">
        <f t="shared" si="50"/>
        <v>0.46</v>
      </c>
      <c r="AB172" s="123">
        <f t="shared" si="50"/>
        <v>0.46</v>
      </c>
      <c r="AC172" s="123">
        <f t="shared" si="50"/>
        <v>0.46</v>
      </c>
      <c r="AD172" s="123">
        <f t="shared" si="50"/>
        <v>0.46</v>
      </c>
      <c r="AE172" s="123">
        <f t="shared" si="50"/>
        <v>0.46</v>
      </c>
      <c r="AF172" s="123">
        <f t="shared" si="50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8"/>
        <v>0.85</v>
      </c>
      <c r="C173" s="124">
        <v>0.85</v>
      </c>
      <c r="D173" s="123">
        <f t="shared" si="49"/>
        <v>0.85</v>
      </c>
      <c r="E173" s="123">
        <f t="shared" si="49"/>
        <v>0.85</v>
      </c>
      <c r="F173" s="123">
        <f t="shared" si="49"/>
        <v>0.85</v>
      </c>
      <c r="G173" s="123">
        <f t="shared" si="49"/>
        <v>0.85</v>
      </c>
      <c r="H173" s="123">
        <f t="shared" si="49"/>
        <v>0.85</v>
      </c>
      <c r="I173" s="123">
        <f t="shared" si="49"/>
        <v>0.85</v>
      </c>
      <c r="J173" s="123">
        <f t="shared" si="49"/>
        <v>0.85</v>
      </c>
      <c r="K173" s="123">
        <f t="shared" si="49"/>
        <v>0.85</v>
      </c>
      <c r="L173" s="123">
        <f t="shared" si="49"/>
        <v>0.85</v>
      </c>
      <c r="M173" s="123">
        <f t="shared" si="49"/>
        <v>0.85</v>
      </c>
      <c r="N173" s="123">
        <f t="shared" si="49"/>
        <v>0.85</v>
      </c>
      <c r="O173" s="123">
        <f t="shared" si="49"/>
        <v>0.85</v>
      </c>
      <c r="P173" s="123">
        <f t="shared" si="49"/>
        <v>0.85</v>
      </c>
      <c r="Q173" s="123">
        <f t="shared" si="49"/>
        <v>0.85</v>
      </c>
      <c r="R173" s="123">
        <f t="shared" si="49"/>
        <v>0.85</v>
      </c>
      <c r="S173" s="123">
        <f t="shared" si="50"/>
        <v>0.85</v>
      </c>
      <c r="T173" s="123">
        <f t="shared" si="50"/>
        <v>0.85</v>
      </c>
      <c r="U173" s="123">
        <f t="shared" si="50"/>
        <v>0.85</v>
      </c>
      <c r="V173" s="123">
        <f t="shared" si="50"/>
        <v>0.85</v>
      </c>
      <c r="W173" s="123">
        <f t="shared" si="50"/>
        <v>0.85</v>
      </c>
      <c r="X173" s="123">
        <f t="shared" si="50"/>
        <v>0.85</v>
      </c>
      <c r="Y173" s="123">
        <f t="shared" si="50"/>
        <v>0.85</v>
      </c>
      <c r="Z173" s="123">
        <f t="shared" si="50"/>
        <v>0.85</v>
      </c>
      <c r="AA173" s="123">
        <f t="shared" si="50"/>
        <v>0.85</v>
      </c>
      <c r="AB173" s="123">
        <f t="shared" si="50"/>
        <v>0.85</v>
      </c>
      <c r="AC173" s="123">
        <f t="shared" si="50"/>
        <v>0.85</v>
      </c>
      <c r="AD173" s="123">
        <f t="shared" si="50"/>
        <v>0.85</v>
      </c>
      <c r="AE173" s="123">
        <f t="shared" si="50"/>
        <v>0.85</v>
      </c>
      <c r="AF173" s="123">
        <f t="shared" si="50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8"/>
        <v>0.9</v>
      </c>
      <c r="C174" s="124">
        <v>0.9</v>
      </c>
      <c r="D174" s="123">
        <f t="shared" si="49"/>
        <v>0.9</v>
      </c>
      <c r="E174" s="123">
        <f t="shared" si="49"/>
        <v>0.9</v>
      </c>
      <c r="F174" s="123">
        <f t="shared" si="49"/>
        <v>0.9</v>
      </c>
      <c r="G174" s="123">
        <f t="shared" si="49"/>
        <v>0.9</v>
      </c>
      <c r="H174" s="123">
        <f t="shared" si="49"/>
        <v>0.9</v>
      </c>
      <c r="I174" s="123">
        <f t="shared" si="49"/>
        <v>0.9</v>
      </c>
      <c r="J174" s="123">
        <f t="shared" si="49"/>
        <v>0.9</v>
      </c>
      <c r="K174" s="123">
        <f t="shared" si="49"/>
        <v>0.9</v>
      </c>
      <c r="L174" s="123">
        <f t="shared" si="49"/>
        <v>0.9</v>
      </c>
      <c r="M174" s="123">
        <f t="shared" si="49"/>
        <v>0.9</v>
      </c>
      <c r="N174" s="123">
        <f t="shared" si="49"/>
        <v>0.9</v>
      </c>
      <c r="O174" s="123">
        <f t="shared" si="49"/>
        <v>0.9</v>
      </c>
      <c r="P174" s="123">
        <f t="shared" si="49"/>
        <v>0.9</v>
      </c>
      <c r="Q174" s="123">
        <f t="shared" si="49"/>
        <v>0.9</v>
      </c>
      <c r="R174" s="123">
        <f t="shared" si="49"/>
        <v>0.9</v>
      </c>
      <c r="S174" s="123">
        <f t="shared" si="50"/>
        <v>0.9</v>
      </c>
      <c r="T174" s="123">
        <f t="shared" si="50"/>
        <v>0.9</v>
      </c>
      <c r="U174" s="123">
        <f t="shared" si="50"/>
        <v>0.9</v>
      </c>
      <c r="V174" s="123">
        <f t="shared" si="50"/>
        <v>0.9</v>
      </c>
      <c r="W174" s="123">
        <f t="shared" si="50"/>
        <v>0.9</v>
      </c>
      <c r="X174" s="123">
        <f t="shared" si="50"/>
        <v>0.9</v>
      </c>
      <c r="Y174" s="123">
        <f t="shared" si="50"/>
        <v>0.9</v>
      </c>
      <c r="Z174" s="123">
        <f t="shared" si="50"/>
        <v>0.9</v>
      </c>
      <c r="AA174" s="123">
        <f t="shared" si="50"/>
        <v>0.9</v>
      </c>
      <c r="AB174" s="123">
        <f t="shared" si="50"/>
        <v>0.9</v>
      </c>
      <c r="AC174" s="123">
        <f t="shared" si="50"/>
        <v>0.9</v>
      </c>
      <c r="AD174" s="123">
        <f t="shared" si="50"/>
        <v>0.9</v>
      </c>
      <c r="AE174" s="123">
        <f t="shared" si="50"/>
        <v>0.9</v>
      </c>
      <c r="AF174" s="123">
        <f t="shared" si="50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8"/>
        <v>0.44</v>
      </c>
      <c r="C175" s="124">
        <v>0.44</v>
      </c>
      <c r="D175" s="123">
        <f t="shared" si="49"/>
        <v>0.44</v>
      </c>
      <c r="E175" s="123">
        <f t="shared" si="49"/>
        <v>0.44</v>
      </c>
      <c r="F175" s="123">
        <f t="shared" si="49"/>
        <v>0.44</v>
      </c>
      <c r="G175" s="123">
        <f t="shared" si="49"/>
        <v>0.44</v>
      </c>
      <c r="H175" s="123">
        <f t="shared" si="49"/>
        <v>0.44</v>
      </c>
      <c r="I175" s="123">
        <f t="shared" si="49"/>
        <v>0.44</v>
      </c>
      <c r="J175" s="123">
        <f t="shared" si="49"/>
        <v>0.44</v>
      </c>
      <c r="K175" s="123">
        <f t="shared" si="49"/>
        <v>0.44</v>
      </c>
      <c r="L175" s="123">
        <f t="shared" si="49"/>
        <v>0.44</v>
      </c>
      <c r="M175" s="123">
        <f t="shared" si="49"/>
        <v>0.44</v>
      </c>
      <c r="N175" s="123">
        <f t="shared" si="49"/>
        <v>0.44</v>
      </c>
      <c r="O175" s="123">
        <f t="shared" si="49"/>
        <v>0.44</v>
      </c>
      <c r="P175" s="123">
        <f t="shared" si="49"/>
        <v>0.44</v>
      </c>
      <c r="Q175" s="123">
        <f t="shared" si="49"/>
        <v>0.44</v>
      </c>
      <c r="R175" s="123">
        <f t="shared" si="49"/>
        <v>0.44</v>
      </c>
      <c r="S175" s="123">
        <f t="shared" si="50"/>
        <v>0.44</v>
      </c>
      <c r="T175" s="123">
        <f t="shared" si="50"/>
        <v>0.44</v>
      </c>
      <c r="U175" s="123">
        <f t="shared" si="50"/>
        <v>0.44</v>
      </c>
      <c r="V175" s="123">
        <f t="shared" si="50"/>
        <v>0.44</v>
      </c>
      <c r="W175" s="123">
        <f t="shared" si="50"/>
        <v>0.44</v>
      </c>
      <c r="X175" s="123">
        <f t="shared" si="50"/>
        <v>0.44</v>
      </c>
      <c r="Y175" s="123">
        <f t="shared" si="50"/>
        <v>0.44</v>
      </c>
      <c r="Z175" s="123">
        <f t="shared" si="50"/>
        <v>0.44</v>
      </c>
      <c r="AA175" s="123">
        <f t="shared" si="50"/>
        <v>0.44</v>
      </c>
      <c r="AB175" s="123">
        <f t="shared" si="50"/>
        <v>0.44</v>
      </c>
      <c r="AC175" s="123">
        <f t="shared" si="50"/>
        <v>0.44</v>
      </c>
      <c r="AD175" s="123">
        <f t="shared" si="50"/>
        <v>0.44</v>
      </c>
      <c r="AE175" s="123">
        <f t="shared" si="50"/>
        <v>0.44</v>
      </c>
      <c r="AF175" s="123">
        <f t="shared" si="50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8"/>
        <v>2.1</v>
      </c>
      <c r="C176" s="124">
        <v>2.1</v>
      </c>
      <c r="D176" s="123">
        <f t="shared" si="49"/>
        <v>2.1</v>
      </c>
      <c r="E176" s="123">
        <f t="shared" si="49"/>
        <v>2.1</v>
      </c>
      <c r="F176" s="123">
        <f t="shared" si="49"/>
        <v>2.1</v>
      </c>
      <c r="G176" s="123">
        <f t="shared" si="49"/>
        <v>2.1</v>
      </c>
      <c r="H176" s="123">
        <f t="shared" si="49"/>
        <v>2.1</v>
      </c>
      <c r="I176" s="123">
        <f t="shared" si="49"/>
        <v>2.1</v>
      </c>
      <c r="J176" s="123">
        <f t="shared" si="49"/>
        <v>2.1</v>
      </c>
      <c r="K176" s="123">
        <f t="shared" si="49"/>
        <v>2.1</v>
      </c>
      <c r="L176" s="123">
        <f t="shared" si="49"/>
        <v>2.1</v>
      </c>
      <c r="M176" s="123">
        <f t="shared" si="49"/>
        <v>2.1</v>
      </c>
      <c r="N176" s="123">
        <f t="shared" si="49"/>
        <v>2.1</v>
      </c>
      <c r="O176" s="123">
        <f t="shared" si="49"/>
        <v>2.1</v>
      </c>
      <c r="P176" s="123">
        <f t="shared" si="49"/>
        <v>2.1</v>
      </c>
      <c r="Q176" s="123">
        <f t="shared" si="49"/>
        <v>2.1</v>
      </c>
      <c r="R176" s="123">
        <f t="shared" si="49"/>
        <v>2.1</v>
      </c>
      <c r="S176" s="123">
        <f t="shared" si="50"/>
        <v>2.1</v>
      </c>
      <c r="T176" s="123">
        <f t="shared" si="50"/>
        <v>2.1</v>
      </c>
      <c r="U176" s="123">
        <f t="shared" si="50"/>
        <v>2.1</v>
      </c>
      <c r="V176" s="123">
        <f t="shared" si="50"/>
        <v>2.1</v>
      </c>
      <c r="W176" s="123">
        <f t="shared" si="50"/>
        <v>2.1</v>
      </c>
      <c r="X176" s="123">
        <f t="shared" si="50"/>
        <v>2.1</v>
      </c>
      <c r="Y176" s="123">
        <f t="shared" si="50"/>
        <v>2.1</v>
      </c>
      <c r="Z176" s="123">
        <f t="shared" si="50"/>
        <v>2.1</v>
      </c>
      <c r="AA176" s="123">
        <f t="shared" si="50"/>
        <v>2.1</v>
      </c>
      <c r="AB176" s="123">
        <f t="shared" si="50"/>
        <v>2.1</v>
      </c>
      <c r="AC176" s="123">
        <f t="shared" si="50"/>
        <v>2.1</v>
      </c>
      <c r="AD176" s="123">
        <f t="shared" si="50"/>
        <v>2.1</v>
      </c>
      <c r="AE176" s="123">
        <f t="shared" si="50"/>
        <v>2.1</v>
      </c>
      <c r="AF176" s="123">
        <f t="shared" si="50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8"/>
        <v>0.9</v>
      </c>
      <c r="C177" s="124">
        <v>0.9</v>
      </c>
      <c r="D177" s="123">
        <f t="shared" si="49"/>
        <v>0.9</v>
      </c>
      <c r="E177" s="123">
        <f t="shared" si="49"/>
        <v>0.9</v>
      </c>
      <c r="F177" s="123">
        <f t="shared" si="49"/>
        <v>0.9</v>
      </c>
      <c r="G177" s="123">
        <f t="shared" si="49"/>
        <v>0.9</v>
      </c>
      <c r="H177" s="123">
        <f t="shared" si="49"/>
        <v>0.9</v>
      </c>
      <c r="I177" s="123">
        <f t="shared" si="49"/>
        <v>0.9</v>
      </c>
      <c r="J177" s="123">
        <f t="shared" si="49"/>
        <v>0.9</v>
      </c>
      <c r="K177" s="123">
        <f t="shared" si="49"/>
        <v>0.9</v>
      </c>
      <c r="L177" s="123">
        <f t="shared" si="49"/>
        <v>0.9</v>
      </c>
      <c r="M177" s="123">
        <f t="shared" si="49"/>
        <v>0.9</v>
      </c>
      <c r="N177" s="123">
        <f t="shared" si="49"/>
        <v>0.9</v>
      </c>
      <c r="O177" s="123">
        <f t="shared" si="49"/>
        <v>0.9</v>
      </c>
      <c r="P177" s="123">
        <f t="shared" si="49"/>
        <v>0.9</v>
      </c>
      <c r="Q177" s="123">
        <f t="shared" si="49"/>
        <v>0.9</v>
      </c>
      <c r="R177" s="123">
        <f t="shared" si="49"/>
        <v>0.9</v>
      </c>
      <c r="S177" s="123">
        <f t="shared" si="50"/>
        <v>0.9</v>
      </c>
      <c r="T177" s="123">
        <f t="shared" si="50"/>
        <v>0.9</v>
      </c>
      <c r="U177" s="123">
        <f t="shared" si="50"/>
        <v>0.9</v>
      </c>
      <c r="V177" s="123">
        <f t="shared" si="50"/>
        <v>0.9</v>
      </c>
      <c r="W177" s="123">
        <f t="shared" si="50"/>
        <v>0.9</v>
      </c>
      <c r="X177" s="123">
        <f t="shared" si="50"/>
        <v>0.9</v>
      </c>
      <c r="Y177" s="123">
        <f t="shared" si="50"/>
        <v>0.9</v>
      </c>
      <c r="Z177" s="123">
        <f t="shared" si="50"/>
        <v>0.9</v>
      </c>
      <c r="AA177" s="123">
        <f t="shared" si="50"/>
        <v>0.9</v>
      </c>
      <c r="AB177" s="123">
        <f t="shared" si="50"/>
        <v>0.9</v>
      </c>
      <c r="AC177" s="123">
        <f t="shared" si="50"/>
        <v>0.9</v>
      </c>
      <c r="AD177" s="123">
        <f t="shared" si="50"/>
        <v>0.9</v>
      </c>
      <c r="AE177" s="123">
        <f t="shared" si="50"/>
        <v>0.9</v>
      </c>
      <c r="AF177" s="123">
        <f t="shared" si="50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1">AF179</f>
        <v>0.57999999999999996</v>
      </c>
      <c r="C179" s="124">
        <v>0.57999999999999996</v>
      </c>
      <c r="D179" s="123">
        <f t="shared" ref="D179:S191" si="52">C179</f>
        <v>0.57999999999999996</v>
      </c>
      <c r="E179" s="123">
        <f t="shared" si="52"/>
        <v>0.57999999999999996</v>
      </c>
      <c r="F179" s="123">
        <f t="shared" si="52"/>
        <v>0.57999999999999996</v>
      </c>
      <c r="G179" s="123">
        <f t="shared" si="52"/>
        <v>0.57999999999999996</v>
      </c>
      <c r="H179" s="123">
        <f t="shared" si="52"/>
        <v>0.57999999999999996</v>
      </c>
      <c r="I179" s="123">
        <f t="shared" si="52"/>
        <v>0.57999999999999996</v>
      </c>
      <c r="J179" s="123">
        <f t="shared" si="52"/>
        <v>0.57999999999999996</v>
      </c>
      <c r="K179" s="123">
        <f t="shared" si="52"/>
        <v>0.57999999999999996</v>
      </c>
      <c r="L179" s="123">
        <f t="shared" si="52"/>
        <v>0.57999999999999996</v>
      </c>
      <c r="M179" s="123">
        <f t="shared" si="52"/>
        <v>0.57999999999999996</v>
      </c>
      <c r="N179" s="123">
        <f t="shared" si="52"/>
        <v>0.57999999999999996</v>
      </c>
      <c r="O179" s="123">
        <f t="shared" si="52"/>
        <v>0.57999999999999996</v>
      </c>
      <c r="P179" s="123">
        <f t="shared" si="52"/>
        <v>0.57999999999999996</v>
      </c>
      <c r="Q179" s="123">
        <f t="shared" si="52"/>
        <v>0.57999999999999996</v>
      </c>
      <c r="R179" s="123">
        <f t="shared" si="52"/>
        <v>0.57999999999999996</v>
      </c>
      <c r="S179" s="123">
        <f t="shared" si="52"/>
        <v>0.57999999999999996</v>
      </c>
      <c r="T179" s="123">
        <f t="shared" ref="S179:AF191" si="53">S179</f>
        <v>0.57999999999999996</v>
      </c>
      <c r="U179" s="123">
        <f t="shared" si="53"/>
        <v>0.57999999999999996</v>
      </c>
      <c r="V179" s="123">
        <f t="shared" si="53"/>
        <v>0.57999999999999996</v>
      </c>
      <c r="W179" s="123">
        <f t="shared" si="53"/>
        <v>0.57999999999999996</v>
      </c>
      <c r="X179" s="123">
        <f t="shared" si="53"/>
        <v>0.57999999999999996</v>
      </c>
      <c r="Y179" s="123">
        <f t="shared" si="53"/>
        <v>0.57999999999999996</v>
      </c>
      <c r="Z179" s="123">
        <f t="shared" si="53"/>
        <v>0.57999999999999996</v>
      </c>
      <c r="AA179" s="123">
        <f t="shared" si="53"/>
        <v>0.57999999999999996</v>
      </c>
      <c r="AB179" s="123">
        <f t="shared" si="53"/>
        <v>0.57999999999999996</v>
      </c>
      <c r="AC179" s="123">
        <f t="shared" si="53"/>
        <v>0.57999999999999996</v>
      </c>
      <c r="AD179" s="123">
        <f t="shared" si="53"/>
        <v>0.57999999999999996</v>
      </c>
      <c r="AE179" s="123">
        <f t="shared" si="53"/>
        <v>0.57999999999999996</v>
      </c>
      <c r="AF179" s="123">
        <f t="shared" si="53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1"/>
        <v>0.8</v>
      </c>
      <c r="C180" s="124">
        <v>0.8</v>
      </c>
      <c r="D180" s="123">
        <f t="shared" si="52"/>
        <v>0.8</v>
      </c>
      <c r="E180" s="123">
        <f t="shared" si="52"/>
        <v>0.8</v>
      </c>
      <c r="F180" s="123">
        <f t="shared" si="52"/>
        <v>0.8</v>
      </c>
      <c r="G180" s="123">
        <f t="shared" si="52"/>
        <v>0.8</v>
      </c>
      <c r="H180" s="123">
        <f t="shared" si="52"/>
        <v>0.8</v>
      </c>
      <c r="I180" s="123">
        <f t="shared" si="52"/>
        <v>0.8</v>
      </c>
      <c r="J180" s="123">
        <f t="shared" si="52"/>
        <v>0.8</v>
      </c>
      <c r="K180" s="123">
        <f t="shared" si="52"/>
        <v>0.8</v>
      </c>
      <c r="L180" s="123">
        <f t="shared" si="52"/>
        <v>0.8</v>
      </c>
      <c r="M180" s="123">
        <f t="shared" si="52"/>
        <v>0.8</v>
      </c>
      <c r="N180" s="123">
        <f t="shared" si="52"/>
        <v>0.8</v>
      </c>
      <c r="O180" s="123">
        <f t="shared" si="52"/>
        <v>0.8</v>
      </c>
      <c r="P180" s="123">
        <f t="shared" si="52"/>
        <v>0.8</v>
      </c>
      <c r="Q180" s="123">
        <f t="shared" si="52"/>
        <v>0.8</v>
      </c>
      <c r="R180" s="123">
        <f t="shared" si="52"/>
        <v>0.8</v>
      </c>
      <c r="S180" s="123">
        <f t="shared" si="52"/>
        <v>0.8</v>
      </c>
      <c r="T180" s="123">
        <f t="shared" si="53"/>
        <v>0.8</v>
      </c>
      <c r="U180" s="123">
        <f t="shared" si="53"/>
        <v>0.8</v>
      </c>
      <c r="V180" s="123">
        <f t="shared" si="53"/>
        <v>0.8</v>
      </c>
      <c r="W180" s="123">
        <f t="shared" si="53"/>
        <v>0.8</v>
      </c>
      <c r="X180" s="123">
        <f t="shared" si="53"/>
        <v>0.8</v>
      </c>
      <c r="Y180" s="123">
        <f t="shared" si="53"/>
        <v>0.8</v>
      </c>
      <c r="Z180" s="123">
        <f t="shared" si="53"/>
        <v>0.8</v>
      </c>
      <c r="AA180" s="123">
        <f t="shared" si="53"/>
        <v>0.8</v>
      </c>
      <c r="AB180" s="123">
        <f t="shared" si="53"/>
        <v>0.8</v>
      </c>
      <c r="AC180" s="123">
        <f t="shared" si="53"/>
        <v>0.8</v>
      </c>
      <c r="AD180" s="123">
        <f t="shared" si="53"/>
        <v>0.8</v>
      </c>
      <c r="AE180" s="123">
        <f t="shared" si="53"/>
        <v>0.8</v>
      </c>
      <c r="AF180" s="123">
        <f t="shared" si="53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1"/>
        <v>0</v>
      </c>
      <c r="C181" s="124">
        <v>0</v>
      </c>
      <c r="D181" s="123">
        <f t="shared" si="52"/>
        <v>0</v>
      </c>
      <c r="E181" s="123">
        <f t="shared" si="52"/>
        <v>0</v>
      </c>
      <c r="F181" s="123">
        <f t="shared" si="52"/>
        <v>0</v>
      </c>
      <c r="G181" s="123">
        <f t="shared" si="52"/>
        <v>0</v>
      </c>
      <c r="H181" s="123">
        <f t="shared" si="52"/>
        <v>0</v>
      </c>
      <c r="I181" s="123">
        <f t="shared" si="52"/>
        <v>0</v>
      </c>
      <c r="J181" s="123">
        <f t="shared" si="52"/>
        <v>0</v>
      </c>
      <c r="K181" s="123">
        <f t="shared" si="52"/>
        <v>0</v>
      </c>
      <c r="L181" s="123">
        <f t="shared" si="52"/>
        <v>0</v>
      </c>
      <c r="M181" s="123">
        <f t="shared" si="52"/>
        <v>0</v>
      </c>
      <c r="N181" s="123">
        <f t="shared" si="52"/>
        <v>0</v>
      </c>
      <c r="O181" s="123">
        <f t="shared" si="52"/>
        <v>0</v>
      </c>
      <c r="P181" s="123">
        <f t="shared" si="52"/>
        <v>0</v>
      </c>
      <c r="Q181" s="123">
        <f t="shared" si="52"/>
        <v>0</v>
      </c>
      <c r="R181" s="123">
        <f t="shared" si="52"/>
        <v>0</v>
      </c>
      <c r="S181" s="123">
        <f t="shared" si="52"/>
        <v>0</v>
      </c>
      <c r="T181" s="123">
        <f t="shared" si="53"/>
        <v>0</v>
      </c>
      <c r="U181" s="123">
        <f t="shared" si="53"/>
        <v>0</v>
      </c>
      <c r="V181" s="123">
        <f t="shared" si="53"/>
        <v>0</v>
      </c>
      <c r="W181" s="123">
        <f t="shared" si="53"/>
        <v>0</v>
      </c>
      <c r="X181" s="123">
        <f t="shared" si="53"/>
        <v>0</v>
      </c>
      <c r="Y181" s="123">
        <f t="shared" si="53"/>
        <v>0</v>
      </c>
      <c r="Z181" s="123">
        <f t="shared" si="53"/>
        <v>0</v>
      </c>
      <c r="AA181" s="123">
        <f t="shared" si="53"/>
        <v>0</v>
      </c>
      <c r="AB181" s="123">
        <f t="shared" si="53"/>
        <v>0</v>
      </c>
      <c r="AC181" s="123">
        <f t="shared" si="53"/>
        <v>0</v>
      </c>
      <c r="AD181" s="123">
        <f t="shared" si="53"/>
        <v>0</v>
      </c>
      <c r="AE181" s="123">
        <f t="shared" si="53"/>
        <v>0</v>
      </c>
      <c r="AF181" s="123">
        <f t="shared" si="53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1"/>
        <v>0.6</v>
      </c>
      <c r="C182" s="124">
        <v>0.6</v>
      </c>
      <c r="D182" s="123">
        <f t="shared" si="52"/>
        <v>0.6</v>
      </c>
      <c r="E182" s="123">
        <f t="shared" si="52"/>
        <v>0.6</v>
      </c>
      <c r="F182" s="123">
        <f t="shared" si="52"/>
        <v>0.6</v>
      </c>
      <c r="G182" s="123">
        <f t="shared" si="52"/>
        <v>0.6</v>
      </c>
      <c r="H182" s="123">
        <f t="shared" si="52"/>
        <v>0.6</v>
      </c>
      <c r="I182" s="123">
        <f t="shared" si="52"/>
        <v>0.6</v>
      </c>
      <c r="J182" s="123">
        <f t="shared" si="52"/>
        <v>0.6</v>
      </c>
      <c r="K182" s="123">
        <f t="shared" si="52"/>
        <v>0.6</v>
      </c>
      <c r="L182" s="123">
        <f t="shared" si="52"/>
        <v>0.6</v>
      </c>
      <c r="M182" s="123">
        <f t="shared" si="52"/>
        <v>0.6</v>
      </c>
      <c r="N182" s="123">
        <f t="shared" si="52"/>
        <v>0.6</v>
      </c>
      <c r="O182" s="123">
        <f t="shared" si="52"/>
        <v>0.6</v>
      </c>
      <c r="P182" s="123">
        <f t="shared" si="52"/>
        <v>0.6</v>
      </c>
      <c r="Q182" s="123">
        <f t="shared" si="52"/>
        <v>0.6</v>
      </c>
      <c r="R182" s="123">
        <f t="shared" si="52"/>
        <v>0.6</v>
      </c>
      <c r="S182" s="123">
        <f t="shared" si="52"/>
        <v>0.6</v>
      </c>
      <c r="T182" s="123">
        <f t="shared" si="53"/>
        <v>0.6</v>
      </c>
      <c r="U182" s="123">
        <f t="shared" si="53"/>
        <v>0.6</v>
      </c>
      <c r="V182" s="123">
        <f t="shared" si="53"/>
        <v>0.6</v>
      </c>
      <c r="W182" s="123">
        <f t="shared" si="53"/>
        <v>0.6</v>
      </c>
      <c r="X182" s="123">
        <f t="shared" si="53"/>
        <v>0.6</v>
      </c>
      <c r="Y182" s="123">
        <f t="shared" si="53"/>
        <v>0.6</v>
      </c>
      <c r="Z182" s="123">
        <f t="shared" si="53"/>
        <v>0.6</v>
      </c>
      <c r="AA182" s="123">
        <f t="shared" si="53"/>
        <v>0.6</v>
      </c>
      <c r="AB182" s="123">
        <f t="shared" si="53"/>
        <v>0.6</v>
      </c>
      <c r="AC182" s="123">
        <f t="shared" si="53"/>
        <v>0.6</v>
      </c>
      <c r="AD182" s="123">
        <f t="shared" si="53"/>
        <v>0.6</v>
      </c>
      <c r="AE182" s="123">
        <f t="shared" si="53"/>
        <v>0.6</v>
      </c>
      <c r="AF182" s="123">
        <f t="shared" si="53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1"/>
        <v>0.35</v>
      </c>
      <c r="C184" s="124">
        <v>0.35</v>
      </c>
      <c r="D184" s="123">
        <f t="shared" si="52"/>
        <v>0.35</v>
      </c>
      <c r="E184" s="123">
        <f t="shared" si="52"/>
        <v>0.35</v>
      </c>
      <c r="F184" s="123">
        <f t="shared" si="52"/>
        <v>0.35</v>
      </c>
      <c r="G184" s="123">
        <f t="shared" si="52"/>
        <v>0.35</v>
      </c>
      <c r="H184" s="123">
        <f t="shared" si="52"/>
        <v>0.35</v>
      </c>
      <c r="I184" s="123">
        <f t="shared" si="52"/>
        <v>0.35</v>
      </c>
      <c r="J184" s="123">
        <f t="shared" si="52"/>
        <v>0.35</v>
      </c>
      <c r="K184" s="123">
        <f t="shared" si="52"/>
        <v>0.35</v>
      </c>
      <c r="L184" s="123">
        <f t="shared" si="52"/>
        <v>0.35</v>
      </c>
      <c r="M184" s="123">
        <f t="shared" si="52"/>
        <v>0.35</v>
      </c>
      <c r="N184" s="123">
        <f t="shared" si="52"/>
        <v>0.35</v>
      </c>
      <c r="O184" s="123">
        <f t="shared" si="52"/>
        <v>0.35</v>
      </c>
      <c r="P184" s="123">
        <f t="shared" si="52"/>
        <v>0.35</v>
      </c>
      <c r="Q184" s="123">
        <f t="shared" si="52"/>
        <v>0.35</v>
      </c>
      <c r="R184" s="123">
        <f t="shared" si="52"/>
        <v>0.35</v>
      </c>
      <c r="S184" s="123">
        <f t="shared" si="52"/>
        <v>0.35</v>
      </c>
      <c r="T184" s="123">
        <f t="shared" si="53"/>
        <v>0.35</v>
      </c>
      <c r="U184" s="123">
        <f t="shared" si="53"/>
        <v>0.35</v>
      </c>
      <c r="V184" s="123">
        <f t="shared" si="53"/>
        <v>0.35</v>
      </c>
      <c r="W184" s="123">
        <f t="shared" si="53"/>
        <v>0.35</v>
      </c>
      <c r="X184" s="123">
        <f t="shared" si="53"/>
        <v>0.35</v>
      </c>
      <c r="Y184" s="123">
        <f t="shared" si="53"/>
        <v>0.35</v>
      </c>
      <c r="Z184" s="123">
        <f t="shared" si="53"/>
        <v>0.35</v>
      </c>
      <c r="AA184" s="123">
        <f t="shared" si="53"/>
        <v>0.35</v>
      </c>
      <c r="AB184" s="123">
        <f t="shared" si="53"/>
        <v>0.35</v>
      </c>
      <c r="AC184" s="123">
        <f t="shared" si="53"/>
        <v>0.35</v>
      </c>
      <c r="AD184" s="123">
        <f t="shared" si="53"/>
        <v>0.35</v>
      </c>
      <c r="AE184" s="123">
        <f t="shared" si="53"/>
        <v>0.35</v>
      </c>
      <c r="AF184" s="123">
        <f t="shared" si="53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1"/>
        <v>0.28999999999999998</v>
      </c>
      <c r="C185" s="124">
        <v>0.28999999999999998</v>
      </c>
      <c r="D185" s="123">
        <f t="shared" si="52"/>
        <v>0.28999999999999998</v>
      </c>
      <c r="E185" s="123">
        <f t="shared" si="52"/>
        <v>0.28999999999999998</v>
      </c>
      <c r="F185" s="123">
        <f t="shared" si="52"/>
        <v>0.28999999999999998</v>
      </c>
      <c r="G185" s="123">
        <f t="shared" si="52"/>
        <v>0.28999999999999998</v>
      </c>
      <c r="H185" s="123">
        <f t="shared" si="52"/>
        <v>0.28999999999999998</v>
      </c>
      <c r="I185" s="123">
        <f t="shared" si="52"/>
        <v>0.28999999999999998</v>
      </c>
      <c r="J185" s="123">
        <f t="shared" si="52"/>
        <v>0.28999999999999998</v>
      </c>
      <c r="K185" s="123">
        <f t="shared" si="52"/>
        <v>0.28999999999999998</v>
      </c>
      <c r="L185" s="123">
        <f t="shared" si="52"/>
        <v>0.28999999999999998</v>
      </c>
      <c r="M185" s="123">
        <f t="shared" si="52"/>
        <v>0.28999999999999998</v>
      </c>
      <c r="N185" s="123">
        <f t="shared" si="52"/>
        <v>0.28999999999999998</v>
      </c>
      <c r="O185" s="123">
        <f t="shared" si="52"/>
        <v>0.28999999999999998</v>
      </c>
      <c r="P185" s="123">
        <f t="shared" si="52"/>
        <v>0.28999999999999998</v>
      </c>
      <c r="Q185" s="123">
        <f t="shared" si="52"/>
        <v>0.28999999999999998</v>
      </c>
      <c r="R185" s="123">
        <f t="shared" si="52"/>
        <v>0.28999999999999998</v>
      </c>
      <c r="S185" s="123">
        <f t="shared" si="52"/>
        <v>0.28999999999999998</v>
      </c>
      <c r="T185" s="123">
        <f t="shared" si="53"/>
        <v>0.28999999999999998</v>
      </c>
      <c r="U185" s="123">
        <f t="shared" si="53"/>
        <v>0.28999999999999998</v>
      </c>
      <c r="V185" s="123">
        <f t="shared" si="53"/>
        <v>0.28999999999999998</v>
      </c>
      <c r="W185" s="123">
        <f t="shared" si="53"/>
        <v>0.28999999999999998</v>
      </c>
      <c r="X185" s="123">
        <f t="shared" si="53"/>
        <v>0.28999999999999998</v>
      </c>
      <c r="Y185" s="123">
        <f t="shared" si="53"/>
        <v>0.28999999999999998</v>
      </c>
      <c r="Z185" s="123">
        <f t="shared" si="53"/>
        <v>0.28999999999999998</v>
      </c>
      <c r="AA185" s="123">
        <f t="shared" si="53"/>
        <v>0.28999999999999998</v>
      </c>
      <c r="AB185" s="123">
        <f t="shared" si="53"/>
        <v>0.28999999999999998</v>
      </c>
      <c r="AC185" s="123">
        <f t="shared" si="53"/>
        <v>0.28999999999999998</v>
      </c>
      <c r="AD185" s="123">
        <f t="shared" si="53"/>
        <v>0.28999999999999998</v>
      </c>
      <c r="AE185" s="123">
        <f t="shared" si="53"/>
        <v>0.28999999999999998</v>
      </c>
      <c r="AF185" s="123">
        <f t="shared" si="53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1"/>
        <v>0.06</v>
      </c>
      <c r="C186" s="124">
        <v>0.06</v>
      </c>
      <c r="D186" s="123">
        <f t="shared" si="52"/>
        <v>0.06</v>
      </c>
      <c r="E186" s="123">
        <f t="shared" si="52"/>
        <v>0.06</v>
      </c>
      <c r="F186" s="123">
        <f t="shared" si="52"/>
        <v>0.06</v>
      </c>
      <c r="G186" s="123">
        <f t="shared" si="52"/>
        <v>0.06</v>
      </c>
      <c r="H186" s="123">
        <f t="shared" si="52"/>
        <v>0.06</v>
      </c>
      <c r="I186" s="123">
        <f t="shared" si="52"/>
        <v>0.06</v>
      </c>
      <c r="J186" s="123">
        <f t="shared" si="52"/>
        <v>0.06</v>
      </c>
      <c r="K186" s="123">
        <f t="shared" si="52"/>
        <v>0.06</v>
      </c>
      <c r="L186" s="123">
        <f t="shared" si="52"/>
        <v>0.06</v>
      </c>
      <c r="M186" s="123">
        <f t="shared" si="52"/>
        <v>0.06</v>
      </c>
      <c r="N186" s="123">
        <f t="shared" si="52"/>
        <v>0.06</v>
      </c>
      <c r="O186" s="123">
        <f t="shared" si="52"/>
        <v>0.06</v>
      </c>
      <c r="P186" s="123">
        <f t="shared" si="52"/>
        <v>0.06</v>
      </c>
      <c r="Q186" s="123">
        <f t="shared" si="52"/>
        <v>0.06</v>
      </c>
      <c r="R186" s="123">
        <f t="shared" si="52"/>
        <v>0.06</v>
      </c>
      <c r="S186" s="123">
        <f t="shared" si="52"/>
        <v>0.06</v>
      </c>
      <c r="T186" s="123">
        <f t="shared" si="53"/>
        <v>0.06</v>
      </c>
      <c r="U186" s="123">
        <f t="shared" si="53"/>
        <v>0.06</v>
      </c>
      <c r="V186" s="123">
        <f t="shared" si="53"/>
        <v>0.06</v>
      </c>
      <c r="W186" s="123">
        <f t="shared" si="53"/>
        <v>0.06</v>
      </c>
      <c r="X186" s="123">
        <f t="shared" si="53"/>
        <v>0.06</v>
      </c>
      <c r="Y186" s="123">
        <f t="shared" si="53"/>
        <v>0.06</v>
      </c>
      <c r="Z186" s="123">
        <f t="shared" si="53"/>
        <v>0.06</v>
      </c>
      <c r="AA186" s="123">
        <f t="shared" si="53"/>
        <v>0.06</v>
      </c>
      <c r="AB186" s="123">
        <f t="shared" si="53"/>
        <v>0.06</v>
      </c>
      <c r="AC186" s="123">
        <f t="shared" si="53"/>
        <v>0.06</v>
      </c>
      <c r="AD186" s="123">
        <f t="shared" si="53"/>
        <v>0.06</v>
      </c>
      <c r="AE186" s="123">
        <f t="shared" si="53"/>
        <v>0.06</v>
      </c>
      <c r="AF186" s="123">
        <f t="shared" si="53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1"/>
        <v>0.11</v>
      </c>
      <c r="C187" s="124">
        <v>0.11</v>
      </c>
      <c r="D187" s="123">
        <f t="shared" si="52"/>
        <v>0.11</v>
      </c>
      <c r="E187" s="123">
        <f t="shared" si="52"/>
        <v>0.11</v>
      </c>
      <c r="F187" s="123">
        <f t="shared" si="52"/>
        <v>0.11</v>
      </c>
      <c r="G187" s="123">
        <f t="shared" si="52"/>
        <v>0.11</v>
      </c>
      <c r="H187" s="123">
        <f t="shared" si="52"/>
        <v>0.11</v>
      </c>
      <c r="I187" s="123">
        <f t="shared" si="52"/>
        <v>0.11</v>
      </c>
      <c r="J187" s="123">
        <f t="shared" si="52"/>
        <v>0.11</v>
      </c>
      <c r="K187" s="123">
        <f t="shared" si="52"/>
        <v>0.11</v>
      </c>
      <c r="L187" s="123">
        <f t="shared" si="52"/>
        <v>0.11</v>
      </c>
      <c r="M187" s="123">
        <f t="shared" si="52"/>
        <v>0.11</v>
      </c>
      <c r="N187" s="123">
        <f t="shared" si="52"/>
        <v>0.11</v>
      </c>
      <c r="O187" s="123">
        <f t="shared" si="52"/>
        <v>0.11</v>
      </c>
      <c r="P187" s="123">
        <f t="shared" si="52"/>
        <v>0.11</v>
      </c>
      <c r="Q187" s="123">
        <f t="shared" si="52"/>
        <v>0.11</v>
      </c>
      <c r="R187" s="123">
        <f t="shared" si="52"/>
        <v>0.11</v>
      </c>
      <c r="S187" s="123">
        <f t="shared" si="52"/>
        <v>0.11</v>
      </c>
      <c r="T187" s="123">
        <f t="shared" si="53"/>
        <v>0.11</v>
      </c>
      <c r="U187" s="123">
        <f t="shared" si="53"/>
        <v>0.11</v>
      </c>
      <c r="V187" s="123">
        <f t="shared" si="53"/>
        <v>0.11</v>
      </c>
      <c r="W187" s="123">
        <f t="shared" si="53"/>
        <v>0.11</v>
      </c>
      <c r="X187" s="123">
        <f t="shared" si="53"/>
        <v>0.11</v>
      </c>
      <c r="Y187" s="123">
        <f t="shared" si="53"/>
        <v>0.11</v>
      </c>
      <c r="Z187" s="123">
        <f t="shared" si="53"/>
        <v>0.11</v>
      </c>
      <c r="AA187" s="123">
        <f t="shared" si="53"/>
        <v>0.11</v>
      </c>
      <c r="AB187" s="123">
        <f t="shared" si="53"/>
        <v>0.11</v>
      </c>
      <c r="AC187" s="123">
        <f t="shared" si="53"/>
        <v>0.11</v>
      </c>
      <c r="AD187" s="123">
        <f t="shared" si="53"/>
        <v>0.11</v>
      </c>
      <c r="AE187" s="123">
        <f t="shared" si="53"/>
        <v>0.11</v>
      </c>
      <c r="AF187" s="123">
        <f t="shared" si="53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1"/>
        <v>0.1</v>
      </c>
      <c r="C188" s="124">
        <v>0.1</v>
      </c>
      <c r="D188" s="123">
        <f t="shared" si="52"/>
        <v>0.1</v>
      </c>
      <c r="E188" s="123">
        <f t="shared" si="52"/>
        <v>0.1</v>
      </c>
      <c r="F188" s="123">
        <f t="shared" si="52"/>
        <v>0.1</v>
      </c>
      <c r="G188" s="123">
        <f t="shared" si="52"/>
        <v>0.1</v>
      </c>
      <c r="H188" s="123">
        <f t="shared" si="52"/>
        <v>0.1</v>
      </c>
      <c r="I188" s="123">
        <f t="shared" si="52"/>
        <v>0.1</v>
      </c>
      <c r="J188" s="123">
        <f t="shared" si="52"/>
        <v>0.1</v>
      </c>
      <c r="K188" s="123">
        <f t="shared" si="52"/>
        <v>0.1</v>
      </c>
      <c r="L188" s="123">
        <f t="shared" si="52"/>
        <v>0.1</v>
      </c>
      <c r="M188" s="123">
        <f t="shared" si="52"/>
        <v>0.1</v>
      </c>
      <c r="N188" s="123">
        <f t="shared" si="52"/>
        <v>0.1</v>
      </c>
      <c r="O188" s="123">
        <f t="shared" si="52"/>
        <v>0.1</v>
      </c>
      <c r="P188" s="123">
        <f t="shared" si="52"/>
        <v>0.1</v>
      </c>
      <c r="Q188" s="123">
        <f t="shared" si="52"/>
        <v>0.1</v>
      </c>
      <c r="R188" s="123">
        <f t="shared" si="52"/>
        <v>0.1</v>
      </c>
      <c r="S188" s="123">
        <f t="shared" si="53"/>
        <v>0.1</v>
      </c>
      <c r="T188" s="123">
        <f t="shared" si="53"/>
        <v>0.1</v>
      </c>
      <c r="U188" s="123">
        <f t="shared" si="53"/>
        <v>0.1</v>
      </c>
      <c r="V188" s="123">
        <f t="shared" si="53"/>
        <v>0.1</v>
      </c>
      <c r="W188" s="123">
        <f t="shared" si="53"/>
        <v>0.1</v>
      </c>
      <c r="X188" s="123">
        <f t="shared" si="53"/>
        <v>0.1</v>
      </c>
      <c r="Y188" s="123">
        <f t="shared" si="53"/>
        <v>0.1</v>
      </c>
      <c r="Z188" s="123">
        <f t="shared" si="53"/>
        <v>0.1</v>
      </c>
      <c r="AA188" s="123">
        <f t="shared" si="53"/>
        <v>0.1</v>
      </c>
      <c r="AB188" s="123">
        <f t="shared" si="53"/>
        <v>0.1</v>
      </c>
      <c r="AC188" s="123">
        <f t="shared" si="53"/>
        <v>0.1</v>
      </c>
      <c r="AD188" s="123">
        <f t="shared" si="53"/>
        <v>0.1</v>
      </c>
      <c r="AE188" s="123">
        <f t="shared" si="53"/>
        <v>0.1</v>
      </c>
      <c r="AF188" s="123">
        <f t="shared" si="53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1"/>
        <v>0.09</v>
      </c>
      <c r="C189" s="124">
        <v>0.09</v>
      </c>
      <c r="D189" s="123">
        <f t="shared" si="52"/>
        <v>0.09</v>
      </c>
      <c r="E189" s="123">
        <f t="shared" si="52"/>
        <v>0.09</v>
      </c>
      <c r="F189" s="123">
        <f t="shared" si="52"/>
        <v>0.09</v>
      </c>
      <c r="G189" s="123">
        <f t="shared" si="52"/>
        <v>0.09</v>
      </c>
      <c r="H189" s="123">
        <f t="shared" si="52"/>
        <v>0.09</v>
      </c>
      <c r="I189" s="123">
        <f t="shared" si="52"/>
        <v>0.09</v>
      </c>
      <c r="J189" s="123">
        <f t="shared" si="52"/>
        <v>0.09</v>
      </c>
      <c r="K189" s="123">
        <f t="shared" si="52"/>
        <v>0.09</v>
      </c>
      <c r="L189" s="123">
        <f t="shared" si="52"/>
        <v>0.09</v>
      </c>
      <c r="M189" s="123">
        <f t="shared" si="52"/>
        <v>0.09</v>
      </c>
      <c r="N189" s="123">
        <f t="shared" si="52"/>
        <v>0.09</v>
      </c>
      <c r="O189" s="123">
        <f t="shared" si="52"/>
        <v>0.09</v>
      </c>
      <c r="P189" s="123">
        <f t="shared" si="52"/>
        <v>0.09</v>
      </c>
      <c r="Q189" s="123">
        <f t="shared" si="52"/>
        <v>0.09</v>
      </c>
      <c r="R189" s="123">
        <f t="shared" si="52"/>
        <v>0.09</v>
      </c>
      <c r="S189" s="123">
        <f t="shared" si="53"/>
        <v>0.09</v>
      </c>
      <c r="T189" s="123">
        <f t="shared" si="53"/>
        <v>0.09</v>
      </c>
      <c r="U189" s="123">
        <f t="shared" si="53"/>
        <v>0.09</v>
      </c>
      <c r="V189" s="123">
        <f t="shared" si="53"/>
        <v>0.09</v>
      </c>
      <c r="W189" s="123">
        <f t="shared" si="53"/>
        <v>0.09</v>
      </c>
      <c r="X189" s="123">
        <f t="shared" si="53"/>
        <v>0.09</v>
      </c>
      <c r="Y189" s="123">
        <f t="shared" si="53"/>
        <v>0.09</v>
      </c>
      <c r="Z189" s="123">
        <f t="shared" si="53"/>
        <v>0.09</v>
      </c>
      <c r="AA189" s="123">
        <f t="shared" si="53"/>
        <v>0.09</v>
      </c>
      <c r="AB189" s="123">
        <f t="shared" si="53"/>
        <v>0.09</v>
      </c>
      <c r="AC189" s="123">
        <f t="shared" si="53"/>
        <v>0.09</v>
      </c>
      <c r="AD189" s="123">
        <f t="shared" si="53"/>
        <v>0.09</v>
      </c>
      <c r="AE189" s="123">
        <f t="shared" si="53"/>
        <v>0.09</v>
      </c>
      <c r="AF189" s="123">
        <f t="shared" si="53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1"/>
        <v>0.04</v>
      </c>
      <c r="C190" s="53">
        <v>0.04</v>
      </c>
      <c r="D190" s="123">
        <f t="shared" si="52"/>
        <v>0.04</v>
      </c>
      <c r="E190" s="123">
        <f t="shared" si="52"/>
        <v>0.04</v>
      </c>
      <c r="F190" s="123">
        <f t="shared" si="52"/>
        <v>0.04</v>
      </c>
      <c r="G190" s="123">
        <f t="shared" si="52"/>
        <v>0.04</v>
      </c>
      <c r="H190" s="123">
        <f t="shared" si="52"/>
        <v>0.04</v>
      </c>
      <c r="I190" s="123">
        <f t="shared" si="52"/>
        <v>0.04</v>
      </c>
      <c r="J190" s="123">
        <f t="shared" si="52"/>
        <v>0.04</v>
      </c>
      <c r="K190" s="123">
        <f t="shared" si="52"/>
        <v>0.04</v>
      </c>
      <c r="L190" s="123">
        <f t="shared" si="52"/>
        <v>0.04</v>
      </c>
      <c r="M190" s="123">
        <f t="shared" si="52"/>
        <v>0.04</v>
      </c>
      <c r="N190" s="123">
        <f t="shared" si="52"/>
        <v>0.04</v>
      </c>
      <c r="O190" s="123">
        <f t="shared" si="52"/>
        <v>0.04</v>
      </c>
      <c r="P190" s="123">
        <f t="shared" si="52"/>
        <v>0.04</v>
      </c>
      <c r="Q190" s="123">
        <f t="shared" si="52"/>
        <v>0.04</v>
      </c>
      <c r="R190" s="123">
        <f t="shared" si="52"/>
        <v>0.04</v>
      </c>
      <c r="S190" s="123">
        <f t="shared" si="53"/>
        <v>0.04</v>
      </c>
      <c r="T190" s="123">
        <f t="shared" si="53"/>
        <v>0.04</v>
      </c>
      <c r="U190" s="123">
        <f t="shared" si="53"/>
        <v>0.04</v>
      </c>
      <c r="V190" s="123">
        <f t="shared" si="53"/>
        <v>0.04</v>
      </c>
      <c r="W190" s="123">
        <f t="shared" si="53"/>
        <v>0.04</v>
      </c>
      <c r="X190" s="123">
        <f t="shared" si="53"/>
        <v>0.04</v>
      </c>
      <c r="Y190" s="123">
        <f t="shared" si="53"/>
        <v>0.04</v>
      </c>
      <c r="Z190" s="123">
        <f t="shared" si="53"/>
        <v>0.04</v>
      </c>
      <c r="AA190" s="123">
        <f t="shared" si="53"/>
        <v>0.04</v>
      </c>
      <c r="AB190" s="123">
        <f t="shared" si="53"/>
        <v>0.04</v>
      </c>
      <c r="AC190" s="123">
        <f t="shared" si="53"/>
        <v>0.04</v>
      </c>
      <c r="AD190" s="123">
        <f t="shared" si="53"/>
        <v>0.04</v>
      </c>
      <c r="AE190" s="123">
        <f t="shared" si="53"/>
        <v>0.04</v>
      </c>
      <c r="AF190" s="123">
        <f t="shared" si="53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1"/>
        <v>2.3E-2</v>
      </c>
      <c r="C191" s="53">
        <v>2.3E-2</v>
      </c>
      <c r="D191" s="123">
        <f>C191</f>
        <v>2.3E-2</v>
      </c>
      <c r="E191" s="123">
        <f t="shared" si="52"/>
        <v>2.3E-2</v>
      </c>
      <c r="F191" s="123">
        <f t="shared" si="52"/>
        <v>2.3E-2</v>
      </c>
      <c r="G191" s="123">
        <f t="shared" si="52"/>
        <v>2.3E-2</v>
      </c>
      <c r="H191" s="123">
        <f t="shared" si="52"/>
        <v>2.3E-2</v>
      </c>
      <c r="I191" s="123">
        <f t="shared" si="52"/>
        <v>2.3E-2</v>
      </c>
      <c r="J191" s="123">
        <f t="shared" si="52"/>
        <v>2.3E-2</v>
      </c>
      <c r="K191" s="123">
        <f t="shared" si="52"/>
        <v>2.3E-2</v>
      </c>
      <c r="L191" s="123">
        <f t="shared" si="52"/>
        <v>2.3E-2</v>
      </c>
      <c r="M191" s="123">
        <f t="shared" si="52"/>
        <v>2.3E-2</v>
      </c>
      <c r="N191" s="123">
        <f t="shared" si="52"/>
        <v>2.3E-2</v>
      </c>
      <c r="O191" s="123">
        <f t="shared" si="52"/>
        <v>2.3E-2</v>
      </c>
      <c r="P191" s="123">
        <f t="shared" si="52"/>
        <v>2.3E-2</v>
      </c>
      <c r="Q191" s="123">
        <f t="shared" si="52"/>
        <v>2.3E-2</v>
      </c>
      <c r="R191" s="123">
        <f t="shared" si="52"/>
        <v>2.3E-2</v>
      </c>
      <c r="S191" s="123">
        <f t="shared" si="53"/>
        <v>2.3E-2</v>
      </c>
      <c r="T191" s="123">
        <f t="shared" si="53"/>
        <v>2.3E-2</v>
      </c>
      <c r="U191" s="123">
        <f t="shared" si="53"/>
        <v>2.3E-2</v>
      </c>
      <c r="V191" s="123">
        <f t="shared" si="53"/>
        <v>2.3E-2</v>
      </c>
      <c r="W191" s="123">
        <f t="shared" si="53"/>
        <v>2.3E-2</v>
      </c>
      <c r="X191" s="123">
        <f t="shared" si="53"/>
        <v>2.3E-2</v>
      </c>
      <c r="Y191" s="123">
        <f t="shared" si="53"/>
        <v>2.3E-2</v>
      </c>
      <c r="Z191" s="123">
        <f t="shared" si="53"/>
        <v>2.3E-2</v>
      </c>
      <c r="AA191" s="123">
        <f t="shared" si="53"/>
        <v>2.3E-2</v>
      </c>
      <c r="AB191" s="123">
        <f t="shared" si="53"/>
        <v>2.3E-2</v>
      </c>
      <c r="AC191" s="123">
        <f t="shared" si="53"/>
        <v>2.3E-2</v>
      </c>
      <c r="AD191" s="123">
        <f t="shared" si="53"/>
        <v>2.3E-2</v>
      </c>
      <c r="AE191" s="123">
        <f t="shared" si="53"/>
        <v>2.3E-2</v>
      </c>
      <c r="AF191" s="123">
        <f t="shared" si="53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4">SUM(C102:C191)</f>
        <v>194.70600000000002</v>
      </c>
      <c r="D192" s="128">
        <f t="shared" si="54"/>
        <v>194.70600000000002</v>
      </c>
      <c r="E192" s="128">
        <f t="shared" si="54"/>
        <v>194.70600000000002</v>
      </c>
      <c r="F192" s="128">
        <f t="shared" si="54"/>
        <v>194.70600000000002</v>
      </c>
      <c r="G192" s="128">
        <f t="shared" si="54"/>
        <v>194.70600000000002</v>
      </c>
      <c r="H192" s="128">
        <f t="shared" si="54"/>
        <v>194.70600000000002</v>
      </c>
      <c r="I192" s="128">
        <f t="shared" si="54"/>
        <v>189.70600000000005</v>
      </c>
      <c r="J192" s="128">
        <f t="shared" si="54"/>
        <v>187.10600000000005</v>
      </c>
      <c r="K192" s="128">
        <f t="shared" si="54"/>
        <v>187.10600000000005</v>
      </c>
      <c r="L192" s="128">
        <f t="shared" si="54"/>
        <v>187.10600000000005</v>
      </c>
      <c r="M192" s="128">
        <f t="shared" si="54"/>
        <v>187.10600000000005</v>
      </c>
      <c r="N192" s="128">
        <f t="shared" si="54"/>
        <v>187.10600000000005</v>
      </c>
      <c r="O192" s="128">
        <f t="shared" si="54"/>
        <v>187.10600000000005</v>
      </c>
      <c r="P192" s="128">
        <f t="shared" si="54"/>
        <v>187.10600000000005</v>
      </c>
      <c r="Q192" s="128">
        <f t="shared" si="54"/>
        <v>187.10600000000005</v>
      </c>
      <c r="R192" s="128">
        <f t="shared" si="54"/>
        <v>187.10600000000005</v>
      </c>
      <c r="S192" s="128">
        <f t="shared" si="54"/>
        <v>187.10600000000005</v>
      </c>
      <c r="T192" s="128">
        <f t="shared" si="54"/>
        <v>187.10600000000005</v>
      </c>
      <c r="U192" s="128">
        <f t="shared" si="54"/>
        <v>187.10600000000005</v>
      </c>
      <c r="V192" s="128">
        <f t="shared" si="54"/>
        <v>187.10600000000005</v>
      </c>
      <c r="W192" s="128">
        <f t="shared" si="54"/>
        <v>187.10600000000005</v>
      </c>
      <c r="X192" s="128">
        <f t="shared" si="54"/>
        <v>187.10600000000005</v>
      </c>
      <c r="Y192" s="128">
        <f t="shared" si="54"/>
        <v>187.10600000000005</v>
      </c>
      <c r="Z192" s="128">
        <f t="shared" si="54"/>
        <v>187.10600000000005</v>
      </c>
      <c r="AA192" s="128">
        <f t="shared" si="54"/>
        <v>187.10600000000005</v>
      </c>
      <c r="AB192" s="128">
        <f t="shared" si="54"/>
        <v>187.10600000000005</v>
      </c>
      <c r="AC192" s="128">
        <f t="shared" si="54"/>
        <v>187.10600000000005</v>
      </c>
      <c r="AD192" s="128">
        <f t="shared" si="54"/>
        <v>187.10600000000005</v>
      </c>
      <c r="AE192" s="128">
        <f t="shared" si="54"/>
        <v>187.10600000000005</v>
      </c>
      <c r="AF192" s="128">
        <f t="shared" si="54"/>
        <v>187.10600000000005</v>
      </c>
      <c r="AG192" s="129">
        <f t="shared" si="54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5">AF194</f>
        <v>0.3</v>
      </c>
      <c r="C194" s="130">
        <v>0.3</v>
      </c>
      <c r="D194" s="130">
        <f t="shared" ref="D194:S199" si="56">C194</f>
        <v>0.3</v>
      </c>
      <c r="E194" s="130">
        <f t="shared" si="56"/>
        <v>0.3</v>
      </c>
      <c r="F194" s="130">
        <f t="shared" si="56"/>
        <v>0.3</v>
      </c>
      <c r="G194" s="130">
        <f t="shared" si="56"/>
        <v>0.3</v>
      </c>
      <c r="H194" s="130">
        <f t="shared" si="56"/>
        <v>0.3</v>
      </c>
      <c r="I194" s="130">
        <f t="shared" si="56"/>
        <v>0.3</v>
      </c>
      <c r="J194" s="130">
        <f t="shared" si="56"/>
        <v>0.3</v>
      </c>
      <c r="K194" s="130">
        <f t="shared" si="56"/>
        <v>0.3</v>
      </c>
      <c r="L194" s="130">
        <f t="shared" si="56"/>
        <v>0.3</v>
      </c>
      <c r="M194" s="130">
        <f t="shared" si="56"/>
        <v>0.3</v>
      </c>
      <c r="N194" s="130">
        <f t="shared" si="56"/>
        <v>0.3</v>
      </c>
      <c r="O194" s="130">
        <f t="shared" si="56"/>
        <v>0.3</v>
      </c>
      <c r="P194" s="130">
        <f t="shared" si="56"/>
        <v>0.3</v>
      </c>
      <c r="Q194" s="130">
        <f t="shared" si="56"/>
        <v>0.3</v>
      </c>
      <c r="R194" s="130">
        <f t="shared" si="56"/>
        <v>0.3</v>
      </c>
      <c r="S194" s="130">
        <f t="shared" si="56"/>
        <v>0.3</v>
      </c>
      <c r="T194" s="130">
        <f t="shared" ref="T194:AF199" si="57">S194</f>
        <v>0.3</v>
      </c>
      <c r="U194" s="130">
        <f t="shared" si="57"/>
        <v>0.3</v>
      </c>
      <c r="V194" s="130">
        <f t="shared" si="57"/>
        <v>0.3</v>
      </c>
      <c r="W194" s="130">
        <f t="shared" si="57"/>
        <v>0.3</v>
      </c>
      <c r="X194" s="130">
        <f t="shared" si="57"/>
        <v>0.3</v>
      </c>
      <c r="Y194" s="130">
        <f t="shared" si="57"/>
        <v>0.3</v>
      </c>
      <c r="Z194" s="130">
        <f t="shared" si="57"/>
        <v>0.3</v>
      </c>
      <c r="AA194" s="130">
        <f t="shared" si="57"/>
        <v>0.3</v>
      </c>
      <c r="AB194" s="130">
        <f t="shared" si="57"/>
        <v>0.3</v>
      </c>
      <c r="AC194" s="130">
        <f t="shared" si="57"/>
        <v>0.3</v>
      </c>
      <c r="AD194" s="130">
        <f t="shared" si="57"/>
        <v>0.3</v>
      </c>
      <c r="AE194" s="130">
        <f t="shared" si="57"/>
        <v>0.3</v>
      </c>
      <c r="AF194" s="130">
        <f t="shared" si="57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5"/>
        <v>0.4</v>
      </c>
      <c r="C195" s="123">
        <v>0.4</v>
      </c>
      <c r="D195" s="123">
        <f t="shared" si="56"/>
        <v>0.4</v>
      </c>
      <c r="E195" s="123">
        <f t="shared" si="56"/>
        <v>0.4</v>
      </c>
      <c r="F195" s="123">
        <f t="shared" si="56"/>
        <v>0.4</v>
      </c>
      <c r="G195" s="123">
        <f t="shared" si="56"/>
        <v>0.4</v>
      </c>
      <c r="H195" s="123">
        <f t="shared" si="56"/>
        <v>0.4</v>
      </c>
      <c r="I195" s="123">
        <f t="shared" si="56"/>
        <v>0.4</v>
      </c>
      <c r="J195" s="123">
        <f t="shared" si="56"/>
        <v>0.4</v>
      </c>
      <c r="K195" s="123">
        <f t="shared" si="56"/>
        <v>0.4</v>
      </c>
      <c r="L195" s="123">
        <f t="shared" si="56"/>
        <v>0.4</v>
      </c>
      <c r="M195" s="123">
        <f t="shared" si="56"/>
        <v>0.4</v>
      </c>
      <c r="N195" s="123">
        <f t="shared" si="56"/>
        <v>0.4</v>
      </c>
      <c r="O195" s="123">
        <f t="shared" si="56"/>
        <v>0.4</v>
      </c>
      <c r="P195" s="123">
        <f t="shared" si="56"/>
        <v>0.4</v>
      </c>
      <c r="Q195" s="123">
        <f t="shared" si="56"/>
        <v>0.4</v>
      </c>
      <c r="R195" s="123">
        <f t="shared" si="56"/>
        <v>0.4</v>
      </c>
      <c r="S195" s="123">
        <f t="shared" si="56"/>
        <v>0.4</v>
      </c>
      <c r="T195" s="123">
        <f t="shared" si="57"/>
        <v>0.4</v>
      </c>
      <c r="U195" s="123">
        <f t="shared" si="57"/>
        <v>0.4</v>
      </c>
      <c r="V195" s="123">
        <f t="shared" si="57"/>
        <v>0.4</v>
      </c>
      <c r="W195" s="123">
        <f>V195</f>
        <v>0.4</v>
      </c>
      <c r="X195" s="123">
        <f>W195</f>
        <v>0.4</v>
      </c>
      <c r="Y195" s="123">
        <f t="shared" si="57"/>
        <v>0.4</v>
      </c>
      <c r="Z195" s="123">
        <f t="shared" si="57"/>
        <v>0.4</v>
      </c>
      <c r="AA195" s="123">
        <f t="shared" si="57"/>
        <v>0.4</v>
      </c>
      <c r="AB195" s="123">
        <f t="shared" si="57"/>
        <v>0.4</v>
      </c>
      <c r="AC195" s="123">
        <f t="shared" si="57"/>
        <v>0.4</v>
      </c>
      <c r="AD195" s="123">
        <f t="shared" si="57"/>
        <v>0.4</v>
      </c>
      <c r="AE195" s="123">
        <f t="shared" si="57"/>
        <v>0.4</v>
      </c>
      <c r="AF195" s="123">
        <f t="shared" si="57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5"/>
        <v>1.5</v>
      </c>
      <c r="C196" s="123">
        <v>1.5</v>
      </c>
      <c r="D196" s="123">
        <f t="shared" si="56"/>
        <v>1.5</v>
      </c>
      <c r="E196" s="123">
        <f t="shared" si="56"/>
        <v>1.5</v>
      </c>
      <c r="F196" s="123">
        <f t="shared" si="56"/>
        <v>1.5</v>
      </c>
      <c r="G196" s="123">
        <f t="shared" si="56"/>
        <v>1.5</v>
      </c>
      <c r="H196" s="123">
        <f t="shared" si="56"/>
        <v>1.5</v>
      </c>
      <c r="I196" s="123">
        <f t="shared" si="56"/>
        <v>1.5</v>
      </c>
      <c r="J196" s="123">
        <f t="shared" si="56"/>
        <v>1.5</v>
      </c>
      <c r="K196" s="123">
        <f t="shared" si="56"/>
        <v>1.5</v>
      </c>
      <c r="L196" s="123">
        <f t="shared" si="56"/>
        <v>1.5</v>
      </c>
      <c r="M196" s="123">
        <f t="shared" si="56"/>
        <v>1.5</v>
      </c>
      <c r="N196" s="123">
        <f t="shared" si="56"/>
        <v>1.5</v>
      </c>
      <c r="O196" s="123">
        <f t="shared" si="56"/>
        <v>1.5</v>
      </c>
      <c r="P196" s="123">
        <f t="shared" si="56"/>
        <v>1.5</v>
      </c>
      <c r="Q196" s="123">
        <f t="shared" si="56"/>
        <v>1.5</v>
      </c>
      <c r="R196" s="123">
        <f t="shared" si="56"/>
        <v>1.5</v>
      </c>
      <c r="S196" s="123">
        <f t="shared" si="56"/>
        <v>1.5</v>
      </c>
      <c r="T196" s="123">
        <f t="shared" si="57"/>
        <v>1.5</v>
      </c>
      <c r="U196" s="123">
        <f t="shared" si="57"/>
        <v>1.5</v>
      </c>
      <c r="V196" s="123">
        <f t="shared" si="57"/>
        <v>1.5</v>
      </c>
      <c r="W196" s="123">
        <f t="shared" si="57"/>
        <v>1.5</v>
      </c>
      <c r="X196" s="123">
        <f t="shared" si="57"/>
        <v>1.5</v>
      </c>
      <c r="Y196" s="123">
        <f t="shared" si="57"/>
        <v>1.5</v>
      </c>
      <c r="Z196" s="123">
        <f t="shared" si="57"/>
        <v>1.5</v>
      </c>
      <c r="AA196" s="123">
        <f t="shared" si="57"/>
        <v>1.5</v>
      </c>
      <c r="AB196" s="123">
        <f t="shared" si="57"/>
        <v>1.5</v>
      </c>
      <c r="AC196" s="123">
        <f t="shared" si="57"/>
        <v>1.5</v>
      </c>
      <c r="AD196" s="123">
        <f t="shared" si="57"/>
        <v>1.5</v>
      </c>
      <c r="AE196" s="123">
        <f t="shared" si="57"/>
        <v>1.5</v>
      </c>
      <c r="AF196" s="123">
        <f t="shared" si="57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5"/>
        <v>0.3</v>
      </c>
      <c r="C197" s="123">
        <v>0.3</v>
      </c>
      <c r="D197" s="123">
        <f t="shared" si="56"/>
        <v>0.3</v>
      </c>
      <c r="E197" s="123">
        <f t="shared" si="56"/>
        <v>0.3</v>
      </c>
      <c r="F197" s="123">
        <f t="shared" si="56"/>
        <v>0.3</v>
      </c>
      <c r="G197" s="123">
        <f t="shared" si="56"/>
        <v>0.3</v>
      </c>
      <c r="H197" s="123">
        <f t="shared" si="56"/>
        <v>0.3</v>
      </c>
      <c r="I197" s="123">
        <f t="shared" si="56"/>
        <v>0.3</v>
      </c>
      <c r="J197" s="123">
        <f t="shared" si="56"/>
        <v>0.3</v>
      </c>
      <c r="K197" s="123">
        <f t="shared" si="56"/>
        <v>0.3</v>
      </c>
      <c r="L197" s="123">
        <f t="shared" si="56"/>
        <v>0.3</v>
      </c>
      <c r="M197" s="123">
        <f t="shared" si="56"/>
        <v>0.3</v>
      </c>
      <c r="N197" s="123">
        <f t="shared" si="56"/>
        <v>0.3</v>
      </c>
      <c r="O197" s="123">
        <f t="shared" si="56"/>
        <v>0.3</v>
      </c>
      <c r="P197" s="123">
        <f t="shared" si="56"/>
        <v>0.3</v>
      </c>
      <c r="Q197" s="123">
        <f t="shared" si="56"/>
        <v>0.3</v>
      </c>
      <c r="R197" s="123">
        <f t="shared" si="56"/>
        <v>0.3</v>
      </c>
      <c r="S197" s="123">
        <f t="shared" si="56"/>
        <v>0.3</v>
      </c>
      <c r="T197" s="123">
        <f t="shared" si="57"/>
        <v>0.3</v>
      </c>
      <c r="U197" s="123">
        <f t="shared" si="57"/>
        <v>0.3</v>
      </c>
      <c r="V197" s="123">
        <f t="shared" si="57"/>
        <v>0.3</v>
      </c>
      <c r="W197" s="123">
        <f t="shared" si="57"/>
        <v>0.3</v>
      </c>
      <c r="X197" s="123">
        <f t="shared" si="57"/>
        <v>0.3</v>
      </c>
      <c r="Y197" s="123">
        <f t="shared" si="57"/>
        <v>0.3</v>
      </c>
      <c r="Z197" s="123">
        <f t="shared" si="57"/>
        <v>0.3</v>
      </c>
      <c r="AA197" s="123">
        <f t="shared" si="57"/>
        <v>0.3</v>
      </c>
      <c r="AB197" s="123">
        <f t="shared" si="57"/>
        <v>0.3</v>
      </c>
      <c r="AC197" s="123">
        <f t="shared" si="57"/>
        <v>0.3</v>
      </c>
      <c r="AD197" s="123">
        <f t="shared" si="57"/>
        <v>0.3</v>
      </c>
      <c r="AE197" s="123">
        <f t="shared" si="57"/>
        <v>0.3</v>
      </c>
      <c r="AF197" s="123">
        <f t="shared" si="57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5"/>
        <v>0.4</v>
      </c>
      <c r="C198" s="123">
        <v>0.4</v>
      </c>
      <c r="D198" s="123">
        <f t="shared" si="56"/>
        <v>0.4</v>
      </c>
      <c r="E198" s="123">
        <f t="shared" si="56"/>
        <v>0.4</v>
      </c>
      <c r="F198" s="123">
        <f t="shared" si="56"/>
        <v>0.4</v>
      </c>
      <c r="G198" s="123">
        <f t="shared" si="56"/>
        <v>0.4</v>
      </c>
      <c r="H198" s="123">
        <f t="shared" si="56"/>
        <v>0.4</v>
      </c>
      <c r="I198" s="123">
        <f t="shared" si="56"/>
        <v>0.4</v>
      </c>
      <c r="J198" s="123">
        <f t="shared" si="56"/>
        <v>0.4</v>
      </c>
      <c r="K198" s="123">
        <f t="shared" si="56"/>
        <v>0.4</v>
      </c>
      <c r="L198" s="123">
        <f t="shared" si="56"/>
        <v>0.4</v>
      </c>
      <c r="M198" s="123">
        <f t="shared" si="56"/>
        <v>0.4</v>
      </c>
      <c r="N198" s="123">
        <f t="shared" si="56"/>
        <v>0.4</v>
      </c>
      <c r="O198" s="123">
        <f t="shared" si="56"/>
        <v>0.4</v>
      </c>
      <c r="P198" s="123">
        <f t="shared" si="56"/>
        <v>0.4</v>
      </c>
      <c r="Q198" s="123">
        <f t="shared" si="56"/>
        <v>0.4</v>
      </c>
      <c r="R198" s="123">
        <f t="shared" si="56"/>
        <v>0.4</v>
      </c>
      <c r="S198" s="123">
        <f t="shared" si="56"/>
        <v>0.4</v>
      </c>
      <c r="T198" s="123">
        <f t="shared" si="57"/>
        <v>0.4</v>
      </c>
      <c r="U198" s="123">
        <f t="shared" si="57"/>
        <v>0.4</v>
      </c>
      <c r="V198" s="123">
        <f t="shared" si="57"/>
        <v>0.4</v>
      </c>
      <c r="W198" s="123">
        <f t="shared" si="57"/>
        <v>0.4</v>
      </c>
      <c r="X198" s="123">
        <f t="shared" si="57"/>
        <v>0.4</v>
      </c>
      <c r="Y198" s="123">
        <f t="shared" si="57"/>
        <v>0.4</v>
      </c>
      <c r="Z198" s="123">
        <f t="shared" si="57"/>
        <v>0.4</v>
      </c>
      <c r="AA198" s="123">
        <f t="shared" si="57"/>
        <v>0.4</v>
      </c>
      <c r="AB198" s="123">
        <f t="shared" si="57"/>
        <v>0.4</v>
      </c>
      <c r="AC198" s="123">
        <f t="shared" si="57"/>
        <v>0.4</v>
      </c>
      <c r="AD198" s="123">
        <f t="shared" si="57"/>
        <v>0.4</v>
      </c>
      <c r="AE198" s="123">
        <f t="shared" si="57"/>
        <v>0.4</v>
      </c>
      <c r="AF198" s="123">
        <f t="shared" si="57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5"/>
        <v>0.64</v>
      </c>
      <c r="C199" s="133">
        <v>0.64</v>
      </c>
      <c r="D199" s="133">
        <f t="shared" si="56"/>
        <v>0.64</v>
      </c>
      <c r="E199" s="133">
        <f t="shared" si="56"/>
        <v>0.64</v>
      </c>
      <c r="F199" s="133">
        <f t="shared" si="56"/>
        <v>0.64</v>
      </c>
      <c r="G199" s="133">
        <f t="shared" si="56"/>
        <v>0.64</v>
      </c>
      <c r="H199" s="133">
        <f t="shared" si="56"/>
        <v>0.64</v>
      </c>
      <c r="I199" s="133">
        <f t="shared" si="56"/>
        <v>0.64</v>
      </c>
      <c r="J199" s="133">
        <f t="shared" si="56"/>
        <v>0.64</v>
      </c>
      <c r="K199" s="133">
        <f t="shared" si="56"/>
        <v>0.64</v>
      </c>
      <c r="L199" s="133">
        <f t="shared" si="56"/>
        <v>0.64</v>
      </c>
      <c r="M199" s="133">
        <f t="shared" si="56"/>
        <v>0.64</v>
      </c>
      <c r="N199" s="133">
        <f t="shared" si="56"/>
        <v>0.64</v>
      </c>
      <c r="O199" s="133">
        <f t="shared" si="56"/>
        <v>0.64</v>
      </c>
      <c r="P199" s="133">
        <f t="shared" si="56"/>
        <v>0.64</v>
      </c>
      <c r="Q199" s="133">
        <f t="shared" si="56"/>
        <v>0.64</v>
      </c>
      <c r="R199" s="133">
        <f t="shared" si="56"/>
        <v>0.64</v>
      </c>
      <c r="S199" s="133">
        <f t="shared" si="56"/>
        <v>0.64</v>
      </c>
      <c r="T199" s="133">
        <f t="shared" si="57"/>
        <v>0.64</v>
      </c>
      <c r="U199" s="133">
        <f t="shared" si="57"/>
        <v>0.64</v>
      </c>
      <c r="V199" s="133">
        <f t="shared" si="57"/>
        <v>0.64</v>
      </c>
      <c r="W199" s="133">
        <f t="shared" si="57"/>
        <v>0.64</v>
      </c>
      <c r="X199" s="133">
        <f t="shared" si="57"/>
        <v>0.64</v>
      </c>
      <c r="Y199" s="133">
        <f t="shared" si="57"/>
        <v>0.64</v>
      </c>
      <c r="Z199" s="133">
        <f t="shared" si="57"/>
        <v>0.64</v>
      </c>
      <c r="AA199" s="133">
        <f t="shared" si="57"/>
        <v>0.64</v>
      </c>
      <c r="AB199" s="133">
        <f t="shared" si="57"/>
        <v>0.64</v>
      </c>
      <c r="AC199" s="133">
        <f t="shared" si="57"/>
        <v>0.64</v>
      </c>
      <c r="AD199" s="133">
        <f t="shared" si="57"/>
        <v>0.64</v>
      </c>
      <c r="AE199" s="133">
        <f t="shared" si="57"/>
        <v>0.64</v>
      </c>
      <c r="AF199" s="133">
        <f t="shared" si="57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8">SUM(D194:D199)</f>
        <v>3.54</v>
      </c>
      <c r="E200" s="136">
        <f t="shared" si="58"/>
        <v>3.54</v>
      </c>
      <c r="F200" s="136">
        <f t="shared" si="58"/>
        <v>3.54</v>
      </c>
      <c r="G200" s="136">
        <f t="shared" si="58"/>
        <v>3.54</v>
      </c>
      <c r="H200" s="136">
        <f t="shared" si="58"/>
        <v>3.54</v>
      </c>
      <c r="I200" s="136">
        <f t="shared" si="58"/>
        <v>3.54</v>
      </c>
      <c r="J200" s="136">
        <f t="shared" si="58"/>
        <v>3.54</v>
      </c>
      <c r="K200" s="136">
        <f t="shared" si="58"/>
        <v>3.54</v>
      </c>
      <c r="L200" s="136">
        <f t="shared" si="58"/>
        <v>3.54</v>
      </c>
      <c r="M200" s="136">
        <f>SUM(M194:M199)</f>
        <v>3.54</v>
      </c>
      <c r="N200" s="136">
        <f t="shared" ref="N200:S200" si="59">SUM(N194:N199)</f>
        <v>3.54</v>
      </c>
      <c r="O200" s="136">
        <f t="shared" si="59"/>
        <v>3.54</v>
      </c>
      <c r="P200" s="136">
        <f t="shared" si="59"/>
        <v>3.54</v>
      </c>
      <c r="Q200" s="136">
        <f t="shared" si="59"/>
        <v>3.54</v>
      </c>
      <c r="R200" s="136">
        <f t="shared" si="59"/>
        <v>3.54</v>
      </c>
      <c r="S200" s="136">
        <f t="shared" si="59"/>
        <v>3.54</v>
      </c>
      <c r="T200" s="136">
        <f>SUM(T194:T199)</f>
        <v>3.54</v>
      </c>
      <c r="U200" s="136">
        <f t="shared" ref="U200:AG200" si="60">SUM(U194:U199)</f>
        <v>3.54</v>
      </c>
      <c r="V200" s="136">
        <f t="shared" si="60"/>
        <v>3.54</v>
      </c>
      <c r="W200" s="136">
        <f t="shared" si="60"/>
        <v>3.54</v>
      </c>
      <c r="X200" s="136">
        <f t="shared" si="60"/>
        <v>3.54</v>
      </c>
      <c r="Y200" s="136">
        <f t="shared" si="60"/>
        <v>3.54</v>
      </c>
      <c r="Z200" s="136">
        <f t="shared" si="60"/>
        <v>3.54</v>
      </c>
      <c r="AA200" s="136">
        <f t="shared" si="60"/>
        <v>3.54</v>
      </c>
      <c r="AB200" s="136">
        <f t="shared" si="60"/>
        <v>3.54</v>
      </c>
      <c r="AC200" s="136">
        <f t="shared" si="60"/>
        <v>3.54</v>
      </c>
      <c r="AD200" s="136">
        <f t="shared" si="60"/>
        <v>3.54</v>
      </c>
      <c r="AE200" s="136">
        <f t="shared" si="60"/>
        <v>3.54</v>
      </c>
      <c r="AF200" s="136">
        <f t="shared" si="60"/>
        <v>3.54</v>
      </c>
      <c r="AG200" s="137">
        <f t="shared" si="60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1445.94</v>
      </c>
      <c r="C209" s="151">
        <f>INDEX(G9:N9,1,MATCH(MAX(G75:N75),G75:N75,0))</f>
        <v>0.33333333333333331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26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2079/02/26)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2079/02/26)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1">B75</f>
        <v>1322.54</v>
      </c>
      <c r="U214" s="161">
        <f t="shared" si="61"/>
        <v>1311.84</v>
      </c>
      <c r="V214" s="161">
        <f t="shared" si="61"/>
        <v>1387.0600000000002</v>
      </c>
      <c r="W214" s="161">
        <f t="shared" si="61"/>
        <v>1249.2400000000002</v>
      </c>
      <c r="X214" s="161">
        <f t="shared" si="61"/>
        <v>1241.6400000000003</v>
      </c>
      <c r="Y214" s="161">
        <f t="shared" si="61"/>
        <v>1243.51</v>
      </c>
      <c r="Z214" s="161">
        <f t="shared" si="61"/>
        <v>1252.04</v>
      </c>
      <c r="AA214" s="161">
        <f t="shared" si="61"/>
        <v>1279.6399999999999</v>
      </c>
      <c r="AB214" s="161">
        <f t="shared" si="61"/>
        <v>1352.04</v>
      </c>
      <c r="AC214" s="161">
        <f t="shared" si="61"/>
        <v>1365.24</v>
      </c>
      <c r="AD214" s="161">
        <f t="shared" si="61"/>
        <v>1407.7900000000002</v>
      </c>
      <c r="AE214" s="161">
        <f t="shared" si="61"/>
        <v>1445.94</v>
      </c>
      <c r="AF214" s="161">
        <f t="shared" si="61"/>
        <v>1427.94</v>
      </c>
      <c r="AG214" s="161">
        <f t="shared" si="61"/>
        <v>1423.94</v>
      </c>
      <c r="AH214" s="161">
        <f t="shared" si="61"/>
        <v>1426.94</v>
      </c>
      <c r="AI214" s="161">
        <f t="shared" si="61"/>
        <v>1451.5400000000002</v>
      </c>
      <c r="AJ214" s="161">
        <f t="shared" si="61"/>
        <v>1434.14</v>
      </c>
      <c r="AK214" s="161">
        <f t="shared" si="61"/>
        <v>1434.74</v>
      </c>
      <c r="AL214" s="161">
        <f t="shared" si="61"/>
        <v>1454.44</v>
      </c>
      <c r="AM214" s="161">
        <f t="shared" si="61"/>
        <v>1447.2400000000002</v>
      </c>
      <c r="AN214" s="161">
        <f t="shared" si="61"/>
        <v>1452.3400000000001</v>
      </c>
      <c r="AO214" s="161">
        <f t="shared" si="61"/>
        <v>1418.04</v>
      </c>
      <c r="AP214" s="161">
        <f t="shared" si="61"/>
        <v>1420.64</v>
      </c>
      <c r="AQ214" s="161">
        <f t="shared" si="61"/>
        <v>1429.0400000000002</v>
      </c>
      <c r="AR214" s="161">
        <f t="shared" si="61"/>
        <v>1469.0400000000002</v>
      </c>
      <c r="AS214" s="161">
        <f t="shared" si="61"/>
        <v>1569.8400000000001</v>
      </c>
      <c r="AT214" s="161">
        <f t="shared" si="61"/>
        <v>1541.74</v>
      </c>
      <c r="AU214" s="161">
        <f t="shared" si="61"/>
        <v>1508.8400000000001</v>
      </c>
      <c r="AV214" s="161">
        <f t="shared" si="61"/>
        <v>1495.94</v>
      </c>
      <c r="AW214" s="161">
        <f t="shared" si="61"/>
        <v>1489.24</v>
      </c>
      <c r="AX214" s="161">
        <f t="shared" si="61"/>
        <v>1449.44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3">IF(C203&lt;100,"",C203-520)</f>
        <v/>
      </c>
      <c r="D236" s="107" t="str">
        <f t="shared" si="63"/>
        <v/>
      </c>
      <c r="E236" s="107" t="str">
        <f t="shared" si="63"/>
        <v/>
      </c>
      <c r="F236" s="107" t="str">
        <f t="shared" si="63"/>
        <v/>
      </c>
      <c r="G236" s="107" t="str">
        <f t="shared" si="63"/>
        <v/>
      </c>
      <c r="H236" s="107" t="str">
        <f t="shared" si="63"/>
        <v/>
      </c>
      <c r="I236" s="107" t="str">
        <f t="shared" si="63"/>
        <v/>
      </c>
      <c r="J236" s="107" t="str">
        <f t="shared" si="63"/>
        <v/>
      </c>
      <c r="K236" s="107" t="str">
        <f t="shared" si="63"/>
        <v/>
      </c>
      <c r="L236" s="107" t="str">
        <f t="shared" si="63"/>
        <v/>
      </c>
      <c r="M236" s="107" t="str">
        <f t="shared" si="63"/>
        <v/>
      </c>
      <c r="N236" s="107" t="str">
        <f t="shared" si="63"/>
        <v/>
      </c>
      <c r="O236" s="107" t="str">
        <f t="shared" si="63"/>
        <v/>
      </c>
      <c r="P236" s="107" t="str">
        <f t="shared" si="63"/>
        <v/>
      </c>
      <c r="Q236" s="107" t="str">
        <f t="shared" si="63"/>
        <v/>
      </c>
      <c r="R236" s="107" t="str">
        <f t="shared" si="63"/>
        <v/>
      </c>
      <c r="S236" s="107" t="str">
        <f t="shared" si="63"/>
        <v/>
      </c>
      <c r="T236" s="107" t="str">
        <f t="shared" si="63"/>
        <v/>
      </c>
      <c r="U236" s="107" t="str">
        <f t="shared" si="63"/>
        <v/>
      </c>
      <c r="V236" s="107" t="str">
        <f t="shared" si="63"/>
        <v/>
      </c>
      <c r="W236" s="107" t="str">
        <f t="shared" si="63"/>
        <v/>
      </c>
      <c r="X236" s="107" t="str">
        <f t="shared" si="63"/>
        <v/>
      </c>
      <c r="Y236" s="107" t="str">
        <f t="shared" si="63"/>
        <v/>
      </c>
      <c r="Z236" s="107" t="str">
        <f t="shared" si="63"/>
        <v/>
      </c>
      <c r="AA236" s="107" t="str">
        <f t="shared" si="63"/>
        <v/>
      </c>
      <c r="AB236" s="107" t="str">
        <f t="shared" si="63"/>
        <v/>
      </c>
      <c r="AC236" s="107" t="str">
        <f t="shared" si="63"/>
        <v/>
      </c>
      <c r="AD236" s="107" t="str">
        <f t="shared" si="63"/>
        <v/>
      </c>
      <c r="AE236" s="107" t="str">
        <f t="shared" si="63"/>
        <v/>
      </c>
      <c r="AF236" s="107" t="str">
        <f t="shared" si="63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4">IF(B204&lt;100,"",B204-620)</f>
        <v/>
      </c>
      <c r="C237" s="107" t="str">
        <f t="shared" si="64"/>
        <v/>
      </c>
      <c r="D237" s="107" t="str">
        <f t="shared" si="64"/>
        <v/>
      </c>
      <c r="E237" s="107" t="str">
        <f t="shared" si="64"/>
        <v/>
      </c>
      <c r="F237" s="107" t="str">
        <f t="shared" si="64"/>
        <v/>
      </c>
      <c r="G237" s="107" t="str">
        <f t="shared" si="64"/>
        <v/>
      </c>
      <c r="H237" s="107" t="str">
        <f t="shared" si="64"/>
        <v/>
      </c>
      <c r="I237" s="107" t="str">
        <f t="shared" si="64"/>
        <v/>
      </c>
      <c r="J237" s="107" t="str">
        <f t="shared" si="64"/>
        <v/>
      </c>
      <c r="K237" s="107" t="str">
        <f t="shared" si="64"/>
        <v/>
      </c>
      <c r="L237" s="107" t="str">
        <f t="shared" si="64"/>
        <v/>
      </c>
      <c r="M237" s="107" t="str">
        <f t="shared" si="64"/>
        <v/>
      </c>
      <c r="N237" s="107" t="str">
        <f t="shared" si="64"/>
        <v/>
      </c>
      <c r="O237" s="107" t="str">
        <f t="shared" si="64"/>
        <v/>
      </c>
      <c r="P237" s="107" t="str">
        <f t="shared" si="64"/>
        <v/>
      </c>
      <c r="Q237" s="107" t="str">
        <f t="shared" si="64"/>
        <v/>
      </c>
      <c r="R237" s="107" t="str">
        <f t="shared" si="64"/>
        <v/>
      </c>
      <c r="S237" s="107" t="str">
        <f t="shared" si="64"/>
        <v/>
      </c>
      <c r="T237" s="107" t="str">
        <f t="shared" si="64"/>
        <v/>
      </c>
      <c r="U237" s="107" t="str">
        <f t="shared" si="64"/>
        <v/>
      </c>
      <c r="V237" s="107" t="str">
        <f t="shared" si="64"/>
        <v/>
      </c>
      <c r="W237" s="107" t="str">
        <f t="shared" si="64"/>
        <v/>
      </c>
      <c r="X237" s="107" t="str">
        <f t="shared" si="64"/>
        <v/>
      </c>
      <c r="Y237" s="107" t="str">
        <f t="shared" si="64"/>
        <v/>
      </c>
      <c r="Z237" s="107" t="str">
        <f t="shared" si="64"/>
        <v/>
      </c>
      <c r="AA237" s="107" t="str">
        <f t="shared" si="64"/>
        <v/>
      </c>
      <c r="AB237" s="107" t="str">
        <f t="shared" si="64"/>
        <v/>
      </c>
      <c r="AC237" s="107" t="str">
        <f t="shared" si="64"/>
        <v/>
      </c>
      <c r="AD237" s="107" t="str">
        <f t="shared" si="64"/>
        <v/>
      </c>
      <c r="AE237" s="107" t="str">
        <f t="shared" si="64"/>
        <v/>
      </c>
      <c r="AF237" s="107" t="str">
        <f t="shared" si="64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5">IF(B205&lt;100,"",B205-330)</f>
        <v/>
      </c>
      <c r="C238" s="107" t="str">
        <f t="shared" si="65"/>
        <v/>
      </c>
      <c r="D238" s="107" t="str">
        <f t="shared" si="65"/>
        <v/>
      </c>
      <c r="E238" s="107" t="str">
        <f t="shared" si="65"/>
        <v/>
      </c>
      <c r="F238" s="107" t="str">
        <f t="shared" si="65"/>
        <v/>
      </c>
      <c r="G238" s="107" t="str">
        <f t="shared" si="65"/>
        <v/>
      </c>
      <c r="H238" s="107" t="str">
        <f t="shared" si="65"/>
        <v/>
      </c>
      <c r="I238" s="107" t="str">
        <f t="shared" si="65"/>
        <v/>
      </c>
      <c r="J238" s="107" t="str">
        <f t="shared" si="65"/>
        <v/>
      </c>
      <c r="K238" s="107" t="str">
        <f t="shared" si="65"/>
        <v/>
      </c>
      <c r="L238" s="107" t="str">
        <f t="shared" si="65"/>
        <v/>
      </c>
      <c r="M238" s="107" t="str">
        <f t="shared" si="65"/>
        <v/>
      </c>
      <c r="N238" s="107" t="str">
        <f t="shared" si="65"/>
        <v/>
      </c>
      <c r="O238" s="107" t="str">
        <f t="shared" si="65"/>
        <v/>
      </c>
      <c r="P238" s="107" t="str">
        <f t="shared" si="65"/>
        <v/>
      </c>
      <c r="Q238" s="107" t="str">
        <f t="shared" si="65"/>
        <v/>
      </c>
      <c r="R238" s="107" t="str">
        <f t="shared" si="65"/>
        <v/>
      </c>
      <c r="S238" s="107" t="str">
        <f t="shared" si="65"/>
        <v/>
      </c>
      <c r="T238" s="107" t="str">
        <f t="shared" si="65"/>
        <v/>
      </c>
      <c r="U238" s="107" t="str">
        <f t="shared" si="65"/>
        <v/>
      </c>
      <c r="V238" s="107" t="str">
        <f t="shared" si="65"/>
        <v/>
      </c>
      <c r="W238" s="107" t="str">
        <f t="shared" si="65"/>
        <v/>
      </c>
      <c r="X238" s="107" t="str">
        <f t="shared" si="65"/>
        <v/>
      </c>
      <c r="Y238" s="107" t="str">
        <f t="shared" si="65"/>
        <v/>
      </c>
      <c r="Z238" s="107" t="str">
        <f t="shared" si="65"/>
        <v/>
      </c>
      <c r="AA238" s="107" t="str">
        <f t="shared" si="65"/>
        <v/>
      </c>
      <c r="AB238" s="107" t="str">
        <f t="shared" si="65"/>
        <v/>
      </c>
      <c r="AC238" s="107" t="str">
        <f t="shared" si="65"/>
        <v/>
      </c>
      <c r="AD238" s="107" t="str">
        <f t="shared" si="65"/>
        <v/>
      </c>
      <c r="AE238" s="107" t="str">
        <f t="shared" si="65"/>
        <v/>
      </c>
      <c r="AF238" s="107" t="str">
        <f t="shared" si="65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6">IF(C206&lt;100,"",C206-1500)</f>
        <v/>
      </c>
      <c r="D239" s="107" t="str">
        <f t="shared" si="66"/>
        <v/>
      </c>
      <c r="E239" s="107" t="str">
        <f t="shared" si="66"/>
        <v/>
      </c>
      <c r="F239" s="107" t="str">
        <f t="shared" si="66"/>
        <v/>
      </c>
      <c r="G239" s="107" t="str">
        <f t="shared" si="66"/>
        <v/>
      </c>
      <c r="H239" s="107" t="str">
        <f t="shared" si="66"/>
        <v/>
      </c>
      <c r="I239" s="107" t="str">
        <f t="shared" si="66"/>
        <v/>
      </c>
      <c r="J239" s="107" t="str">
        <f t="shared" si="66"/>
        <v/>
      </c>
      <c r="K239" s="107" t="str">
        <f t="shared" si="66"/>
        <v/>
      </c>
      <c r="L239" s="107" t="str">
        <f t="shared" si="66"/>
        <v/>
      </c>
      <c r="M239" s="107" t="str">
        <f t="shared" si="66"/>
        <v/>
      </c>
      <c r="N239" s="107" t="str">
        <f t="shared" si="66"/>
        <v/>
      </c>
      <c r="O239" s="107" t="str">
        <f t="shared" si="66"/>
        <v/>
      </c>
      <c r="P239" s="107" t="str">
        <f t="shared" si="66"/>
        <v/>
      </c>
      <c r="Q239" s="107" t="str">
        <f t="shared" si="66"/>
        <v/>
      </c>
      <c r="R239" s="107" t="str">
        <f t="shared" si="66"/>
        <v/>
      </c>
      <c r="S239" s="107" t="str">
        <f t="shared" si="66"/>
        <v/>
      </c>
      <c r="T239" s="107" t="str">
        <f t="shared" si="66"/>
        <v/>
      </c>
      <c r="U239" s="107" t="str">
        <f t="shared" si="66"/>
        <v/>
      </c>
      <c r="V239" s="107" t="str">
        <f t="shared" si="66"/>
        <v/>
      </c>
      <c r="W239" s="107" t="str">
        <f t="shared" si="66"/>
        <v/>
      </c>
      <c r="X239" s="107" t="str">
        <f t="shared" si="66"/>
        <v/>
      </c>
      <c r="Y239" s="107" t="str">
        <f t="shared" si="66"/>
        <v/>
      </c>
      <c r="Z239" s="107" t="str">
        <f t="shared" si="66"/>
        <v/>
      </c>
      <c r="AA239" s="107" t="str">
        <f t="shared" si="66"/>
        <v/>
      </c>
      <c r="AB239" s="107" t="str">
        <f t="shared" si="66"/>
        <v/>
      </c>
      <c r="AC239" s="107" t="str">
        <f t="shared" si="66"/>
        <v/>
      </c>
      <c r="AD239" s="107" t="str">
        <f t="shared" si="66"/>
        <v/>
      </c>
      <c r="AE239" s="107" t="str">
        <f t="shared" si="66"/>
        <v/>
      </c>
      <c r="AF239" s="107" t="str">
        <f t="shared" si="66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T11:AF11 J74:AF74">
    <cfRule type="expression" dxfId="1345" priority="202">
      <formula>B$9&gt;=20/24</formula>
    </cfRule>
    <cfRule type="expression" dxfId="1344" priority="203">
      <formula>AND(B$9&gt;=14/24,B$9&lt;20/24)</formula>
    </cfRule>
    <cfRule type="expression" dxfId="1343" priority="204">
      <formula>AND(B$9&gt;=8/24,B$9&lt;14/24)</formula>
    </cfRule>
    <cfRule type="expression" dxfId="1342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1341" priority="197">
      <formula>S$9&gt;=20/24</formula>
    </cfRule>
    <cfRule type="expression" dxfId="1340" priority="198">
      <formula>AND(S$9&gt;=14/24,S$9&lt;20/24)</formula>
    </cfRule>
    <cfRule type="expression" dxfId="1339" priority="199">
      <formula>AND(S$9&gt;=8/24,S$9&lt;14/24)</formula>
    </cfRule>
    <cfRule type="expression" dxfId="1338" priority="200">
      <formula>S$9&lt;8/24</formula>
    </cfRule>
  </conditionalFormatting>
  <conditionalFormatting sqref="AG51 S37:AF37 J11:AF11">
    <cfRule type="expression" dxfId="1337" priority="196">
      <formula>J11&gt;$AG11</formula>
    </cfRule>
  </conditionalFormatting>
  <conditionalFormatting sqref="A101:A157 A84:A97 A11:A14 A16:A32 A45:A72 A80:A82 A74:A78 A35:A43 A170:A200">
    <cfRule type="expression" dxfId="1336" priority="195">
      <formula>$AH11=0</formula>
    </cfRule>
  </conditionalFormatting>
  <conditionalFormatting sqref="A98">
    <cfRule type="expression" dxfId="1335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334" priority="192">
      <formula>$AH34=0</formula>
    </cfRule>
  </conditionalFormatting>
  <conditionalFormatting sqref="A83">
    <cfRule type="expression" dxfId="1333" priority="191">
      <formula>$AH83=0</formula>
    </cfRule>
  </conditionalFormatting>
  <conditionalFormatting sqref="A15">
    <cfRule type="expression" dxfId="1332" priority="190">
      <formula>$AH15=0</formula>
    </cfRule>
  </conditionalFormatting>
  <conditionalFormatting sqref="A164:A169">
    <cfRule type="expression" dxfId="1331" priority="189">
      <formula>$AH164=0</formula>
    </cfRule>
  </conditionalFormatting>
  <conditionalFormatting sqref="A158:A163">
    <cfRule type="expression" dxfId="1330" priority="188">
      <formula>$AH158=0</formula>
    </cfRule>
  </conditionalFormatting>
  <conditionalFormatting sqref="A44">
    <cfRule type="expression" dxfId="1329" priority="187">
      <formula>$AH44=0</formula>
    </cfRule>
  </conditionalFormatting>
  <conditionalFormatting sqref="A79">
    <cfRule type="expression" dxfId="1328" priority="186">
      <formula>$AH79=0</formula>
    </cfRule>
  </conditionalFormatting>
  <conditionalFormatting sqref="A73">
    <cfRule type="expression" dxfId="1327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326" priority="181">
      <formula>C$9&gt;=20/24</formula>
    </cfRule>
    <cfRule type="expression" dxfId="1325" priority="182">
      <formula>AND(C$9&gt;=14/24,C$9&lt;20/24)</formula>
    </cfRule>
    <cfRule type="expression" dxfId="1324" priority="183">
      <formula>AND(C$9&gt;=8/24,C$9&lt;14/24)</formula>
    </cfRule>
    <cfRule type="expression" dxfId="1323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322" priority="209">
      <formula>C$9&gt;=20/24</formula>
    </cfRule>
    <cfRule type="expression" dxfId="1321" priority="210">
      <formula>AND(C$9&gt;=14/24,C$9&lt;20/24)</formula>
    </cfRule>
    <cfRule type="expression" dxfId="1320" priority="211">
      <formula>AND(C$9&gt;=8/24,C$9&lt;14/24)</formula>
    </cfRule>
    <cfRule type="expression" dxfId="1319" priority="212">
      <formula>C$9&lt;8/24</formula>
    </cfRule>
  </conditionalFormatting>
  <conditionalFormatting sqref="A201">
    <cfRule type="expression" dxfId="1318" priority="213">
      <formula>$AH201=0</formula>
    </cfRule>
  </conditionalFormatting>
  <conditionalFormatting sqref="AG213">
    <cfRule type="expression" dxfId="1317" priority="214">
      <formula>B$9&gt;=20/24</formula>
    </cfRule>
    <cfRule type="expression" dxfId="1316" priority="215">
      <formula>AND(B$9&gt;=14/24,B$9&lt;20/24)</formula>
    </cfRule>
    <cfRule type="expression" dxfId="1315" priority="216">
      <formula>AND(B$9&gt;=8/24,B$9&lt;14/24)</formula>
    </cfRule>
    <cfRule type="expression" dxfId="1314" priority="217">
      <formula>B$9&lt;8/24</formula>
    </cfRule>
  </conditionalFormatting>
  <conditionalFormatting sqref="S8">
    <cfRule type="expression" dxfId="1313" priority="175">
      <formula>U$9&gt;=20/24</formula>
    </cfRule>
    <cfRule type="expression" dxfId="1312" priority="176">
      <formula>AND(U$9&gt;=14/24,U$9&lt;20/24)</formula>
    </cfRule>
    <cfRule type="expression" dxfId="1311" priority="177">
      <formula>AND(U$9&gt;=8/24,U$9&lt;14/24)</formula>
    </cfRule>
    <cfRule type="expression" dxfId="1310" priority="178">
      <formula>U$9&lt;8/24</formula>
    </cfRule>
  </conditionalFormatting>
  <conditionalFormatting sqref="AB8">
    <cfRule type="expression" dxfId="1309" priority="171">
      <formula>AD$9&gt;=20/24</formula>
    </cfRule>
    <cfRule type="expression" dxfId="1308" priority="172">
      <formula>AND(AD$9&gt;=14/24,AD$9&lt;20/24)</formula>
    </cfRule>
    <cfRule type="expression" dxfId="1307" priority="173">
      <formula>AND(AD$9&gt;=8/24,AD$9&lt;14/24)</formula>
    </cfRule>
    <cfRule type="expression" dxfId="1306" priority="174">
      <formula>AD$9&lt;8/24</formula>
    </cfRule>
  </conditionalFormatting>
  <conditionalFormatting sqref="AH213:AX213">
    <cfRule type="expression" dxfId="1305" priority="218">
      <formula>AG$9&gt;=20/24</formula>
    </cfRule>
    <cfRule type="expression" dxfId="1304" priority="219">
      <formula>AND(AG$9&gt;=14/24,AG$9&lt;20/24)</formula>
    </cfRule>
    <cfRule type="expression" dxfId="1303" priority="220">
      <formula>AND(AG$9&gt;=8/24,AG$9&lt;14/24)</formula>
    </cfRule>
    <cfRule type="expression" dxfId="1302" priority="221">
      <formula>AG$9&lt;8/24</formula>
    </cfRule>
  </conditionalFormatting>
  <conditionalFormatting sqref="T213">
    <cfRule type="expression" dxfId="1301" priority="222">
      <formula>AX$9&gt;=20/24</formula>
    </cfRule>
    <cfRule type="expression" dxfId="1300" priority="223">
      <formula>AND(AX$9&gt;=14/24,AX$9&lt;20/24)</formula>
    </cfRule>
    <cfRule type="expression" dxfId="1299" priority="224">
      <formula>AND(AX$9&gt;=8/24,AX$9&lt;14/24)</formula>
    </cfRule>
    <cfRule type="expression" dxfId="1298" priority="225">
      <formula>AX$9&lt;8/24</formula>
    </cfRule>
  </conditionalFormatting>
  <conditionalFormatting sqref="A99:A100">
    <cfRule type="expression" dxfId="1297" priority="170">
      <formula>$AH99=0</formula>
    </cfRule>
  </conditionalFormatting>
  <conditionalFormatting sqref="G11:I11 C57:AF57 E40:W41 X41 Y40:AF41">
    <cfRule type="expression" dxfId="1296" priority="166">
      <formula>C$9&gt;=20/24</formula>
    </cfRule>
    <cfRule type="expression" dxfId="1295" priority="167">
      <formula>AND(C$9&gt;=14/24,C$9&lt;20/24)</formula>
    </cfRule>
    <cfRule type="expression" dxfId="1294" priority="168">
      <formula>AND(C$9&gt;=8/24,C$9&lt;14/24)</formula>
    </cfRule>
    <cfRule type="expression" dxfId="1293" priority="169">
      <formula>C$9&lt;8/24</formula>
    </cfRule>
  </conditionalFormatting>
  <conditionalFormatting sqref="E39:W39 Y39:AF39">
    <cfRule type="expression" dxfId="1292" priority="162">
      <formula>E$9&gt;=20/24</formula>
    </cfRule>
    <cfRule type="expression" dxfId="1291" priority="163">
      <formula>AND(E$9&gt;=14/24,E$9&lt;20/24)</formula>
    </cfRule>
    <cfRule type="expression" dxfId="1290" priority="164">
      <formula>AND(E$9&gt;=8/24,E$9&lt;14/24)</formula>
    </cfRule>
    <cfRule type="expression" dxfId="1289" priority="165">
      <formula>E$9&lt;8/24</formula>
    </cfRule>
  </conditionalFormatting>
  <conditionalFormatting sqref="G11:I11 E39:W41 X41 Y39:AF41">
    <cfRule type="expression" dxfId="1288" priority="161">
      <formula>E11&gt;$AG11</formula>
    </cfRule>
  </conditionalFormatting>
  <conditionalFormatting sqref="C83:AF83 C75:AF81 C68:AF73 C56:AF56 G13:M14 M11:M12 D58:AF59 C85:AF91 N11:R14 Q60:AF60 D53:AF55 Y16:AF16 S12:AF14 J36:AF36 AB61:AF67">
    <cfRule type="expression" dxfId="1287" priority="157">
      <formula>C$9&gt;=20/24</formula>
    </cfRule>
    <cfRule type="expression" dxfId="1286" priority="158">
      <formula>AND(C$9&gt;=14/24,C$9&lt;20/24)</formula>
    </cfRule>
    <cfRule type="expression" dxfId="1285" priority="159">
      <formula>AND(C$9&gt;=8/24,C$9&lt;14/24)</formula>
    </cfRule>
    <cfRule type="expression" dxfId="1284" priority="160">
      <formula>C$9&lt;8/24</formula>
    </cfRule>
  </conditionalFormatting>
  <conditionalFormatting sqref="C38:AF38 AF42:AF43 C51:AF52 C56:AF56 C37:L37 J36:L36 G13:M15 M11:M12 M36:R37 N11:R15 F42:R43 S12:X15 D53:AF55 Y12:AF16 S36:AF36">
    <cfRule type="expression" dxfId="1283" priority="148">
      <formula>C11&gt;$AG11</formula>
    </cfRule>
  </conditionalFormatting>
  <conditionalFormatting sqref="G15:AF15">
    <cfRule type="expression" dxfId="1282" priority="140">
      <formula>G$9&gt;=20/24</formula>
    </cfRule>
    <cfRule type="expression" dxfId="1281" priority="141">
      <formula>AND(G$9&gt;=14/24,G$9&lt;20/24)</formula>
    </cfRule>
    <cfRule type="expression" dxfId="1280" priority="142">
      <formula>AND(G$9&gt;=8/24,G$9&lt;14/24)</formula>
    </cfRule>
    <cfRule type="expression" dxfId="1279" priority="143">
      <formula>G$9&lt;8/24</formula>
    </cfRule>
  </conditionalFormatting>
  <conditionalFormatting sqref="S11">
    <cfRule type="expression" dxfId="1278" priority="131">
      <formula>S$9&gt;=20/24</formula>
    </cfRule>
    <cfRule type="expression" dxfId="1277" priority="132">
      <formula>AND(S$9&gt;=14/24,S$9&lt;20/24)</formula>
    </cfRule>
    <cfRule type="expression" dxfId="1276" priority="133">
      <formula>AND(S$9&gt;=8/24,S$9&lt;14/24)</formula>
    </cfRule>
    <cfRule type="expression" dxfId="1275" priority="134">
      <formula>S$9&lt;8/24</formula>
    </cfRule>
  </conditionalFormatting>
  <conditionalFormatting sqref="AF44:AF48 Y42:AE42 AB48:AE48">
    <cfRule type="expression" dxfId="1274" priority="127">
      <formula>Y$9&gt;=20/24</formula>
    </cfRule>
    <cfRule type="expression" dxfId="1273" priority="128">
      <formula>AND(Y$9&gt;=14/24,Y$9&lt;20/24)</formula>
    </cfRule>
    <cfRule type="expression" dxfId="1272" priority="129">
      <formula>AND(Y$9&gt;=8/24,Y$9&lt;14/24)</formula>
    </cfRule>
    <cfRule type="expression" dxfId="1271" priority="130">
      <formula>Y$9&lt;8/24</formula>
    </cfRule>
  </conditionalFormatting>
  <conditionalFormatting sqref="AF44:AF48 Y42:AE42 AB48:AE48">
    <cfRule type="expression" dxfId="1270" priority="126">
      <formula>Y42&gt;$AG42</formula>
    </cfRule>
  </conditionalFormatting>
  <conditionalFormatting sqref="S42:X43 Y43:AE43">
    <cfRule type="expression" dxfId="1269" priority="122">
      <formula>S$9&gt;=20/24</formula>
    </cfRule>
    <cfRule type="expression" dxfId="1268" priority="123">
      <formula>AND(S$9&gt;=14/24,S$9&lt;20/24)</formula>
    </cfRule>
    <cfRule type="expression" dxfId="1267" priority="124">
      <formula>AND(S$9&gt;=8/24,S$9&lt;14/24)</formula>
    </cfRule>
    <cfRule type="expression" dxfId="1266" priority="125">
      <formula>S$9&lt;8/24</formula>
    </cfRule>
  </conditionalFormatting>
  <conditionalFormatting sqref="S42:X43 Y43:AE43">
    <cfRule type="expression" dxfId="1265" priority="121">
      <formula>S42&gt;$AG42</formula>
    </cfRule>
  </conditionalFormatting>
  <conditionalFormatting sqref="C74:I74 C11:F11 C13:F14 C12:L12">
    <cfRule type="expression" dxfId="1264" priority="113">
      <formula>C$9&gt;=20/24</formula>
    </cfRule>
    <cfRule type="expression" dxfId="1263" priority="114">
      <formula>AND(C$9&gt;=14/24,C$9&lt;20/24)</formula>
    </cfRule>
    <cfRule type="expression" dxfId="1262" priority="115">
      <formula>AND(C$9&gt;=8/24,C$9&lt;14/24)</formula>
    </cfRule>
    <cfRule type="expression" dxfId="1261" priority="116">
      <formula>C$9&lt;8/24</formula>
    </cfRule>
  </conditionalFormatting>
  <conditionalFormatting sqref="C11:F11 C13:F14 C12:L12">
    <cfRule type="expression" dxfId="1260" priority="104">
      <formula>C11&gt;$AG11</formula>
    </cfRule>
  </conditionalFormatting>
  <conditionalFormatting sqref="D40">
    <cfRule type="expression" dxfId="1259" priority="87">
      <formula>D$9&gt;=20/24</formula>
    </cfRule>
    <cfRule type="expression" dxfId="1258" priority="88">
      <formula>AND(D$9&gt;=14/24,D$9&lt;20/24)</formula>
    </cfRule>
    <cfRule type="expression" dxfId="1257" priority="89">
      <formula>AND(D$9&gt;=8/24,D$9&lt;14/24)</formula>
    </cfRule>
    <cfRule type="expression" dxfId="1256" priority="90">
      <formula>D$9&lt;8/24</formula>
    </cfRule>
  </conditionalFormatting>
  <conditionalFormatting sqref="D39">
    <cfRule type="expression" dxfId="1255" priority="83">
      <formula>D$9&gt;=20/24</formula>
    </cfRule>
    <cfRule type="expression" dxfId="1254" priority="84">
      <formula>AND(D$9&gt;=14/24,D$9&lt;20/24)</formula>
    </cfRule>
    <cfRule type="expression" dxfId="1253" priority="85">
      <formula>AND(D$9&gt;=8/24,D$9&lt;14/24)</formula>
    </cfRule>
    <cfRule type="expression" dxfId="1252" priority="86">
      <formula>D$9&lt;8/24</formula>
    </cfRule>
  </conditionalFormatting>
  <conditionalFormatting sqref="D39:D40">
    <cfRule type="expression" dxfId="1251" priority="82">
      <formula>D39&gt;$AG39</formula>
    </cfRule>
  </conditionalFormatting>
  <conditionalFormatting sqref="X40">
    <cfRule type="expression" dxfId="1250" priority="68">
      <formula>X$9&gt;=20/24</formula>
    </cfRule>
    <cfRule type="expression" dxfId="1249" priority="69">
      <formula>AND(X$9&gt;=14/24,X$9&lt;20/24)</formula>
    </cfRule>
    <cfRule type="expression" dxfId="1248" priority="70">
      <formula>AND(X$9&gt;=8/24,X$9&lt;14/24)</formula>
    </cfRule>
    <cfRule type="expression" dxfId="1247" priority="71">
      <formula>X$9&lt;8/24</formula>
    </cfRule>
  </conditionalFormatting>
  <conditionalFormatting sqref="X39">
    <cfRule type="expression" dxfId="1246" priority="64">
      <formula>X$9&gt;=20/24</formula>
    </cfRule>
    <cfRule type="expression" dxfId="1245" priority="65">
      <formula>AND(X$9&gt;=14/24,X$9&lt;20/24)</formula>
    </cfRule>
    <cfRule type="expression" dxfId="1244" priority="66">
      <formula>AND(X$9&gt;=8/24,X$9&lt;14/24)</formula>
    </cfRule>
    <cfRule type="expression" dxfId="1243" priority="67">
      <formula>X$9&lt;8/24</formula>
    </cfRule>
  </conditionalFormatting>
  <conditionalFormatting sqref="X39:X40">
    <cfRule type="expression" dxfId="1242" priority="63">
      <formula>X39&gt;$AG39</formula>
    </cfRule>
  </conditionalFormatting>
  <conditionalFormatting sqref="B82 B74 B94:B100 B11">
    <cfRule type="expression" dxfId="1241" priority="59">
      <formula>B$9&gt;=20/24</formula>
    </cfRule>
    <cfRule type="expression" dxfId="1240" priority="60">
      <formula>AND(B$9&gt;=14/24,B$9&lt;20/24)</formula>
    </cfRule>
    <cfRule type="expression" dxfId="1239" priority="61">
      <formula>AND(B$9&gt;=8/24,B$9&lt;14/24)</formula>
    </cfRule>
    <cfRule type="expression" dxfId="1238" priority="62">
      <formula>B$9&lt;8/24</formula>
    </cfRule>
  </conditionalFormatting>
  <conditionalFormatting sqref="B37">
    <cfRule type="expression" dxfId="1237" priority="55">
      <formula>B$9&gt;=20/24</formula>
    </cfRule>
    <cfRule type="expression" dxfId="1236" priority="56">
      <formula>AND(B$9&gt;=14/24,B$9&lt;20/24)</formula>
    </cfRule>
    <cfRule type="expression" dxfId="1235" priority="57">
      <formula>AND(B$9&gt;=8/24,B$9&lt;14/24)</formula>
    </cfRule>
    <cfRule type="expression" dxfId="1234" priority="58">
      <formula>B$9&lt;8/24</formula>
    </cfRule>
  </conditionalFormatting>
  <conditionalFormatting sqref="B37 B11">
    <cfRule type="expression" dxfId="1233" priority="54">
      <formula>B11&gt;$AG11</formula>
    </cfRule>
  </conditionalFormatting>
  <conditionalFormatting sqref="B84">
    <cfRule type="expression" dxfId="1232" priority="50">
      <formula>B$9&gt;=20/24</formula>
    </cfRule>
    <cfRule type="expression" dxfId="1231" priority="51">
      <formula>AND(B$9&gt;=14/24,B$9&lt;20/24)</formula>
    </cfRule>
    <cfRule type="expression" dxfId="1230" priority="52">
      <formula>AND(B$9&gt;=8/24,B$9&lt;14/24)</formula>
    </cfRule>
    <cfRule type="expression" dxfId="1229" priority="53">
      <formula>B$9&lt;8/24</formula>
    </cfRule>
  </conditionalFormatting>
  <conditionalFormatting sqref="B57 B40:C41 D41 B36:I36">
    <cfRule type="expression" dxfId="1228" priority="46">
      <formula>B$9&gt;=20/24</formula>
    </cfRule>
    <cfRule type="expression" dxfId="1227" priority="47">
      <formula>AND(B$9&gt;=14/24,B$9&lt;20/24)</formula>
    </cfRule>
    <cfRule type="expression" dxfId="1226" priority="48">
      <formula>AND(B$9&gt;=8/24,B$9&lt;14/24)</formula>
    </cfRule>
    <cfRule type="expression" dxfId="1225" priority="49">
      <formula>B$9&lt;8/24</formula>
    </cfRule>
  </conditionalFormatting>
  <conditionalFormatting sqref="B39:C39">
    <cfRule type="expression" dxfId="1224" priority="42">
      <formula>B$9&gt;=20/24</formula>
    </cfRule>
    <cfRule type="expression" dxfId="1223" priority="43">
      <formula>AND(B$9&gt;=14/24,B$9&lt;20/24)</formula>
    </cfRule>
    <cfRule type="expression" dxfId="1222" priority="44">
      <formula>AND(B$9&gt;=8/24,B$9&lt;14/24)</formula>
    </cfRule>
    <cfRule type="expression" dxfId="1221" priority="45">
      <formula>B$9&lt;8/24</formula>
    </cfRule>
  </conditionalFormatting>
  <conditionalFormatting sqref="B39:C41 D41 B36:I36">
    <cfRule type="expression" dxfId="1220" priority="41">
      <formula>B36&gt;$AG36</formula>
    </cfRule>
  </conditionalFormatting>
  <conditionalFormatting sqref="B83 B75:B81 B85:B91 B12:B14 B53:B56 B58:B73 C53:C55 C58:C59 C60:P67 B16:X16 Q61:AA67 B28:AF31 B18:AF22 B24:AF26">
    <cfRule type="expression" dxfId="1219" priority="37">
      <formula>B$9&gt;=20/24</formula>
    </cfRule>
    <cfRule type="expression" dxfId="1218" priority="38">
      <formula>AND(B$9&gt;=14/24,B$9&lt;20/24)</formula>
    </cfRule>
    <cfRule type="expression" dxfId="1217" priority="39">
      <formula>AND(B$9&gt;=8/24,B$9&lt;14/24)</formula>
    </cfRule>
    <cfRule type="expression" dxfId="1216" priority="40">
      <formula>B$9&lt;8/24</formula>
    </cfRule>
  </conditionalFormatting>
  <conditionalFormatting sqref="B32:AF32">
    <cfRule type="expression" dxfId="1215" priority="33">
      <formula>B$9&gt;=20/24</formula>
    </cfRule>
    <cfRule type="expression" dxfId="1214" priority="34">
      <formula>AND(B$9&gt;=14/24,B$9&lt;20/24)</formula>
    </cfRule>
    <cfRule type="expression" dxfId="1213" priority="35">
      <formula>AND(B$9&gt;=8/24,B$9&lt;14/24)</formula>
    </cfRule>
    <cfRule type="expression" dxfId="1212" priority="36">
      <formula>B$9&lt;8/24</formula>
    </cfRule>
  </conditionalFormatting>
  <conditionalFormatting sqref="B35:AF35">
    <cfRule type="expression" dxfId="1211" priority="29">
      <formula>B$9&gt;=20/24</formula>
    </cfRule>
    <cfRule type="expression" dxfId="1210" priority="30">
      <formula>AND(B$9&gt;=14/24,B$9&lt;20/24)</formula>
    </cfRule>
    <cfRule type="expression" dxfId="1209" priority="31">
      <formula>AND(B$9&gt;=8/24,B$9&lt;14/24)</formula>
    </cfRule>
    <cfRule type="expression" dxfId="1208" priority="32">
      <formula>B$9&lt;8/24</formula>
    </cfRule>
  </conditionalFormatting>
  <conditionalFormatting sqref="B38 B12:B16 B51:B56 C53:C55 B42:E43 C15:F16 G16:X16 B18:AF22 B24:AF32 B34:AF35">
    <cfRule type="expression" dxfId="1207" priority="28">
      <formula>B12&gt;$AG12</formula>
    </cfRule>
  </conditionalFormatting>
  <conditionalFormatting sqref="B34:AF34">
    <cfRule type="expression" dxfId="1206" priority="24">
      <formula>B$9&gt;=20/24</formula>
    </cfRule>
    <cfRule type="expression" dxfId="1205" priority="25">
      <formula>AND(B$9&gt;=14/24,B$9&lt;20/24)</formula>
    </cfRule>
    <cfRule type="expression" dxfId="1204" priority="26">
      <formula>AND(B$9&gt;=8/24,B$9&lt;14/24)</formula>
    </cfRule>
    <cfRule type="expression" dxfId="1203" priority="27">
      <formula>B$9&lt;8/24</formula>
    </cfRule>
  </conditionalFormatting>
  <conditionalFormatting sqref="B15:F15">
    <cfRule type="expression" dxfId="1202" priority="20">
      <formula>B$9&gt;=20/24</formula>
    </cfRule>
    <cfRule type="expression" dxfId="1201" priority="21">
      <formula>AND(B$9&gt;=14/24,B$9&lt;20/24)</formula>
    </cfRule>
    <cfRule type="expression" dxfId="1200" priority="22">
      <formula>AND(B$9&gt;=8/24,B$9&lt;14/24)</formula>
    </cfRule>
    <cfRule type="expression" dxfId="1199" priority="23">
      <formula>B$9&lt;8/24</formula>
    </cfRule>
  </conditionalFormatting>
  <conditionalFormatting sqref="B33:AF33">
    <cfRule type="expression" dxfId="1198" priority="16">
      <formula>B$9&gt;=20/24</formula>
    </cfRule>
    <cfRule type="expression" dxfId="1197" priority="17">
      <formula>AND(B$9&gt;=14/24,B$9&lt;20/24)</formula>
    </cfRule>
    <cfRule type="expression" dxfId="1196" priority="18">
      <formula>AND(B$9&gt;=8/24,B$9&lt;14/24)</formula>
    </cfRule>
    <cfRule type="expression" dxfId="1195" priority="19">
      <formula>B$9&lt;8/24</formula>
    </cfRule>
  </conditionalFormatting>
  <conditionalFormatting sqref="B33:AF33">
    <cfRule type="expression" dxfId="1194" priority="15">
      <formula>B33&gt;$AG33</formula>
    </cfRule>
  </conditionalFormatting>
  <conditionalFormatting sqref="B44:AE47 B48:AA48 B49:AF50">
    <cfRule type="expression" dxfId="1193" priority="11">
      <formula>B$9&gt;=20/24</formula>
    </cfRule>
    <cfRule type="expression" dxfId="1192" priority="12">
      <formula>AND(B$9&gt;=14/24,B$9&lt;20/24)</formula>
    </cfRule>
    <cfRule type="expression" dxfId="1191" priority="13">
      <formula>AND(B$9&gt;=8/24,B$9&lt;14/24)</formula>
    </cfRule>
    <cfRule type="expression" dxfId="1190" priority="14">
      <formula>B$9&lt;8/24</formula>
    </cfRule>
  </conditionalFormatting>
  <conditionalFormatting sqref="B44:AE47 B48:AA48 B49:AF50">
    <cfRule type="expression" dxfId="1189" priority="10">
      <formula>B44&gt;$AG44</formula>
    </cfRule>
  </conditionalFormatting>
  <conditionalFormatting sqref="B27:AF27">
    <cfRule type="expression" dxfId="1188" priority="6">
      <formula>B$9&gt;=20/24</formula>
    </cfRule>
    <cfRule type="expression" dxfId="1187" priority="7">
      <formula>AND(B$9&gt;=14/24,B$9&lt;20/24)</formula>
    </cfRule>
    <cfRule type="expression" dxfId="1186" priority="8">
      <formula>AND(B$9&gt;=8/24,B$9&lt;14/24)</formula>
    </cfRule>
    <cfRule type="expression" dxfId="1185" priority="9">
      <formula>B$9&lt;8/24</formula>
    </cfRule>
  </conditionalFormatting>
  <conditionalFormatting sqref="B17:AF17 B23:AF23">
    <cfRule type="expression" dxfId="1184" priority="2">
      <formula>B$9&gt;=20/24</formula>
    </cfRule>
    <cfRule type="expression" dxfId="1183" priority="3">
      <formula>AND(B$9&gt;=14/24,B$9&lt;20/24)</formula>
    </cfRule>
    <cfRule type="expression" dxfId="1182" priority="4">
      <formula>AND(B$9&gt;=8/24,B$9&lt;14/24)</formula>
    </cfRule>
    <cfRule type="expression" dxfId="1181" priority="5">
      <formula>B$9&lt;8/24</formula>
    </cfRule>
  </conditionalFormatting>
  <conditionalFormatting sqref="B17:AF17 B23:AF23">
    <cfRule type="expression" dxfId="1180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D899E66F-D7D9-43F2-A082-FB9A99E97FE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73" activePane="bottomRight" state="frozen"/>
      <selection activeCell="AF88" sqref="AF88"/>
      <selection pane="topRight" activeCell="AF88" sqref="AF88"/>
      <selection pane="bottomLeft" activeCell="AF88" sqref="AF88"/>
      <selection pane="bottomRight" activeCell="D97" sqref="D9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38" width="17.85546875" customWidth="1"/>
    <col min="39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2079/02/27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K4">
        <f>10404509+10261140+21526247+3556429+2185169+3150940</f>
        <v>51084434</v>
      </c>
      <c r="AL4" s="30">
        <f>AK4/(AK6*1000)</f>
        <v>6.6424078588935913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-258.5</v>
      </c>
      <c r="C5" s="32">
        <f t="shared" si="0"/>
        <v>-269.5</v>
      </c>
      <c r="D5" s="32">
        <f t="shared" si="0"/>
        <v>-277.79999999999995</v>
      </c>
      <c r="E5" s="32">
        <f t="shared" si="0"/>
        <v>-252.79999999999995</v>
      </c>
      <c r="F5" s="32">
        <f t="shared" si="0"/>
        <v>-280</v>
      </c>
      <c r="G5" s="32">
        <f t="shared" si="0"/>
        <v>-230.8</v>
      </c>
      <c r="H5" s="32">
        <f t="shared" si="0"/>
        <v>-214.79999999999998</v>
      </c>
      <c r="I5" s="32">
        <f t="shared" si="0"/>
        <v>-198.4</v>
      </c>
      <c r="J5" s="32">
        <f t="shared" si="0"/>
        <v>-189</v>
      </c>
      <c r="K5" s="32">
        <f t="shared" si="0"/>
        <v>-222</v>
      </c>
      <c r="L5" s="32">
        <f t="shared" si="0"/>
        <v>-210</v>
      </c>
      <c r="M5" s="32">
        <f t="shared" si="0"/>
        <v>-212.7</v>
      </c>
      <c r="N5" s="32">
        <f t="shared" si="0"/>
        <v>-195.89999999999998</v>
      </c>
      <c r="O5" s="32">
        <f t="shared" si="0"/>
        <v>-171.8</v>
      </c>
      <c r="P5" s="32">
        <f t="shared" si="0"/>
        <v>-165.29999999999998</v>
      </c>
      <c r="Q5" s="32">
        <f t="shared" si="0"/>
        <v>-169.70000000000002</v>
      </c>
      <c r="R5" s="32">
        <f t="shared" si="0"/>
        <v>-204.9</v>
      </c>
      <c r="S5" s="32">
        <f t="shared" si="0"/>
        <v>-197.6</v>
      </c>
      <c r="T5" s="32">
        <f t="shared" si="0"/>
        <v>-221.1</v>
      </c>
      <c r="U5" s="32">
        <f t="shared" si="0"/>
        <v>-226.5</v>
      </c>
      <c r="V5" s="32">
        <f t="shared" si="0"/>
        <v>-212.4</v>
      </c>
      <c r="W5" s="32">
        <f t="shared" si="0"/>
        <v>-185.1</v>
      </c>
      <c r="X5" s="32">
        <f t="shared" si="0"/>
        <v>-183.4</v>
      </c>
      <c r="Y5" s="32">
        <f t="shared" si="0"/>
        <v>-111.69999999999999</v>
      </c>
      <c r="Z5" s="32">
        <f t="shared" si="0"/>
        <v>-87</v>
      </c>
      <c r="AA5" s="32">
        <f t="shared" si="0"/>
        <v>-122.9</v>
      </c>
      <c r="AB5" s="32">
        <f t="shared" si="0"/>
        <v>-119.79999999999998</v>
      </c>
      <c r="AC5" s="32">
        <f t="shared" si="0"/>
        <v>-165.39999999999998</v>
      </c>
      <c r="AD5" s="32">
        <f t="shared" si="0"/>
        <v>-212.4</v>
      </c>
      <c r="AE5" s="32">
        <f t="shared" si="0"/>
        <v>-246.4</v>
      </c>
      <c r="AF5" s="32">
        <f>B68</f>
        <v>-225.8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1450MW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K6">
        <f>1591+1569+3290+369.75+334.5+536.4</f>
        <v>7690.65</v>
      </c>
      <c r="AL6" s="30">
        <f>AK6*AL4*1000*1.6</f>
        <v>81735094.399999991</v>
      </c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Load=1278</v>
      </c>
      <c r="B7" s="37">
        <f>B75</f>
        <v>1331.54</v>
      </c>
      <c r="C7" s="37">
        <f t="shared" ref="C7:AF7" si="1">C75</f>
        <v>1334.94</v>
      </c>
      <c r="D7" s="37">
        <f t="shared" si="1"/>
        <v>1277.94</v>
      </c>
      <c r="E7" s="37">
        <f t="shared" si="1"/>
        <v>1303.54</v>
      </c>
      <c r="F7" s="37">
        <f t="shared" si="1"/>
        <v>1330.54</v>
      </c>
      <c r="G7" s="37">
        <f t="shared" si="1"/>
        <v>1288.7399999999998</v>
      </c>
      <c r="H7" s="37">
        <f t="shared" si="1"/>
        <v>1311.9399999999998</v>
      </c>
      <c r="I7" s="37">
        <f t="shared" si="1"/>
        <v>1327.84</v>
      </c>
      <c r="J7" s="37">
        <f t="shared" si="1"/>
        <v>1360.2399999999998</v>
      </c>
      <c r="K7" s="37">
        <f t="shared" si="1"/>
        <v>1428.2399999999998</v>
      </c>
      <c r="L7" s="37">
        <f t="shared" si="1"/>
        <v>1419.2400000000002</v>
      </c>
      <c r="M7" s="37">
        <f t="shared" si="1"/>
        <v>1442.74</v>
      </c>
      <c r="N7" s="37">
        <f t="shared" si="1"/>
        <v>1450.14</v>
      </c>
      <c r="O7" s="37">
        <f t="shared" si="1"/>
        <v>1485.64</v>
      </c>
      <c r="P7" s="37">
        <f t="shared" si="1"/>
        <v>1507.6399999999999</v>
      </c>
      <c r="Q7" s="37">
        <f t="shared" si="1"/>
        <v>1486.14</v>
      </c>
      <c r="R7" s="37">
        <f t="shared" si="1"/>
        <v>1484.14</v>
      </c>
      <c r="S7" s="37">
        <f t="shared" si="1"/>
        <v>1488.7400000000002</v>
      </c>
      <c r="T7" s="37">
        <f t="shared" si="1"/>
        <v>1496.14</v>
      </c>
      <c r="U7" s="37">
        <f t="shared" si="1"/>
        <v>1417.44</v>
      </c>
      <c r="V7" s="37">
        <f t="shared" si="1"/>
        <v>1436.54</v>
      </c>
      <c r="W7" s="37">
        <f t="shared" si="1"/>
        <v>1346.24</v>
      </c>
      <c r="X7" s="37">
        <f t="shared" si="1"/>
        <v>1404.2400000000002</v>
      </c>
      <c r="Y7" s="37">
        <f t="shared" si="1"/>
        <v>1403.24</v>
      </c>
      <c r="Z7" s="37">
        <f t="shared" si="1"/>
        <v>1513.2400000000002</v>
      </c>
      <c r="AA7" s="37">
        <f t="shared" si="1"/>
        <v>1577.2400000000002</v>
      </c>
      <c r="AB7" s="37">
        <f t="shared" si="1"/>
        <v>1528.54</v>
      </c>
      <c r="AC7" s="37">
        <f t="shared" si="1"/>
        <v>1548.14</v>
      </c>
      <c r="AD7" s="37">
        <f t="shared" si="1"/>
        <v>1535.14</v>
      </c>
      <c r="AE7" s="37">
        <f t="shared" si="1"/>
        <v>1468.54</v>
      </c>
      <c r="AF7" s="37">
        <f t="shared" si="1"/>
        <v>1408.54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200"/>
      <c r="Z10" s="200"/>
      <c r="AA10" s="200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49">
        <v>456</v>
      </c>
      <c r="C11" s="51">
        <v>456</v>
      </c>
      <c r="D11" s="51">
        <v>456</v>
      </c>
      <c r="E11" s="51">
        <v>456</v>
      </c>
      <c r="F11" s="51">
        <v>456</v>
      </c>
      <c r="G11" s="51">
        <v>456</v>
      </c>
      <c r="H11" s="51">
        <v>456</v>
      </c>
      <c r="I11" s="51">
        <v>456</v>
      </c>
      <c r="J11" s="51">
        <v>456</v>
      </c>
      <c r="K11" s="52">
        <v>456</v>
      </c>
      <c r="L11" s="52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456</v>
      </c>
      <c r="W11" s="51">
        <v>430</v>
      </c>
      <c r="X11" s="49">
        <v>456</v>
      </c>
      <c r="Y11" s="49">
        <v>456</v>
      </c>
      <c r="Z11" s="49">
        <v>456</v>
      </c>
      <c r="AA11" s="49">
        <v>456</v>
      </c>
      <c r="AB11" s="49">
        <v>456</v>
      </c>
      <c r="AC11" s="49">
        <v>456</v>
      </c>
      <c r="AD11" s="49">
        <v>456</v>
      </c>
      <c r="AE11" s="49">
        <v>456</v>
      </c>
      <c r="AF11" s="49">
        <v>456</v>
      </c>
      <c r="AG11" s="53">
        <v>456</v>
      </c>
      <c r="AH11" s="54">
        <f>MAX(B11:AF11)</f>
        <v>456</v>
      </c>
      <c r="AI11" s="55">
        <f>MIN(B11:AF11)</f>
        <v>430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50</v>
      </c>
      <c r="I12" s="51">
        <v>50</v>
      </c>
      <c r="J12" s="51">
        <v>50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50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43.9</v>
      </c>
      <c r="C13" s="51">
        <v>43.6</v>
      </c>
      <c r="D13" s="51">
        <v>43.6</v>
      </c>
      <c r="E13" s="51">
        <v>43.6</v>
      </c>
      <c r="F13" s="51">
        <v>43.6</v>
      </c>
      <c r="G13" s="51">
        <v>51</v>
      </c>
      <c r="H13" s="51">
        <v>51</v>
      </c>
      <c r="I13" s="51">
        <v>51</v>
      </c>
      <c r="J13" s="51">
        <v>51</v>
      </c>
      <c r="K13" s="51">
        <v>51</v>
      </c>
      <c r="L13" s="51">
        <v>51.2</v>
      </c>
      <c r="M13" s="51">
        <v>51.2</v>
      </c>
      <c r="N13" s="51">
        <v>51.1</v>
      </c>
      <c r="O13" s="51">
        <v>51.1</v>
      </c>
      <c r="P13" s="51">
        <v>51.5</v>
      </c>
      <c r="Q13" s="51">
        <v>44.2</v>
      </c>
      <c r="R13" s="51">
        <v>53.1</v>
      </c>
      <c r="S13" s="51">
        <v>53.1</v>
      </c>
      <c r="T13" s="51">
        <v>53.1</v>
      </c>
      <c r="U13" s="51">
        <v>53.1</v>
      </c>
      <c r="V13" s="51">
        <v>53.1</v>
      </c>
      <c r="W13" s="51">
        <v>53.1</v>
      </c>
      <c r="X13" s="51">
        <v>53.1</v>
      </c>
      <c r="Y13" s="51">
        <v>53.1</v>
      </c>
      <c r="Z13" s="51">
        <v>53.1</v>
      </c>
      <c r="AA13" s="51">
        <v>53.1</v>
      </c>
      <c r="AB13" s="51">
        <v>53.1</v>
      </c>
      <c r="AC13" s="51">
        <v>53.1</v>
      </c>
      <c r="AD13" s="51">
        <v>53.1</v>
      </c>
      <c r="AE13" s="51">
        <v>53.1</v>
      </c>
      <c r="AF13" s="51">
        <v>53.1</v>
      </c>
      <c r="AG13" s="58">
        <v>52.4</v>
      </c>
      <c r="AH13" s="54">
        <f t="shared" si="2"/>
        <v>53.1</v>
      </c>
      <c r="AI13" s="55">
        <f t="shared" si="3"/>
        <v>43.6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49.9</v>
      </c>
      <c r="C14" s="51">
        <v>50.3</v>
      </c>
      <c r="D14" s="51">
        <v>50.3</v>
      </c>
      <c r="E14" s="51">
        <v>50.3</v>
      </c>
      <c r="F14" s="51">
        <v>50.3</v>
      </c>
      <c r="G14" s="51">
        <v>50.3</v>
      </c>
      <c r="H14" s="51">
        <v>50.3</v>
      </c>
      <c r="I14" s="51">
        <v>50.3</v>
      </c>
      <c r="J14" s="51">
        <v>50.3</v>
      </c>
      <c r="K14" s="51">
        <v>50.3</v>
      </c>
      <c r="L14" s="51">
        <v>50.2</v>
      </c>
      <c r="M14" s="51">
        <v>50.5</v>
      </c>
      <c r="N14" s="51">
        <v>50.4</v>
      </c>
      <c r="O14" s="51">
        <v>50.4</v>
      </c>
      <c r="P14" s="51">
        <v>50.3</v>
      </c>
      <c r="Q14" s="51">
        <v>50.3</v>
      </c>
      <c r="R14" s="51">
        <v>50.5</v>
      </c>
      <c r="S14" s="51">
        <v>50.5</v>
      </c>
      <c r="T14" s="51">
        <v>50.5</v>
      </c>
      <c r="U14" s="51">
        <v>50.5</v>
      </c>
      <c r="V14" s="51">
        <v>50.5</v>
      </c>
      <c r="W14" s="51">
        <v>50.5</v>
      </c>
      <c r="X14" s="51">
        <v>50.5</v>
      </c>
      <c r="Y14" s="51">
        <v>50.5</v>
      </c>
      <c r="Z14" s="51">
        <v>50.5</v>
      </c>
      <c r="AA14" s="51">
        <v>50.5</v>
      </c>
      <c r="AB14" s="51">
        <v>50.5</v>
      </c>
      <c r="AC14" s="51">
        <v>50.5</v>
      </c>
      <c r="AD14" s="51">
        <v>50.5</v>
      </c>
      <c r="AE14" s="51">
        <v>50.5</v>
      </c>
      <c r="AF14" s="51">
        <v>50.5</v>
      </c>
      <c r="AG14" s="58">
        <v>50</v>
      </c>
      <c r="AH14" s="54">
        <f t="shared" si="2"/>
        <v>50.5</v>
      </c>
      <c r="AI14" s="55">
        <f t="shared" si="3"/>
        <v>49.9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45.4</v>
      </c>
      <c r="C15" s="51">
        <v>45.6</v>
      </c>
      <c r="D15" s="51">
        <v>45.6</v>
      </c>
      <c r="E15" s="51">
        <v>45.6</v>
      </c>
      <c r="F15" s="51">
        <v>45.6</v>
      </c>
      <c r="G15" s="51">
        <v>45.6</v>
      </c>
      <c r="H15" s="51">
        <v>45.6</v>
      </c>
      <c r="I15" s="51">
        <v>45.6</v>
      </c>
      <c r="J15" s="51">
        <v>45.6</v>
      </c>
      <c r="K15" s="51">
        <v>45.6</v>
      </c>
      <c r="L15" s="51">
        <v>45.4</v>
      </c>
      <c r="M15" s="51">
        <v>45.4</v>
      </c>
      <c r="N15" s="51">
        <v>45.4</v>
      </c>
      <c r="O15" s="51">
        <v>45.4</v>
      </c>
      <c r="P15" s="51">
        <v>45.3</v>
      </c>
      <c r="Q15" s="51">
        <v>45.3</v>
      </c>
      <c r="R15" s="51">
        <v>45.3</v>
      </c>
      <c r="S15" s="51">
        <v>45.3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45.6</v>
      </c>
      <c r="AA15" s="51">
        <v>45.6</v>
      </c>
      <c r="AB15" s="51">
        <v>45.6</v>
      </c>
      <c r="AC15" s="51">
        <v>45.6</v>
      </c>
      <c r="AD15" s="51">
        <v>45.6</v>
      </c>
      <c r="AE15" s="51">
        <v>45.6</v>
      </c>
      <c r="AF15" s="51">
        <v>45.6</v>
      </c>
      <c r="AG15" s="59">
        <v>45</v>
      </c>
      <c r="AH15" s="54">
        <f t="shared" si="2"/>
        <v>45.6</v>
      </c>
      <c r="AI15" s="55">
        <f t="shared" si="3"/>
        <v>45.3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36</v>
      </c>
      <c r="C16" s="51">
        <v>36</v>
      </c>
      <c r="D16" s="51">
        <v>36</v>
      </c>
      <c r="E16" s="51">
        <v>36</v>
      </c>
      <c r="F16" s="51">
        <v>36</v>
      </c>
      <c r="G16" s="51">
        <v>36</v>
      </c>
      <c r="H16" s="51">
        <v>36</v>
      </c>
      <c r="I16" s="51">
        <v>36</v>
      </c>
      <c r="J16" s="51">
        <v>36</v>
      </c>
      <c r="K16" s="51">
        <v>36</v>
      </c>
      <c r="L16" s="51">
        <v>36</v>
      </c>
      <c r="M16" s="51">
        <v>36</v>
      </c>
      <c r="N16" s="51">
        <v>36</v>
      </c>
      <c r="O16" s="51">
        <v>36</v>
      </c>
      <c r="P16" s="51">
        <v>36</v>
      </c>
      <c r="Q16" s="51">
        <v>36</v>
      </c>
      <c r="R16" s="51">
        <v>36</v>
      </c>
      <c r="S16" s="51">
        <v>38</v>
      </c>
      <c r="T16" s="51">
        <v>38</v>
      </c>
      <c r="U16" s="51">
        <v>38</v>
      </c>
      <c r="V16" s="51">
        <v>38</v>
      </c>
      <c r="W16" s="51">
        <v>38</v>
      </c>
      <c r="X16" s="51">
        <v>38</v>
      </c>
      <c r="Y16" s="51">
        <v>38</v>
      </c>
      <c r="Z16" s="51">
        <v>38</v>
      </c>
      <c r="AA16" s="51">
        <v>38</v>
      </c>
      <c r="AB16" s="51">
        <v>38</v>
      </c>
      <c r="AC16" s="51">
        <v>38</v>
      </c>
      <c r="AD16" s="51">
        <v>38</v>
      </c>
      <c r="AE16" s="51">
        <v>38</v>
      </c>
      <c r="AF16" s="51">
        <v>38</v>
      </c>
      <c r="AG16" s="58">
        <v>45</v>
      </c>
      <c r="AH16" s="54">
        <f t="shared" si="2"/>
        <v>38</v>
      </c>
      <c r="AI16" s="55">
        <f t="shared" si="3"/>
        <v>36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8">
        <v>42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0</v>
      </c>
      <c r="I18" s="51">
        <v>0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25.9</v>
      </c>
      <c r="C19" s="51">
        <v>26.3</v>
      </c>
      <c r="D19" s="51">
        <v>26.3</v>
      </c>
      <c r="E19" s="51">
        <v>26.3</v>
      </c>
      <c r="F19" s="51">
        <v>26.3</v>
      </c>
      <c r="G19" s="51">
        <v>26.3</v>
      </c>
      <c r="H19" s="51">
        <v>26.3</v>
      </c>
      <c r="I19" s="51">
        <v>26.3</v>
      </c>
      <c r="J19" s="51">
        <v>26.3</v>
      </c>
      <c r="K19" s="51">
        <v>26.3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0</v>
      </c>
      <c r="AF19" s="51">
        <v>0</v>
      </c>
      <c r="AG19" s="58">
        <v>30</v>
      </c>
      <c r="AH19" s="54">
        <f t="shared" si="2"/>
        <v>26.3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15.5</v>
      </c>
      <c r="C20" s="51">
        <v>15.5</v>
      </c>
      <c r="D20" s="51">
        <v>15.5</v>
      </c>
      <c r="E20" s="51">
        <v>15.5</v>
      </c>
      <c r="F20" s="51">
        <v>15.5</v>
      </c>
      <c r="G20" s="51">
        <v>15.5</v>
      </c>
      <c r="H20" s="51">
        <v>15.5</v>
      </c>
      <c r="I20" s="51">
        <v>15.5</v>
      </c>
      <c r="J20" s="51">
        <v>15.5</v>
      </c>
      <c r="K20" s="51">
        <v>15.5</v>
      </c>
      <c r="L20" s="51">
        <v>15.5</v>
      </c>
      <c r="M20" s="51">
        <v>15.5</v>
      </c>
      <c r="N20" s="51">
        <v>15.5</v>
      </c>
      <c r="O20" s="51">
        <v>15.5</v>
      </c>
      <c r="P20" s="51">
        <v>15.5</v>
      </c>
      <c r="Q20" s="51">
        <v>15.5</v>
      </c>
      <c r="R20" s="51">
        <v>15.5</v>
      </c>
      <c r="S20" s="51">
        <v>15.5</v>
      </c>
      <c r="T20" s="51">
        <v>15.5</v>
      </c>
      <c r="U20" s="51">
        <v>15.5</v>
      </c>
      <c r="V20" s="51">
        <v>15.5</v>
      </c>
      <c r="W20" s="51">
        <v>15.5</v>
      </c>
      <c r="X20" s="51">
        <v>15.5</v>
      </c>
      <c r="Y20" s="51">
        <v>15.5</v>
      </c>
      <c r="Z20" s="51">
        <v>15.5</v>
      </c>
      <c r="AA20" s="51">
        <v>15.5</v>
      </c>
      <c r="AB20" s="51">
        <v>15.5</v>
      </c>
      <c r="AC20" s="51">
        <v>15.5</v>
      </c>
      <c r="AD20" s="51">
        <v>15.5</v>
      </c>
      <c r="AE20" s="51">
        <v>15.5</v>
      </c>
      <c r="AF20" s="51">
        <v>15.5</v>
      </c>
      <c r="AG20" s="58">
        <v>27</v>
      </c>
      <c r="AH20" s="54">
        <f t="shared" si="2"/>
        <v>15.5</v>
      </c>
      <c r="AI20" s="55">
        <f t="shared" si="3"/>
        <v>15.5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22.1</v>
      </c>
      <c r="O22" s="51">
        <v>22.1</v>
      </c>
      <c r="P22" s="51">
        <v>22.1</v>
      </c>
      <c r="Q22" s="51">
        <v>0</v>
      </c>
      <c r="R22" s="51">
        <v>23.9</v>
      </c>
      <c r="S22" s="51">
        <v>23.9</v>
      </c>
      <c r="T22" s="51">
        <v>23.9</v>
      </c>
      <c r="U22" s="51">
        <v>23.9</v>
      </c>
      <c r="V22" s="51">
        <v>23.9</v>
      </c>
      <c r="W22" s="51">
        <v>23.9</v>
      </c>
      <c r="X22" s="51">
        <v>23.9</v>
      </c>
      <c r="Y22" s="51">
        <v>23.9</v>
      </c>
      <c r="Z22" s="51">
        <v>23.9</v>
      </c>
      <c r="AA22" s="51">
        <v>23.9</v>
      </c>
      <c r="AB22" s="51">
        <v>23.9</v>
      </c>
      <c r="AC22" s="51">
        <v>22.9</v>
      </c>
      <c r="AD22" s="51">
        <v>22.9</v>
      </c>
      <c r="AE22" s="51">
        <v>22.9</v>
      </c>
      <c r="AF22" s="51">
        <v>22.9</v>
      </c>
      <c r="AG22" s="58">
        <v>25</v>
      </c>
      <c r="AH22" s="54">
        <f t="shared" si="2"/>
        <v>23.9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23.2</v>
      </c>
      <c r="C24" s="51">
        <v>23.2</v>
      </c>
      <c r="D24" s="51">
        <v>23.2</v>
      </c>
      <c r="E24" s="51">
        <v>23.2</v>
      </c>
      <c r="F24" s="51">
        <v>23.2</v>
      </c>
      <c r="G24" s="51">
        <v>23.2</v>
      </c>
      <c r="H24" s="51">
        <v>23.2</v>
      </c>
      <c r="I24" s="51">
        <v>23.2</v>
      </c>
      <c r="J24" s="51">
        <v>23.2</v>
      </c>
      <c r="K24" s="51">
        <v>23.2</v>
      </c>
      <c r="L24" s="51">
        <v>23</v>
      </c>
      <c r="M24" s="51">
        <v>23</v>
      </c>
      <c r="N24" s="51">
        <v>23</v>
      </c>
      <c r="O24" s="51">
        <v>23</v>
      </c>
      <c r="P24" s="51">
        <v>23</v>
      </c>
      <c r="Q24" s="51">
        <v>23</v>
      </c>
      <c r="R24" s="51">
        <v>23.6</v>
      </c>
      <c r="S24" s="51">
        <v>23.6</v>
      </c>
      <c r="T24" s="51">
        <v>23.6</v>
      </c>
      <c r="U24" s="51">
        <v>23.6</v>
      </c>
      <c r="V24" s="51">
        <v>23.6</v>
      </c>
      <c r="W24" s="51">
        <v>23.6</v>
      </c>
      <c r="X24" s="51">
        <v>23.6</v>
      </c>
      <c r="Y24" s="51">
        <v>23.6</v>
      </c>
      <c r="Z24" s="51">
        <v>23.6</v>
      </c>
      <c r="AA24" s="51">
        <v>23.6</v>
      </c>
      <c r="AB24" s="51">
        <v>23.6</v>
      </c>
      <c r="AC24" s="51">
        <v>22.4</v>
      </c>
      <c r="AD24" s="51">
        <v>22.4</v>
      </c>
      <c r="AE24" s="51">
        <v>22.4</v>
      </c>
      <c r="AF24" s="51">
        <v>22.4</v>
      </c>
      <c r="AG24" s="58">
        <v>25</v>
      </c>
      <c r="AH24" s="54">
        <f t="shared" si="2"/>
        <v>23.6</v>
      </c>
      <c r="AI24" s="55">
        <f t="shared" si="3"/>
        <v>22.4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6</v>
      </c>
      <c r="C26" s="51">
        <v>6</v>
      </c>
      <c r="D26" s="51">
        <v>0</v>
      </c>
      <c r="E26" s="51">
        <v>0</v>
      </c>
      <c r="F26" s="51">
        <v>0</v>
      </c>
      <c r="G26" s="51">
        <v>8</v>
      </c>
      <c r="H26" s="51">
        <v>8</v>
      </c>
      <c r="I26" s="51">
        <v>8</v>
      </c>
      <c r="J26" s="51">
        <v>8</v>
      </c>
      <c r="K26" s="51">
        <v>8</v>
      </c>
      <c r="L26" s="51">
        <v>8</v>
      </c>
      <c r="M26" s="51">
        <v>8</v>
      </c>
      <c r="N26" s="51">
        <v>8</v>
      </c>
      <c r="O26" s="51">
        <v>8</v>
      </c>
      <c r="P26" s="51">
        <v>8</v>
      </c>
      <c r="Q26" s="51">
        <v>8</v>
      </c>
      <c r="R26" s="51">
        <v>8</v>
      </c>
      <c r="S26" s="51">
        <v>8</v>
      </c>
      <c r="T26" s="51">
        <v>8</v>
      </c>
      <c r="U26" s="51">
        <v>8</v>
      </c>
      <c r="V26" s="51">
        <v>8</v>
      </c>
      <c r="W26" s="51">
        <v>8</v>
      </c>
      <c r="X26" s="51">
        <v>8</v>
      </c>
      <c r="Y26" s="51">
        <v>8</v>
      </c>
      <c r="Z26" s="51">
        <v>8</v>
      </c>
      <c r="AA26" s="51">
        <v>8</v>
      </c>
      <c r="AB26" s="51">
        <v>8</v>
      </c>
      <c r="AC26" s="51">
        <v>7</v>
      </c>
      <c r="AD26" s="51">
        <v>7</v>
      </c>
      <c r="AE26" s="51">
        <v>7</v>
      </c>
      <c r="AF26" s="51">
        <v>7</v>
      </c>
      <c r="AG26" s="58">
        <v>20</v>
      </c>
      <c r="AH26" s="54">
        <f t="shared" si="2"/>
        <v>8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8.8000000000000007</v>
      </c>
      <c r="C34" s="51">
        <v>8.8000000000000007</v>
      </c>
      <c r="D34" s="51">
        <v>8.8000000000000007</v>
      </c>
      <c r="E34" s="51">
        <v>8.8000000000000007</v>
      </c>
      <c r="F34" s="51">
        <v>8.8000000000000007</v>
      </c>
      <c r="G34" s="51">
        <v>8.8000000000000007</v>
      </c>
      <c r="H34" s="51">
        <v>8.8000000000000007</v>
      </c>
      <c r="I34" s="51">
        <v>8.8000000000000007</v>
      </c>
      <c r="J34" s="51">
        <v>8.8000000000000007</v>
      </c>
      <c r="K34" s="51">
        <v>8.8000000000000007</v>
      </c>
      <c r="L34" s="51">
        <v>8.8000000000000007</v>
      </c>
      <c r="M34" s="51">
        <v>8.8000000000000007</v>
      </c>
      <c r="N34" s="51">
        <v>8.8000000000000007</v>
      </c>
      <c r="O34" s="51">
        <v>8.8000000000000007</v>
      </c>
      <c r="P34" s="51">
        <v>8.8000000000000007</v>
      </c>
      <c r="Q34" s="51">
        <v>8.8000000000000007</v>
      </c>
      <c r="R34" s="51">
        <v>8.8000000000000007</v>
      </c>
      <c r="S34" s="51">
        <v>8.8000000000000007</v>
      </c>
      <c r="T34" s="51">
        <v>8.8000000000000007</v>
      </c>
      <c r="U34" s="51">
        <v>8.8000000000000007</v>
      </c>
      <c r="V34" s="51">
        <v>8.8000000000000007</v>
      </c>
      <c r="W34" s="51">
        <v>8.8000000000000007</v>
      </c>
      <c r="X34" s="51">
        <v>8.8000000000000007</v>
      </c>
      <c r="Y34" s="51">
        <v>8.8000000000000007</v>
      </c>
      <c r="Z34" s="51">
        <v>8.8000000000000007</v>
      </c>
      <c r="AA34" s="51">
        <v>8.8000000000000007</v>
      </c>
      <c r="AB34" s="51">
        <v>8.8000000000000007</v>
      </c>
      <c r="AC34" s="51">
        <v>8.8000000000000007</v>
      </c>
      <c r="AD34" s="51">
        <v>8.8000000000000007</v>
      </c>
      <c r="AE34" s="51">
        <v>8.8000000000000007</v>
      </c>
      <c r="AF34" s="51">
        <v>8.8000000000000007</v>
      </c>
      <c r="AG34" s="63">
        <v>20</v>
      </c>
      <c r="AH34" s="54">
        <f t="shared" si="2"/>
        <v>8.8000000000000007</v>
      </c>
      <c r="AI34" s="55">
        <f t="shared" si="3"/>
        <v>8.8000000000000007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260</v>
      </c>
      <c r="C36" s="65">
        <v>260</v>
      </c>
      <c r="D36" s="65">
        <v>260</v>
      </c>
      <c r="E36" s="65">
        <v>260</v>
      </c>
      <c r="F36" s="65">
        <v>260</v>
      </c>
      <c r="G36" s="65">
        <v>260</v>
      </c>
      <c r="H36" s="65">
        <v>260</v>
      </c>
      <c r="I36" s="65">
        <v>260</v>
      </c>
      <c r="J36" s="65">
        <v>260</v>
      </c>
      <c r="K36" s="65">
        <v>260</v>
      </c>
      <c r="L36" s="65">
        <v>260</v>
      </c>
      <c r="M36" s="65">
        <v>260</v>
      </c>
      <c r="N36" s="65">
        <v>260</v>
      </c>
      <c r="O36" s="65">
        <v>260</v>
      </c>
      <c r="P36" s="65">
        <v>260</v>
      </c>
      <c r="Q36" s="65">
        <v>260</v>
      </c>
      <c r="R36" s="65">
        <v>260</v>
      </c>
      <c r="S36" s="65">
        <v>260</v>
      </c>
      <c r="T36" s="65">
        <v>260</v>
      </c>
      <c r="U36" s="65">
        <v>260</v>
      </c>
      <c r="V36" s="65">
        <v>260</v>
      </c>
      <c r="W36" s="65">
        <v>260</v>
      </c>
      <c r="X36" s="65">
        <v>260</v>
      </c>
      <c r="Y36" s="65">
        <v>260</v>
      </c>
      <c r="Z36" s="65">
        <v>260</v>
      </c>
      <c r="AA36" s="65">
        <v>260</v>
      </c>
      <c r="AB36" s="65">
        <v>260</v>
      </c>
      <c r="AC36" s="65">
        <v>260</v>
      </c>
      <c r="AD36" s="65">
        <v>260</v>
      </c>
      <c r="AE36" s="65">
        <v>260</v>
      </c>
      <c r="AF36" s="65">
        <v>260</v>
      </c>
      <c r="AG36" s="63">
        <v>85</v>
      </c>
      <c r="AH36" s="54">
        <f t="shared" si="2"/>
        <v>260</v>
      </c>
      <c r="AI36" s="55">
        <f t="shared" si="3"/>
        <v>260</v>
      </c>
      <c r="AK36" s="56"/>
    </row>
    <row r="37" spans="1:88" ht="15.75" thickBot="1" x14ac:dyDescent="0.3">
      <c r="A37" s="66" t="s">
        <v>45</v>
      </c>
      <c r="B37" s="67">
        <f>32.3+65.2</f>
        <v>97.5</v>
      </c>
      <c r="C37" s="67">
        <f>32.9+67.2</f>
        <v>100.1</v>
      </c>
      <c r="D37" s="65">
        <f>35.6+65.4</f>
        <v>101</v>
      </c>
      <c r="E37" s="65">
        <f>34.1+66.9</f>
        <v>101</v>
      </c>
      <c r="F37" s="65">
        <f>34.1+66.9</f>
        <v>101</v>
      </c>
      <c r="G37" s="65">
        <f>31.7+61.7</f>
        <v>93.4</v>
      </c>
      <c r="H37" s="65">
        <f t="shared" ref="H37:I37" si="4">31.7+61.7</f>
        <v>93.4</v>
      </c>
      <c r="I37" s="65">
        <f t="shared" si="4"/>
        <v>93.4</v>
      </c>
      <c r="J37" s="65">
        <f>30.9+58.2</f>
        <v>89.1</v>
      </c>
      <c r="K37" s="65">
        <f>27.7+81.9</f>
        <v>109.60000000000001</v>
      </c>
      <c r="L37" s="65">
        <f>28+85.7</f>
        <v>113.7</v>
      </c>
      <c r="M37" s="65">
        <f>34.5+81</f>
        <v>115.5</v>
      </c>
      <c r="N37" s="65">
        <f>76.9+33.3</f>
        <v>110.2</v>
      </c>
      <c r="O37" s="65">
        <f>111.4</f>
        <v>111.4</v>
      </c>
      <c r="P37" s="65">
        <f>71+30.2</f>
        <v>101.2</v>
      </c>
      <c r="Q37" s="65">
        <f>69.3+30.9</f>
        <v>100.19999999999999</v>
      </c>
      <c r="R37" s="65">
        <f>79.9+33.7</f>
        <v>113.60000000000001</v>
      </c>
      <c r="S37" s="65">
        <f>32+66.5</f>
        <v>98.5</v>
      </c>
      <c r="T37" s="65">
        <f>33.7+73.5</f>
        <v>107.2</v>
      </c>
      <c r="U37" s="65">
        <f>32.5+71.6</f>
        <v>104.1</v>
      </c>
      <c r="V37" s="65">
        <f>29.2+61.9</f>
        <v>91.1</v>
      </c>
      <c r="W37" s="65">
        <f>27.4+57.4</f>
        <v>84.8</v>
      </c>
      <c r="X37" s="65">
        <f>30.5+67.3</f>
        <v>97.8</v>
      </c>
      <c r="Y37" s="65">
        <f>30.7+68.2</f>
        <v>98.9</v>
      </c>
      <c r="Z37" s="65">
        <f>28.8+63.9</f>
        <v>92.7</v>
      </c>
      <c r="AA37" s="65">
        <f>29.3+66.9</f>
        <v>96.2</v>
      </c>
      <c r="AB37" s="67">
        <f>29.9+67.7</f>
        <v>97.6</v>
      </c>
      <c r="AC37" s="67">
        <f>28+65.2</f>
        <v>93.2</v>
      </c>
      <c r="AD37" s="67">
        <f>30.4+67.2</f>
        <v>97.6</v>
      </c>
      <c r="AE37" s="67">
        <f>35.7+84.7</f>
        <v>120.4</v>
      </c>
      <c r="AF37" s="67">
        <f>37.5+84.8</f>
        <v>122.3</v>
      </c>
      <c r="AG37" s="63">
        <v>240</v>
      </c>
      <c r="AH37" s="54">
        <f t="shared" si="2"/>
        <v>122.3</v>
      </c>
      <c r="AI37" s="55">
        <f t="shared" si="3"/>
        <v>84.8</v>
      </c>
      <c r="AK37" s="56"/>
    </row>
    <row r="38" spans="1:88" ht="15.75" thickBot="1" x14ac:dyDescent="0.3">
      <c r="A38" s="68" t="s">
        <v>46</v>
      </c>
      <c r="B38" s="69">
        <f t="shared" ref="B38" si="5">SUM(B11:B36)</f>
        <v>1124.0999999999999</v>
      </c>
      <c r="C38" s="69">
        <f t="shared" ref="C38:AF38" si="6">SUM(C11:C36)</f>
        <v>1124.8</v>
      </c>
      <c r="D38" s="69">
        <f t="shared" si="6"/>
        <v>1118.8</v>
      </c>
      <c r="E38" s="69">
        <f t="shared" si="6"/>
        <v>1118.8</v>
      </c>
      <c r="F38" s="69">
        <f t="shared" si="6"/>
        <v>1118.8</v>
      </c>
      <c r="G38" s="69">
        <f t="shared" si="6"/>
        <v>1134.1999999999998</v>
      </c>
      <c r="H38" s="69">
        <f t="shared" si="6"/>
        <v>1108.1999999999998</v>
      </c>
      <c r="I38" s="69">
        <f t="shared" si="6"/>
        <v>1108.1999999999998</v>
      </c>
      <c r="J38" s="69">
        <f t="shared" si="6"/>
        <v>1124.1999999999998</v>
      </c>
      <c r="K38" s="69">
        <f t="shared" si="6"/>
        <v>1134.1999999999998</v>
      </c>
      <c r="L38" s="69">
        <f t="shared" si="6"/>
        <v>1133.8000000000002</v>
      </c>
      <c r="M38" s="69">
        <f t="shared" si="6"/>
        <v>1134.0999999999999</v>
      </c>
      <c r="N38" s="69">
        <f t="shared" si="6"/>
        <v>1156</v>
      </c>
      <c r="O38" s="69">
        <f t="shared" si="6"/>
        <v>1156</v>
      </c>
      <c r="P38" s="69">
        <f t="shared" si="6"/>
        <v>1156.1999999999998</v>
      </c>
      <c r="Q38" s="69">
        <f t="shared" si="6"/>
        <v>1126.8</v>
      </c>
      <c r="R38" s="69">
        <f t="shared" si="6"/>
        <v>1160.4000000000001</v>
      </c>
      <c r="S38" s="69">
        <f t="shared" si="6"/>
        <v>1162.4000000000001</v>
      </c>
      <c r="T38" s="69">
        <f t="shared" si="6"/>
        <v>1162.7</v>
      </c>
      <c r="U38" s="69">
        <f t="shared" si="6"/>
        <v>1162.7</v>
      </c>
      <c r="V38" s="69">
        <f t="shared" si="6"/>
        <v>1162.7</v>
      </c>
      <c r="W38" s="69">
        <f t="shared" si="6"/>
        <v>1136.7</v>
      </c>
      <c r="X38" s="69">
        <f t="shared" si="6"/>
        <v>1162.7</v>
      </c>
      <c r="Y38" s="69">
        <f t="shared" si="6"/>
        <v>1162.7</v>
      </c>
      <c r="Z38" s="69">
        <f t="shared" si="6"/>
        <v>1162.7</v>
      </c>
      <c r="AA38" s="69">
        <f t="shared" si="6"/>
        <v>1162.7</v>
      </c>
      <c r="AB38" s="69">
        <f t="shared" si="6"/>
        <v>1162.7</v>
      </c>
      <c r="AC38" s="69">
        <f t="shared" si="6"/>
        <v>1159.5</v>
      </c>
      <c r="AD38" s="69">
        <f t="shared" si="6"/>
        <v>1159.5</v>
      </c>
      <c r="AE38" s="69">
        <f t="shared" si="6"/>
        <v>1133.3</v>
      </c>
      <c r="AF38" s="69">
        <f t="shared" si="6"/>
        <v>1133.3</v>
      </c>
      <c r="AG38" s="63">
        <f>SUM(AG11:AG37)</f>
        <v>1492.8299999999997</v>
      </c>
      <c r="AH38" s="54">
        <f t="shared" si="2"/>
        <v>1162.7</v>
      </c>
      <c r="AI38" s="55">
        <f t="shared" si="3"/>
        <v>1108.1999999999998</v>
      </c>
      <c r="AK38" s="56"/>
    </row>
    <row r="39" spans="1:88" x14ac:dyDescent="0.25">
      <c r="A39" s="57" t="s">
        <v>47</v>
      </c>
      <c r="B39" s="51">
        <v>143.19999999999999</v>
      </c>
      <c r="C39" s="51">
        <v>144</v>
      </c>
      <c r="D39" s="51">
        <v>144</v>
      </c>
      <c r="E39" s="51">
        <v>142</v>
      </c>
      <c r="F39" s="51">
        <v>144</v>
      </c>
      <c r="G39" s="51">
        <v>144</v>
      </c>
      <c r="H39" s="51">
        <v>144</v>
      </c>
      <c r="I39" s="51">
        <v>144</v>
      </c>
      <c r="J39" s="51">
        <v>144</v>
      </c>
      <c r="K39" s="51">
        <v>144</v>
      </c>
      <c r="L39" s="51">
        <v>144.30000000000001</v>
      </c>
      <c r="M39" s="51">
        <v>144</v>
      </c>
      <c r="N39" s="51">
        <v>144.1</v>
      </c>
      <c r="O39" s="51">
        <v>143.80000000000001</v>
      </c>
      <c r="P39" s="51">
        <v>143.80000000000001</v>
      </c>
      <c r="Q39" s="51">
        <v>144</v>
      </c>
      <c r="R39" s="51">
        <v>143.9</v>
      </c>
      <c r="S39" s="51">
        <v>144</v>
      </c>
      <c r="T39" s="51">
        <v>143.80000000000001</v>
      </c>
      <c r="U39" s="51">
        <v>143.80000000000001</v>
      </c>
      <c r="V39" s="51">
        <v>144.19999999999999</v>
      </c>
      <c r="W39" s="51">
        <v>144.1</v>
      </c>
      <c r="X39" s="51">
        <v>144</v>
      </c>
      <c r="Y39" s="51">
        <v>143.9</v>
      </c>
      <c r="Z39" s="51">
        <v>143.80000000000001</v>
      </c>
      <c r="AA39" s="51">
        <v>143.9</v>
      </c>
      <c r="AB39" s="51">
        <v>143.5</v>
      </c>
      <c r="AC39" s="51">
        <v>143.5</v>
      </c>
      <c r="AD39" s="51">
        <v>143.5</v>
      </c>
      <c r="AE39" s="51">
        <v>143.5</v>
      </c>
      <c r="AF39" s="51">
        <v>143.5</v>
      </c>
      <c r="AG39" s="59">
        <v>144</v>
      </c>
      <c r="AH39" s="54">
        <f t="shared" si="2"/>
        <v>144.30000000000001</v>
      </c>
      <c r="AI39" s="55">
        <f t="shared" si="3"/>
        <v>142</v>
      </c>
      <c r="AK39" s="56"/>
    </row>
    <row r="40" spans="1:88" x14ac:dyDescent="0.25">
      <c r="A40" s="62" t="s">
        <v>48</v>
      </c>
      <c r="B40" s="70">
        <v>68.400000000000006</v>
      </c>
      <c r="C40" s="70">
        <v>69.2</v>
      </c>
      <c r="D40" s="70">
        <v>69.2</v>
      </c>
      <c r="E40" s="70">
        <v>50</v>
      </c>
      <c r="F40" s="70">
        <v>50</v>
      </c>
      <c r="G40" s="70">
        <v>70.099999999999994</v>
      </c>
      <c r="H40" s="70">
        <v>70.099999999999994</v>
      </c>
      <c r="I40" s="70">
        <v>70.099999999999994</v>
      </c>
      <c r="J40" s="70">
        <v>70.099999999999994</v>
      </c>
      <c r="K40" s="70">
        <v>69.2</v>
      </c>
      <c r="L40" s="70">
        <v>69.400000000000006</v>
      </c>
      <c r="M40" s="70">
        <v>69.400000000000006</v>
      </c>
      <c r="N40" s="51">
        <v>71</v>
      </c>
      <c r="O40" s="51">
        <v>71</v>
      </c>
      <c r="P40" s="51">
        <v>71.5</v>
      </c>
      <c r="Q40" s="51">
        <v>70.400000000000006</v>
      </c>
      <c r="R40" s="51">
        <v>70.900000000000006</v>
      </c>
      <c r="S40" s="51">
        <v>70.400000000000006</v>
      </c>
      <c r="T40" s="70">
        <v>70.400000000000006</v>
      </c>
      <c r="U40" s="70">
        <v>70.400000000000006</v>
      </c>
      <c r="V40" s="70">
        <v>70.099999999999994</v>
      </c>
      <c r="W40" s="70">
        <v>70.099999999999994</v>
      </c>
      <c r="X40" s="70">
        <v>70.3</v>
      </c>
      <c r="Y40" s="70">
        <v>70.3</v>
      </c>
      <c r="Z40" s="70">
        <v>70.3</v>
      </c>
      <c r="AA40" s="70">
        <v>70.2</v>
      </c>
      <c r="AB40" s="70">
        <v>34.4</v>
      </c>
      <c r="AC40" s="70">
        <v>34.4</v>
      </c>
      <c r="AD40" s="70">
        <v>34.4</v>
      </c>
      <c r="AE40" s="70">
        <v>34.4</v>
      </c>
      <c r="AF40" s="70">
        <v>0</v>
      </c>
      <c r="AG40" s="63">
        <v>70</v>
      </c>
      <c r="AH40" s="54">
        <f t="shared" si="2"/>
        <v>71.5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69.400000000000006</v>
      </c>
      <c r="C41" s="70">
        <v>59.4</v>
      </c>
      <c r="D41" s="70">
        <v>59.4</v>
      </c>
      <c r="E41" s="70">
        <v>49</v>
      </c>
      <c r="F41" s="70">
        <v>49</v>
      </c>
      <c r="G41" s="70">
        <v>62</v>
      </c>
      <c r="H41" s="70">
        <v>62</v>
      </c>
      <c r="I41" s="70">
        <v>62</v>
      </c>
      <c r="J41" s="70">
        <v>62</v>
      </c>
      <c r="K41" s="70">
        <v>63.7</v>
      </c>
      <c r="L41" s="70">
        <v>63.9</v>
      </c>
      <c r="M41" s="70">
        <v>63.9</v>
      </c>
      <c r="N41" s="51">
        <v>63.4</v>
      </c>
      <c r="O41" s="51">
        <v>63.3</v>
      </c>
      <c r="P41" s="51">
        <v>63.5</v>
      </c>
      <c r="Q41" s="51">
        <v>64.7</v>
      </c>
      <c r="R41" s="51">
        <v>64.099999999999994</v>
      </c>
      <c r="S41" s="51">
        <v>64.099999999999994</v>
      </c>
      <c r="T41" s="70">
        <v>64.5</v>
      </c>
      <c r="U41" s="70">
        <v>64.5</v>
      </c>
      <c r="V41" s="70">
        <v>64</v>
      </c>
      <c r="W41" s="70" t="s">
        <v>235</v>
      </c>
      <c r="X41" s="70">
        <v>66.3</v>
      </c>
      <c r="Y41" s="70">
        <v>66.5</v>
      </c>
      <c r="Z41" s="70">
        <v>66.5</v>
      </c>
      <c r="AA41" s="70">
        <v>65.400000000000006</v>
      </c>
      <c r="AB41" s="70">
        <v>65.400000000000006</v>
      </c>
      <c r="AC41" s="70">
        <v>65.400000000000006</v>
      </c>
      <c r="AD41" s="70">
        <v>65.400000000000006</v>
      </c>
      <c r="AE41" s="70">
        <v>65.400000000000006</v>
      </c>
      <c r="AF41" s="70">
        <v>65.400000000000006</v>
      </c>
      <c r="AG41" s="63">
        <v>69</v>
      </c>
      <c r="AH41" s="54">
        <f t="shared" si="2"/>
        <v>69.400000000000006</v>
      </c>
      <c r="AI41" s="55">
        <f t="shared" si="3"/>
        <v>49</v>
      </c>
      <c r="AK41" s="56"/>
    </row>
    <row r="42" spans="1:88" x14ac:dyDescent="0.25">
      <c r="A42" s="62" t="s">
        <v>50</v>
      </c>
      <c r="B42" s="70">
        <v>0</v>
      </c>
      <c r="C42" s="65">
        <v>20.7</v>
      </c>
      <c r="D42" s="65">
        <v>20.7</v>
      </c>
      <c r="E42" s="65">
        <v>40</v>
      </c>
      <c r="F42" s="65">
        <v>40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60.2</v>
      </c>
      <c r="M42" s="65">
        <v>60.2</v>
      </c>
      <c r="N42" s="51">
        <v>60.2</v>
      </c>
      <c r="O42" s="51">
        <v>60.2</v>
      </c>
      <c r="P42" s="51">
        <v>60.4</v>
      </c>
      <c r="Q42" s="51">
        <v>60.2</v>
      </c>
      <c r="R42" s="51">
        <v>60.2</v>
      </c>
      <c r="S42" s="51">
        <v>60.2</v>
      </c>
      <c r="T42" s="51">
        <v>60.2</v>
      </c>
      <c r="U42" s="51">
        <v>60.2</v>
      </c>
      <c r="V42" s="70">
        <v>60.2</v>
      </c>
      <c r="W42" s="70">
        <v>60.2</v>
      </c>
      <c r="X42" s="70">
        <v>60</v>
      </c>
      <c r="Y42" s="70">
        <v>60</v>
      </c>
      <c r="Z42" s="70">
        <v>60</v>
      </c>
      <c r="AA42" s="70">
        <v>60</v>
      </c>
      <c r="AB42" s="70">
        <v>60</v>
      </c>
      <c r="AC42" s="70">
        <v>60</v>
      </c>
      <c r="AD42" s="70">
        <v>60</v>
      </c>
      <c r="AE42" s="70">
        <v>60</v>
      </c>
      <c r="AF42" s="70">
        <v>60</v>
      </c>
      <c r="AG42" s="63">
        <v>60</v>
      </c>
      <c r="AH42" s="54">
        <f t="shared" si="2"/>
        <v>60.4</v>
      </c>
      <c r="AI42" s="55">
        <f t="shared" si="3"/>
        <v>0</v>
      </c>
      <c r="AK42" s="56"/>
    </row>
    <row r="43" spans="1:88" x14ac:dyDescent="0.25">
      <c r="A43" s="62" t="s">
        <v>51</v>
      </c>
      <c r="B43" s="51">
        <v>19.100000000000001</v>
      </c>
      <c r="C43" s="65">
        <v>25</v>
      </c>
      <c r="D43" s="65">
        <v>25</v>
      </c>
      <c r="E43" s="65">
        <v>30</v>
      </c>
      <c r="F43" s="65">
        <v>30</v>
      </c>
      <c r="G43" s="65">
        <v>30</v>
      </c>
      <c r="H43" s="65">
        <v>30</v>
      </c>
      <c r="I43" s="65">
        <v>30</v>
      </c>
      <c r="J43" s="65">
        <v>30</v>
      </c>
      <c r="K43" s="65">
        <v>30</v>
      </c>
      <c r="L43" s="65">
        <v>19.7</v>
      </c>
      <c r="M43" s="65">
        <v>19.7</v>
      </c>
      <c r="N43" s="51">
        <v>30</v>
      </c>
      <c r="O43" s="51">
        <v>30</v>
      </c>
      <c r="P43" s="51">
        <v>26</v>
      </c>
      <c r="Q43" s="51">
        <v>26</v>
      </c>
      <c r="R43" s="51">
        <v>30</v>
      </c>
      <c r="S43" s="51">
        <v>30</v>
      </c>
      <c r="T43" s="51">
        <v>29.1</v>
      </c>
      <c r="U43" s="51">
        <v>29.1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30</v>
      </c>
      <c r="AC43" s="70">
        <v>20</v>
      </c>
      <c r="AD43" s="70">
        <v>20</v>
      </c>
      <c r="AE43" s="70">
        <v>16</v>
      </c>
      <c r="AF43" s="70">
        <v>25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65">
        <v>0</v>
      </c>
      <c r="M44" s="65">
        <v>4</v>
      </c>
      <c r="N44" s="65">
        <v>5</v>
      </c>
      <c r="O44" s="51">
        <v>7</v>
      </c>
      <c r="P44" s="51">
        <v>7</v>
      </c>
      <c r="Q44" s="51">
        <v>7</v>
      </c>
      <c r="R44" s="51">
        <v>7</v>
      </c>
      <c r="S44" s="51">
        <v>7</v>
      </c>
      <c r="T44" s="51">
        <v>7</v>
      </c>
      <c r="U44" s="51">
        <v>7</v>
      </c>
      <c r="V44" s="51">
        <v>7</v>
      </c>
      <c r="W44" s="51">
        <v>7</v>
      </c>
      <c r="X44" s="51">
        <v>7</v>
      </c>
      <c r="Y44" s="51">
        <v>7</v>
      </c>
      <c r="Z44" s="51">
        <v>7</v>
      </c>
      <c r="AA44" s="51">
        <v>7</v>
      </c>
      <c r="AB44" s="51">
        <v>7</v>
      </c>
      <c r="AC44" s="51">
        <v>7</v>
      </c>
      <c r="AD44" s="51">
        <v>7</v>
      </c>
      <c r="AE44" s="51">
        <v>7</v>
      </c>
      <c r="AF44" s="51">
        <v>7</v>
      </c>
      <c r="AG44" s="63">
        <v>25</v>
      </c>
      <c r="AH44" s="54">
        <f t="shared" si="2"/>
        <v>7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0</v>
      </c>
      <c r="C45" s="70">
        <v>14.2</v>
      </c>
      <c r="D45" s="70">
        <v>14.2</v>
      </c>
      <c r="E45" s="70">
        <v>12.2</v>
      </c>
      <c r="F45" s="70">
        <v>12.2</v>
      </c>
      <c r="G45" s="70">
        <v>9</v>
      </c>
      <c r="H45" s="70">
        <v>9</v>
      </c>
      <c r="I45" s="70">
        <v>9</v>
      </c>
      <c r="J45" s="70">
        <v>9</v>
      </c>
      <c r="K45" s="70">
        <v>9</v>
      </c>
      <c r="L45" s="70">
        <v>14.8</v>
      </c>
      <c r="M45" s="70">
        <v>14.8</v>
      </c>
      <c r="N45" s="70">
        <v>14.8</v>
      </c>
      <c r="O45" s="51">
        <v>14.3</v>
      </c>
      <c r="P45" s="51">
        <v>14.3</v>
      </c>
      <c r="Q45" s="51">
        <v>15.6</v>
      </c>
      <c r="R45" s="51">
        <v>15.6</v>
      </c>
      <c r="S45" s="51">
        <v>15.6</v>
      </c>
      <c r="T45" s="51">
        <v>15.5</v>
      </c>
      <c r="U45" s="51">
        <v>15.5</v>
      </c>
      <c r="V45" s="51">
        <v>17.2</v>
      </c>
      <c r="W45" s="51">
        <v>17.2</v>
      </c>
      <c r="X45" s="51">
        <v>17.2</v>
      </c>
      <c r="Y45" s="51">
        <v>17.2</v>
      </c>
      <c r="Z45" s="51">
        <v>17.2</v>
      </c>
      <c r="AA45" s="51">
        <v>17.2</v>
      </c>
      <c r="AB45" s="51">
        <v>17.2</v>
      </c>
      <c r="AC45" s="51">
        <v>17.2</v>
      </c>
      <c r="AD45" s="51">
        <v>17.2</v>
      </c>
      <c r="AE45" s="51">
        <v>17.2</v>
      </c>
      <c r="AF45" s="51">
        <v>17.2</v>
      </c>
      <c r="AG45" s="63">
        <v>24</v>
      </c>
      <c r="AH45" s="54">
        <f t="shared" si="2"/>
        <v>17.2</v>
      </c>
      <c r="AI45" s="55">
        <f t="shared" si="3"/>
        <v>0</v>
      </c>
      <c r="AK45" s="56"/>
    </row>
    <row r="46" spans="1:88" x14ac:dyDescent="0.25">
      <c r="A46" s="62" t="s">
        <v>54</v>
      </c>
      <c r="B46" s="70">
        <v>2</v>
      </c>
      <c r="C46" s="70">
        <v>2</v>
      </c>
      <c r="D46" s="70">
        <v>2</v>
      </c>
      <c r="E46" s="70">
        <v>2</v>
      </c>
      <c r="F46" s="70">
        <v>2</v>
      </c>
      <c r="G46" s="70">
        <v>2</v>
      </c>
      <c r="H46" s="70">
        <v>2</v>
      </c>
      <c r="I46" s="70">
        <v>2</v>
      </c>
      <c r="J46" s="70">
        <v>2</v>
      </c>
      <c r="K46" s="70">
        <v>2</v>
      </c>
      <c r="L46" s="70">
        <v>2</v>
      </c>
      <c r="M46" s="70">
        <v>2</v>
      </c>
      <c r="N46" s="70">
        <v>2</v>
      </c>
      <c r="O46" s="70">
        <v>2</v>
      </c>
      <c r="P46" s="70">
        <v>2</v>
      </c>
      <c r="Q46" s="70">
        <v>2</v>
      </c>
      <c r="R46" s="70">
        <v>2</v>
      </c>
      <c r="S46" s="70">
        <v>2</v>
      </c>
      <c r="T46" s="51">
        <v>2</v>
      </c>
      <c r="U46" s="51">
        <v>2</v>
      </c>
      <c r="V46" s="51">
        <v>2</v>
      </c>
      <c r="W46" s="51">
        <v>2</v>
      </c>
      <c r="X46" s="51">
        <v>2</v>
      </c>
      <c r="Y46" s="51">
        <v>2</v>
      </c>
      <c r="Z46" s="51">
        <v>2</v>
      </c>
      <c r="AA46" s="51">
        <v>2</v>
      </c>
      <c r="AB46" s="51">
        <v>2</v>
      </c>
      <c r="AC46" s="51">
        <v>2</v>
      </c>
      <c r="AD46" s="51">
        <v>2</v>
      </c>
      <c r="AE46" s="51">
        <v>2</v>
      </c>
      <c r="AF46" s="51">
        <v>2</v>
      </c>
      <c r="AG46" s="63">
        <v>15</v>
      </c>
      <c r="AH46" s="54">
        <f t="shared" si="2"/>
        <v>2</v>
      </c>
      <c r="AI46" s="55">
        <f t="shared" si="3"/>
        <v>2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4.7</v>
      </c>
      <c r="C47" s="70">
        <v>7.7</v>
      </c>
      <c r="D47" s="70">
        <v>7.7</v>
      </c>
      <c r="E47" s="70">
        <v>11</v>
      </c>
      <c r="F47" s="70">
        <v>11</v>
      </c>
      <c r="G47" s="70">
        <v>7</v>
      </c>
      <c r="H47" s="70">
        <v>7</v>
      </c>
      <c r="I47" s="70">
        <v>7</v>
      </c>
      <c r="J47" s="70">
        <v>7</v>
      </c>
      <c r="K47" s="70">
        <v>7</v>
      </c>
      <c r="L47" s="70">
        <v>6.7</v>
      </c>
      <c r="M47" s="70">
        <v>13.1</v>
      </c>
      <c r="N47" s="70">
        <v>13.1</v>
      </c>
      <c r="O47" s="70">
        <v>13.1</v>
      </c>
      <c r="P47" s="70">
        <v>13.1</v>
      </c>
      <c r="Q47" s="70">
        <v>13.1</v>
      </c>
      <c r="R47" s="70">
        <v>13.1</v>
      </c>
      <c r="S47" s="70">
        <v>13.1</v>
      </c>
      <c r="T47" s="51">
        <v>13.3</v>
      </c>
      <c r="U47" s="51">
        <v>13.3</v>
      </c>
      <c r="V47" s="51">
        <v>13.3</v>
      </c>
      <c r="W47" s="51">
        <v>13.3</v>
      </c>
      <c r="X47" s="51">
        <v>13.3</v>
      </c>
      <c r="Y47" s="51">
        <v>13.3</v>
      </c>
      <c r="Z47" s="51">
        <v>13.3</v>
      </c>
      <c r="AA47" s="51">
        <v>13.3</v>
      </c>
      <c r="AB47" s="51">
        <v>13.3</v>
      </c>
      <c r="AC47" s="51">
        <v>13.3</v>
      </c>
      <c r="AD47" s="51">
        <v>13.3</v>
      </c>
      <c r="AE47" s="51">
        <v>13.3</v>
      </c>
      <c r="AF47" s="51">
        <v>13.3</v>
      </c>
      <c r="AG47" s="63">
        <v>14.1</v>
      </c>
      <c r="AH47" s="54">
        <f t="shared" si="2"/>
        <v>13.3</v>
      </c>
      <c r="AI47" s="55">
        <f t="shared" si="3"/>
        <v>4.7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13.3</v>
      </c>
      <c r="C48" s="70">
        <v>13.3</v>
      </c>
      <c r="D48" s="70">
        <v>13.3</v>
      </c>
      <c r="E48" s="70">
        <v>13.2</v>
      </c>
      <c r="F48" s="70">
        <v>13.2</v>
      </c>
      <c r="G48" s="70">
        <v>12.6</v>
      </c>
      <c r="H48" s="70">
        <v>12.6</v>
      </c>
      <c r="I48" s="70">
        <v>12.6</v>
      </c>
      <c r="J48" s="70">
        <v>12.6</v>
      </c>
      <c r="K48" s="70">
        <v>12.6</v>
      </c>
      <c r="L48" s="70">
        <v>12.7</v>
      </c>
      <c r="M48" s="70">
        <v>12.7</v>
      </c>
      <c r="N48" s="70">
        <v>12.7</v>
      </c>
      <c r="O48" s="70">
        <v>12.7</v>
      </c>
      <c r="P48" s="70">
        <v>12.7</v>
      </c>
      <c r="Q48" s="70">
        <v>12.7</v>
      </c>
      <c r="R48" s="70">
        <v>12.7</v>
      </c>
      <c r="S48" s="70">
        <v>12.7</v>
      </c>
      <c r="T48" s="51">
        <v>12.5</v>
      </c>
      <c r="U48" s="51">
        <v>12.5</v>
      </c>
      <c r="V48" s="51">
        <v>12.5</v>
      </c>
      <c r="W48" s="51">
        <v>12.5</v>
      </c>
      <c r="X48" s="51">
        <v>12.5</v>
      </c>
      <c r="Y48" s="51">
        <v>12.5</v>
      </c>
      <c r="Z48" s="51">
        <v>12.5</v>
      </c>
      <c r="AA48" s="51">
        <v>12.5</v>
      </c>
      <c r="AB48" s="51">
        <v>12.5</v>
      </c>
      <c r="AC48" s="51">
        <v>12.5</v>
      </c>
      <c r="AD48" s="51">
        <v>12.5</v>
      </c>
      <c r="AE48" s="51">
        <v>12.5</v>
      </c>
      <c r="AF48" s="51">
        <v>12.5</v>
      </c>
      <c r="AG48" s="63">
        <v>14</v>
      </c>
      <c r="AH48" s="54">
        <f t="shared" si="2"/>
        <v>13.3</v>
      </c>
      <c r="AI48" s="55">
        <f t="shared" si="3"/>
        <v>12.5</v>
      </c>
      <c r="AK48" s="56"/>
      <c r="AM48">
        <f>(10673+12238+14093-1283)/24</f>
        <v>1488.375</v>
      </c>
    </row>
    <row r="49" spans="1:37" x14ac:dyDescent="0.25">
      <c r="A49" s="62" t="s">
        <v>57</v>
      </c>
      <c r="B49" s="70">
        <v>6.5</v>
      </c>
      <c r="C49" s="70">
        <v>6.5</v>
      </c>
      <c r="D49" s="70">
        <v>6.5</v>
      </c>
      <c r="E49" s="70">
        <v>6.5</v>
      </c>
      <c r="F49" s="70">
        <v>6.5</v>
      </c>
      <c r="G49" s="70">
        <v>6.5</v>
      </c>
      <c r="H49" s="70">
        <v>6.5</v>
      </c>
      <c r="I49" s="70">
        <v>6.5</v>
      </c>
      <c r="J49" s="70">
        <v>6.5</v>
      </c>
      <c r="K49" s="70">
        <v>6.5</v>
      </c>
      <c r="L49" s="70">
        <v>6.4</v>
      </c>
      <c r="M49" s="70">
        <v>6.4</v>
      </c>
      <c r="N49" s="70">
        <v>6.4</v>
      </c>
      <c r="O49" s="70">
        <v>0</v>
      </c>
      <c r="P49" s="70">
        <v>6.5</v>
      </c>
      <c r="Q49" s="51">
        <v>6.5</v>
      </c>
      <c r="R49" s="51">
        <v>6.5</v>
      </c>
      <c r="S49" s="51">
        <v>6.5</v>
      </c>
      <c r="T49" s="51">
        <v>6.5</v>
      </c>
      <c r="U49" s="51">
        <v>6.5</v>
      </c>
      <c r="V49" s="51">
        <v>6.5</v>
      </c>
      <c r="W49" s="51">
        <v>6.5</v>
      </c>
      <c r="X49" s="51">
        <v>6.5</v>
      </c>
      <c r="Y49" s="51">
        <v>6.5</v>
      </c>
      <c r="Z49" s="51">
        <v>6.5</v>
      </c>
      <c r="AA49" s="51">
        <v>6.5</v>
      </c>
      <c r="AB49" s="51">
        <v>6.5</v>
      </c>
      <c r="AC49" s="51">
        <v>6.5</v>
      </c>
      <c r="AD49" s="51">
        <v>6.5</v>
      </c>
      <c r="AE49" s="51">
        <v>6.5</v>
      </c>
      <c r="AF49" s="51">
        <v>6.5</v>
      </c>
      <c r="AG49" s="63">
        <v>10.050000000000001</v>
      </c>
      <c r="AH49" s="54">
        <f t="shared" si="2"/>
        <v>6.5</v>
      </c>
      <c r="AI49" s="55">
        <f t="shared" si="3"/>
        <v>0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7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8">SUM(B39:B51)</f>
        <v>333.24000000000007</v>
      </c>
      <c r="C52" s="69">
        <f t="shared" ref="C52:AF52" si="9">SUM(C39:C51)</f>
        <v>368.64</v>
      </c>
      <c r="D52" s="69">
        <f t="shared" si="9"/>
        <v>368.64</v>
      </c>
      <c r="E52" s="69">
        <f t="shared" si="9"/>
        <v>362.54</v>
      </c>
      <c r="F52" s="69">
        <f t="shared" si="9"/>
        <v>364.54</v>
      </c>
      <c r="G52" s="69">
        <f t="shared" si="9"/>
        <v>409.84000000000009</v>
      </c>
      <c r="H52" s="69">
        <f t="shared" si="9"/>
        <v>409.84000000000009</v>
      </c>
      <c r="I52" s="69">
        <f t="shared" si="9"/>
        <v>409.84000000000009</v>
      </c>
      <c r="J52" s="69">
        <f t="shared" si="9"/>
        <v>409.84000000000009</v>
      </c>
      <c r="K52" s="69">
        <f t="shared" si="9"/>
        <v>410.64000000000004</v>
      </c>
      <c r="L52" s="69">
        <f t="shared" si="9"/>
        <v>406.74</v>
      </c>
      <c r="M52" s="69">
        <f t="shared" si="9"/>
        <v>416.84000000000003</v>
      </c>
      <c r="N52" s="69">
        <f t="shared" si="9"/>
        <v>429.34000000000003</v>
      </c>
      <c r="O52" s="69">
        <f t="shared" si="9"/>
        <v>424.04000000000008</v>
      </c>
      <c r="P52" s="69">
        <f t="shared" si="9"/>
        <v>427.44000000000005</v>
      </c>
      <c r="Q52" s="69">
        <f t="shared" si="9"/>
        <v>428.84000000000009</v>
      </c>
      <c r="R52" s="69">
        <f t="shared" si="9"/>
        <v>432.64000000000004</v>
      </c>
      <c r="S52" s="69">
        <f t="shared" si="9"/>
        <v>432.24000000000007</v>
      </c>
      <c r="T52" s="69">
        <f t="shared" si="9"/>
        <v>431.44000000000011</v>
      </c>
      <c r="U52" s="69">
        <f t="shared" si="9"/>
        <v>431.44000000000011</v>
      </c>
      <c r="V52" s="69">
        <f t="shared" si="9"/>
        <v>403.64</v>
      </c>
      <c r="W52" s="69">
        <f t="shared" si="9"/>
        <v>339.54</v>
      </c>
      <c r="X52" s="69">
        <f>SUM(X39:X51)</f>
        <v>405.74000000000007</v>
      </c>
      <c r="Y52" s="69">
        <f t="shared" si="9"/>
        <v>405.84000000000003</v>
      </c>
      <c r="Z52" s="69">
        <f t="shared" si="9"/>
        <v>405.74000000000007</v>
      </c>
      <c r="AA52" s="69">
        <f t="shared" si="9"/>
        <v>404.64000000000004</v>
      </c>
      <c r="AB52" s="69">
        <f t="shared" si="9"/>
        <v>398.44000000000005</v>
      </c>
      <c r="AC52" s="69">
        <f t="shared" si="9"/>
        <v>388.44000000000005</v>
      </c>
      <c r="AD52" s="69">
        <f t="shared" si="9"/>
        <v>388.44000000000005</v>
      </c>
      <c r="AE52" s="69">
        <f t="shared" si="9"/>
        <v>384.44000000000005</v>
      </c>
      <c r="AF52" s="69">
        <f t="shared" si="9"/>
        <v>359.04</v>
      </c>
      <c r="AG52" s="74">
        <f>SUM(AG39:AG51)</f>
        <v>489.91</v>
      </c>
      <c r="AH52" s="54">
        <f t="shared" si="2"/>
        <v>432.64000000000004</v>
      </c>
      <c r="AI52" s="55">
        <f t="shared" si="3"/>
        <v>333.24000000000007</v>
      </c>
      <c r="AK52" s="56"/>
    </row>
    <row r="53" spans="1:37" x14ac:dyDescent="0.25">
      <c r="A53" s="57" t="s">
        <v>61</v>
      </c>
      <c r="B53" s="51">
        <v>0</v>
      </c>
      <c r="C53" s="51">
        <v>0</v>
      </c>
      <c r="D53" s="51">
        <v>0</v>
      </c>
      <c r="E53" s="51">
        <v>0</v>
      </c>
      <c r="F53" s="51">
        <v>0</v>
      </c>
      <c r="G53" s="51">
        <v>15</v>
      </c>
      <c r="H53" s="51">
        <v>15</v>
      </c>
      <c r="I53" s="51">
        <v>15</v>
      </c>
      <c r="J53" s="51">
        <v>15</v>
      </c>
      <c r="K53" s="51">
        <v>50</v>
      </c>
      <c r="L53" s="51">
        <v>60</v>
      </c>
      <c r="M53" s="51">
        <v>60</v>
      </c>
      <c r="N53" s="51">
        <v>54</v>
      </c>
      <c r="O53" s="51">
        <v>60</v>
      </c>
      <c r="P53" s="51">
        <v>60</v>
      </c>
      <c r="Q53" s="51">
        <v>60</v>
      </c>
      <c r="R53" s="51">
        <v>31.3</v>
      </c>
      <c r="S53" s="51">
        <v>59</v>
      </c>
      <c r="T53" s="51">
        <v>58.9</v>
      </c>
      <c r="U53" s="51">
        <v>20.100000000000001</v>
      </c>
      <c r="V53" s="51">
        <v>60</v>
      </c>
      <c r="W53" s="51">
        <v>50</v>
      </c>
      <c r="X53" s="51">
        <v>10</v>
      </c>
      <c r="Y53" s="51">
        <v>10.7</v>
      </c>
      <c r="Z53" s="51">
        <v>30</v>
      </c>
      <c r="AA53" s="51">
        <v>60</v>
      </c>
      <c r="AB53" s="51">
        <v>60</v>
      </c>
      <c r="AC53" s="51">
        <v>60</v>
      </c>
      <c r="AD53" s="51">
        <v>60</v>
      </c>
      <c r="AE53" s="51">
        <v>60</v>
      </c>
      <c r="AF53" s="51">
        <v>60</v>
      </c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0</v>
      </c>
      <c r="C54" s="70">
        <v>0</v>
      </c>
      <c r="D54" s="70">
        <v>0</v>
      </c>
      <c r="E54" s="70">
        <v>0</v>
      </c>
      <c r="F54" s="70">
        <v>0</v>
      </c>
      <c r="G54" s="70">
        <v>7</v>
      </c>
      <c r="H54" s="70">
        <v>7</v>
      </c>
      <c r="I54" s="70">
        <v>7</v>
      </c>
      <c r="J54" s="70">
        <v>7</v>
      </c>
      <c r="K54" s="70">
        <v>16.399999999999999</v>
      </c>
      <c r="L54" s="70">
        <v>29.8</v>
      </c>
      <c r="M54" s="70">
        <v>30.6</v>
      </c>
      <c r="N54" s="70">
        <v>17.2</v>
      </c>
      <c r="O54" s="70">
        <v>30.4</v>
      </c>
      <c r="P54" s="70">
        <v>26.2</v>
      </c>
      <c r="Q54" s="70">
        <v>26.2</v>
      </c>
      <c r="R54" s="70">
        <v>21.6</v>
      </c>
      <c r="S54" s="70">
        <v>30</v>
      </c>
      <c r="T54" s="70">
        <v>29.8</v>
      </c>
      <c r="U54" s="70">
        <v>17.8</v>
      </c>
      <c r="V54" s="70">
        <v>30.2</v>
      </c>
      <c r="W54" s="70">
        <v>23.7</v>
      </c>
      <c r="X54" s="70">
        <v>8</v>
      </c>
      <c r="Y54" s="70">
        <v>5.4</v>
      </c>
      <c r="Z54" s="70">
        <v>19.399999999999999</v>
      </c>
      <c r="AA54" s="70">
        <v>28</v>
      </c>
      <c r="AB54" s="70">
        <v>15</v>
      </c>
      <c r="AC54" s="70">
        <v>29.3</v>
      </c>
      <c r="AD54" s="70">
        <v>31.2</v>
      </c>
      <c r="AE54" s="70">
        <v>31.6</v>
      </c>
      <c r="AF54" s="70">
        <v>31</v>
      </c>
      <c r="AG54" s="63">
        <v>32</v>
      </c>
      <c r="AH54" s="54">
        <f t="shared" si="2"/>
        <v>31.6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0</v>
      </c>
      <c r="C55" s="75">
        <v>0</v>
      </c>
      <c r="D55" s="75">
        <v>0</v>
      </c>
      <c r="E55" s="75">
        <v>0</v>
      </c>
      <c r="F55" s="75">
        <v>0</v>
      </c>
      <c r="G55" s="75">
        <v>2.7</v>
      </c>
      <c r="H55" s="75">
        <v>2.7</v>
      </c>
      <c r="I55" s="75">
        <v>2.6</v>
      </c>
      <c r="J55" s="75">
        <v>2.6</v>
      </c>
      <c r="K55" s="75">
        <v>6</v>
      </c>
      <c r="L55" s="75">
        <v>10.9</v>
      </c>
      <c r="M55" s="75">
        <v>11.2</v>
      </c>
      <c r="N55" s="75">
        <v>6.3</v>
      </c>
      <c r="O55" s="75">
        <v>11.1</v>
      </c>
      <c r="P55" s="75">
        <v>9.6</v>
      </c>
      <c r="Q55" s="75">
        <v>9.6</v>
      </c>
      <c r="R55" s="75">
        <v>7.9</v>
      </c>
      <c r="S55" s="75">
        <v>10</v>
      </c>
      <c r="T55" s="75">
        <v>10.9</v>
      </c>
      <c r="U55" s="75">
        <v>6.5</v>
      </c>
      <c r="V55" s="75">
        <v>6.5</v>
      </c>
      <c r="W55" s="75">
        <v>8.6999999999999993</v>
      </c>
      <c r="X55" s="75">
        <v>2.9</v>
      </c>
      <c r="Y55" s="75">
        <v>2</v>
      </c>
      <c r="Z55" s="75">
        <v>7.1</v>
      </c>
      <c r="AA55" s="75">
        <v>8.9</v>
      </c>
      <c r="AB55" s="75">
        <v>5.3</v>
      </c>
      <c r="AC55" s="75">
        <v>10.7</v>
      </c>
      <c r="AD55" s="75">
        <v>11.4</v>
      </c>
      <c r="AE55" s="75">
        <v>11.6</v>
      </c>
      <c r="AF55" s="75">
        <v>11.6</v>
      </c>
      <c r="AG55" s="76">
        <v>14</v>
      </c>
      <c r="AH55" s="54">
        <f t="shared" si="2"/>
        <v>11.6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10">SUM(B53:B55)</f>
        <v>0</v>
      </c>
      <c r="C56" s="69">
        <f t="shared" ref="C56:AF56" si="11">SUM(C53:C55)</f>
        <v>0</v>
      </c>
      <c r="D56" s="69">
        <f t="shared" si="11"/>
        <v>0</v>
      </c>
      <c r="E56" s="69">
        <f t="shared" si="11"/>
        <v>0</v>
      </c>
      <c r="F56" s="69">
        <f t="shared" si="11"/>
        <v>0</v>
      </c>
      <c r="G56" s="69">
        <f t="shared" si="11"/>
        <v>24.7</v>
      </c>
      <c r="H56" s="69">
        <f t="shared" si="11"/>
        <v>24.7</v>
      </c>
      <c r="I56" s="69">
        <f t="shared" si="11"/>
        <v>24.6</v>
      </c>
      <c r="J56" s="69">
        <f t="shared" si="11"/>
        <v>24.6</v>
      </c>
      <c r="K56" s="69">
        <f t="shared" si="11"/>
        <v>72.400000000000006</v>
      </c>
      <c r="L56" s="69">
        <f t="shared" si="11"/>
        <v>100.7</v>
      </c>
      <c r="M56" s="69">
        <f t="shared" si="11"/>
        <v>101.8</v>
      </c>
      <c r="N56" s="69">
        <f t="shared" si="11"/>
        <v>77.5</v>
      </c>
      <c r="O56" s="69">
        <f t="shared" si="11"/>
        <v>101.5</v>
      </c>
      <c r="P56" s="69">
        <f t="shared" si="11"/>
        <v>95.8</v>
      </c>
      <c r="Q56" s="69">
        <f t="shared" si="11"/>
        <v>95.8</v>
      </c>
      <c r="R56" s="69">
        <f t="shared" si="11"/>
        <v>60.800000000000004</v>
      </c>
      <c r="S56" s="69">
        <f t="shared" si="11"/>
        <v>99</v>
      </c>
      <c r="T56" s="69">
        <f t="shared" si="11"/>
        <v>99.600000000000009</v>
      </c>
      <c r="U56" s="69">
        <f t="shared" si="11"/>
        <v>44.400000000000006</v>
      </c>
      <c r="V56" s="69">
        <f t="shared" si="11"/>
        <v>96.7</v>
      </c>
      <c r="W56" s="69">
        <f t="shared" si="11"/>
        <v>82.4</v>
      </c>
      <c r="X56" s="69">
        <f t="shared" si="11"/>
        <v>20.9</v>
      </c>
      <c r="Y56" s="69">
        <f t="shared" si="11"/>
        <v>18.100000000000001</v>
      </c>
      <c r="Z56" s="69">
        <f t="shared" si="11"/>
        <v>56.5</v>
      </c>
      <c r="AA56" s="69">
        <f t="shared" si="11"/>
        <v>96.9</v>
      </c>
      <c r="AB56" s="69">
        <f t="shared" si="11"/>
        <v>80.3</v>
      </c>
      <c r="AC56" s="69">
        <f t="shared" si="11"/>
        <v>100</v>
      </c>
      <c r="AD56" s="69">
        <f t="shared" si="11"/>
        <v>102.60000000000001</v>
      </c>
      <c r="AE56" s="69">
        <f t="shared" si="11"/>
        <v>103.19999999999999</v>
      </c>
      <c r="AF56" s="69">
        <f t="shared" si="11"/>
        <v>102.6</v>
      </c>
      <c r="AG56" s="74">
        <f>SUM(AG53:AG55)</f>
        <v>106</v>
      </c>
      <c r="AH56" s="54">
        <f t="shared" si="2"/>
        <v>103.19999999999999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57.2</v>
      </c>
      <c r="C57" s="51">
        <v>48.5</v>
      </c>
      <c r="D57" s="51">
        <v>48.5</v>
      </c>
      <c r="E57" s="51">
        <v>42.1</v>
      </c>
      <c r="F57" s="51">
        <v>42.1</v>
      </c>
      <c r="G57" s="51">
        <v>37</v>
      </c>
      <c r="H57" s="51">
        <v>61.2</v>
      </c>
      <c r="I57" s="51">
        <v>57.9</v>
      </c>
      <c r="J57" s="51">
        <v>55.6</v>
      </c>
      <c r="K57" s="51">
        <v>55</v>
      </c>
      <c r="L57" s="51">
        <v>63</v>
      </c>
      <c r="M57" s="51">
        <v>70.2</v>
      </c>
      <c r="N57" s="51">
        <v>60.5</v>
      </c>
      <c r="O57" s="51">
        <v>67.3</v>
      </c>
      <c r="P57" s="51">
        <v>75.3</v>
      </c>
      <c r="Q57" s="51">
        <v>74.599999999999994</v>
      </c>
      <c r="R57" s="51">
        <v>75.599999999999994</v>
      </c>
      <c r="S57" s="51">
        <v>75.599999999999994</v>
      </c>
      <c r="T57" s="51">
        <v>74.599999999999994</v>
      </c>
      <c r="U57" s="51">
        <v>75.099999999999994</v>
      </c>
      <c r="V57" s="51">
        <v>51</v>
      </c>
      <c r="W57" s="51">
        <v>67.599999999999994</v>
      </c>
      <c r="X57" s="51">
        <v>71.5</v>
      </c>
      <c r="Y57" s="51">
        <v>68.5</v>
      </c>
      <c r="Z57" s="51">
        <v>57.8</v>
      </c>
      <c r="AA57" s="51">
        <v>77.5</v>
      </c>
      <c r="AB57" s="51">
        <v>43.9</v>
      </c>
      <c r="AC57" s="51">
        <v>55.9</v>
      </c>
      <c r="AD57" s="51">
        <v>60</v>
      </c>
      <c r="AE57" s="51">
        <v>64.3</v>
      </c>
      <c r="AF57" s="51">
        <v>54</v>
      </c>
      <c r="AG57" s="59"/>
      <c r="AH57" s="54">
        <f t="shared" si="2"/>
        <v>77.5</v>
      </c>
      <c r="AI57" s="55">
        <f t="shared" si="3"/>
        <v>37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-316</v>
      </c>
      <c r="C59" s="70">
        <v>-340</v>
      </c>
      <c r="D59" s="70">
        <v>-351</v>
      </c>
      <c r="E59" s="70">
        <v>-360</v>
      </c>
      <c r="F59" s="70">
        <v>-335</v>
      </c>
      <c r="G59" s="70">
        <v>-359</v>
      </c>
      <c r="H59" s="70">
        <v>-333</v>
      </c>
      <c r="I59" s="70">
        <v>-313.7</v>
      </c>
      <c r="J59" s="70">
        <v>-295</v>
      </c>
      <c r="K59" s="70">
        <v>-284</v>
      </c>
      <c r="L59" s="70">
        <v>-325</v>
      </c>
      <c r="M59" s="70">
        <v>-321.2</v>
      </c>
      <c r="N59" s="70">
        <v>-315.2</v>
      </c>
      <c r="O59" s="70">
        <v>-305.2</v>
      </c>
      <c r="P59" s="70">
        <v>-324.10000000000002</v>
      </c>
      <c r="Q59" s="70">
        <v>-321.89999999999998</v>
      </c>
      <c r="R59" s="70">
        <v>-320.5</v>
      </c>
      <c r="S59" s="70">
        <v>-320</v>
      </c>
      <c r="T59" s="70">
        <v>-312</v>
      </c>
      <c r="U59" s="70">
        <v>-330</v>
      </c>
      <c r="V59" s="70">
        <v>-312</v>
      </c>
      <c r="W59" s="70">
        <v>-315</v>
      </c>
      <c r="X59" s="70">
        <v>-291</v>
      </c>
      <c r="Y59" s="70">
        <v>-286</v>
      </c>
      <c r="Z59" s="70">
        <v>-205</v>
      </c>
      <c r="AA59" s="70">
        <v>-200</v>
      </c>
      <c r="AB59" s="70">
        <v>-222.3</v>
      </c>
      <c r="AC59" s="70">
        <v>-231.7</v>
      </c>
      <c r="AD59" s="70">
        <v>-277.89999999999998</v>
      </c>
      <c r="AE59" s="70">
        <v>-332.5</v>
      </c>
      <c r="AF59" s="70">
        <v>-330</v>
      </c>
      <c r="AG59" s="77"/>
      <c r="AH59" s="54">
        <f t="shared" si="2"/>
        <v>-200</v>
      </c>
      <c r="AI59" s="55">
        <f t="shared" si="3"/>
        <v>-360</v>
      </c>
      <c r="AK59" s="56"/>
    </row>
    <row r="60" spans="1:37" x14ac:dyDescent="0.25">
      <c r="A60" s="62" t="s">
        <v>68</v>
      </c>
      <c r="B60" s="78">
        <v>25</v>
      </c>
      <c r="C60" s="78">
        <v>25</v>
      </c>
      <c r="D60" s="78">
        <v>25</v>
      </c>
      <c r="E60" s="78">
        <v>32.1</v>
      </c>
      <c r="F60" s="78">
        <v>32.1</v>
      </c>
      <c r="G60" s="78">
        <v>34</v>
      </c>
      <c r="H60" s="78">
        <v>33</v>
      </c>
      <c r="I60" s="78">
        <v>33</v>
      </c>
      <c r="J60" s="78">
        <v>33</v>
      </c>
      <c r="K60" s="78">
        <v>32</v>
      </c>
      <c r="L60" s="78">
        <v>32</v>
      </c>
      <c r="M60" s="78">
        <v>33</v>
      </c>
      <c r="N60" s="78">
        <v>34</v>
      </c>
      <c r="O60" s="78">
        <v>34</v>
      </c>
      <c r="P60" s="78">
        <v>38</v>
      </c>
      <c r="Q60" s="78">
        <v>38</v>
      </c>
      <c r="R60" s="78">
        <v>30.1</v>
      </c>
      <c r="S60" s="78">
        <v>31.5</v>
      </c>
      <c r="T60" s="78">
        <v>31.8</v>
      </c>
      <c r="U60" s="78">
        <v>25.8</v>
      </c>
      <c r="V60" s="78">
        <v>26.5</v>
      </c>
      <c r="W60" s="78">
        <v>27</v>
      </c>
      <c r="X60" s="78">
        <v>26.4</v>
      </c>
      <c r="Y60" s="78">
        <v>26.1</v>
      </c>
      <c r="Z60" s="78">
        <v>27.5</v>
      </c>
      <c r="AA60" s="78">
        <v>27.5</v>
      </c>
      <c r="AB60" s="78">
        <v>20.8</v>
      </c>
      <c r="AC60" s="78">
        <v>22</v>
      </c>
      <c r="AD60" s="78">
        <v>18.100000000000001</v>
      </c>
      <c r="AE60" s="78">
        <v>21.2</v>
      </c>
      <c r="AF60" s="78">
        <v>21.6</v>
      </c>
      <c r="AG60" s="77"/>
      <c r="AH60" s="54">
        <f t="shared" si="2"/>
        <v>38</v>
      </c>
      <c r="AI60" s="55">
        <f t="shared" si="3"/>
        <v>18.100000000000001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31</v>
      </c>
      <c r="Q61" s="51">
        <v>36</v>
      </c>
      <c r="R61" s="51">
        <v>37.1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26.7</v>
      </c>
      <c r="AC61" s="51">
        <v>26</v>
      </c>
      <c r="AD61" s="51">
        <v>26.4</v>
      </c>
      <c r="AE61" s="51">
        <v>26.6</v>
      </c>
      <c r="AF61" s="51">
        <v>0</v>
      </c>
      <c r="AG61" s="77"/>
      <c r="AH61" s="54">
        <f t="shared" si="2"/>
        <v>37.1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8</v>
      </c>
      <c r="P62" s="79">
        <v>8</v>
      </c>
      <c r="Q62" s="79">
        <v>8</v>
      </c>
      <c r="R62" s="79">
        <v>8</v>
      </c>
      <c r="S62" s="79">
        <v>8</v>
      </c>
      <c r="T62" s="79">
        <v>8</v>
      </c>
      <c r="U62" s="79">
        <v>8</v>
      </c>
      <c r="V62" s="79">
        <v>8</v>
      </c>
      <c r="W62" s="79">
        <v>8</v>
      </c>
      <c r="X62" s="79">
        <v>8</v>
      </c>
      <c r="Y62" s="79">
        <v>8</v>
      </c>
      <c r="Z62" s="79">
        <v>8</v>
      </c>
      <c r="AA62" s="79">
        <v>8</v>
      </c>
      <c r="AB62" s="79">
        <v>8</v>
      </c>
      <c r="AC62" s="79">
        <v>8</v>
      </c>
      <c r="AD62" s="79">
        <v>8</v>
      </c>
      <c r="AE62" s="79">
        <v>8</v>
      </c>
      <c r="AF62" s="79">
        <v>8</v>
      </c>
      <c r="AG62" s="77"/>
      <c r="AH62" s="54">
        <f t="shared" si="2"/>
        <v>8</v>
      </c>
      <c r="AI62" s="55">
        <f t="shared" si="3"/>
        <v>8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9">
        <v>0</v>
      </c>
      <c r="C64" s="79">
        <v>0</v>
      </c>
      <c r="D64" s="79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9">
        <v>0</v>
      </c>
      <c r="C65" s="79">
        <v>0</v>
      </c>
      <c r="D65" s="79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79">
        <v>0</v>
      </c>
      <c r="C66" s="79">
        <v>0</v>
      </c>
      <c r="D66" s="79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79">
        <v>0</v>
      </c>
      <c r="C67" s="79">
        <v>0</v>
      </c>
      <c r="D67" s="79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2">SUM(B57:B67)</f>
        <v>-225.8</v>
      </c>
      <c r="C68" s="69">
        <f t="shared" ref="C68:AF68" si="13">SUM(C57:C67)</f>
        <v>-258.5</v>
      </c>
      <c r="D68" s="69">
        <f t="shared" si="13"/>
        <v>-269.5</v>
      </c>
      <c r="E68" s="69">
        <f t="shared" si="13"/>
        <v>-277.79999999999995</v>
      </c>
      <c r="F68" s="69">
        <f t="shared" si="13"/>
        <v>-252.79999999999995</v>
      </c>
      <c r="G68" s="69">
        <f t="shared" si="13"/>
        <v>-280</v>
      </c>
      <c r="H68" s="69">
        <f t="shared" si="13"/>
        <v>-230.8</v>
      </c>
      <c r="I68" s="69">
        <f t="shared" si="13"/>
        <v>-214.79999999999998</v>
      </c>
      <c r="J68" s="69">
        <f t="shared" si="13"/>
        <v>-198.4</v>
      </c>
      <c r="K68" s="69">
        <f t="shared" si="13"/>
        <v>-189</v>
      </c>
      <c r="L68" s="69">
        <f t="shared" si="13"/>
        <v>-222</v>
      </c>
      <c r="M68" s="69">
        <f t="shared" si="13"/>
        <v>-210</v>
      </c>
      <c r="N68" s="69">
        <f t="shared" si="13"/>
        <v>-212.7</v>
      </c>
      <c r="O68" s="69">
        <f t="shared" si="13"/>
        <v>-195.89999999999998</v>
      </c>
      <c r="P68" s="69">
        <f t="shared" si="13"/>
        <v>-171.8</v>
      </c>
      <c r="Q68" s="69">
        <f t="shared" si="13"/>
        <v>-165.29999999999998</v>
      </c>
      <c r="R68" s="69">
        <f t="shared" si="13"/>
        <v>-169.70000000000002</v>
      </c>
      <c r="S68" s="69">
        <f t="shared" si="13"/>
        <v>-204.9</v>
      </c>
      <c r="T68" s="69">
        <f t="shared" si="13"/>
        <v>-197.6</v>
      </c>
      <c r="U68" s="69">
        <f t="shared" si="13"/>
        <v>-221.1</v>
      </c>
      <c r="V68" s="69">
        <f>SUM(V57:V67)</f>
        <v>-226.5</v>
      </c>
      <c r="W68" s="69">
        <f t="shared" si="13"/>
        <v>-212.4</v>
      </c>
      <c r="X68" s="69">
        <f t="shared" si="13"/>
        <v>-185.1</v>
      </c>
      <c r="Y68" s="69">
        <f t="shared" si="13"/>
        <v>-183.4</v>
      </c>
      <c r="Z68" s="69">
        <f t="shared" si="13"/>
        <v>-111.69999999999999</v>
      </c>
      <c r="AA68" s="69">
        <f t="shared" si="13"/>
        <v>-87</v>
      </c>
      <c r="AB68" s="69">
        <f t="shared" si="13"/>
        <v>-122.9</v>
      </c>
      <c r="AC68" s="69">
        <f t="shared" si="13"/>
        <v>-119.79999999999998</v>
      </c>
      <c r="AD68" s="69">
        <f t="shared" si="13"/>
        <v>-165.39999999999998</v>
      </c>
      <c r="AE68" s="69">
        <f t="shared" si="13"/>
        <v>-212.4</v>
      </c>
      <c r="AF68" s="69">
        <f t="shared" si="13"/>
        <v>-246.4</v>
      </c>
      <c r="AG68" s="74">
        <f>SUM(AG57:AG67)</f>
        <v>0</v>
      </c>
      <c r="AH68" s="54">
        <f t="shared" si="2"/>
        <v>-87</v>
      </c>
      <c r="AI68" s="55">
        <f t="shared" si="3"/>
        <v>-280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f>B38+B52+B56+B68</f>
        <v>1231.54</v>
      </c>
      <c r="C73" s="84">
        <f t="shared" ref="C73:AF73" si="14">C38+C52+C56+C68</f>
        <v>1234.94</v>
      </c>
      <c r="D73" s="84">
        <f t="shared" si="14"/>
        <v>1217.94</v>
      </c>
      <c r="E73" s="84">
        <f t="shared" si="14"/>
        <v>1203.54</v>
      </c>
      <c r="F73" s="84">
        <f t="shared" si="14"/>
        <v>1230.54</v>
      </c>
      <c r="G73" s="84">
        <f t="shared" si="14"/>
        <v>1288.74</v>
      </c>
      <c r="H73" s="84">
        <f t="shared" si="14"/>
        <v>1311.94</v>
      </c>
      <c r="I73" s="84">
        <f t="shared" si="14"/>
        <v>1327.84</v>
      </c>
      <c r="J73" s="84">
        <f t="shared" si="14"/>
        <v>1360.2399999999998</v>
      </c>
      <c r="K73" s="84">
        <f t="shared" si="14"/>
        <v>1428.24</v>
      </c>
      <c r="L73" s="84">
        <f t="shared" si="14"/>
        <v>1419.2400000000002</v>
      </c>
      <c r="M73" s="84">
        <f t="shared" si="14"/>
        <v>1442.74</v>
      </c>
      <c r="N73" s="84">
        <f t="shared" si="14"/>
        <v>1450.14</v>
      </c>
      <c r="O73" s="84">
        <f t="shared" si="14"/>
        <v>1485.6399999999999</v>
      </c>
      <c r="P73" s="84">
        <f t="shared" si="14"/>
        <v>1507.6399999999999</v>
      </c>
      <c r="Q73" s="84">
        <f t="shared" si="14"/>
        <v>1486.14</v>
      </c>
      <c r="R73" s="84">
        <f t="shared" si="14"/>
        <v>1484.14</v>
      </c>
      <c r="S73" s="84">
        <f t="shared" si="14"/>
        <v>1488.74</v>
      </c>
      <c r="T73" s="84">
        <f t="shared" si="14"/>
        <v>1496.14</v>
      </c>
      <c r="U73" s="84">
        <f t="shared" si="14"/>
        <v>1417.4400000000003</v>
      </c>
      <c r="V73" s="84">
        <f t="shared" si="14"/>
        <v>1436.5400000000002</v>
      </c>
      <c r="W73" s="84">
        <f t="shared" si="14"/>
        <v>1346.24</v>
      </c>
      <c r="X73" s="84">
        <f t="shared" si="14"/>
        <v>1404.2400000000002</v>
      </c>
      <c r="Y73" s="84">
        <f t="shared" si="14"/>
        <v>1403.2399999999998</v>
      </c>
      <c r="Z73" s="84">
        <f t="shared" si="14"/>
        <v>1513.24</v>
      </c>
      <c r="AA73" s="84">
        <f t="shared" si="14"/>
        <v>1577.2400000000002</v>
      </c>
      <c r="AB73" s="84">
        <f t="shared" si="14"/>
        <v>1518.54</v>
      </c>
      <c r="AC73" s="84">
        <f t="shared" si="14"/>
        <v>1528.14</v>
      </c>
      <c r="AD73" s="84">
        <f t="shared" si="14"/>
        <v>1485.1399999999999</v>
      </c>
      <c r="AE73" s="84">
        <f t="shared" si="14"/>
        <v>1408.54</v>
      </c>
      <c r="AF73" s="84">
        <f t="shared" si="14"/>
        <v>1348.5399999999997</v>
      </c>
      <c r="AG73" s="84">
        <f t="shared" ref="AG73" si="15">AG68+AG56+AG52+AG38+AG72</f>
        <v>2144.14</v>
      </c>
      <c r="AH73" s="54">
        <f t="shared" si="2"/>
        <v>1577.2400000000002</v>
      </c>
      <c r="AI73" s="55">
        <f t="shared" si="3"/>
        <v>1203.54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100</v>
      </c>
      <c r="C74" s="86">
        <v>100</v>
      </c>
      <c r="D74" s="86">
        <v>60</v>
      </c>
      <c r="E74" s="86">
        <v>100</v>
      </c>
      <c r="F74" s="86">
        <v>100</v>
      </c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>
        <v>10</v>
      </c>
      <c r="AC74" s="86">
        <v>20</v>
      </c>
      <c r="AD74" s="86">
        <v>50</v>
      </c>
      <c r="AE74" s="86">
        <v>60</v>
      </c>
      <c r="AF74" s="86">
        <v>60</v>
      </c>
      <c r="AG74" s="74"/>
      <c r="AH74" s="54">
        <f t="shared" si="2"/>
        <v>100</v>
      </c>
      <c r="AI74" s="55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6">B72+B68+B56+B52+B38+B74</f>
        <v>1331.54</v>
      </c>
      <c r="C75" s="84">
        <f t="shared" ref="C75:AF75" si="17">C72+C68+C56+C52+C38+C74</f>
        <v>1334.94</v>
      </c>
      <c r="D75" s="84">
        <f t="shared" si="17"/>
        <v>1277.94</v>
      </c>
      <c r="E75" s="84">
        <f t="shared" si="17"/>
        <v>1303.54</v>
      </c>
      <c r="F75" s="84">
        <f t="shared" si="17"/>
        <v>1330.54</v>
      </c>
      <c r="G75" s="84">
        <f t="shared" si="17"/>
        <v>1288.7399999999998</v>
      </c>
      <c r="H75" s="84">
        <f t="shared" si="17"/>
        <v>1311.9399999999998</v>
      </c>
      <c r="I75" s="84">
        <f t="shared" si="17"/>
        <v>1327.84</v>
      </c>
      <c r="J75" s="84">
        <f t="shared" si="17"/>
        <v>1360.2399999999998</v>
      </c>
      <c r="K75" s="84">
        <f t="shared" si="17"/>
        <v>1428.2399999999998</v>
      </c>
      <c r="L75" s="84">
        <f t="shared" si="17"/>
        <v>1419.2400000000002</v>
      </c>
      <c r="M75" s="84">
        <f t="shared" si="17"/>
        <v>1442.74</v>
      </c>
      <c r="N75" s="84">
        <f t="shared" si="17"/>
        <v>1450.14</v>
      </c>
      <c r="O75" s="84">
        <f t="shared" si="17"/>
        <v>1485.64</v>
      </c>
      <c r="P75" s="84">
        <f t="shared" si="17"/>
        <v>1507.6399999999999</v>
      </c>
      <c r="Q75" s="84">
        <f t="shared" si="17"/>
        <v>1486.14</v>
      </c>
      <c r="R75" s="84">
        <f t="shared" si="17"/>
        <v>1484.14</v>
      </c>
      <c r="S75" s="84">
        <f t="shared" si="17"/>
        <v>1488.7400000000002</v>
      </c>
      <c r="T75" s="84">
        <f t="shared" si="17"/>
        <v>1496.14</v>
      </c>
      <c r="U75" s="84">
        <f t="shared" si="17"/>
        <v>1417.44</v>
      </c>
      <c r="V75" s="84">
        <f t="shared" si="17"/>
        <v>1436.54</v>
      </c>
      <c r="W75" s="84">
        <f t="shared" si="17"/>
        <v>1346.24</v>
      </c>
      <c r="X75" s="84">
        <f t="shared" si="17"/>
        <v>1404.2400000000002</v>
      </c>
      <c r="Y75" s="84">
        <f t="shared" si="17"/>
        <v>1403.24</v>
      </c>
      <c r="Z75" s="84">
        <f t="shared" si="17"/>
        <v>1513.2400000000002</v>
      </c>
      <c r="AA75" s="84">
        <f t="shared" si="17"/>
        <v>1577.2400000000002</v>
      </c>
      <c r="AB75" s="84">
        <f t="shared" si="17"/>
        <v>1528.54</v>
      </c>
      <c r="AC75" s="84">
        <f t="shared" si="17"/>
        <v>1548.14</v>
      </c>
      <c r="AD75" s="84">
        <f t="shared" si="17"/>
        <v>1535.14</v>
      </c>
      <c r="AE75" s="84">
        <f t="shared" si="17"/>
        <v>1468.54</v>
      </c>
      <c r="AF75" s="84">
        <f t="shared" si="17"/>
        <v>1408.54</v>
      </c>
      <c r="AG75" s="74">
        <f>AG72+AG68+AG56+AG52+AG38+AG74</f>
        <v>2144.14</v>
      </c>
      <c r="AH75" s="54">
        <f t="shared" si="2"/>
        <v>1577.2400000000002</v>
      </c>
      <c r="AI75" s="55">
        <f t="shared" si="3"/>
        <v>1277.94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8">MAX(B76:AF76)</f>
        <v>0</v>
      </c>
      <c r="AI76" s="55">
        <f t="shared" ref="AI76:AI91" si="19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8"/>
        <v>0</v>
      </c>
      <c r="AI77" s="55">
        <f t="shared" si="19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8"/>
        <v>0</v>
      </c>
      <c r="AI78" s="55">
        <f t="shared" si="19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8"/>
        <v>0</v>
      </c>
      <c r="AI79" s="55">
        <f t="shared" si="19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8"/>
        <v>0</v>
      </c>
      <c r="AI80" s="55">
        <f t="shared" si="19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8"/>
        <v>0</v>
      </c>
      <c r="AI81" s="55">
        <f t="shared" si="19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20">SUM(AG76:AG81)</f>
        <v>0</v>
      </c>
      <c r="AH82" s="54">
        <f t="shared" si="18"/>
        <v>0</v>
      </c>
      <c r="AI82" s="55">
        <f t="shared" si="19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21">SUM(B70:B82)</f>
        <v>2663.08</v>
      </c>
      <c r="C83" s="69">
        <f t="shared" ref="C83:AG83" si="22">SUM(C70:C82)</f>
        <v>2669.88</v>
      </c>
      <c r="D83" s="69">
        <f t="shared" si="22"/>
        <v>2555.88</v>
      </c>
      <c r="E83" s="69">
        <f t="shared" si="22"/>
        <v>2607.08</v>
      </c>
      <c r="F83" s="69">
        <f t="shared" si="22"/>
        <v>2661.08</v>
      </c>
      <c r="G83" s="69">
        <f t="shared" si="22"/>
        <v>2577.4799999999996</v>
      </c>
      <c r="H83" s="69">
        <f t="shared" si="22"/>
        <v>2623.88</v>
      </c>
      <c r="I83" s="69">
        <f t="shared" si="22"/>
        <v>2655.68</v>
      </c>
      <c r="J83" s="69">
        <f t="shared" si="22"/>
        <v>2720.4799999999996</v>
      </c>
      <c r="K83" s="69">
        <f t="shared" si="22"/>
        <v>2856.4799999999996</v>
      </c>
      <c r="L83" s="69">
        <f t="shared" si="22"/>
        <v>2838.4800000000005</v>
      </c>
      <c r="M83" s="69">
        <f t="shared" si="22"/>
        <v>2885.48</v>
      </c>
      <c r="N83" s="69">
        <f t="shared" si="22"/>
        <v>2900.28</v>
      </c>
      <c r="O83" s="69">
        <f t="shared" si="22"/>
        <v>2971.2799999999997</v>
      </c>
      <c r="P83" s="69">
        <f t="shared" si="22"/>
        <v>3015.2799999999997</v>
      </c>
      <c r="Q83" s="69">
        <f t="shared" si="22"/>
        <v>2972.28</v>
      </c>
      <c r="R83" s="69">
        <f t="shared" si="22"/>
        <v>2968.28</v>
      </c>
      <c r="S83" s="69">
        <f t="shared" si="22"/>
        <v>2977.4800000000005</v>
      </c>
      <c r="T83" s="69">
        <f t="shared" si="22"/>
        <v>2992.28</v>
      </c>
      <c r="U83" s="69">
        <f t="shared" si="22"/>
        <v>2834.88</v>
      </c>
      <c r="V83" s="69">
        <f t="shared" si="22"/>
        <v>2873.08</v>
      </c>
      <c r="W83" s="69">
        <f t="shared" si="22"/>
        <v>2692.48</v>
      </c>
      <c r="X83" s="69">
        <f t="shared" si="22"/>
        <v>2808.4800000000005</v>
      </c>
      <c r="Y83" s="69">
        <f t="shared" si="22"/>
        <v>2806.4799999999996</v>
      </c>
      <c r="Z83" s="69">
        <f t="shared" si="22"/>
        <v>3026.4800000000005</v>
      </c>
      <c r="AA83" s="69">
        <f t="shared" si="22"/>
        <v>3154.4800000000005</v>
      </c>
      <c r="AB83" s="69">
        <f t="shared" si="22"/>
        <v>3057.08</v>
      </c>
      <c r="AC83" s="69">
        <f t="shared" si="22"/>
        <v>3096.28</v>
      </c>
      <c r="AD83" s="69">
        <f t="shared" si="22"/>
        <v>3070.2799999999997</v>
      </c>
      <c r="AE83" s="69">
        <f t="shared" si="22"/>
        <v>2937.08</v>
      </c>
      <c r="AF83" s="69">
        <f t="shared" si="22"/>
        <v>2817.08</v>
      </c>
      <c r="AG83" s="74">
        <f t="shared" si="22"/>
        <v>4360.08</v>
      </c>
      <c r="AH83" s="54">
        <f t="shared" si="18"/>
        <v>3154.4800000000005</v>
      </c>
      <c r="AI83" s="55">
        <f t="shared" si="19"/>
        <v>2555.88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50.03</v>
      </c>
      <c r="C84" s="90">
        <v>50</v>
      </c>
      <c r="D84" s="90">
        <v>50.021000000000001</v>
      </c>
      <c r="E84" s="90">
        <v>50.029000000000003</v>
      </c>
      <c r="F84" s="90">
        <v>49.98</v>
      </c>
      <c r="G84" s="90">
        <v>49.988</v>
      </c>
      <c r="H84" s="90">
        <v>49.988</v>
      </c>
      <c r="I84" s="90">
        <v>49.957999999999998</v>
      </c>
      <c r="J84" s="90">
        <v>50.034999999999997</v>
      </c>
      <c r="K84" s="90">
        <v>50.064999999999998</v>
      </c>
      <c r="L84" s="90">
        <v>50.04</v>
      </c>
      <c r="M84" s="90">
        <v>50.078000000000003</v>
      </c>
      <c r="N84" s="90">
        <v>50.036999999999999</v>
      </c>
      <c r="O84" s="90">
        <v>50.003999999999998</v>
      </c>
      <c r="P84" s="90">
        <v>49.92</v>
      </c>
      <c r="Q84" s="90">
        <v>50.033999999999999</v>
      </c>
      <c r="R84" s="90">
        <v>49.991999999999997</v>
      </c>
      <c r="S84" s="90">
        <v>49.98</v>
      </c>
      <c r="T84" s="90">
        <v>49.96</v>
      </c>
      <c r="U84" s="90">
        <v>49.94</v>
      </c>
      <c r="V84" s="90">
        <v>50.03</v>
      </c>
      <c r="W84" s="90">
        <v>50.02</v>
      </c>
      <c r="X84" s="90">
        <v>50.03</v>
      </c>
      <c r="Y84" s="90">
        <v>49.99</v>
      </c>
      <c r="Z84" s="90">
        <v>50.03</v>
      </c>
      <c r="AA84" s="90">
        <v>49.96</v>
      </c>
      <c r="AB84" s="90">
        <v>50.04</v>
      </c>
      <c r="AC84" s="90">
        <v>49.981999999999999</v>
      </c>
      <c r="AD84" s="90">
        <v>50.031999999999996</v>
      </c>
      <c r="AE84" s="90">
        <v>50.012999999999998</v>
      </c>
      <c r="AF84" s="90">
        <v>50.067</v>
      </c>
      <c r="AG84" s="91"/>
      <c r="AH84" s="54">
        <f t="shared" si="18"/>
        <v>50.078000000000003</v>
      </c>
      <c r="AI84" s="55">
        <f t="shared" si="19"/>
        <v>49.92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127</v>
      </c>
      <c r="C85" s="70">
        <v>127.1</v>
      </c>
      <c r="D85" s="70">
        <v>127.1</v>
      </c>
      <c r="E85" s="70">
        <v>127.1</v>
      </c>
      <c r="F85" s="70">
        <v>128.19999999999999</v>
      </c>
      <c r="G85" s="70">
        <v>127</v>
      </c>
      <c r="H85" s="70">
        <v>127</v>
      </c>
      <c r="I85" s="70">
        <v>123.8</v>
      </c>
      <c r="J85" s="70">
        <v>124.8</v>
      </c>
      <c r="K85" s="70">
        <v>124.1</v>
      </c>
      <c r="L85" s="70">
        <v>123.8</v>
      </c>
      <c r="M85" s="70">
        <v>125.1</v>
      </c>
      <c r="N85" s="70">
        <v>122.9</v>
      </c>
      <c r="O85" s="70">
        <v>123</v>
      </c>
      <c r="P85" s="70">
        <v>123.2</v>
      </c>
      <c r="Q85" s="70">
        <v>121.9</v>
      </c>
      <c r="R85" s="70">
        <v>124</v>
      </c>
      <c r="S85" s="70">
        <v>124.6</v>
      </c>
      <c r="T85" s="70">
        <v>121.8</v>
      </c>
      <c r="U85" s="70">
        <v>126.2</v>
      </c>
      <c r="V85" s="70">
        <v>126.1</v>
      </c>
      <c r="W85" s="70">
        <v>125.3</v>
      </c>
      <c r="X85" s="70">
        <v>124.1</v>
      </c>
      <c r="Y85" s="70">
        <v>124.8</v>
      </c>
      <c r="Z85" s="70">
        <v>125.2</v>
      </c>
      <c r="AA85" s="70">
        <v>124.7</v>
      </c>
      <c r="AB85" s="70">
        <v>126.1</v>
      </c>
      <c r="AC85" s="70">
        <v>126.1</v>
      </c>
      <c r="AD85" s="70">
        <v>125.8</v>
      </c>
      <c r="AE85" s="70">
        <v>126.2</v>
      </c>
      <c r="AF85" s="70">
        <v>123.6</v>
      </c>
      <c r="AG85" s="93"/>
      <c r="AH85" s="54">
        <f t="shared" si="18"/>
        <v>128.19999999999999</v>
      </c>
      <c r="AI85" s="55">
        <f t="shared" si="19"/>
        <v>121.8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129.69999999999999</v>
      </c>
      <c r="C86" s="70">
        <v>130.4</v>
      </c>
      <c r="D86" s="70">
        <v>130.4</v>
      </c>
      <c r="E86" s="70">
        <v>130.4</v>
      </c>
      <c r="F86" s="70">
        <v>131.30000000000001</v>
      </c>
      <c r="G86" s="70">
        <v>130.6</v>
      </c>
      <c r="H86" s="70">
        <v>130.6</v>
      </c>
      <c r="I86" s="70">
        <v>127.6</v>
      </c>
      <c r="J86" s="70">
        <v>127.7</v>
      </c>
      <c r="K86" s="70">
        <v>127.3</v>
      </c>
      <c r="L86" s="70">
        <v>126.9</v>
      </c>
      <c r="M86" s="70">
        <v>127.3</v>
      </c>
      <c r="N86" s="70">
        <v>126.3</v>
      </c>
      <c r="O86" s="70">
        <v>126.2</v>
      </c>
      <c r="P86" s="70">
        <v>126.3</v>
      </c>
      <c r="Q86" s="70">
        <v>125.1</v>
      </c>
      <c r="R86" s="70">
        <v>127</v>
      </c>
      <c r="S86" s="70">
        <v>127.1</v>
      </c>
      <c r="T86" s="70">
        <v>125.7</v>
      </c>
      <c r="U86" s="70">
        <v>128.5</v>
      </c>
      <c r="V86" s="70">
        <v>128.6</v>
      </c>
      <c r="W86" s="70">
        <v>128.4</v>
      </c>
      <c r="X86" s="70">
        <v>127.9</v>
      </c>
      <c r="Y86" s="70">
        <v>128.1</v>
      </c>
      <c r="Z86" s="70">
        <v>128.69999999999999</v>
      </c>
      <c r="AA86" s="70">
        <v>127.5</v>
      </c>
      <c r="AB86" s="70">
        <v>129.19999999999999</v>
      </c>
      <c r="AC86" s="70">
        <v>129.19999999999999</v>
      </c>
      <c r="AD86" s="70">
        <v>129.19999999999999</v>
      </c>
      <c r="AE86" s="70">
        <v>130.19999999999999</v>
      </c>
      <c r="AF86" s="70">
        <v>128.5</v>
      </c>
      <c r="AG86" s="93"/>
      <c r="AH86" s="54">
        <f t="shared" si="18"/>
        <v>131.30000000000001</v>
      </c>
      <c r="AI86" s="55">
        <f t="shared" si="19"/>
        <v>125.1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126.9</v>
      </c>
      <c r="C87" s="70">
        <v>127.6</v>
      </c>
      <c r="D87" s="70">
        <v>127.6</v>
      </c>
      <c r="E87" s="70">
        <v>127.6</v>
      </c>
      <c r="F87" s="70">
        <v>127.7</v>
      </c>
      <c r="G87" s="70">
        <v>128.80000000000001</v>
      </c>
      <c r="H87" s="70">
        <v>128.80000000000001</v>
      </c>
      <c r="I87" s="70">
        <v>127.5</v>
      </c>
      <c r="J87" s="70">
        <v>126.6</v>
      </c>
      <c r="K87" s="70">
        <v>129.9</v>
      </c>
      <c r="L87" s="70">
        <v>126.8</v>
      </c>
      <c r="M87" s="70">
        <v>124.5</v>
      </c>
      <c r="N87" s="70">
        <v>127.3</v>
      </c>
      <c r="O87" s="70">
        <v>125</v>
      </c>
      <c r="P87" s="70">
        <v>124.9</v>
      </c>
      <c r="Q87" s="70">
        <v>127.8</v>
      </c>
      <c r="R87" s="70">
        <v>128.5</v>
      </c>
      <c r="S87" s="70">
        <v>127.4</v>
      </c>
      <c r="T87" s="70">
        <v>127.5</v>
      </c>
      <c r="U87" s="70">
        <v>128.80000000000001</v>
      </c>
      <c r="V87" s="70">
        <v>127.9</v>
      </c>
      <c r="W87" s="70">
        <v>127.3</v>
      </c>
      <c r="X87" s="70">
        <v>127.8</v>
      </c>
      <c r="Y87" s="70">
        <v>128.4</v>
      </c>
      <c r="Z87" s="70">
        <v>127.5</v>
      </c>
      <c r="AA87" s="70">
        <v>127.4</v>
      </c>
      <c r="AB87" s="70">
        <v>128.1</v>
      </c>
      <c r="AC87" s="70">
        <v>128.1</v>
      </c>
      <c r="AD87" s="70">
        <v>128.1</v>
      </c>
      <c r="AE87" s="70">
        <v>129.9</v>
      </c>
      <c r="AF87" s="70">
        <v>127.2</v>
      </c>
      <c r="AG87" s="93"/>
      <c r="AH87" s="54">
        <f t="shared" si="18"/>
        <v>129.9</v>
      </c>
      <c r="AI87" s="55">
        <f t="shared" si="19"/>
        <v>124.5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130.1</v>
      </c>
      <c r="C88" s="70">
        <v>131.30000000000001</v>
      </c>
      <c r="D88" s="70">
        <v>131.30000000000001</v>
      </c>
      <c r="E88" s="70">
        <v>131.30000000000001</v>
      </c>
      <c r="F88" s="70">
        <v>131.4</v>
      </c>
      <c r="G88" s="70">
        <v>132.6</v>
      </c>
      <c r="H88" s="70">
        <v>132.6</v>
      </c>
      <c r="I88" s="70">
        <v>131</v>
      </c>
      <c r="J88" s="70">
        <v>131.4</v>
      </c>
      <c r="K88" s="70">
        <v>134.69999999999999</v>
      </c>
      <c r="L88" s="70">
        <v>132.19999999999999</v>
      </c>
      <c r="M88" s="70">
        <v>129.69999999999999</v>
      </c>
      <c r="N88" s="70">
        <v>130.9</v>
      </c>
      <c r="O88" s="70">
        <v>128.30000000000001</v>
      </c>
      <c r="P88" s="70">
        <v>128.19999999999999</v>
      </c>
      <c r="Q88" s="70">
        <v>131.69999999999999</v>
      </c>
      <c r="R88" s="70">
        <v>133.69999999999999</v>
      </c>
      <c r="S88" s="70">
        <v>130.9</v>
      </c>
      <c r="T88" s="70">
        <v>130.69999999999999</v>
      </c>
      <c r="U88" s="70">
        <v>131.6</v>
      </c>
      <c r="V88" s="70">
        <v>130.30000000000001</v>
      </c>
      <c r="W88" s="70">
        <v>130.69999999999999</v>
      </c>
      <c r="X88" s="70">
        <v>132.30000000000001</v>
      </c>
      <c r="Y88" s="70">
        <v>132.4</v>
      </c>
      <c r="Z88" s="70">
        <v>130.4</v>
      </c>
      <c r="AA88" s="70">
        <v>130.4</v>
      </c>
      <c r="AB88" s="70">
        <v>131.4</v>
      </c>
      <c r="AC88" s="70">
        <v>131.4</v>
      </c>
      <c r="AD88" s="70">
        <v>131.4</v>
      </c>
      <c r="AE88" s="70">
        <v>134.1</v>
      </c>
      <c r="AF88" s="70">
        <v>131</v>
      </c>
      <c r="AG88" s="93"/>
      <c r="AH88" s="54">
        <f t="shared" si="18"/>
        <v>134.69999999999999</v>
      </c>
      <c r="AI88" s="55">
        <f t="shared" si="19"/>
        <v>128.19999999999999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132.6</v>
      </c>
      <c r="C89" s="95">
        <v>130.9</v>
      </c>
      <c r="D89" s="95">
        <v>130.9</v>
      </c>
      <c r="E89" s="95">
        <v>130.9</v>
      </c>
      <c r="F89" s="95">
        <v>133.5</v>
      </c>
      <c r="G89" s="95">
        <v>137.1</v>
      </c>
      <c r="H89" s="95">
        <v>137.1</v>
      </c>
      <c r="I89" s="95">
        <v>133.19999999999999</v>
      </c>
      <c r="J89" s="95">
        <v>134.80000000000001</v>
      </c>
      <c r="K89" s="95">
        <v>134.5</v>
      </c>
      <c r="L89" s="95">
        <v>134.9</v>
      </c>
      <c r="M89" s="95">
        <v>134.80000000000001</v>
      </c>
      <c r="N89" s="95">
        <v>133.80000000000001</v>
      </c>
      <c r="O89" s="95">
        <v>134.19999999999999</v>
      </c>
      <c r="P89" s="95">
        <v>132.80000000000001</v>
      </c>
      <c r="Q89" s="95">
        <v>130.6</v>
      </c>
      <c r="R89" s="95">
        <v>134.5</v>
      </c>
      <c r="S89" s="95">
        <v>134.30000000000001</v>
      </c>
      <c r="T89" s="95">
        <v>133.80000000000001</v>
      </c>
      <c r="U89" s="95">
        <v>134.4</v>
      </c>
      <c r="V89" s="95">
        <v>130.4</v>
      </c>
      <c r="W89" s="95">
        <v>132.1</v>
      </c>
      <c r="X89" s="95">
        <v>132</v>
      </c>
      <c r="Y89" s="95">
        <v>134.30000000000001</v>
      </c>
      <c r="Z89" s="95">
        <v>130.69999999999999</v>
      </c>
      <c r="AA89" s="95">
        <v>134.6</v>
      </c>
      <c r="AB89" s="95">
        <v>132.30000000000001</v>
      </c>
      <c r="AC89" s="95">
        <v>132.30000000000001</v>
      </c>
      <c r="AD89" s="95">
        <v>132.30000000000001</v>
      </c>
      <c r="AE89" s="95">
        <v>131.1</v>
      </c>
      <c r="AF89" s="95">
        <v>127.7</v>
      </c>
      <c r="AG89" s="96"/>
      <c r="AH89" s="54">
        <f t="shared" si="18"/>
        <v>137.1</v>
      </c>
      <c r="AI89" s="55">
        <f t="shared" si="19"/>
        <v>127.7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125.2</v>
      </c>
      <c r="C90" s="70">
        <v>121.5</v>
      </c>
      <c r="D90" s="70">
        <v>121.5</v>
      </c>
      <c r="E90" s="70">
        <v>121.5</v>
      </c>
      <c r="F90" s="70">
        <v>123.3</v>
      </c>
      <c r="G90" s="70">
        <v>130.69999999999999</v>
      </c>
      <c r="H90" s="70">
        <v>130.69999999999999</v>
      </c>
      <c r="I90" s="70">
        <v>124.8</v>
      </c>
      <c r="J90" s="70">
        <v>126.5</v>
      </c>
      <c r="K90" s="70">
        <v>129.69999999999999</v>
      </c>
      <c r="L90" s="70">
        <v>126.2</v>
      </c>
      <c r="M90" s="70">
        <v>124.4</v>
      </c>
      <c r="N90" s="70">
        <v>123</v>
      </c>
      <c r="O90" s="70">
        <v>120.6</v>
      </c>
      <c r="P90" s="70">
        <v>120.6</v>
      </c>
      <c r="Q90" s="70">
        <v>119.4</v>
      </c>
      <c r="R90" s="70">
        <v>127.3</v>
      </c>
      <c r="S90" s="70">
        <v>130.80000000000001</v>
      </c>
      <c r="T90" s="70">
        <v>125.6</v>
      </c>
      <c r="U90" s="70">
        <v>125.9</v>
      </c>
      <c r="V90" s="70">
        <v>122</v>
      </c>
      <c r="W90" s="70">
        <v>120.5</v>
      </c>
      <c r="X90" s="70">
        <v>121.1</v>
      </c>
      <c r="Y90" s="70">
        <v>125.2</v>
      </c>
      <c r="Z90" s="70">
        <v>115.2</v>
      </c>
      <c r="AA90" s="70">
        <v>130.19999999999999</v>
      </c>
      <c r="AB90" s="70">
        <v>127.3</v>
      </c>
      <c r="AC90" s="70">
        <v>127.3</v>
      </c>
      <c r="AD90" s="70">
        <v>127.3</v>
      </c>
      <c r="AE90" s="70">
        <v>120.3</v>
      </c>
      <c r="AF90" s="70">
        <v>121</v>
      </c>
      <c r="AG90" s="93"/>
      <c r="AH90" s="54">
        <f t="shared" si="18"/>
        <v>130.80000000000001</v>
      </c>
      <c r="AI90" s="55">
        <f t="shared" si="19"/>
        <v>115.2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66</v>
      </c>
      <c r="C91" s="97">
        <v>66.3</v>
      </c>
      <c r="D91" s="97">
        <v>66.3</v>
      </c>
      <c r="E91" s="97">
        <v>66.3</v>
      </c>
      <c r="F91" s="97">
        <v>66.8</v>
      </c>
      <c r="G91" s="97">
        <v>66.400000000000006</v>
      </c>
      <c r="H91" s="97">
        <v>66.400000000000006</v>
      </c>
      <c r="I91" s="97">
        <v>65</v>
      </c>
      <c r="J91" s="97">
        <v>64.7</v>
      </c>
      <c r="K91" s="97">
        <v>64.599999999999994</v>
      </c>
      <c r="L91" s="97">
        <v>64.5</v>
      </c>
      <c r="M91" s="97">
        <v>64.5</v>
      </c>
      <c r="N91" s="97">
        <v>64.2</v>
      </c>
      <c r="O91" s="97">
        <v>64</v>
      </c>
      <c r="P91" s="97">
        <v>64.099999999999994</v>
      </c>
      <c r="Q91" s="97">
        <v>63.4</v>
      </c>
      <c r="R91" s="97">
        <v>64.5</v>
      </c>
      <c r="S91" s="97">
        <v>64.400000000000006</v>
      </c>
      <c r="T91" s="97">
        <v>63.9</v>
      </c>
      <c r="U91" s="97">
        <v>65</v>
      </c>
      <c r="V91" s="97">
        <v>65.2</v>
      </c>
      <c r="W91" s="97">
        <v>65.2</v>
      </c>
      <c r="X91" s="97">
        <v>65</v>
      </c>
      <c r="Y91" s="97">
        <v>65.2</v>
      </c>
      <c r="Z91" s="97">
        <v>65.2</v>
      </c>
      <c r="AA91" s="97">
        <v>64.8</v>
      </c>
      <c r="AB91" s="97">
        <v>65.400000000000006</v>
      </c>
      <c r="AC91" s="97">
        <v>65.400000000000006</v>
      </c>
      <c r="AD91" s="97">
        <v>65.5</v>
      </c>
      <c r="AE91" s="97">
        <v>66</v>
      </c>
      <c r="AF91" s="97">
        <v>65.2</v>
      </c>
      <c r="AG91" s="98"/>
      <c r="AH91" s="54">
        <f t="shared" si="18"/>
        <v>66.8</v>
      </c>
      <c r="AI91" s="55">
        <f t="shared" si="19"/>
        <v>63.4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23">SUM(B15,B18,B21:B22,B42,B44:B45,B47,B49,B94:B97,B103,B109,B115,B124,B126,B138,B145,B148:B149,B156,B158,B160,B164:B166,B168:B170,B175,B181:B182,B184:B186,B194,B199)</f>
        <v>71.539999999999992</v>
      </c>
      <c r="C93" s="103">
        <f t="shared" ref="C93:AF93" si="24">SUM(C15,C18,C21:C22,C42,C44:C45,C47,C49,C94:C97,C103,C109,C115,C124,C126,C138,C145,C148:C149,C156,C158,C160,C164:C166,C168:C170,C175,C181:C182,C184:C186,C194,C199)</f>
        <v>242.33999999999997</v>
      </c>
      <c r="D93" s="103">
        <f t="shared" si="24"/>
        <v>107.74</v>
      </c>
      <c r="E93" s="103">
        <f t="shared" si="24"/>
        <v>129.54</v>
      </c>
      <c r="F93" s="103">
        <f t="shared" si="24"/>
        <v>138.33999999999997</v>
      </c>
      <c r="G93" s="103">
        <f t="shared" si="24"/>
        <v>169.83999999999997</v>
      </c>
      <c r="H93" s="103">
        <f t="shared" si="24"/>
        <v>176.53999999999994</v>
      </c>
      <c r="I93" s="103">
        <f t="shared" si="24"/>
        <v>196.23999999999995</v>
      </c>
      <c r="J93" s="103">
        <f t="shared" si="24"/>
        <v>232.33999999999997</v>
      </c>
      <c r="K93" s="103">
        <f t="shared" si="24"/>
        <v>247.23999999999998</v>
      </c>
      <c r="L93" s="103">
        <f t="shared" si="24"/>
        <v>251.73999999999995</v>
      </c>
      <c r="M93" s="103">
        <f t="shared" si="24"/>
        <v>283.84000000000003</v>
      </c>
      <c r="N93" s="103">
        <f t="shared" si="24"/>
        <v>279.94</v>
      </c>
      <c r="O93" s="103">
        <f t="shared" si="24"/>
        <v>287.14</v>
      </c>
      <c r="P93" s="103">
        <f t="shared" si="24"/>
        <v>292.94000000000005</v>
      </c>
      <c r="Q93" s="103">
        <f t="shared" si="24"/>
        <v>255.93999999999997</v>
      </c>
      <c r="R93" s="103">
        <f t="shared" si="24"/>
        <v>260.14</v>
      </c>
      <c r="S93" s="103">
        <f t="shared" si="24"/>
        <v>261.04000000000002</v>
      </c>
      <c r="T93" s="103">
        <f t="shared" si="24"/>
        <v>269.74</v>
      </c>
      <c r="U93" s="103">
        <f t="shared" si="24"/>
        <v>303.04000000000002</v>
      </c>
      <c r="V93" s="103">
        <f t="shared" si="24"/>
        <v>288.14</v>
      </c>
      <c r="W93" s="103">
        <f>SUM(W15,W18,W21:W22,W42,W44:W45,W47,W49,W94:W97,W103,W109,W115,W124,W126,W138,W145,W148:W149,W156,W158,W160,W164:W166,W168:W170,W175,W181:W182,W184:W186,W194,W199)</f>
        <v>281.14</v>
      </c>
      <c r="X93" s="103">
        <f>SUM(X15,X18,X21:X22,X42,X44:X45,X47,X49,X94:X97,X103,X109,X115,X124,X126,X138,X145,X148:X149,X156,X158,X160,X164:X166,X168:X170,X175,X181:X182,X184:X186,X194,X199)</f>
        <v>279.74</v>
      </c>
      <c r="Y93" s="103">
        <f t="shared" si="24"/>
        <v>287.84000000000003</v>
      </c>
      <c r="Z93" s="103">
        <f t="shared" si="24"/>
        <v>321.74</v>
      </c>
      <c r="AA93" s="103">
        <f t="shared" si="24"/>
        <v>421.54000000000008</v>
      </c>
      <c r="AB93" s="103">
        <f t="shared" si="24"/>
        <v>319.84000000000003</v>
      </c>
      <c r="AC93" s="103">
        <f t="shared" si="24"/>
        <v>308.04000000000002</v>
      </c>
      <c r="AD93" s="103">
        <f t="shared" si="24"/>
        <v>268.84000000000003</v>
      </c>
      <c r="AE93" s="103">
        <f t="shared" si="24"/>
        <v>219.93999999999997</v>
      </c>
      <c r="AF93" s="103">
        <f t="shared" si="24"/>
        <v>219.93999999999997</v>
      </c>
      <c r="AG93" s="104"/>
      <c r="AH93" s="54">
        <f>MAX(C93:AF93)</f>
        <v>421.54000000000008</v>
      </c>
      <c r="AI93" s="55">
        <f>MIN(C93:AF93)</f>
        <v>107.74</v>
      </c>
    </row>
    <row r="94" spans="1:88" x14ac:dyDescent="0.25">
      <c r="A94" s="105" t="s">
        <v>99</v>
      </c>
      <c r="B94" s="106">
        <v>38.4</v>
      </c>
      <c r="C94" s="106">
        <v>38.299999999999997</v>
      </c>
      <c r="D94" s="106">
        <v>32.799999999999997</v>
      </c>
      <c r="E94" s="106">
        <v>22.1</v>
      </c>
      <c r="F94" s="106">
        <v>23.2</v>
      </c>
      <c r="G94" s="106">
        <v>43.6</v>
      </c>
      <c r="H94" s="106">
        <v>70.3</v>
      </c>
      <c r="I94" s="106">
        <v>63.3</v>
      </c>
      <c r="J94" s="106">
        <v>53.6</v>
      </c>
      <c r="K94" s="106">
        <v>38.9</v>
      </c>
      <c r="L94" s="106">
        <v>45.1</v>
      </c>
      <c r="M94" s="106">
        <v>47.6</v>
      </c>
      <c r="N94" s="106">
        <v>44.8</v>
      </c>
      <c r="O94" s="106">
        <v>42.6</v>
      </c>
      <c r="P94" s="106">
        <v>38.700000000000003</v>
      </c>
      <c r="Q94" s="106">
        <v>40.700000000000003</v>
      </c>
      <c r="R94" s="106">
        <v>38.1</v>
      </c>
      <c r="S94" s="106">
        <v>48.1</v>
      </c>
      <c r="T94" s="106">
        <v>45.8</v>
      </c>
      <c r="U94" s="106">
        <v>54.8</v>
      </c>
      <c r="V94" s="106">
        <v>28.2</v>
      </c>
      <c r="W94" s="106">
        <v>46</v>
      </c>
      <c r="X94" s="106">
        <v>46.7</v>
      </c>
      <c r="Y94" s="106">
        <v>46.2</v>
      </c>
      <c r="Z94" s="106">
        <v>33.1</v>
      </c>
      <c r="AA94" s="106">
        <v>42.8</v>
      </c>
      <c r="AB94" s="106">
        <v>28.1</v>
      </c>
      <c r="AC94" s="106">
        <v>28</v>
      </c>
      <c r="AD94" s="106">
        <v>28</v>
      </c>
      <c r="AE94" s="106">
        <v>24.4</v>
      </c>
      <c r="AF94" s="106">
        <v>24.4</v>
      </c>
      <c r="AG94" s="107">
        <v>75</v>
      </c>
      <c r="AH94" s="54">
        <f t="shared" ref="AH94:AH100" si="25">IF(ABS(MAX(C94:AF94))&gt;ABS(MIN(C94:AF94)),MAX(C94:AF94),MIN(C94:AF94))</f>
        <v>70.3</v>
      </c>
      <c r="AI94" s="108">
        <f t="shared" ref="AI94:AI100" si="26">INDEX($C$9:$AF$9,1,MATCH(AH94,C94:AF94,0))</f>
        <v>0.22916666666666666</v>
      </c>
    </row>
    <row r="95" spans="1:88" x14ac:dyDescent="0.25">
      <c r="A95" s="109" t="s">
        <v>100</v>
      </c>
      <c r="B95" s="110">
        <f>-29-32.1</f>
        <v>-61.1</v>
      </c>
      <c r="C95" s="110">
        <v>37.6</v>
      </c>
      <c r="D95" s="110">
        <v>-85</v>
      </c>
      <c r="E95" s="110">
        <v>-84.5</v>
      </c>
      <c r="F95" s="110">
        <v>-82</v>
      </c>
      <c r="G95" s="110">
        <v>-94</v>
      </c>
      <c r="H95" s="110">
        <v>-89</v>
      </c>
      <c r="I95" s="110">
        <v>-80</v>
      </c>
      <c r="J95" s="110">
        <v>-75</v>
      </c>
      <c r="K95" s="110">
        <v>-71</v>
      </c>
      <c r="L95" s="110">
        <f>-29-42.2</f>
        <v>-71.2</v>
      </c>
      <c r="M95" s="110">
        <v>-52.6</v>
      </c>
      <c r="N95" s="110">
        <v>-76.599999999999994</v>
      </c>
      <c r="O95" s="110">
        <v>-68.3</v>
      </c>
      <c r="P95" s="110">
        <v>-64.599999999999994</v>
      </c>
      <c r="Q95" s="110">
        <v>-74.7</v>
      </c>
      <c r="R95" s="110">
        <v>-76.2</v>
      </c>
      <c r="S95" s="110">
        <f>-31.4-38.6</f>
        <v>-70</v>
      </c>
      <c r="T95" s="110">
        <f>-38.1-50.2</f>
        <v>-88.300000000000011</v>
      </c>
      <c r="U95" s="110">
        <f>-25.2-32.2</f>
        <v>-57.400000000000006</v>
      </c>
      <c r="V95" s="110">
        <f>-28.8-40.8</f>
        <v>-69.599999999999994</v>
      </c>
      <c r="W95" s="110">
        <f>-32.6-42.8</f>
        <v>-75.400000000000006</v>
      </c>
      <c r="X95" s="110">
        <f>-36-42</f>
        <v>-78</v>
      </c>
      <c r="Y95" s="110">
        <f>-34.8-40.9</f>
        <v>-75.699999999999989</v>
      </c>
      <c r="Z95" s="110">
        <f>-26.2-33.9</f>
        <v>-60.099999999999994</v>
      </c>
      <c r="AA95" s="110">
        <f>0.7-8.7</f>
        <v>-7.9999999999999991</v>
      </c>
      <c r="AB95" s="110">
        <v>-55</v>
      </c>
      <c r="AC95" s="110">
        <v>-59</v>
      </c>
      <c r="AD95" s="110">
        <v>-75</v>
      </c>
      <c r="AE95" s="110">
        <v>-94.2</v>
      </c>
      <c r="AF95" s="110">
        <v>-94.2</v>
      </c>
      <c r="AG95" s="107">
        <v>240</v>
      </c>
      <c r="AH95" s="54">
        <f t="shared" si="25"/>
        <v>-94.2</v>
      </c>
      <c r="AI95" s="108">
        <f t="shared" si="26"/>
        <v>0.91666666666666696</v>
      </c>
    </row>
    <row r="96" spans="1:88" x14ac:dyDescent="0.25">
      <c r="A96" s="109" t="s">
        <v>101</v>
      </c>
      <c r="B96" s="110">
        <v>11.3</v>
      </c>
      <c r="C96" s="110">
        <v>9.1</v>
      </c>
      <c r="D96" s="110">
        <v>4.5</v>
      </c>
      <c r="E96" s="110">
        <v>6.9</v>
      </c>
      <c r="F96" s="110">
        <v>8.6</v>
      </c>
      <c r="G96" s="110">
        <v>16.3</v>
      </c>
      <c r="H96" s="110">
        <v>19.7</v>
      </c>
      <c r="I96" s="110">
        <v>20.399999999999999</v>
      </c>
      <c r="J96" s="110">
        <v>23</v>
      </c>
      <c r="K96" s="110">
        <v>41</v>
      </c>
      <c r="L96" s="110">
        <v>50.3</v>
      </c>
      <c r="M96" s="110">
        <v>51.7</v>
      </c>
      <c r="N96" s="110">
        <v>34.799999999999997</v>
      </c>
      <c r="O96" s="110">
        <v>48.8</v>
      </c>
      <c r="P96" s="110">
        <v>49.1</v>
      </c>
      <c r="Q96" s="110">
        <v>49</v>
      </c>
      <c r="R96" s="110">
        <v>33.200000000000003</v>
      </c>
      <c r="S96" s="110">
        <v>26.6</v>
      </c>
      <c r="T96" s="110">
        <v>47.2</v>
      </c>
      <c r="U96" s="110">
        <v>27.9</v>
      </c>
      <c r="V96" s="110">
        <v>49</v>
      </c>
      <c r="W96" s="110">
        <v>41.9</v>
      </c>
      <c r="X96" s="110">
        <v>18</v>
      </c>
      <c r="Y96" s="110">
        <v>24.2</v>
      </c>
      <c r="Z96" s="110">
        <v>38.4</v>
      </c>
      <c r="AA96" s="110">
        <v>58.1</v>
      </c>
      <c r="AB96" s="110">
        <v>50.9</v>
      </c>
      <c r="AC96" s="110">
        <v>50.2</v>
      </c>
      <c r="AD96" s="110">
        <v>47.5</v>
      </c>
      <c r="AE96" s="110">
        <v>40.9</v>
      </c>
      <c r="AF96" s="110">
        <v>40.9</v>
      </c>
      <c r="AG96" s="107">
        <v>60</v>
      </c>
      <c r="AH96" s="54">
        <f t="shared" si="25"/>
        <v>58.1</v>
      </c>
      <c r="AI96" s="108">
        <f t="shared" si="26"/>
        <v>0.8125</v>
      </c>
    </row>
    <row r="97" spans="1:37" x14ac:dyDescent="0.25">
      <c r="A97" s="111" t="s">
        <v>102</v>
      </c>
      <c r="B97" s="112">
        <v>-28.5</v>
      </c>
      <c r="C97" s="112">
        <v>7.8</v>
      </c>
      <c r="D97" s="112">
        <v>5.9</v>
      </c>
      <c r="E97" s="112">
        <v>14.9</v>
      </c>
      <c r="F97" s="112">
        <v>18.399999999999999</v>
      </c>
      <c r="G97" s="112">
        <v>21</v>
      </c>
      <c r="H97" s="112">
        <v>8.6</v>
      </c>
      <c r="I97" s="112">
        <v>25.6</v>
      </c>
      <c r="J97" s="112">
        <v>47.8</v>
      </c>
      <c r="K97" s="112">
        <v>55.4</v>
      </c>
      <c r="L97" s="112">
        <v>39.200000000000003</v>
      </c>
      <c r="M97" s="112">
        <v>38.4</v>
      </c>
      <c r="N97" s="112">
        <v>55.1</v>
      </c>
      <c r="O97" s="112">
        <v>47.1</v>
      </c>
      <c r="P97" s="112">
        <v>46.2</v>
      </c>
      <c r="Q97" s="112">
        <v>38.4</v>
      </c>
      <c r="R97" s="112">
        <v>38.6</v>
      </c>
      <c r="S97" s="112">
        <v>29.9</v>
      </c>
      <c r="T97" s="112">
        <v>38.200000000000003</v>
      </c>
      <c r="U97" s="112">
        <v>50.9</v>
      </c>
      <c r="V97" s="112">
        <v>52</v>
      </c>
      <c r="W97" s="112">
        <v>40.1</v>
      </c>
      <c r="X97" s="112">
        <v>64.7</v>
      </c>
      <c r="Y97" s="112">
        <v>64.8</v>
      </c>
      <c r="Z97" s="112">
        <v>82</v>
      </c>
      <c r="AA97" s="112">
        <v>100.3</v>
      </c>
      <c r="AB97" s="112">
        <v>67.5</v>
      </c>
      <c r="AC97" s="112">
        <v>61.5</v>
      </c>
      <c r="AD97" s="112">
        <v>41</v>
      </c>
      <c r="AE97" s="112">
        <v>21.5</v>
      </c>
      <c r="AF97" s="112">
        <v>21.5</v>
      </c>
      <c r="AG97" s="113">
        <v>120</v>
      </c>
      <c r="AH97" s="54">
        <f t="shared" si="25"/>
        <v>100.3</v>
      </c>
      <c r="AI97" s="108">
        <f t="shared" si="26"/>
        <v>0.8125</v>
      </c>
    </row>
    <row r="98" spans="1:37" x14ac:dyDescent="0.25">
      <c r="A98" s="111" t="s">
        <v>103</v>
      </c>
      <c r="B98" s="112">
        <v>22.3</v>
      </c>
      <c r="C98" s="112">
        <v>14.6</v>
      </c>
      <c r="D98" s="112">
        <v>8.3000000000000007</v>
      </c>
      <c r="E98" s="112">
        <v>17.399999999999999</v>
      </c>
      <c r="F98" s="112">
        <v>17.3</v>
      </c>
      <c r="G98" s="112">
        <v>15</v>
      </c>
      <c r="H98" s="112">
        <v>12.7</v>
      </c>
      <c r="I98" s="112">
        <v>30.5</v>
      </c>
      <c r="J98" s="112">
        <v>48.3</v>
      </c>
      <c r="K98" s="112">
        <v>52.6</v>
      </c>
      <c r="L98" s="112"/>
      <c r="M98" s="112">
        <v>34.700000000000003</v>
      </c>
      <c r="N98" s="112">
        <v>50.4</v>
      </c>
      <c r="O98" s="112">
        <v>7</v>
      </c>
      <c r="P98" s="112">
        <v>32.6</v>
      </c>
      <c r="Q98" s="112">
        <v>37.6</v>
      </c>
      <c r="R98" s="112">
        <v>28.3</v>
      </c>
      <c r="S98" s="112">
        <v>15.6</v>
      </c>
      <c r="T98" s="112">
        <v>35.700000000000003</v>
      </c>
      <c r="U98" s="112">
        <v>22.3</v>
      </c>
      <c r="V98" s="112">
        <v>34.4</v>
      </c>
      <c r="W98" s="112">
        <v>26.4</v>
      </c>
      <c r="X98" s="112">
        <v>49.7</v>
      </c>
      <c r="Y98" s="112">
        <v>45.6</v>
      </c>
      <c r="Z98" s="112">
        <v>57.9</v>
      </c>
      <c r="AA98" s="112">
        <v>55.6</v>
      </c>
      <c r="AB98" s="112">
        <v>42.9</v>
      </c>
      <c r="AC98" s="112">
        <v>39.200000000000003</v>
      </c>
      <c r="AD98" s="112">
        <v>26</v>
      </c>
      <c r="AE98" s="112">
        <v>15.9</v>
      </c>
      <c r="AF98" s="112">
        <v>15.9</v>
      </c>
      <c r="AG98" s="113"/>
      <c r="AH98" s="54">
        <f t="shared" si="25"/>
        <v>57.9</v>
      </c>
      <c r="AI98" s="108">
        <f t="shared" si="26"/>
        <v>0.79166666666666663</v>
      </c>
    </row>
    <row r="99" spans="1:37" x14ac:dyDescent="0.25">
      <c r="A99" s="111" t="s">
        <v>104</v>
      </c>
      <c r="B99" s="112">
        <v>74.900000000000006</v>
      </c>
      <c r="C99" s="112">
        <v>63.8</v>
      </c>
      <c r="D99" s="112">
        <v>70.099999999999994</v>
      </c>
      <c r="E99" s="112">
        <v>60.6</v>
      </c>
      <c r="F99" s="112">
        <v>61.6</v>
      </c>
      <c r="G99" s="112">
        <v>53</v>
      </c>
      <c r="H99" s="112">
        <v>5.2</v>
      </c>
      <c r="I99" s="112">
        <v>23.6</v>
      </c>
      <c r="J99" s="112">
        <v>39.200000000000003</v>
      </c>
      <c r="K99" s="112">
        <v>54.8</v>
      </c>
      <c r="L99" s="112"/>
      <c r="M99" s="112">
        <v>50.6</v>
      </c>
      <c r="N99" s="112">
        <v>52</v>
      </c>
      <c r="O99" s="112">
        <v>59.2</v>
      </c>
      <c r="P99" s="112">
        <v>64.7</v>
      </c>
      <c r="Q99" s="112">
        <v>60.9</v>
      </c>
      <c r="R99" s="112">
        <v>60.4</v>
      </c>
      <c r="S99" s="112">
        <v>83.2</v>
      </c>
      <c r="T99" s="112">
        <v>41.3</v>
      </c>
      <c r="U99" s="112">
        <v>35.9</v>
      </c>
      <c r="V99" s="112">
        <v>80.900000000000006</v>
      </c>
      <c r="W99" s="112">
        <v>47.6</v>
      </c>
      <c r="X99" s="112">
        <v>56.5</v>
      </c>
      <c r="Y99" s="112">
        <v>63.4</v>
      </c>
      <c r="Z99" s="112">
        <v>66.599999999999994</v>
      </c>
      <c r="AA99" s="112">
        <v>34</v>
      </c>
      <c r="AB99" s="112">
        <v>57.8</v>
      </c>
      <c r="AC99" s="112">
        <v>75.099999999999994</v>
      </c>
      <c r="AD99" s="112">
        <v>75.3</v>
      </c>
      <c r="AE99" s="112">
        <v>75.2</v>
      </c>
      <c r="AF99" s="112">
        <v>75.2</v>
      </c>
      <c r="AG99" s="114"/>
      <c r="AH99" s="54">
        <f t="shared" si="25"/>
        <v>83.2</v>
      </c>
      <c r="AI99" s="108">
        <f t="shared" si="26"/>
        <v>0.58333333333333304</v>
      </c>
    </row>
    <row r="100" spans="1:37" ht="15.75" thickBot="1" x14ac:dyDescent="0.3">
      <c r="A100" s="115" t="s">
        <v>105</v>
      </c>
      <c r="B100" s="95">
        <v>74.3</v>
      </c>
      <c r="C100" s="95">
        <v>58</v>
      </c>
      <c r="D100" s="95">
        <v>56</v>
      </c>
      <c r="E100" s="95">
        <v>52.9</v>
      </c>
      <c r="F100" s="95">
        <v>59.6</v>
      </c>
      <c r="G100" s="95">
        <v>54.7</v>
      </c>
      <c r="H100" s="95">
        <v>55.1</v>
      </c>
      <c r="I100" s="95">
        <v>52.5</v>
      </c>
      <c r="J100" s="95">
        <v>48.6</v>
      </c>
      <c r="K100" s="95">
        <v>50</v>
      </c>
      <c r="L100" s="95"/>
      <c r="M100" s="95">
        <v>59.6</v>
      </c>
      <c r="N100" s="95">
        <v>41.9</v>
      </c>
      <c r="O100" s="95">
        <v>51.8</v>
      </c>
      <c r="P100" s="95">
        <v>53.9</v>
      </c>
      <c r="Q100" s="95">
        <v>49.4</v>
      </c>
      <c r="R100" s="95">
        <v>44.4</v>
      </c>
      <c r="S100" s="95">
        <v>59.3</v>
      </c>
      <c r="T100" s="95">
        <v>53.6</v>
      </c>
      <c r="U100" s="95">
        <v>54.6</v>
      </c>
      <c r="V100" s="95">
        <v>51.8</v>
      </c>
      <c r="W100" s="95">
        <v>50.2</v>
      </c>
      <c r="X100" s="95">
        <v>39.299999999999997</v>
      </c>
      <c r="Y100" s="95">
        <v>45.5</v>
      </c>
      <c r="Z100" s="95">
        <v>70.599999999999994</v>
      </c>
      <c r="AA100" s="95">
        <v>60.2</v>
      </c>
      <c r="AB100" s="95">
        <v>70.5</v>
      </c>
      <c r="AC100" s="95">
        <v>72.2</v>
      </c>
      <c r="AD100" s="95">
        <v>73.2</v>
      </c>
      <c r="AE100" s="95">
        <v>49.3</v>
      </c>
      <c r="AF100" s="95">
        <v>49.3</v>
      </c>
      <c r="AG100" s="114"/>
      <c r="AH100" s="54">
        <f t="shared" si="25"/>
        <v>73.2</v>
      </c>
      <c r="AI100" s="108">
        <f t="shared" si="26"/>
        <v>0.875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27">AF102</f>
        <v>9.9</v>
      </c>
      <c r="C102" s="53">
        <v>9.9</v>
      </c>
      <c r="D102" s="121">
        <f t="shared" ref="D102:S107" si="28">C102</f>
        <v>9.9</v>
      </c>
      <c r="E102" s="121">
        <f t="shared" si="28"/>
        <v>9.9</v>
      </c>
      <c r="F102" s="121">
        <f t="shared" si="28"/>
        <v>9.9</v>
      </c>
      <c r="G102" s="121">
        <f t="shared" si="28"/>
        <v>9.9</v>
      </c>
      <c r="H102" s="121">
        <f t="shared" si="28"/>
        <v>9.9</v>
      </c>
      <c r="I102" s="121">
        <f t="shared" si="28"/>
        <v>9.9</v>
      </c>
      <c r="J102" s="121">
        <f t="shared" si="28"/>
        <v>9.9</v>
      </c>
      <c r="K102" s="121">
        <f t="shared" si="28"/>
        <v>9.9</v>
      </c>
      <c r="L102" s="121">
        <f t="shared" si="28"/>
        <v>9.9</v>
      </c>
      <c r="M102" s="121">
        <f t="shared" si="28"/>
        <v>9.9</v>
      </c>
      <c r="N102" s="121">
        <f t="shared" si="28"/>
        <v>9.9</v>
      </c>
      <c r="O102" s="121">
        <f t="shared" si="28"/>
        <v>9.9</v>
      </c>
      <c r="P102" s="121">
        <f t="shared" si="28"/>
        <v>9.9</v>
      </c>
      <c r="Q102" s="121">
        <f t="shared" si="28"/>
        <v>9.9</v>
      </c>
      <c r="R102" s="121">
        <f t="shared" si="28"/>
        <v>9.9</v>
      </c>
      <c r="S102" s="121">
        <f t="shared" si="28"/>
        <v>9.9</v>
      </c>
      <c r="T102" s="121">
        <f t="shared" ref="T102:AF107" si="29">S102</f>
        <v>9.9</v>
      </c>
      <c r="U102" s="121">
        <f t="shared" si="29"/>
        <v>9.9</v>
      </c>
      <c r="V102" s="121">
        <f t="shared" si="29"/>
        <v>9.9</v>
      </c>
      <c r="W102" s="121">
        <f t="shared" si="29"/>
        <v>9.9</v>
      </c>
      <c r="X102" s="121">
        <f t="shared" si="29"/>
        <v>9.9</v>
      </c>
      <c r="Y102" s="121">
        <f t="shared" si="29"/>
        <v>9.9</v>
      </c>
      <c r="Z102" s="121">
        <f t="shared" si="29"/>
        <v>9.9</v>
      </c>
      <c r="AA102" s="121">
        <f t="shared" si="29"/>
        <v>9.9</v>
      </c>
      <c r="AB102" s="121">
        <f t="shared" si="29"/>
        <v>9.9</v>
      </c>
      <c r="AC102" s="121">
        <f t="shared" si="29"/>
        <v>9.9</v>
      </c>
      <c r="AD102" s="121">
        <f t="shared" si="29"/>
        <v>9.9</v>
      </c>
      <c r="AE102" s="121">
        <f t="shared" si="29"/>
        <v>9.9</v>
      </c>
      <c r="AF102" s="121">
        <f t="shared" si="29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27"/>
        <v>9.6</v>
      </c>
      <c r="C103" s="124">
        <v>9.6</v>
      </c>
      <c r="D103" s="123">
        <f t="shared" si="28"/>
        <v>9.6</v>
      </c>
      <c r="E103" s="123">
        <f t="shared" si="28"/>
        <v>9.6</v>
      </c>
      <c r="F103" s="123">
        <f t="shared" si="28"/>
        <v>9.6</v>
      </c>
      <c r="G103" s="123">
        <f t="shared" si="28"/>
        <v>9.6</v>
      </c>
      <c r="H103" s="123">
        <f t="shared" si="28"/>
        <v>9.6</v>
      </c>
      <c r="I103" s="123">
        <f t="shared" si="28"/>
        <v>9.6</v>
      </c>
      <c r="J103" s="123">
        <f t="shared" si="28"/>
        <v>9.6</v>
      </c>
      <c r="K103" s="123">
        <f t="shared" si="28"/>
        <v>9.6</v>
      </c>
      <c r="L103" s="123">
        <f t="shared" si="28"/>
        <v>9.6</v>
      </c>
      <c r="M103" s="123">
        <f t="shared" si="28"/>
        <v>9.6</v>
      </c>
      <c r="N103" s="123">
        <f t="shared" si="28"/>
        <v>9.6</v>
      </c>
      <c r="O103" s="123">
        <f t="shared" si="28"/>
        <v>9.6</v>
      </c>
      <c r="P103" s="123">
        <f t="shared" si="28"/>
        <v>9.6</v>
      </c>
      <c r="Q103" s="123">
        <f t="shared" si="28"/>
        <v>9.6</v>
      </c>
      <c r="R103" s="123">
        <f t="shared" si="28"/>
        <v>9.6</v>
      </c>
      <c r="S103" s="123">
        <f t="shared" si="28"/>
        <v>9.6</v>
      </c>
      <c r="T103" s="123">
        <f t="shared" si="29"/>
        <v>9.6</v>
      </c>
      <c r="U103" s="123">
        <f t="shared" si="29"/>
        <v>9.6</v>
      </c>
      <c r="V103" s="123">
        <f t="shared" si="29"/>
        <v>9.6</v>
      </c>
      <c r="W103" s="123">
        <f t="shared" si="29"/>
        <v>9.6</v>
      </c>
      <c r="X103" s="123">
        <f t="shared" si="29"/>
        <v>9.6</v>
      </c>
      <c r="Y103" s="123">
        <f t="shared" si="29"/>
        <v>9.6</v>
      </c>
      <c r="Z103" s="123">
        <f t="shared" si="29"/>
        <v>9.6</v>
      </c>
      <c r="AA103" s="123">
        <f t="shared" si="29"/>
        <v>9.6</v>
      </c>
      <c r="AB103" s="123">
        <f t="shared" si="29"/>
        <v>9.6</v>
      </c>
      <c r="AC103" s="123">
        <f t="shared" si="29"/>
        <v>9.6</v>
      </c>
      <c r="AD103" s="123">
        <f t="shared" si="29"/>
        <v>9.6</v>
      </c>
      <c r="AE103" s="123">
        <f t="shared" si="29"/>
        <v>9.6</v>
      </c>
      <c r="AF103" s="123">
        <f t="shared" si="29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27"/>
        <v>9.98</v>
      </c>
      <c r="C104" s="124">
        <v>9.98</v>
      </c>
      <c r="D104" s="123">
        <f t="shared" si="28"/>
        <v>9.98</v>
      </c>
      <c r="E104" s="123">
        <f t="shared" si="28"/>
        <v>9.98</v>
      </c>
      <c r="F104" s="123">
        <f t="shared" si="28"/>
        <v>9.98</v>
      </c>
      <c r="G104" s="123">
        <f t="shared" si="28"/>
        <v>9.98</v>
      </c>
      <c r="H104" s="123">
        <f t="shared" si="28"/>
        <v>9.98</v>
      </c>
      <c r="I104" s="123">
        <f t="shared" si="28"/>
        <v>9.98</v>
      </c>
      <c r="J104" s="123">
        <f t="shared" si="28"/>
        <v>9.98</v>
      </c>
      <c r="K104" s="123">
        <f t="shared" si="28"/>
        <v>9.98</v>
      </c>
      <c r="L104" s="123">
        <f t="shared" si="28"/>
        <v>9.98</v>
      </c>
      <c r="M104" s="123">
        <f t="shared" si="28"/>
        <v>9.98</v>
      </c>
      <c r="N104" s="123">
        <f t="shared" si="28"/>
        <v>9.98</v>
      </c>
      <c r="O104" s="123">
        <f t="shared" si="28"/>
        <v>9.98</v>
      </c>
      <c r="P104" s="123">
        <f t="shared" si="28"/>
        <v>9.98</v>
      </c>
      <c r="Q104" s="123">
        <f t="shared" si="28"/>
        <v>9.98</v>
      </c>
      <c r="R104" s="123">
        <f t="shared" si="28"/>
        <v>9.98</v>
      </c>
      <c r="S104" s="123">
        <f t="shared" si="28"/>
        <v>9.98</v>
      </c>
      <c r="T104" s="123">
        <f t="shared" si="29"/>
        <v>9.98</v>
      </c>
      <c r="U104" s="123">
        <f t="shared" si="29"/>
        <v>9.98</v>
      </c>
      <c r="V104" s="123">
        <f t="shared" si="29"/>
        <v>9.98</v>
      </c>
      <c r="W104" s="123">
        <f t="shared" si="29"/>
        <v>9.98</v>
      </c>
      <c r="X104" s="123">
        <f t="shared" si="29"/>
        <v>9.98</v>
      </c>
      <c r="Y104" s="123">
        <f t="shared" si="29"/>
        <v>9.98</v>
      </c>
      <c r="Z104" s="123">
        <f t="shared" si="29"/>
        <v>9.98</v>
      </c>
      <c r="AA104" s="123">
        <f t="shared" si="29"/>
        <v>9.98</v>
      </c>
      <c r="AB104" s="123">
        <f t="shared" si="29"/>
        <v>9.98</v>
      </c>
      <c r="AC104" s="123">
        <f t="shared" si="29"/>
        <v>9.98</v>
      </c>
      <c r="AD104" s="123">
        <f t="shared" si="29"/>
        <v>9.98</v>
      </c>
      <c r="AE104" s="123">
        <f t="shared" si="29"/>
        <v>9.98</v>
      </c>
      <c r="AF104" s="123">
        <f t="shared" si="29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27"/>
        <v>9.1</v>
      </c>
      <c r="C105" s="124">
        <v>9.1</v>
      </c>
      <c r="D105" s="123">
        <f t="shared" si="28"/>
        <v>9.1</v>
      </c>
      <c r="E105" s="123">
        <f t="shared" si="28"/>
        <v>9.1</v>
      </c>
      <c r="F105" s="123">
        <f t="shared" si="28"/>
        <v>9.1</v>
      </c>
      <c r="G105" s="123">
        <f t="shared" si="28"/>
        <v>9.1</v>
      </c>
      <c r="H105" s="123">
        <f t="shared" si="28"/>
        <v>9.1</v>
      </c>
      <c r="I105" s="123">
        <f t="shared" si="28"/>
        <v>9.1</v>
      </c>
      <c r="J105" s="123">
        <f t="shared" si="28"/>
        <v>9.1</v>
      </c>
      <c r="K105" s="123">
        <f t="shared" si="28"/>
        <v>9.1</v>
      </c>
      <c r="L105" s="123">
        <f t="shared" si="28"/>
        <v>9.1</v>
      </c>
      <c r="M105" s="123">
        <f t="shared" si="28"/>
        <v>9.1</v>
      </c>
      <c r="N105" s="123">
        <f t="shared" si="28"/>
        <v>9.1</v>
      </c>
      <c r="O105" s="123">
        <f t="shared" si="28"/>
        <v>9.1</v>
      </c>
      <c r="P105" s="123">
        <f t="shared" si="28"/>
        <v>9.1</v>
      </c>
      <c r="Q105" s="123">
        <f t="shared" si="28"/>
        <v>9.1</v>
      </c>
      <c r="R105" s="123">
        <f t="shared" si="28"/>
        <v>9.1</v>
      </c>
      <c r="S105" s="123">
        <f t="shared" si="28"/>
        <v>9.1</v>
      </c>
      <c r="T105" s="123">
        <f t="shared" si="29"/>
        <v>9.1</v>
      </c>
      <c r="U105" s="123">
        <f t="shared" si="29"/>
        <v>9.1</v>
      </c>
      <c r="V105" s="123">
        <f t="shared" si="29"/>
        <v>9.1</v>
      </c>
      <c r="W105" s="123">
        <f t="shared" si="29"/>
        <v>9.1</v>
      </c>
      <c r="X105" s="123">
        <f t="shared" si="29"/>
        <v>9.1</v>
      </c>
      <c r="Y105" s="123">
        <f t="shared" si="29"/>
        <v>9.1</v>
      </c>
      <c r="Z105" s="123">
        <f t="shared" si="29"/>
        <v>9.1</v>
      </c>
      <c r="AA105" s="123">
        <f t="shared" si="29"/>
        <v>9.1</v>
      </c>
      <c r="AB105" s="123">
        <f t="shared" si="29"/>
        <v>9.1</v>
      </c>
      <c r="AC105" s="123">
        <f t="shared" si="29"/>
        <v>9.1</v>
      </c>
      <c r="AD105" s="123">
        <f t="shared" si="29"/>
        <v>9.1</v>
      </c>
      <c r="AE105" s="123">
        <f t="shared" si="29"/>
        <v>9.1</v>
      </c>
      <c r="AF105" s="123">
        <f t="shared" si="29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27"/>
        <v>9.18</v>
      </c>
      <c r="C106" s="124">
        <v>9.18</v>
      </c>
      <c r="D106" s="123">
        <f t="shared" si="28"/>
        <v>9.18</v>
      </c>
      <c r="E106" s="123">
        <f t="shared" si="28"/>
        <v>9.18</v>
      </c>
      <c r="F106" s="123">
        <f t="shared" si="28"/>
        <v>9.18</v>
      </c>
      <c r="G106" s="123">
        <f t="shared" si="28"/>
        <v>9.18</v>
      </c>
      <c r="H106" s="123">
        <f t="shared" si="28"/>
        <v>9.18</v>
      </c>
      <c r="I106" s="123">
        <f t="shared" si="28"/>
        <v>9.18</v>
      </c>
      <c r="J106" s="123">
        <f t="shared" si="28"/>
        <v>9.18</v>
      </c>
      <c r="K106" s="123">
        <f t="shared" si="28"/>
        <v>9.18</v>
      </c>
      <c r="L106" s="123">
        <f t="shared" si="28"/>
        <v>9.18</v>
      </c>
      <c r="M106" s="123">
        <f t="shared" si="28"/>
        <v>9.18</v>
      </c>
      <c r="N106" s="123">
        <f t="shared" si="28"/>
        <v>9.18</v>
      </c>
      <c r="O106" s="123">
        <f t="shared" si="28"/>
        <v>9.18</v>
      </c>
      <c r="P106" s="123">
        <f t="shared" si="28"/>
        <v>9.18</v>
      </c>
      <c r="Q106" s="123">
        <f t="shared" si="28"/>
        <v>9.18</v>
      </c>
      <c r="R106" s="123">
        <f t="shared" si="28"/>
        <v>9.18</v>
      </c>
      <c r="S106" s="123">
        <f t="shared" si="28"/>
        <v>9.18</v>
      </c>
      <c r="T106" s="123">
        <f t="shared" si="29"/>
        <v>9.18</v>
      </c>
      <c r="U106" s="123">
        <f t="shared" si="29"/>
        <v>9.18</v>
      </c>
      <c r="V106" s="123">
        <f t="shared" si="29"/>
        <v>9.18</v>
      </c>
      <c r="W106" s="123">
        <f t="shared" si="29"/>
        <v>9.18</v>
      </c>
      <c r="X106" s="123">
        <f t="shared" si="29"/>
        <v>9.18</v>
      </c>
      <c r="Y106" s="123">
        <f t="shared" si="29"/>
        <v>9.18</v>
      </c>
      <c r="Z106" s="123">
        <f t="shared" si="29"/>
        <v>9.18</v>
      </c>
      <c r="AA106" s="123">
        <f t="shared" si="29"/>
        <v>9.18</v>
      </c>
      <c r="AB106" s="123">
        <f t="shared" si="29"/>
        <v>9.18</v>
      </c>
      <c r="AC106" s="123">
        <f t="shared" si="29"/>
        <v>9.18</v>
      </c>
      <c r="AD106" s="123">
        <f t="shared" si="29"/>
        <v>9.18</v>
      </c>
      <c r="AE106" s="123">
        <f t="shared" si="29"/>
        <v>9.18</v>
      </c>
      <c r="AF106" s="123">
        <f t="shared" si="29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27"/>
        <v>7</v>
      </c>
      <c r="C107" s="124">
        <v>7</v>
      </c>
      <c r="D107" s="123">
        <f t="shared" si="28"/>
        <v>7</v>
      </c>
      <c r="E107" s="123">
        <f t="shared" si="28"/>
        <v>7</v>
      </c>
      <c r="F107" s="123">
        <f t="shared" si="28"/>
        <v>7</v>
      </c>
      <c r="G107" s="123">
        <f t="shared" si="28"/>
        <v>7</v>
      </c>
      <c r="H107" s="123">
        <f t="shared" si="28"/>
        <v>7</v>
      </c>
      <c r="I107" s="123">
        <f t="shared" si="28"/>
        <v>7</v>
      </c>
      <c r="J107" s="123">
        <f t="shared" si="28"/>
        <v>7</v>
      </c>
      <c r="K107" s="123">
        <f t="shared" si="28"/>
        <v>7</v>
      </c>
      <c r="L107" s="123">
        <f t="shared" si="28"/>
        <v>7</v>
      </c>
      <c r="M107" s="123">
        <f t="shared" si="28"/>
        <v>7</v>
      </c>
      <c r="N107" s="123">
        <f t="shared" si="28"/>
        <v>7</v>
      </c>
      <c r="O107" s="123">
        <f t="shared" si="28"/>
        <v>7</v>
      </c>
      <c r="P107" s="123">
        <f t="shared" si="28"/>
        <v>7</v>
      </c>
      <c r="Q107" s="123">
        <f t="shared" si="28"/>
        <v>7</v>
      </c>
      <c r="R107" s="123">
        <f t="shared" si="28"/>
        <v>7</v>
      </c>
      <c r="S107" s="123">
        <f t="shared" si="28"/>
        <v>7</v>
      </c>
      <c r="T107" s="123">
        <f t="shared" si="29"/>
        <v>7</v>
      </c>
      <c r="U107" s="123">
        <f t="shared" si="29"/>
        <v>7</v>
      </c>
      <c r="V107" s="123">
        <f t="shared" si="29"/>
        <v>7</v>
      </c>
      <c r="W107" s="123">
        <f t="shared" si="29"/>
        <v>7</v>
      </c>
      <c r="X107" s="123">
        <f t="shared" si="29"/>
        <v>7</v>
      </c>
      <c r="Y107" s="123">
        <f t="shared" si="29"/>
        <v>7</v>
      </c>
      <c r="Z107" s="123">
        <f t="shared" si="29"/>
        <v>7</v>
      </c>
      <c r="AA107" s="123">
        <f t="shared" si="29"/>
        <v>7</v>
      </c>
      <c r="AB107" s="123">
        <f t="shared" si="29"/>
        <v>7</v>
      </c>
      <c r="AC107" s="123">
        <f t="shared" si="29"/>
        <v>7</v>
      </c>
      <c r="AD107" s="123">
        <f t="shared" si="29"/>
        <v>7</v>
      </c>
      <c r="AE107" s="123">
        <f t="shared" si="29"/>
        <v>7</v>
      </c>
      <c r="AF107" s="123">
        <f t="shared" si="29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30">C109</f>
        <v>2.25</v>
      </c>
      <c r="E109" s="123">
        <f t="shared" si="30"/>
        <v>2.25</v>
      </c>
      <c r="F109" s="123">
        <f t="shared" si="30"/>
        <v>2.25</v>
      </c>
      <c r="G109" s="123">
        <f t="shared" si="30"/>
        <v>2.25</v>
      </c>
      <c r="H109" s="123">
        <f t="shared" si="30"/>
        <v>2.25</v>
      </c>
      <c r="I109" s="123">
        <f t="shared" si="30"/>
        <v>2.25</v>
      </c>
      <c r="J109" s="123">
        <f t="shared" si="30"/>
        <v>2.25</v>
      </c>
      <c r="K109" s="123">
        <f t="shared" si="30"/>
        <v>2.25</v>
      </c>
      <c r="L109" s="123">
        <f t="shared" si="30"/>
        <v>2.25</v>
      </c>
      <c r="M109" s="123">
        <f t="shared" si="30"/>
        <v>2.25</v>
      </c>
      <c r="N109" s="123">
        <f t="shared" si="30"/>
        <v>2.25</v>
      </c>
      <c r="O109" s="123">
        <f t="shared" si="30"/>
        <v>2.25</v>
      </c>
      <c r="P109" s="123">
        <f t="shared" si="30"/>
        <v>2.25</v>
      </c>
      <c r="Q109" s="123">
        <f t="shared" si="30"/>
        <v>2.25</v>
      </c>
      <c r="R109" s="123">
        <f t="shared" si="30"/>
        <v>2.25</v>
      </c>
      <c r="S109" s="123">
        <f t="shared" si="30"/>
        <v>2.25</v>
      </c>
      <c r="T109" s="123">
        <f t="shared" ref="T109:AF110" si="31">S109</f>
        <v>2.25</v>
      </c>
      <c r="U109" s="123">
        <f t="shared" si="31"/>
        <v>2.25</v>
      </c>
      <c r="V109" s="123">
        <f t="shared" si="31"/>
        <v>2.25</v>
      </c>
      <c r="W109" s="123">
        <f t="shared" si="31"/>
        <v>2.25</v>
      </c>
      <c r="X109" s="123">
        <f t="shared" si="31"/>
        <v>2.25</v>
      </c>
      <c r="Y109" s="123">
        <f t="shared" si="31"/>
        <v>2.25</v>
      </c>
      <c r="Z109" s="123">
        <f t="shared" si="31"/>
        <v>2.25</v>
      </c>
      <c r="AA109" s="123">
        <f t="shared" si="31"/>
        <v>2.25</v>
      </c>
      <c r="AB109" s="123">
        <f t="shared" si="31"/>
        <v>2.25</v>
      </c>
      <c r="AC109" s="123">
        <f t="shared" si="31"/>
        <v>2.25</v>
      </c>
      <c r="AD109" s="123">
        <f t="shared" si="31"/>
        <v>2.25</v>
      </c>
      <c r="AE109" s="123">
        <f t="shared" si="31"/>
        <v>2.25</v>
      </c>
      <c r="AF109" s="123">
        <f t="shared" si="31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30"/>
        <v>1.64</v>
      </c>
      <c r="E110" s="123">
        <f t="shared" si="30"/>
        <v>1.64</v>
      </c>
      <c r="F110" s="123">
        <f t="shared" si="30"/>
        <v>1.64</v>
      </c>
      <c r="G110" s="123">
        <f t="shared" si="30"/>
        <v>1.64</v>
      </c>
      <c r="H110" s="123">
        <f t="shared" si="30"/>
        <v>1.64</v>
      </c>
      <c r="I110" s="123">
        <f t="shared" si="30"/>
        <v>1.64</v>
      </c>
      <c r="J110" s="123">
        <f t="shared" si="30"/>
        <v>1.64</v>
      </c>
      <c r="K110" s="123">
        <f t="shared" si="30"/>
        <v>1.64</v>
      </c>
      <c r="L110" s="123">
        <f t="shared" si="30"/>
        <v>1.64</v>
      </c>
      <c r="M110" s="123">
        <f t="shared" si="30"/>
        <v>1.64</v>
      </c>
      <c r="N110" s="123">
        <f t="shared" si="30"/>
        <v>1.64</v>
      </c>
      <c r="O110" s="123">
        <f t="shared" si="30"/>
        <v>1.64</v>
      </c>
      <c r="P110" s="123">
        <f t="shared" si="30"/>
        <v>1.64</v>
      </c>
      <c r="Q110" s="123">
        <f t="shared" si="30"/>
        <v>1.64</v>
      </c>
      <c r="R110" s="123">
        <f t="shared" si="30"/>
        <v>1.64</v>
      </c>
      <c r="S110" s="123">
        <f t="shared" si="30"/>
        <v>1.64</v>
      </c>
      <c r="T110" s="123">
        <f t="shared" si="31"/>
        <v>1.64</v>
      </c>
      <c r="U110" s="123">
        <f t="shared" si="31"/>
        <v>1.64</v>
      </c>
      <c r="V110" s="123">
        <f t="shared" si="31"/>
        <v>1.64</v>
      </c>
      <c r="W110" s="123">
        <f t="shared" si="31"/>
        <v>1.64</v>
      </c>
      <c r="X110" s="123">
        <f t="shared" si="31"/>
        <v>1.64</v>
      </c>
      <c r="Y110" s="123">
        <f t="shared" si="31"/>
        <v>1.64</v>
      </c>
      <c r="Z110" s="123">
        <f t="shared" si="31"/>
        <v>1.64</v>
      </c>
      <c r="AA110" s="123">
        <f t="shared" si="31"/>
        <v>1.64</v>
      </c>
      <c r="AB110" s="123">
        <f t="shared" si="31"/>
        <v>1.64</v>
      </c>
      <c r="AC110" s="123">
        <f t="shared" si="31"/>
        <v>1.64</v>
      </c>
      <c r="AD110" s="123">
        <f t="shared" si="31"/>
        <v>1.64</v>
      </c>
      <c r="AE110" s="123">
        <f t="shared" si="31"/>
        <v>1.64</v>
      </c>
      <c r="AF110" s="123">
        <f t="shared" si="31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32">AF112</f>
        <v>1.62</v>
      </c>
      <c r="C112" s="124">
        <v>1.62</v>
      </c>
      <c r="D112" s="123">
        <f t="shared" ref="D112:S119" si="33">C112</f>
        <v>1.62</v>
      </c>
      <c r="E112" s="123">
        <f t="shared" si="33"/>
        <v>1.62</v>
      </c>
      <c r="F112" s="123">
        <f t="shared" si="33"/>
        <v>1.62</v>
      </c>
      <c r="G112" s="123">
        <f t="shared" si="33"/>
        <v>1.62</v>
      </c>
      <c r="H112" s="123">
        <f t="shared" si="33"/>
        <v>1.62</v>
      </c>
      <c r="I112" s="123">
        <f t="shared" si="33"/>
        <v>1.62</v>
      </c>
      <c r="J112" s="123">
        <f t="shared" si="33"/>
        <v>1.62</v>
      </c>
      <c r="K112" s="123">
        <f t="shared" si="33"/>
        <v>1.62</v>
      </c>
      <c r="L112" s="123">
        <f t="shared" si="33"/>
        <v>1.62</v>
      </c>
      <c r="M112" s="123">
        <f t="shared" si="33"/>
        <v>1.62</v>
      </c>
      <c r="N112" s="123">
        <f t="shared" si="33"/>
        <v>1.62</v>
      </c>
      <c r="O112" s="123">
        <f t="shared" si="33"/>
        <v>1.62</v>
      </c>
      <c r="P112" s="123">
        <f t="shared" si="33"/>
        <v>1.62</v>
      </c>
      <c r="Q112" s="123">
        <f t="shared" si="33"/>
        <v>1.62</v>
      </c>
      <c r="R112" s="123">
        <f t="shared" si="33"/>
        <v>1.62</v>
      </c>
      <c r="S112" s="123">
        <f t="shared" si="33"/>
        <v>1.62</v>
      </c>
      <c r="T112" s="123">
        <f t="shared" ref="T112:AF127" si="34">S112</f>
        <v>1.62</v>
      </c>
      <c r="U112" s="123">
        <f t="shared" si="34"/>
        <v>1.62</v>
      </c>
      <c r="V112" s="123">
        <f t="shared" si="34"/>
        <v>1.62</v>
      </c>
      <c r="W112" s="123">
        <f t="shared" si="34"/>
        <v>1.62</v>
      </c>
      <c r="X112" s="123">
        <f t="shared" si="34"/>
        <v>1.62</v>
      </c>
      <c r="Y112" s="123">
        <f t="shared" si="34"/>
        <v>1.62</v>
      </c>
      <c r="Z112" s="123">
        <f t="shared" si="34"/>
        <v>1.62</v>
      </c>
      <c r="AA112" s="123">
        <f t="shared" si="34"/>
        <v>1.62</v>
      </c>
      <c r="AB112" s="123">
        <f t="shared" si="34"/>
        <v>1.62</v>
      </c>
      <c r="AC112" s="123">
        <f t="shared" si="34"/>
        <v>1.62</v>
      </c>
      <c r="AD112" s="123">
        <f t="shared" si="34"/>
        <v>1.62</v>
      </c>
      <c r="AE112" s="123">
        <f t="shared" si="34"/>
        <v>1.62</v>
      </c>
      <c r="AF112" s="123">
        <f t="shared" si="34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32"/>
        <v>8.36</v>
      </c>
      <c r="C113" s="124">
        <v>8.36</v>
      </c>
      <c r="D113" s="123">
        <f t="shared" si="33"/>
        <v>8.36</v>
      </c>
      <c r="E113" s="123">
        <f t="shared" si="33"/>
        <v>8.36</v>
      </c>
      <c r="F113" s="123">
        <f t="shared" si="33"/>
        <v>8.36</v>
      </c>
      <c r="G113" s="123">
        <f t="shared" si="33"/>
        <v>8.36</v>
      </c>
      <c r="H113" s="123">
        <f t="shared" si="33"/>
        <v>8.36</v>
      </c>
      <c r="I113" s="123">
        <f t="shared" si="33"/>
        <v>8.36</v>
      </c>
      <c r="J113" s="123">
        <f t="shared" si="33"/>
        <v>8.36</v>
      </c>
      <c r="K113" s="123">
        <f t="shared" si="33"/>
        <v>8.36</v>
      </c>
      <c r="L113" s="123">
        <f t="shared" si="33"/>
        <v>8.36</v>
      </c>
      <c r="M113" s="123">
        <f t="shared" si="33"/>
        <v>8.36</v>
      </c>
      <c r="N113" s="123">
        <f t="shared" si="33"/>
        <v>8.36</v>
      </c>
      <c r="O113" s="123">
        <f t="shared" si="33"/>
        <v>8.36</v>
      </c>
      <c r="P113" s="123">
        <f t="shared" si="33"/>
        <v>8.36</v>
      </c>
      <c r="Q113" s="123">
        <f t="shared" si="33"/>
        <v>8.36</v>
      </c>
      <c r="R113" s="123">
        <f t="shared" si="33"/>
        <v>8.36</v>
      </c>
      <c r="S113" s="123">
        <f t="shared" si="33"/>
        <v>8.36</v>
      </c>
      <c r="T113" s="123">
        <f t="shared" si="34"/>
        <v>8.36</v>
      </c>
      <c r="U113" s="123">
        <f t="shared" si="34"/>
        <v>8.36</v>
      </c>
      <c r="V113" s="123">
        <f t="shared" si="34"/>
        <v>8.36</v>
      </c>
      <c r="W113" s="123">
        <f t="shared" si="34"/>
        <v>8.36</v>
      </c>
      <c r="X113" s="123">
        <f t="shared" si="34"/>
        <v>8.36</v>
      </c>
      <c r="Y113" s="123">
        <f t="shared" si="34"/>
        <v>8.36</v>
      </c>
      <c r="Z113" s="123">
        <f t="shared" si="34"/>
        <v>8.36</v>
      </c>
      <c r="AA113" s="123">
        <f t="shared" si="34"/>
        <v>8.36</v>
      </c>
      <c r="AB113" s="123">
        <f t="shared" si="34"/>
        <v>8.36</v>
      </c>
      <c r="AC113" s="123">
        <f t="shared" si="34"/>
        <v>8.36</v>
      </c>
      <c r="AD113" s="123">
        <f t="shared" si="34"/>
        <v>8.36</v>
      </c>
      <c r="AE113" s="123">
        <f t="shared" si="34"/>
        <v>8.36</v>
      </c>
      <c r="AF113" s="123">
        <f t="shared" si="34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32"/>
        <v>5.4</v>
      </c>
      <c r="C114" s="124">
        <v>8</v>
      </c>
      <c r="D114" s="123">
        <f t="shared" si="33"/>
        <v>8</v>
      </c>
      <c r="E114" s="123">
        <f t="shared" si="33"/>
        <v>8</v>
      </c>
      <c r="F114" s="123">
        <f t="shared" si="33"/>
        <v>8</v>
      </c>
      <c r="G114" s="123">
        <f t="shared" si="33"/>
        <v>8</v>
      </c>
      <c r="H114" s="123">
        <f t="shared" si="33"/>
        <v>8</v>
      </c>
      <c r="I114" s="123">
        <f t="shared" si="33"/>
        <v>8</v>
      </c>
      <c r="J114" s="123">
        <v>5.4</v>
      </c>
      <c r="K114" s="123">
        <f t="shared" si="33"/>
        <v>5.4</v>
      </c>
      <c r="L114" s="123">
        <f t="shared" si="33"/>
        <v>5.4</v>
      </c>
      <c r="M114" s="123">
        <f t="shared" si="33"/>
        <v>5.4</v>
      </c>
      <c r="N114" s="123">
        <f t="shared" si="33"/>
        <v>5.4</v>
      </c>
      <c r="O114" s="123">
        <f t="shared" si="33"/>
        <v>5.4</v>
      </c>
      <c r="P114" s="123">
        <f t="shared" si="33"/>
        <v>5.4</v>
      </c>
      <c r="Q114" s="123">
        <f t="shared" si="33"/>
        <v>5.4</v>
      </c>
      <c r="R114" s="123">
        <f t="shared" si="33"/>
        <v>5.4</v>
      </c>
      <c r="S114" s="123">
        <f t="shared" si="33"/>
        <v>5.4</v>
      </c>
      <c r="T114" s="123">
        <f t="shared" si="34"/>
        <v>5.4</v>
      </c>
      <c r="U114" s="123">
        <f t="shared" si="34"/>
        <v>5.4</v>
      </c>
      <c r="V114" s="123">
        <f t="shared" si="34"/>
        <v>5.4</v>
      </c>
      <c r="W114" s="123">
        <f t="shared" si="34"/>
        <v>5.4</v>
      </c>
      <c r="X114" s="123">
        <f t="shared" si="34"/>
        <v>5.4</v>
      </c>
      <c r="Y114" s="123">
        <f t="shared" si="34"/>
        <v>5.4</v>
      </c>
      <c r="Z114" s="123">
        <f t="shared" si="34"/>
        <v>5.4</v>
      </c>
      <c r="AA114" s="123">
        <f t="shared" si="34"/>
        <v>5.4</v>
      </c>
      <c r="AB114" s="123">
        <f t="shared" si="34"/>
        <v>5.4</v>
      </c>
      <c r="AC114" s="123">
        <f t="shared" si="34"/>
        <v>5.4</v>
      </c>
      <c r="AD114" s="123">
        <f t="shared" si="34"/>
        <v>5.4</v>
      </c>
      <c r="AE114" s="123">
        <f t="shared" si="34"/>
        <v>5.4</v>
      </c>
      <c r="AF114" s="123">
        <f t="shared" si="34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32"/>
        <v>6.57</v>
      </c>
      <c r="C115" s="124">
        <v>6.57</v>
      </c>
      <c r="D115" s="123">
        <f t="shared" si="33"/>
        <v>6.57</v>
      </c>
      <c r="E115" s="123">
        <f t="shared" si="33"/>
        <v>6.57</v>
      </c>
      <c r="F115" s="123">
        <f t="shared" si="33"/>
        <v>6.57</v>
      </c>
      <c r="G115" s="123">
        <f t="shared" si="33"/>
        <v>6.57</v>
      </c>
      <c r="H115" s="123">
        <f t="shared" si="33"/>
        <v>6.57</v>
      </c>
      <c r="I115" s="123">
        <f t="shared" si="33"/>
        <v>6.57</v>
      </c>
      <c r="J115" s="123">
        <f t="shared" si="33"/>
        <v>6.57</v>
      </c>
      <c r="K115" s="123">
        <f t="shared" si="33"/>
        <v>6.57</v>
      </c>
      <c r="L115" s="123">
        <f t="shared" si="33"/>
        <v>6.57</v>
      </c>
      <c r="M115" s="123">
        <f t="shared" si="33"/>
        <v>6.57</v>
      </c>
      <c r="N115" s="123">
        <f t="shared" si="33"/>
        <v>6.57</v>
      </c>
      <c r="O115" s="123">
        <f t="shared" si="33"/>
        <v>6.57</v>
      </c>
      <c r="P115" s="123">
        <f t="shared" si="33"/>
        <v>6.57</v>
      </c>
      <c r="Q115" s="123">
        <f t="shared" si="33"/>
        <v>6.57</v>
      </c>
      <c r="R115" s="123">
        <f t="shared" si="33"/>
        <v>6.57</v>
      </c>
      <c r="S115" s="123">
        <f t="shared" si="33"/>
        <v>6.57</v>
      </c>
      <c r="T115" s="123">
        <f t="shared" si="34"/>
        <v>6.57</v>
      </c>
      <c r="U115" s="123">
        <f t="shared" si="34"/>
        <v>6.57</v>
      </c>
      <c r="V115" s="123">
        <f t="shared" si="34"/>
        <v>6.57</v>
      </c>
      <c r="W115" s="123">
        <f t="shared" si="34"/>
        <v>6.57</v>
      </c>
      <c r="X115" s="123">
        <f t="shared" si="34"/>
        <v>6.57</v>
      </c>
      <c r="Y115" s="123">
        <f t="shared" si="34"/>
        <v>6.57</v>
      </c>
      <c r="Z115" s="123">
        <f t="shared" si="34"/>
        <v>6.57</v>
      </c>
      <c r="AA115" s="123">
        <f t="shared" si="34"/>
        <v>6.57</v>
      </c>
      <c r="AB115" s="123">
        <f t="shared" si="34"/>
        <v>6.57</v>
      </c>
      <c r="AC115" s="123">
        <f t="shared" si="34"/>
        <v>6.57</v>
      </c>
      <c r="AD115" s="123">
        <f t="shared" si="34"/>
        <v>6.57</v>
      </c>
      <c r="AE115" s="123">
        <f t="shared" si="34"/>
        <v>6.57</v>
      </c>
      <c r="AF115" s="123">
        <f t="shared" si="34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32"/>
        <v>3.43</v>
      </c>
      <c r="C116" s="124">
        <v>3.43</v>
      </c>
      <c r="D116" s="123">
        <f t="shared" si="33"/>
        <v>3.43</v>
      </c>
      <c r="E116" s="123">
        <f t="shared" si="33"/>
        <v>3.43</v>
      </c>
      <c r="F116" s="123">
        <f t="shared" si="33"/>
        <v>3.43</v>
      </c>
      <c r="G116" s="123">
        <f t="shared" si="33"/>
        <v>3.43</v>
      </c>
      <c r="H116" s="123">
        <f t="shared" si="33"/>
        <v>3.43</v>
      </c>
      <c r="I116" s="123">
        <f t="shared" si="33"/>
        <v>3.43</v>
      </c>
      <c r="J116" s="123">
        <f t="shared" si="33"/>
        <v>3.43</v>
      </c>
      <c r="K116" s="123">
        <f t="shared" si="33"/>
        <v>3.43</v>
      </c>
      <c r="L116" s="123">
        <f t="shared" si="33"/>
        <v>3.43</v>
      </c>
      <c r="M116" s="123">
        <f t="shared" si="33"/>
        <v>3.43</v>
      </c>
      <c r="N116" s="123">
        <f t="shared" si="33"/>
        <v>3.43</v>
      </c>
      <c r="O116" s="123">
        <f t="shared" si="33"/>
        <v>3.43</v>
      </c>
      <c r="P116" s="123">
        <f t="shared" si="33"/>
        <v>3.43</v>
      </c>
      <c r="Q116" s="123">
        <f t="shared" si="33"/>
        <v>3.43</v>
      </c>
      <c r="R116" s="123">
        <f t="shared" si="33"/>
        <v>3.43</v>
      </c>
      <c r="S116" s="123">
        <f t="shared" si="33"/>
        <v>3.43</v>
      </c>
      <c r="T116" s="123">
        <f t="shared" si="34"/>
        <v>3.43</v>
      </c>
      <c r="U116" s="123">
        <f t="shared" si="34"/>
        <v>3.43</v>
      </c>
      <c r="V116" s="123">
        <f t="shared" si="34"/>
        <v>3.43</v>
      </c>
      <c r="W116" s="123">
        <f t="shared" si="34"/>
        <v>3.43</v>
      </c>
      <c r="X116" s="123">
        <f t="shared" si="34"/>
        <v>3.43</v>
      </c>
      <c r="Y116" s="123">
        <f t="shared" si="34"/>
        <v>3.43</v>
      </c>
      <c r="Z116" s="123">
        <f t="shared" si="34"/>
        <v>3.43</v>
      </c>
      <c r="AA116" s="123">
        <f t="shared" si="34"/>
        <v>3.43</v>
      </c>
      <c r="AB116" s="123">
        <f t="shared" si="34"/>
        <v>3.43</v>
      </c>
      <c r="AC116" s="123">
        <f t="shared" si="34"/>
        <v>3.43</v>
      </c>
      <c r="AD116" s="123">
        <f t="shared" si="34"/>
        <v>3.43</v>
      </c>
      <c r="AE116" s="123">
        <f t="shared" si="34"/>
        <v>3.43</v>
      </c>
      <c r="AF116" s="123">
        <f t="shared" si="34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32"/>
        <v>2.96</v>
      </c>
      <c r="C117" s="124">
        <v>2.96</v>
      </c>
      <c r="D117" s="123">
        <f t="shared" si="33"/>
        <v>2.96</v>
      </c>
      <c r="E117" s="123">
        <f t="shared" si="33"/>
        <v>2.96</v>
      </c>
      <c r="F117" s="123">
        <f t="shared" si="33"/>
        <v>2.96</v>
      </c>
      <c r="G117" s="123">
        <f t="shared" si="33"/>
        <v>2.96</v>
      </c>
      <c r="H117" s="123">
        <f t="shared" si="33"/>
        <v>2.96</v>
      </c>
      <c r="I117" s="123">
        <f t="shared" si="33"/>
        <v>2.96</v>
      </c>
      <c r="J117" s="123">
        <f t="shared" si="33"/>
        <v>2.96</v>
      </c>
      <c r="K117" s="123">
        <f t="shared" si="33"/>
        <v>2.96</v>
      </c>
      <c r="L117" s="123">
        <f t="shared" si="33"/>
        <v>2.96</v>
      </c>
      <c r="M117" s="123">
        <f t="shared" si="33"/>
        <v>2.96</v>
      </c>
      <c r="N117" s="123">
        <f t="shared" si="33"/>
        <v>2.96</v>
      </c>
      <c r="O117" s="123">
        <f t="shared" si="33"/>
        <v>2.96</v>
      </c>
      <c r="P117" s="123">
        <f t="shared" si="33"/>
        <v>2.96</v>
      </c>
      <c r="Q117" s="123">
        <f t="shared" si="33"/>
        <v>2.96</v>
      </c>
      <c r="R117" s="123">
        <f t="shared" si="33"/>
        <v>2.96</v>
      </c>
      <c r="S117" s="123">
        <f t="shared" si="33"/>
        <v>2.96</v>
      </c>
      <c r="T117" s="123">
        <f t="shared" si="34"/>
        <v>2.96</v>
      </c>
      <c r="U117" s="123">
        <f t="shared" si="34"/>
        <v>2.96</v>
      </c>
      <c r="V117" s="123">
        <f t="shared" si="34"/>
        <v>2.96</v>
      </c>
      <c r="W117" s="123">
        <f t="shared" si="34"/>
        <v>2.96</v>
      </c>
      <c r="X117" s="123">
        <f t="shared" si="34"/>
        <v>2.96</v>
      </c>
      <c r="Y117" s="123">
        <f t="shared" si="34"/>
        <v>2.96</v>
      </c>
      <c r="Z117" s="123">
        <f t="shared" si="34"/>
        <v>2.96</v>
      </c>
      <c r="AA117" s="123">
        <f t="shared" si="34"/>
        <v>2.96</v>
      </c>
      <c r="AB117" s="123">
        <f t="shared" si="34"/>
        <v>2.96</v>
      </c>
      <c r="AC117" s="123">
        <f t="shared" si="34"/>
        <v>2.96</v>
      </c>
      <c r="AD117" s="123">
        <f t="shared" si="34"/>
        <v>2.96</v>
      </c>
      <c r="AE117" s="123">
        <f t="shared" si="34"/>
        <v>2.96</v>
      </c>
      <c r="AF117" s="123">
        <f t="shared" si="34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32"/>
        <v>8</v>
      </c>
      <c r="C118" s="124">
        <v>8</v>
      </c>
      <c r="D118" s="123">
        <f t="shared" si="33"/>
        <v>8</v>
      </c>
      <c r="E118" s="123">
        <f t="shared" si="33"/>
        <v>8</v>
      </c>
      <c r="F118" s="123">
        <f t="shared" si="33"/>
        <v>8</v>
      </c>
      <c r="G118" s="123">
        <f t="shared" si="33"/>
        <v>8</v>
      </c>
      <c r="H118" s="123">
        <f t="shared" si="33"/>
        <v>8</v>
      </c>
      <c r="I118" s="123">
        <f t="shared" si="33"/>
        <v>8</v>
      </c>
      <c r="J118" s="123">
        <f t="shared" si="33"/>
        <v>8</v>
      </c>
      <c r="K118" s="123">
        <f t="shared" si="33"/>
        <v>8</v>
      </c>
      <c r="L118" s="123">
        <f t="shared" si="33"/>
        <v>8</v>
      </c>
      <c r="M118" s="123">
        <f t="shared" si="33"/>
        <v>8</v>
      </c>
      <c r="N118" s="123">
        <f t="shared" si="33"/>
        <v>8</v>
      </c>
      <c r="O118" s="123">
        <f t="shared" si="33"/>
        <v>8</v>
      </c>
      <c r="P118" s="123">
        <f t="shared" si="33"/>
        <v>8</v>
      </c>
      <c r="Q118" s="123">
        <f t="shared" si="33"/>
        <v>8</v>
      </c>
      <c r="R118" s="123">
        <f t="shared" si="33"/>
        <v>8</v>
      </c>
      <c r="S118" s="123">
        <f t="shared" si="33"/>
        <v>8</v>
      </c>
      <c r="T118" s="123">
        <f t="shared" si="34"/>
        <v>8</v>
      </c>
      <c r="U118" s="123">
        <f t="shared" si="34"/>
        <v>8</v>
      </c>
      <c r="V118" s="123">
        <f t="shared" si="34"/>
        <v>8</v>
      </c>
      <c r="W118" s="123">
        <f t="shared" si="34"/>
        <v>8</v>
      </c>
      <c r="X118" s="123">
        <f t="shared" si="34"/>
        <v>8</v>
      </c>
      <c r="Y118" s="123">
        <f t="shared" si="34"/>
        <v>8</v>
      </c>
      <c r="Z118" s="123">
        <f t="shared" si="34"/>
        <v>8</v>
      </c>
      <c r="AA118" s="123">
        <f t="shared" si="34"/>
        <v>8</v>
      </c>
      <c r="AB118" s="123">
        <f t="shared" si="34"/>
        <v>8</v>
      </c>
      <c r="AC118" s="123">
        <f t="shared" si="34"/>
        <v>8</v>
      </c>
      <c r="AD118" s="123">
        <f t="shared" si="34"/>
        <v>8</v>
      </c>
      <c r="AE118" s="123">
        <f t="shared" si="34"/>
        <v>8</v>
      </c>
      <c r="AF118" s="123">
        <f t="shared" si="34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32"/>
        <v>7</v>
      </c>
      <c r="C119" s="124">
        <v>7</v>
      </c>
      <c r="D119" s="123">
        <f>C119</f>
        <v>7</v>
      </c>
      <c r="E119" s="123">
        <f t="shared" si="33"/>
        <v>7</v>
      </c>
      <c r="F119" s="123">
        <f t="shared" si="33"/>
        <v>7</v>
      </c>
      <c r="G119" s="123">
        <f t="shared" si="33"/>
        <v>7</v>
      </c>
      <c r="H119" s="123">
        <f t="shared" si="33"/>
        <v>7</v>
      </c>
      <c r="I119" s="123">
        <f t="shared" si="33"/>
        <v>7</v>
      </c>
      <c r="J119" s="123">
        <f t="shared" si="33"/>
        <v>7</v>
      </c>
      <c r="K119" s="123">
        <f t="shared" si="33"/>
        <v>7</v>
      </c>
      <c r="L119" s="123">
        <f t="shared" si="33"/>
        <v>7</v>
      </c>
      <c r="M119" s="123">
        <f t="shared" si="33"/>
        <v>7</v>
      </c>
      <c r="N119" s="123">
        <f t="shared" si="33"/>
        <v>7</v>
      </c>
      <c r="O119" s="123">
        <f t="shared" si="33"/>
        <v>7</v>
      </c>
      <c r="P119" s="123">
        <f t="shared" si="33"/>
        <v>7</v>
      </c>
      <c r="Q119" s="123">
        <f t="shared" si="33"/>
        <v>7</v>
      </c>
      <c r="R119" s="123">
        <f t="shared" si="33"/>
        <v>7</v>
      </c>
      <c r="S119" s="123">
        <f t="shared" si="33"/>
        <v>7</v>
      </c>
      <c r="T119" s="123">
        <f t="shared" si="34"/>
        <v>7</v>
      </c>
      <c r="U119" s="123">
        <f t="shared" si="34"/>
        <v>7</v>
      </c>
      <c r="V119" s="123">
        <f t="shared" si="34"/>
        <v>7</v>
      </c>
      <c r="W119" s="123">
        <f t="shared" si="34"/>
        <v>7</v>
      </c>
      <c r="X119" s="123">
        <f t="shared" si="34"/>
        <v>7</v>
      </c>
      <c r="Y119" s="123">
        <f t="shared" si="34"/>
        <v>7</v>
      </c>
      <c r="Z119" s="123">
        <f t="shared" si="34"/>
        <v>7</v>
      </c>
      <c r="AA119" s="123">
        <f t="shared" si="34"/>
        <v>7</v>
      </c>
      <c r="AB119" s="123">
        <f t="shared" si="34"/>
        <v>7</v>
      </c>
      <c r="AC119" s="123">
        <f t="shared" si="34"/>
        <v>7</v>
      </c>
      <c r="AD119" s="123">
        <f t="shared" si="34"/>
        <v>7</v>
      </c>
      <c r="AE119" s="123">
        <f t="shared" si="34"/>
        <v>7</v>
      </c>
      <c r="AF119" s="123">
        <f t="shared" si="34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32"/>
        <v>3.47</v>
      </c>
      <c r="C120" s="124">
        <v>3.47</v>
      </c>
      <c r="D120" s="123">
        <f t="shared" ref="D120:S129" si="35">C120</f>
        <v>3.47</v>
      </c>
      <c r="E120" s="123">
        <f t="shared" si="35"/>
        <v>3.47</v>
      </c>
      <c r="F120" s="123">
        <f t="shared" si="35"/>
        <v>3.47</v>
      </c>
      <c r="G120" s="123">
        <f t="shared" si="35"/>
        <v>3.47</v>
      </c>
      <c r="H120" s="123">
        <f t="shared" si="35"/>
        <v>3.47</v>
      </c>
      <c r="I120" s="123">
        <f t="shared" si="35"/>
        <v>3.47</v>
      </c>
      <c r="J120" s="123">
        <f t="shared" si="35"/>
        <v>3.47</v>
      </c>
      <c r="K120" s="123">
        <f t="shared" si="35"/>
        <v>3.47</v>
      </c>
      <c r="L120" s="123">
        <f t="shared" si="35"/>
        <v>3.47</v>
      </c>
      <c r="M120" s="123">
        <f t="shared" si="35"/>
        <v>3.47</v>
      </c>
      <c r="N120" s="123">
        <f t="shared" si="35"/>
        <v>3.47</v>
      </c>
      <c r="O120" s="123">
        <f t="shared" si="35"/>
        <v>3.47</v>
      </c>
      <c r="P120" s="123">
        <f t="shared" si="35"/>
        <v>3.47</v>
      </c>
      <c r="Q120" s="123">
        <f t="shared" si="35"/>
        <v>3.47</v>
      </c>
      <c r="R120" s="123">
        <f t="shared" si="35"/>
        <v>3.47</v>
      </c>
      <c r="S120" s="123">
        <f t="shared" si="35"/>
        <v>3.47</v>
      </c>
      <c r="T120" s="123">
        <f t="shared" si="34"/>
        <v>3.47</v>
      </c>
      <c r="U120" s="123">
        <f t="shared" si="34"/>
        <v>3.47</v>
      </c>
      <c r="V120" s="123">
        <f t="shared" si="34"/>
        <v>3.47</v>
      </c>
      <c r="W120" s="123">
        <f t="shared" si="34"/>
        <v>3.47</v>
      </c>
      <c r="X120" s="123">
        <f t="shared" si="34"/>
        <v>3.47</v>
      </c>
      <c r="Y120" s="123">
        <f t="shared" si="34"/>
        <v>3.47</v>
      </c>
      <c r="Z120" s="123">
        <f t="shared" si="34"/>
        <v>3.47</v>
      </c>
      <c r="AA120" s="123">
        <f t="shared" si="34"/>
        <v>3.47</v>
      </c>
      <c r="AB120" s="123">
        <f t="shared" si="34"/>
        <v>3.47</v>
      </c>
      <c r="AC120" s="123">
        <f t="shared" si="34"/>
        <v>3.47</v>
      </c>
      <c r="AD120" s="123">
        <f t="shared" si="34"/>
        <v>3.47</v>
      </c>
      <c r="AE120" s="123">
        <f t="shared" si="34"/>
        <v>3.47</v>
      </c>
      <c r="AF120" s="123">
        <f t="shared" si="34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32"/>
        <v>2.1</v>
      </c>
      <c r="C121" s="124">
        <v>2.1</v>
      </c>
      <c r="D121" s="123">
        <f t="shared" si="35"/>
        <v>2.1</v>
      </c>
      <c r="E121" s="123">
        <f t="shared" si="35"/>
        <v>2.1</v>
      </c>
      <c r="F121" s="123">
        <f t="shared" si="35"/>
        <v>2.1</v>
      </c>
      <c r="G121" s="123">
        <f t="shared" si="35"/>
        <v>2.1</v>
      </c>
      <c r="H121" s="123">
        <f t="shared" si="35"/>
        <v>2.1</v>
      </c>
      <c r="I121" s="123">
        <f t="shared" si="35"/>
        <v>2.1</v>
      </c>
      <c r="J121" s="123">
        <f t="shared" si="35"/>
        <v>2.1</v>
      </c>
      <c r="K121" s="123">
        <f t="shared" si="35"/>
        <v>2.1</v>
      </c>
      <c r="L121" s="123">
        <f t="shared" si="35"/>
        <v>2.1</v>
      </c>
      <c r="M121" s="123">
        <f t="shared" si="35"/>
        <v>2.1</v>
      </c>
      <c r="N121" s="123">
        <f t="shared" si="35"/>
        <v>2.1</v>
      </c>
      <c r="O121" s="123">
        <f t="shared" si="35"/>
        <v>2.1</v>
      </c>
      <c r="P121" s="123">
        <f t="shared" si="35"/>
        <v>2.1</v>
      </c>
      <c r="Q121" s="123">
        <f t="shared" si="35"/>
        <v>2.1</v>
      </c>
      <c r="R121" s="123">
        <f t="shared" si="35"/>
        <v>2.1</v>
      </c>
      <c r="S121" s="123">
        <f t="shared" si="35"/>
        <v>2.1</v>
      </c>
      <c r="T121" s="123">
        <f t="shared" si="34"/>
        <v>2.1</v>
      </c>
      <c r="U121" s="123">
        <f t="shared" si="34"/>
        <v>2.1</v>
      </c>
      <c r="V121" s="123">
        <f t="shared" si="34"/>
        <v>2.1</v>
      </c>
      <c r="W121" s="123">
        <f t="shared" si="34"/>
        <v>2.1</v>
      </c>
      <c r="X121" s="123">
        <f t="shared" si="34"/>
        <v>2.1</v>
      </c>
      <c r="Y121" s="123">
        <f t="shared" si="34"/>
        <v>2.1</v>
      </c>
      <c r="Z121" s="123">
        <f t="shared" si="34"/>
        <v>2.1</v>
      </c>
      <c r="AA121" s="123">
        <f t="shared" si="34"/>
        <v>2.1</v>
      </c>
      <c r="AB121" s="123">
        <f t="shared" si="34"/>
        <v>2.1</v>
      </c>
      <c r="AC121" s="123">
        <f t="shared" si="34"/>
        <v>2.1</v>
      </c>
      <c r="AD121" s="123">
        <f t="shared" si="34"/>
        <v>2.1</v>
      </c>
      <c r="AE121" s="123">
        <f t="shared" si="34"/>
        <v>2.1</v>
      </c>
      <c r="AF121" s="123">
        <f t="shared" si="34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32"/>
        <v>9.3000000000000007</v>
      </c>
      <c r="C122" s="124">
        <v>9.3000000000000007</v>
      </c>
      <c r="D122" s="123">
        <f t="shared" si="35"/>
        <v>9.3000000000000007</v>
      </c>
      <c r="E122" s="123">
        <f t="shared" si="35"/>
        <v>9.3000000000000007</v>
      </c>
      <c r="F122" s="123">
        <f t="shared" si="35"/>
        <v>9.3000000000000007</v>
      </c>
      <c r="G122" s="123">
        <f t="shared" si="35"/>
        <v>9.3000000000000007</v>
      </c>
      <c r="H122" s="123">
        <f t="shared" si="35"/>
        <v>9.3000000000000007</v>
      </c>
      <c r="I122" s="123">
        <f t="shared" si="35"/>
        <v>9.3000000000000007</v>
      </c>
      <c r="J122" s="123">
        <f t="shared" si="35"/>
        <v>9.3000000000000007</v>
      </c>
      <c r="K122" s="123">
        <f t="shared" si="35"/>
        <v>9.3000000000000007</v>
      </c>
      <c r="L122" s="123">
        <f t="shared" si="35"/>
        <v>9.3000000000000007</v>
      </c>
      <c r="M122" s="123">
        <f t="shared" si="35"/>
        <v>9.3000000000000007</v>
      </c>
      <c r="N122" s="123">
        <f t="shared" si="35"/>
        <v>9.3000000000000007</v>
      </c>
      <c r="O122" s="123">
        <f t="shared" si="35"/>
        <v>9.3000000000000007</v>
      </c>
      <c r="P122" s="123">
        <f t="shared" si="35"/>
        <v>9.3000000000000007</v>
      </c>
      <c r="Q122" s="123">
        <f t="shared" si="35"/>
        <v>9.3000000000000007</v>
      </c>
      <c r="R122" s="123">
        <f t="shared" si="35"/>
        <v>9.3000000000000007</v>
      </c>
      <c r="S122" s="123">
        <f t="shared" si="35"/>
        <v>9.3000000000000007</v>
      </c>
      <c r="T122" s="123">
        <f t="shared" si="34"/>
        <v>9.3000000000000007</v>
      </c>
      <c r="U122" s="123">
        <f t="shared" si="34"/>
        <v>9.3000000000000007</v>
      </c>
      <c r="V122" s="123">
        <f t="shared" si="34"/>
        <v>9.3000000000000007</v>
      </c>
      <c r="W122" s="123">
        <f t="shared" si="34"/>
        <v>9.3000000000000007</v>
      </c>
      <c r="X122" s="123">
        <f t="shared" si="34"/>
        <v>9.3000000000000007</v>
      </c>
      <c r="Y122" s="123">
        <f t="shared" si="34"/>
        <v>9.3000000000000007</v>
      </c>
      <c r="Z122" s="123">
        <f t="shared" si="34"/>
        <v>9.3000000000000007</v>
      </c>
      <c r="AA122" s="123">
        <f t="shared" si="34"/>
        <v>9.3000000000000007</v>
      </c>
      <c r="AB122" s="123">
        <f t="shared" si="34"/>
        <v>9.3000000000000007</v>
      </c>
      <c r="AC122" s="123">
        <f t="shared" si="34"/>
        <v>9.3000000000000007</v>
      </c>
      <c r="AD122" s="123">
        <f t="shared" si="34"/>
        <v>9.3000000000000007</v>
      </c>
      <c r="AE122" s="123">
        <f t="shared" si="34"/>
        <v>9.3000000000000007</v>
      </c>
      <c r="AF122" s="123">
        <f t="shared" si="34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32"/>
        <v>0</v>
      </c>
      <c r="C123" s="124">
        <v>0</v>
      </c>
      <c r="D123" s="123">
        <f t="shared" si="35"/>
        <v>0</v>
      </c>
      <c r="E123" s="123">
        <f t="shared" si="35"/>
        <v>0</v>
      </c>
      <c r="F123" s="123">
        <f t="shared" si="35"/>
        <v>0</v>
      </c>
      <c r="G123" s="123">
        <f t="shared" si="35"/>
        <v>0</v>
      </c>
      <c r="H123" s="123">
        <f t="shared" si="35"/>
        <v>0</v>
      </c>
      <c r="I123" s="123">
        <f t="shared" si="35"/>
        <v>0</v>
      </c>
      <c r="J123" s="123">
        <f t="shared" si="35"/>
        <v>0</v>
      </c>
      <c r="K123" s="123">
        <f t="shared" si="35"/>
        <v>0</v>
      </c>
      <c r="L123" s="123">
        <f t="shared" si="35"/>
        <v>0</v>
      </c>
      <c r="M123" s="123">
        <f t="shared" si="35"/>
        <v>0</v>
      </c>
      <c r="N123" s="123">
        <f t="shared" si="35"/>
        <v>0</v>
      </c>
      <c r="O123" s="123">
        <f t="shared" si="35"/>
        <v>0</v>
      </c>
      <c r="P123" s="123">
        <f t="shared" si="35"/>
        <v>0</v>
      </c>
      <c r="Q123" s="123">
        <f t="shared" si="35"/>
        <v>0</v>
      </c>
      <c r="R123" s="123">
        <f t="shared" si="35"/>
        <v>0</v>
      </c>
      <c r="S123" s="123">
        <f t="shared" si="35"/>
        <v>0</v>
      </c>
      <c r="T123" s="123">
        <f t="shared" si="34"/>
        <v>0</v>
      </c>
      <c r="U123" s="123">
        <f t="shared" si="34"/>
        <v>0</v>
      </c>
      <c r="V123" s="123">
        <f t="shared" si="34"/>
        <v>0</v>
      </c>
      <c r="W123" s="123">
        <f t="shared" si="34"/>
        <v>0</v>
      </c>
      <c r="X123" s="123">
        <f t="shared" si="34"/>
        <v>0</v>
      </c>
      <c r="Y123" s="123">
        <f t="shared" si="34"/>
        <v>0</v>
      </c>
      <c r="Z123" s="123">
        <f t="shared" si="34"/>
        <v>0</v>
      </c>
      <c r="AA123" s="123">
        <f t="shared" si="34"/>
        <v>0</v>
      </c>
      <c r="AB123" s="123">
        <f t="shared" si="34"/>
        <v>0</v>
      </c>
      <c r="AC123" s="123">
        <f t="shared" si="34"/>
        <v>0</v>
      </c>
      <c r="AD123" s="123">
        <f t="shared" si="34"/>
        <v>0</v>
      </c>
      <c r="AE123" s="123">
        <f t="shared" si="34"/>
        <v>0</v>
      </c>
      <c r="AF123" s="123">
        <f t="shared" si="34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32"/>
        <v>0</v>
      </c>
      <c r="C124" s="124">
        <v>0</v>
      </c>
      <c r="D124" s="123">
        <f t="shared" si="35"/>
        <v>0</v>
      </c>
      <c r="E124" s="123">
        <f t="shared" si="35"/>
        <v>0</v>
      </c>
      <c r="F124" s="123">
        <f t="shared" si="35"/>
        <v>0</v>
      </c>
      <c r="G124" s="123">
        <f t="shared" si="35"/>
        <v>0</v>
      </c>
      <c r="H124" s="123">
        <f t="shared" si="35"/>
        <v>0</v>
      </c>
      <c r="I124" s="123">
        <f t="shared" si="35"/>
        <v>0</v>
      </c>
      <c r="J124" s="123">
        <f t="shared" si="35"/>
        <v>0</v>
      </c>
      <c r="K124" s="123">
        <f t="shared" si="35"/>
        <v>0</v>
      </c>
      <c r="L124" s="123">
        <f t="shared" si="35"/>
        <v>0</v>
      </c>
      <c r="M124" s="123">
        <f t="shared" si="35"/>
        <v>0</v>
      </c>
      <c r="N124" s="123">
        <f t="shared" si="35"/>
        <v>0</v>
      </c>
      <c r="O124" s="123">
        <f t="shared" si="35"/>
        <v>0</v>
      </c>
      <c r="P124" s="123">
        <f t="shared" si="35"/>
        <v>0</v>
      </c>
      <c r="Q124" s="123">
        <f t="shared" si="35"/>
        <v>0</v>
      </c>
      <c r="R124" s="123">
        <f t="shared" si="35"/>
        <v>0</v>
      </c>
      <c r="S124" s="123">
        <f t="shared" si="35"/>
        <v>0</v>
      </c>
      <c r="T124" s="123">
        <f t="shared" si="34"/>
        <v>0</v>
      </c>
      <c r="U124" s="123">
        <f t="shared" si="34"/>
        <v>0</v>
      </c>
      <c r="V124" s="123">
        <f t="shared" si="34"/>
        <v>0</v>
      </c>
      <c r="W124" s="123">
        <f t="shared" si="34"/>
        <v>0</v>
      </c>
      <c r="X124" s="123">
        <f t="shared" si="34"/>
        <v>0</v>
      </c>
      <c r="Y124" s="123">
        <f t="shared" si="34"/>
        <v>0</v>
      </c>
      <c r="Z124" s="123">
        <f t="shared" si="34"/>
        <v>0</v>
      </c>
      <c r="AA124" s="123">
        <f t="shared" si="34"/>
        <v>0</v>
      </c>
      <c r="AB124" s="123">
        <f t="shared" si="34"/>
        <v>0</v>
      </c>
      <c r="AC124" s="123">
        <f t="shared" si="34"/>
        <v>0</v>
      </c>
      <c r="AD124" s="123">
        <f t="shared" si="34"/>
        <v>0</v>
      </c>
      <c r="AE124" s="123">
        <f t="shared" si="34"/>
        <v>0</v>
      </c>
      <c r="AF124" s="123">
        <f t="shared" si="34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32"/>
        <v>;/</v>
      </c>
      <c r="C125" s="124">
        <v>5</v>
      </c>
      <c r="D125" s="123">
        <f t="shared" si="35"/>
        <v>5</v>
      </c>
      <c r="E125" s="123">
        <f t="shared" si="35"/>
        <v>5</v>
      </c>
      <c r="F125" s="123">
        <f t="shared" si="35"/>
        <v>5</v>
      </c>
      <c r="G125" s="123">
        <f t="shared" si="35"/>
        <v>5</v>
      </c>
      <c r="H125" s="123">
        <f t="shared" si="35"/>
        <v>5</v>
      </c>
      <c r="I125" s="123" t="s">
        <v>131</v>
      </c>
      <c r="J125" s="123" t="str">
        <f t="shared" si="35"/>
        <v>;/</v>
      </c>
      <c r="K125" s="123" t="str">
        <f t="shared" si="35"/>
        <v>;/</v>
      </c>
      <c r="L125" s="123" t="str">
        <f t="shared" si="35"/>
        <v>;/</v>
      </c>
      <c r="M125" s="123" t="str">
        <f t="shared" si="35"/>
        <v>;/</v>
      </c>
      <c r="N125" s="123" t="str">
        <f t="shared" si="35"/>
        <v>;/</v>
      </c>
      <c r="O125" s="123" t="str">
        <f t="shared" si="35"/>
        <v>;/</v>
      </c>
      <c r="P125" s="123" t="str">
        <f t="shared" si="35"/>
        <v>;/</v>
      </c>
      <c r="Q125" s="123" t="str">
        <f t="shared" si="35"/>
        <v>;/</v>
      </c>
      <c r="R125" s="123" t="str">
        <f t="shared" si="35"/>
        <v>;/</v>
      </c>
      <c r="S125" s="123" t="str">
        <f t="shared" si="35"/>
        <v>;/</v>
      </c>
      <c r="T125" s="123" t="str">
        <f t="shared" si="34"/>
        <v>;/</v>
      </c>
      <c r="U125" s="123" t="str">
        <f t="shared" si="34"/>
        <v>;/</v>
      </c>
      <c r="V125" s="123" t="str">
        <f t="shared" si="34"/>
        <v>;/</v>
      </c>
      <c r="W125" s="123" t="str">
        <f t="shared" si="34"/>
        <v>;/</v>
      </c>
      <c r="X125" s="123" t="str">
        <f t="shared" si="34"/>
        <v>;/</v>
      </c>
      <c r="Y125" s="123" t="str">
        <f t="shared" si="34"/>
        <v>;/</v>
      </c>
      <c r="Z125" s="123" t="str">
        <f t="shared" si="34"/>
        <v>;/</v>
      </c>
      <c r="AA125" s="123" t="str">
        <f t="shared" si="34"/>
        <v>;/</v>
      </c>
      <c r="AB125" s="123" t="str">
        <f t="shared" si="34"/>
        <v>;/</v>
      </c>
      <c r="AC125" s="123" t="str">
        <f t="shared" si="34"/>
        <v>;/</v>
      </c>
      <c r="AD125" s="123" t="str">
        <f t="shared" si="34"/>
        <v>;/</v>
      </c>
      <c r="AE125" s="123" t="str">
        <f t="shared" si="34"/>
        <v>;/</v>
      </c>
      <c r="AF125" s="123" t="str">
        <f t="shared" si="34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32"/>
        <v>1</v>
      </c>
      <c r="C126" s="124">
        <v>1</v>
      </c>
      <c r="D126" s="123">
        <f t="shared" si="35"/>
        <v>1</v>
      </c>
      <c r="E126" s="123">
        <f t="shared" si="35"/>
        <v>1</v>
      </c>
      <c r="F126" s="123">
        <f t="shared" si="35"/>
        <v>1</v>
      </c>
      <c r="G126" s="123">
        <f t="shared" si="35"/>
        <v>1</v>
      </c>
      <c r="H126" s="123">
        <f t="shared" si="35"/>
        <v>1</v>
      </c>
      <c r="I126" s="123">
        <f t="shared" si="35"/>
        <v>1</v>
      </c>
      <c r="J126" s="123">
        <f t="shared" si="35"/>
        <v>1</v>
      </c>
      <c r="K126" s="123">
        <f t="shared" si="35"/>
        <v>1</v>
      </c>
      <c r="L126" s="123">
        <f t="shared" si="35"/>
        <v>1</v>
      </c>
      <c r="M126" s="123">
        <f t="shared" si="35"/>
        <v>1</v>
      </c>
      <c r="N126" s="123">
        <f t="shared" si="35"/>
        <v>1</v>
      </c>
      <c r="O126" s="123">
        <f t="shared" si="35"/>
        <v>1</v>
      </c>
      <c r="P126" s="123">
        <f t="shared" si="35"/>
        <v>1</v>
      </c>
      <c r="Q126" s="123">
        <f t="shared" si="35"/>
        <v>1</v>
      </c>
      <c r="R126" s="123">
        <f t="shared" si="35"/>
        <v>1</v>
      </c>
      <c r="S126" s="123">
        <f t="shared" si="35"/>
        <v>1</v>
      </c>
      <c r="T126" s="123">
        <f t="shared" si="34"/>
        <v>1</v>
      </c>
      <c r="U126" s="123">
        <f t="shared" si="34"/>
        <v>1</v>
      </c>
      <c r="V126" s="123">
        <f t="shared" si="34"/>
        <v>1</v>
      </c>
      <c r="W126" s="123">
        <f t="shared" si="34"/>
        <v>1</v>
      </c>
      <c r="X126" s="123">
        <f t="shared" si="34"/>
        <v>1</v>
      </c>
      <c r="Y126" s="123">
        <f t="shared" si="34"/>
        <v>1</v>
      </c>
      <c r="Z126" s="123">
        <f t="shared" si="34"/>
        <v>1</v>
      </c>
      <c r="AA126" s="123">
        <f t="shared" si="34"/>
        <v>1</v>
      </c>
      <c r="AB126" s="123">
        <f t="shared" si="34"/>
        <v>1</v>
      </c>
      <c r="AC126" s="123">
        <f t="shared" si="34"/>
        <v>1</v>
      </c>
      <c r="AD126" s="123">
        <f t="shared" si="34"/>
        <v>1</v>
      </c>
      <c r="AE126" s="123">
        <f t="shared" si="34"/>
        <v>1</v>
      </c>
      <c r="AF126" s="123">
        <f t="shared" si="34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32"/>
        <v>1.58</v>
      </c>
      <c r="C127" s="124">
        <v>1.58</v>
      </c>
      <c r="D127" s="123">
        <f t="shared" si="35"/>
        <v>1.58</v>
      </c>
      <c r="E127" s="123">
        <f t="shared" si="35"/>
        <v>1.58</v>
      </c>
      <c r="F127" s="123">
        <f t="shared" si="35"/>
        <v>1.58</v>
      </c>
      <c r="G127" s="123">
        <f t="shared" si="35"/>
        <v>1.58</v>
      </c>
      <c r="H127" s="123">
        <f t="shared" si="35"/>
        <v>1.58</v>
      </c>
      <c r="I127" s="123">
        <f t="shared" si="35"/>
        <v>1.58</v>
      </c>
      <c r="J127" s="123">
        <f t="shared" si="35"/>
        <v>1.58</v>
      </c>
      <c r="K127" s="123">
        <f t="shared" si="35"/>
        <v>1.58</v>
      </c>
      <c r="L127" s="123">
        <f t="shared" si="35"/>
        <v>1.58</v>
      </c>
      <c r="M127" s="123">
        <f t="shared" si="35"/>
        <v>1.58</v>
      </c>
      <c r="N127" s="123">
        <f t="shared" si="35"/>
        <v>1.58</v>
      </c>
      <c r="O127" s="123">
        <f t="shared" si="35"/>
        <v>1.58</v>
      </c>
      <c r="P127" s="123">
        <f t="shared" si="35"/>
        <v>1.58</v>
      </c>
      <c r="Q127" s="123">
        <f t="shared" si="35"/>
        <v>1.58</v>
      </c>
      <c r="R127" s="123">
        <f t="shared" si="35"/>
        <v>1.58</v>
      </c>
      <c r="S127" s="123">
        <f t="shared" si="35"/>
        <v>1.58</v>
      </c>
      <c r="T127" s="123">
        <f t="shared" si="34"/>
        <v>1.58</v>
      </c>
      <c r="U127" s="123">
        <f t="shared" si="34"/>
        <v>1.58</v>
      </c>
      <c r="V127" s="123">
        <f t="shared" si="34"/>
        <v>1.58</v>
      </c>
      <c r="W127" s="123">
        <f t="shared" si="34"/>
        <v>1.58</v>
      </c>
      <c r="X127" s="123">
        <f t="shared" si="34"/>
        <v>1.58</v>
      </c>
      <c r="Y127" s="123">
        <f t="shared" si="34"/>
        <v>1.58</v>
      </c>
      <c r="Z127" s="123">
        <f t="shared" si="34"/>
        <v>1.58</v>
      </c>
      <c r="AA127" s="123">
        <f t="shared" si="34"/>
        <v>1.58</v>
      </c>
      <c r="AB127" s="123">
        <f t="shared" si="34"/>
        <v>1.58</v>
      </c>
      <c r="AC127" s="123">
        <f t="shared" si="34"/>
        <v>1.58</v>
      </c>
      <c r="AD127" s="123">
        <f t="shared" si="34"/>
        <v>1.58</v>
      </c>
      <c r="AE127" s="123">
        <f t="shared" si="34"/>
        <v>1.58</v>
      </c>
      <c r="AF127" s="123">
        <f t="shared" si="34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32"/>
        <v>1.46</v>
      </c>
      <c r="C128" s="124">
        <v>1.46</v>
      </c>
      <c r="D128" s="123">
        <f t="shared" si="35"/>
        <v>1.46</v>
      </c>
      <c r="E128" s="123">
        <f t="shared" si="35"/>
        <v>1.46</v>
      </c>
      <c r="F128" s="123">
        <f t="shared" si="35"/>
        <v>1.46</v>
      </c>
      <c r="G128" s="123">
        <f t="shared" si="35"/>
        <v>1.46</v>
      </c>
      <c r="H128" s="123">
        <f t="shared" si="35"/>
        <v>1.46</v>
      </c>
      <c r="I128" s="123">
        <f t="shared" si="35"/>
        <v>1.46</v>
      </c>
      <c r="J128" s="123">
        <f t="shared" si="35"/>
        <v>1.46</v>
      </c>
      <c r="K128" s="123">
        <f t="shared" si="35"/>
        <v>1.46</v>
      </c>
      <c r="L128" s="123">
        <f t="shared" si="35"/>
        <v>1.46</v>
      </c>
      <c r="M128" s="123">
        <f t="shared" si="35"/>
        <v>1.46</v>
      </c>
      <c r="N128" s="123">
        <f t="shared" si="35"/>
        <v>1.46</v>
      </c>
      <c r="O128" s="123">
        <f t="shared" si="35"/>
        <v>1.46</v>
      </c>
      <c r="P128" s="123">
        <f t="shared" si="35"/>
        <v>1.46</v>
      </c>
      <c r="Q128" s="123">
        <f t="shared" si="35"/>
        <v>1.46</v>
      </c>
      <c r="R128" s="123">
        <f t="shared" si="35"/>
        <v>1.46</v>
      </c>
      <c r="S128" s="123">
        <f t="shared" si="35"/>
        <v>1.46</v>
      </c>
      <c r="T128" s="123">
        <f t="shared" ref="T128:AF129" si="36">S128</f>
        <v>1.46</v>
      </c>
      <c r="U128" s="123">
        <f t="shared" si="36"/>
        <v>1.46</v>
      </c>
      <c r="V128" s="123">
        <f t="shared" si="36"/>
        <v>1.46</v>
      </c>
      <c r="W128" s="123">
        <f t="shared" si="36"/>
        <v>1.46</v>
      </c>
      <c r="X128" s="123">
        <f t="shared" si="36"/>
        <v>1.46</v>
      </c>
      <c r="Y128" s="123">
        <f t="shared" si="36"/>
        <v>1.46</v>
      </c>
      <c r="Z128" s="123">
        <f t="shared" si="36"/>
        <v>1.46</v>
      </c>
      <c r="AA128" s="123">
        <f t="shared" si="36"/>
        <v>1.46</v>
      </c>
      <c r="AB128" s="123">
        <f t="shared" si="36"/>
        <v>1.46</v>
      </c>
      <c r="AC128" s="123">
        <f t="shared" si="36"/>
        <v>1.46</v>
      </c>
      <c r="AD128" s="123">
        <f t="shared" si="36"/>
        <v>1.46</v>
      </c>
      <c r="AE128" s="123">
        <f t="shared" si="36"/>
        <v>1.46</v>
      </c>
      <c r="AF128" s="123">
        <f t="shared" si="36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32"/>
        <v>1.48</v>
      </c>
      <c r="C129" s="124">
        <v>1.48</v>
      </c>
      <c r="D129" s="123">
        <f t="shared" si="35"/>
        <v>1.48</v>
      </c>
      <c r="E129" s="123">
        <f t="shared" si="35"/>
        <v>1.48</v>
      </c>
      <c r="F129" s="123">
        <f t="shared" si="35"/>
        <v>1.48</v>
      </c>
      <c r="G129" s="123">
        <f t="shared" si="35"/>
        <v>1.48</v>
      </c>
      <c r="H129" s="123">
        <f t="shared" si="35"/>
        <v>1.48</v>
      </c>
      <c r="I129" s="123">
        <f t="shared" si="35"/>
        <v>1.48</v>
      </c>
      <c r="J129" s="123">
        <f t="shared" si="35"/>
        <v>1.48</v>
      </c>
      <c r="K129" s="123">
        <f t="shared" si="35"/>
        <v>1.48</v>
      </c>
      <c r="L129" s="123">
        <f t="shared" si="35"/>
        <v>1.48</v>
      </c>
      <c r="M129" s="123">
        <f t="shared" si="35"/>
        <v>1.48</v>
      </c>
      <c r="N129" s="123">
        <f t="shared" si="35"/>
        <v>1.48</v>
      </c>
      <c r="O129" s="123">
        <f t="shared" si="35"/>
        <v>1.48</v>
      </c>
      <c r="P129" s="123">
        <f t="shared" si="35"/>
        <v>1.48</v>
      </c>
      <c r="Q129" s="123">
        <f t="shared" si="35"/>
        <v>1.48</v>
      </c>
      <c r="R129" s="123">
        <f t="shared" si="35"/>
        <v>1.48</v>
      </c>
      <c r="S129" s="123">
        <f t="shared" si="35"/>
        <v>1.48</v>
      </c>
      <c r="T129" s="123">
        <f t="shared" si="36"/>
        <v>1.48</v>
      </c>
      <c r="U129" s="123">
        <f t="shared" si="36"/>
        <v>1.48</v>
      </c>
      <c r="V129" s="123">
        <f t="shared" si="36"/>
        <v>1.48</v>
      </c>
      <c r="W129" s="123">
        <f t="shared" si="36"/>
        <v>1.48</v>
      </c>
      <c r="X129" s="123">
        <f t="shared" si="36"/>
        <v>1.48</v>
      </c>
      <c r="Y129" s="123">
        <f t="shared" si="36"/>
        <v>1.48</v>
      </c>
      <c r="Z129" s="123">
        <f t="shared" si="36"/>
        <v>1.48</v>
      </c>
      <c r="AA129" s="123">
        <f t="shared" si="36"/>
        <v>1.48</v>
      </c>
      <c r="AB129" s="123">
        <f t="shared" si="36"/>
        <v>1.48</v>
      </c>
      <c r="AC129" s="123">
        <f t="shared" si="36"/>
        <v>1.48</v>
      </c>
      <c r="AD129" s="123">
        <f t="shared" si="36"/>
        <v>1.48</v>
      </c>
      <c r="AE129" s="123">
        <f t="shared" si="36"/>
        <v>1.48</v>
      </c>
      <c r="AF129" s="123">
        <f t="shared" si="36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37">AF131</f>
        <v>2.2000000000000002</v>
      </c>
      <c r="C131" s="124">
        <v>2.2000000000000002</v>
      </c>
      <c r="D131" s="123">
        <f t="shared" ref="D131:S138" si="38">C131</f>
        <v>2.2000000000000002</v>
      </c>
      <c r="E131" s="123">
        <f t="shared" si="38"/>
        <v>2.2000000000000002</v>
      </c>
      <c r="F131" s="123">
        <f t="shared" si="38"/>
        <v>2.2000000000000002</v>
      </c>
      <c r="G131" s="123">
        <f t="shared" si="38"/>
        <v>2.2000000000000002</v>
      </c>
      <c r="H131" s="123">
        <f t="shared" si="38"/>
        <v>2.2000000000000002</v>
      </c>
      <c r="I131" s="123">
        <f t="shared" si="38"/>
        <v>2.2000000000000002</v>
      </c>
      <c r="J131" s="123">
        <f t="shared" si="38"/>
        <v>2.2000000000000002</v>
      </c>
      <c r="K131" s="123">
        <f t="shared" si="38"/>
        <v>2.2000000000000002</v>
      </c>
      <c r="L131" s="123">
        <f t="shared" si="38"/>
        <v>2.2000000000000002</v>
      </c>
      <c r="M131" s="123">
        <f t="shared" si="38"/>
        <v>2.2000000000000002</v>
      </c>
      <c r="N131" s="123">
        <f t="shared" si="38"/>
        <v>2.2000000000000002</v>
      </c>
      <c r="O131" s="123">
        <f t="shared" si="38"/>
        <v>2.2000000000000002</v>
      </c>
      <c r="P131" s="123">
        <f t="shared" si="38"/>
        <v>2.2000000000000002</v>
      </c>
      <c r="Q131" s="123">
        <f t="shared" si="38"/>
        <v>2.2000000000000002</v>
      </c>
      <c r="R131" s="123">
        <f t="shared" si="38"/>
        <v>2.2000000000000002</v>
      </c>
      <c r="S131" s="123">
        <f t="shared" si="38"/>
        <v>2.2000000000000002</v>
      </c>
      <c r="T131" s="123">
        <f t="shared" ref="T131:AF138" si="39">S131</f>
        <v>2.2000000000000002</v>
      </c>
      <c r="U131" s="123">
        <f t="shared" si="39"/>
        <v>2.2000000000000002</v>
      </c>
      <c r="V131" s="123">
        <f t="shared" si="39"/>
        <v>2.2000000000000002</v>
      </c>
      <c r="W131" s="123">
        <f t="shared" si="39"/>
        <v>2.2000000000000002</v>
      </c>
      <c r="X131" s="123">
        <f t="shared" si="39"/>
        <v>2.2000000000000002</v>
      </c>
      <c r="Y131" s="123">
        <f t="shared" si="39"/>
        <v>2.2000000000000002</v>
      </c>
      <c r="Z131" s="123">
        <f t="shared" si="39"/>
        <v>2.2000000000000002</v>
      </c>
      <c r="AA131" s="123">
        <f t="shared" si="39"/>
        <v>2.2000000000000002</v>
      </c>
      <c r="AB131" s="123">
        <f t="shared" si="39"/>
        <v>2.2000000000000002</v>
      </c>
      <c r="AC131" s="123">
        <f t="shared" si="39"/>
        <v>2.2000000000000002</v>
      </c>
      <c r="AD131" s="123">
        <f t="shared" si="39"/>
        <v>2.2000000000000002</v>
      </c>
      <c r="AE131" s="123">
        <f t="shared" si="39"/>
        <v>2.2000000000000002</v>
      </c>
      <c r="AF131" s="123">
        <f t="shared" si="39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37"/>
        <v>2</v>
      </c>
      <c r="C132" s="124">
        <v>2</v>
      </c>
      <c r="D132" s="123">
        <f t="shared" si="38"/>
        <v>2</v>
      </c>
      <c r="E132" s="123">
        <f t="shared" si="38"/>
        <v>2</v>
      </c>
      <c r="F132" s="123">
        <f t="shared" si="38"/>
        <v>2</v>
      </c>
      <c r="G132" s="123">
        <f t="shared" si="38"/>
        <v>2</v>
      </c>
      <c r="H132" s="123">
        <f t="shared" si="38"/>
        <v>2</v>
      </c>
      <c r="I132" s="123">
        <f t="shared" si="38"/>
        <v>2</v>
      </c>
      <c r="J132" s="123">
        <f t="shared" si="38"/>
        <v>2</v>
      </c>
      <c r="K132" s="123">
        <f t="shared" si="38"/>
        <v>2</v>
      </c>
      <c r="L132" s="123">
        <f t="shared" si="38"/>
        <v>2</v>
      </c>
      <c r="M132" s="123">
        <f t="shared" si="38"/>
        <v>2</v>
      </c>
      <c r="N132" s="123">
        <f t="shared" si="38"/>
        <v>2</v>
      </c>
      <c r="O132" s="123">
        <f t="shared" si="38"/>
        <v>2</v>
      </c>
      <c r="P132" s="123">
        <f t="shared" si="38"/>
        <v>2</v>
      </c>
      <c r="Q132" s="123">
        <f t="shared" si="38"/>
        <v>2</v>
      </c>
      <c r="R132" s="123">
        <f t="shared" si="38"/>
        <v>2</v>
      </c>
      <c r="S132" s="123">
        <f t="shared" si="38"/>
        <v>2</v>
      </c>
      <c r="T132" s="123">
        <f t="shared" si="39"/>
        <v>2</v>
      </c>
      <c r="U132" s="123">
        <f t="shared" si="39"/>
        <v>2</v>
      </c>
      <c r="V132" s="123">
        <f t="shared" si="39"/>
        <v>2</v>
      </c>
      <c r="W132" s="123">
        <f t="shared" si="39"/>
        <v>2</v>
      </c>
      <c r="X132" s="123">
        <f t="shared" si="39"/>
        <v>2</v>
      </c>
      <c r="Y132" s="123">
        <f t="shared" si="39"/>
        <v>2</v>
      </c>
      <c r="Z132" s="123">
        <f t="shared" si="39"/>
        <v>2</v>
      </c>
      <c r="AA132" s="123">
        <f t="shared" si="39"/>
        <v>2</v>
      </c>
      <c r="AB132" s="123">
        <f t="shared" si="39"/>
        <v>2</v>
      </c>
      <c r="AC132" s="123">
        <f t="shared" si="39"/>
        <v>2</v>
      </c>
      <c r="AD132" s="123">
        <f t="shared" si="39"/>
        <v>2</v>
      </c>
      <c r="AE132" s="123">
        <f t="shared" si="39"/>
        <v>2</v>
      </c>
      <c r="AF132" s="123">
        <f t="shared" si="39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37"/>
        <v>1.25</v>
      </c>
      <c r="C133" s="124">
        <v>1.25</v>
      </c>
      <c r="D133" s="123">
        <f t="shared" si="38"/>
        <v>1.25</v>
      </c>
      <c r="E133" s="123">
        <f t="shared" si="38"/>
        <v>1.25</v>
      </c>
      <c r="F133" s="123">
        <f t="shared" si="38"/>
        <v>1.25</v>
      </c>
      <c r="G133" s="123">
        <f t="shared" si="38"/>
        <v>1.25</v>
      </c>
      <c r="H133" s="123">
        <f t="shared" si="38"/>
        <v>1.25</v>
      </c>
      <c r="I133" s="123">
        <f t="shared" si="38"/>
        <v>1.25</v>
      </c>
      <c r="J133" s="123">
        <f t="shared" si="38"/>
        <v>1.25</v>
      </c>
      <c r="K133" s="123">
        <f t="shared" si="38"/>
        <v>1.25</v>
      </c>
      <c r="L133" s="123">
        <f t="shared" si="38"/>
        <v>1.25</v>
      </c>
      <c r="M133" s="123">
        <f t="shared" si="38"/>
        <v>1.25</v>
      </c>
      <c r="N133" s="123">
        <f t="shared" si="38"/>
        <v>1.25</v>
      </c>
      <c r="O133" s="123">
        <f t="shared" si="38"/>
        <v>1.25</v>
      </c>
      <c r="P133" s="123">
        <f t="shared" si="38"/>
        <v>1.25</v>
      </c>
      <c r="Q133" s="123">
        <f t="shared" si="38"/>
        <v>1.25</v>
      </c>
      <c r="R133" s="123">
        <f t="shared" si="38"/>
        <v>1.25</v>
      </c>
      <c r="S133" s="123">
        <f t="shared" si="38"/>
        <v>1.25</v>
      </c>
      <c r="T133" s="123">
        <f t="shared" si="39"/>
        <v>1.25</v>
      </c>
      <c r="U133" s="123">
        <f t="shared" si="39"/>
        <v>1.25</v>
      </c>
      <c r="V133" s="123">
        <f t="shared" si="39"/>
        <v>1.25</v>
      </c>
      <c r="W133" s="123">
        <f t="shared" si="39"/>
        <v>1.25</v>
      </c>
      <c r="X133" s="123">
        <f t="shared" si="39"/>
        <v>1.25</v>
      </c>
      <c r="Y133" s="123">
        <f t="shared" si="39"/>
        <v>1.25</v>
      </c>
      <c r="Z133" s="123">
        <f t="shared" si="39"/>
        <v>1.25</v>
      </c>
      <c r="AA133" s="123">
        <f t="shared" si="39"/>
        <v>1.25</v>
      </c>
      <c r="AB133" s="123">
        <f t="shared" si="39"/>
        <v>1.25</v>
      </c>
      <c r="AC133" s="123">
        <f t="shared" si="39"/>
        <v>1.25</v>
      </c>
      <c r="AD133" s="123">
        <f t="shared" si="39"/>
        <v>1.25</v>
      </c>
      <c r="AE133" s="123">
        <f t="shared" si="39"/>
        <v>1.25</v>
      </c>
      <c r="AF133" s="123">
        <f t="shared" si="39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37"/>
        <v>1.1499999999999999</v>
      </c>
      <c r="C134" s="124">
        <v>1.1499999999999999</v>
      </c>
      <c r="D134" s="123">
        <f t="shared" si="38"/>
        <v>1.1499999999999999</v>
      </c>
      <c r="E134" s="123">
        <f t="shared" si="38"/>
        <v>1.1499999999999999</v>
      </c>
      <c r="F134" s="123">
        <f t="shared" si="38"/>
        <v>1.1499999999999999</v>
      </c>
      <c r="G134" s="123">
        <f t="shared" si="38"/>
        <v>1.1499999999999999</v>
      </c>
      <c r="H134" s="123">
        <f t="shared" si="38"/>
        <v>1.1499999999999999</v>
      </c>
      <c r="I134" s="123">
        <f t="shared" si="38"/>
        <v>1.1499999999999999</v>
      </c>
      <c r="J134" s="123">
        <f t="shared" si="38"/>
        <v>1.1499999999999999</v>
      </c>
      <c r="K134" s="123">
        <f t="shared" si="38"/>
        <v>1.1499999999999999</v>
      </c>
      <c r="L134" s="123">
        <f t="shared" si="38"/>
        <v>1.1499999999999999</v>
      </c>
      <c r="M134" s="123">
        <f t="shared" si="38"/>
        <v>1.1499999999999999</v>
      </c>
      <c r="N134" s="123">
        <f t="shared" si="38"/>
        <v>1.1499999999999999</v>
      </c>
      <c r="O134" s="123">
        <f t="shared" si="38"/>
        <v>1.1499999999999999</v>
      </c>
      <c r="P134" s="123">
        <f t="shared" si="38"/>
        <v>1.1499999999999999</v>
      </c>
      <c r="Q134" s="123">
        <f t="shared" si="38"/>
        <v>1.1499999999999999</v>
      </c>
      <c r="R134" s="123">
        <f t="shared" si="38"/>
        <v>1.1499999999999999</v>
      </c>
      <c r="S134" s="123">
        <f t="shared" si="38"/>
        <v>1.1499999999999999</v>
      </c>
      <c r="T134" s="123">
        <f t="shared" si="39"/>
        <v>1.1499999999999999</v>
      </c>
      <c r="U134" s="123">
        <f t="shared" si="39"/>
        <v>1.1499999999999999</v>
      </c>
      <c r="V134" s="123">
        <f t="shared" si="39"/>
        <v>1.1499999999999999</v>
      </c>
      <c r="W134" s="123">
        <f t="shared" si="39"/>
        <v>1.1499999999999999</v>
      </c>
      <c r="X134" s="123">
        <f t="shared" si="39"/>
        <v>1.1499999999999999</v>
      </c>
      <c r="Y134" s="123">
        <f t="shared" si="39"/>
        <v>1.1499999999999999</v>
      </c>
      <c r="Z134" s="123">
        <f t="shared" si="39"/>
        <v>1.1499999999999999</v>
      </c>
      <c r="AA134" s="123">
        <f t="shared" si="39"/>
        <v>1.1499999999999999</v>
      </c>
      <c r="AB134" s="123">
        <f t="shared" si="39"/>
        <v>1.1499999999999999</v>
      </c>
      <c r="AC134" s="123">
        <f t="shared" si="39"/>
        <v>1.1499999999999999</v>
      </c>
      <c r="AD134" s="123">
        <f t="shared" si="39"/>
        <v>1.1499999999999999</v>
      </c>
      <c r="AE134" s="123">
        <f t="shared" si="39"/>
        <v>1.1499999999999999</v>
      </c>
      <c r="AF134" s="123">
        <f t="shared" si="39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37"/>
        <v>2.133</v>
      </c>
      <c r="C135" s="124">
        <v>2.133</v>
      </c>
      <c r="D135" s="123">
        <f t="shared" si="38"/>
        <v>2.133</v>
      </c>
      <c r="E135" s="123">
        <f t="shared" si="38"/>
        <v>2.133</v>
      </c>
      <c r="F135" s="123">
        <f t="shared" si="38"/>
        <v>2.133</v>
      </c>
      <c r="G135" s="123">
        <f t="shared" si="38"/>
        <v>2.133</v>
      </c>
      <c r="H135" s="123">
        <f t="shared" si="38"/>
        <v>2.133</v>
      </c>
      <c r="I135" s="123">
        <f t="shared" si="38"/>
        <v>2.133</v>
      </c>
      <c r="J135" s="123">
        <f t="shared" si="38"/>
        <v>2.133</v>
      </c>
      <c r="K135" s="123">
        <f t="shared" si="38"/>
        <v>2.133</v>
      </c>
      <c r="L135" s="123">
        <f t="shared" si="38"/>
        <v>2.133</v>
      </c>
      <c r="M135" s="123">
        <f t="shared" si="38"/>
        <v>2.133</v>
      </c>
      <c r="N135" s="123">
        <f t="shared" si="38"/>
        <v>2.133</v>
      </c>
      <c r="O135" s="123">
        <f t="shared" si="38"/>
        <v>2.133</v>
      </c>
      <c r="P135" s="123">
        <f t="shared" si="38"/>
        <v>2.133</v>
      </c>
      <c r="Q135" s="123">
        <f t="shared" si="38"/>
        <v>2.133</v>
      </c>
      <c r="R135" s="123">
        <f t="shared" si="38"/>
        <v>2.133</v>
      </c>
      <c r="S135" s="123">
        <f t="shared" si="38"/>
        <v>2.133</v>
      </c>
      <c r="T135" s="123">
        <f t="shared" si="39"/>
        <v>2.133</v>
      </c>
      <c r="U135" s="123">
        <f t="shared" si="39"/>
        <v>2.133</v>
      </c>
      <c r="V135" s="123">
        <f t="shared" si="39"/>
        <v>2.133</v>
      </c>
      <c r="W135" s="123">
        <f t="shared" si="39"/>
        <v>2.133</v>
      </c>
      <c r="X135" s="123">
        <f t="shared" si="39"/>
        <v>2.133</v>
      </c>
      <c r="Y135" s="123">
        <f t="shared" si="39"/>
        <v>2.133</v>
      </c>
      <c r="Z135" s="123">
        <f t="shared" si="39"/>
        <v>2.133</v>
      </c>
      <c r="AA135" s="123">
        <f t="shared" si="39"/>
        <v>2.133</v>
      </c>
      <c r="AB135" s="123">
        <f t="shared" si="39"/>
        <v>2.133</v>
      </c>
      <c r="AC135" s="123">
        <f t="shared" si="39"/>
        <v>2.133</v>
      </c>
      <c r="AD135" s="123">
        <f t="shared" si="39"/>
        <v>2.133</v>
      </c>
      <c r="AE135" s="123">
        <f t="shared" si="39"/>
        <v>2.133</v>
      </c>
      <c r="AF135" s="123">
        <f t="shared" si="39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37"/>
        <v>2.09</v>
      </c>
      <c r="C136" s="124">
        <v>2.09</v>
      </c>
      <c r="D136" s="123">
        <f t="shared" si="38"/>
        <v>2.09</v>
      </c>
      <c r="E136" s="123">
        <f t="shared" si="38"/>
        <v>2.09</v>
      </c>
      <c r="F136" s="123">
        <f t="shared" si="38"/>
        <v>2.09</v>
      </c>
      <c r="G136" s="123">
        <f t="shared" si="38"/>
        <v>2.09</v>
      </c>
      <c r="H136" s="123">
        <f t="shared" si="38"/>
        <v>2.09</v>
      </c>
      <c r="I136" s="123">
        <f t="shared" si="38"/>
        <v>2.09</v>
      </c>
      <c r="J136" s="123">
        <f t="shared" si="38"/>
        <v>2.09</v>
      </c>
      <c r="K136" s="123">
        <f t="shared" si="38"/>
        <v>2.09</v>
      </c>
      <c r="L136" s="123">
        <f t="shared" si="38"/>
        <v>2.09</v>
      </c>
      <c r="M136" s="123">
        <f t="shared" si="38"/>
        <v>2.09</v>
      </c>
      <c r="N136" s="123">
        <f t="shared" si="38"/>
        <v>2.09</v>
      </c>
      <c r="O136" s="123">
        <f t="shared" si="38"/>
        <v>2.09</v>
      </c>
      <c r="P136" s="123">
        <f t="shared" si="38"/>
        <v>2.09</v>
      </c>
      <c r="Q136" s="123">
        <f t="shared" si="38"/>
        <v>2.09</v>
      </c>
      <c r="R136" s="123">
        <f t="shared" si="38"/>
        <v>2.09</v>
      </c>
      <c r="S136" s="123">
        <f t="shared" si="38"/>
        <v>2.09</v>
      </c>
      <c r="T136" s="123">
        <f t="shared" si="39"/>
        <v>2.09</v>
      </c>
      <c r="U136" s="123">
        <f t="shared" si="39"/>
        <v>2.09</v>
      </c>
      <c r="V136" s="123">
        <f t="shared" si="39"/>
        <v>2.09</v>
      </c>
      <c r="W136" s="123">
        <f t="shared" si="39"/>
        <v>2.09</v>
      </c>
      <c r="X136" s="123">
        <f t="shared" si="39"/>
        <v>2.09</v>
      </c>
      <c r="Y136" s="123">
        <f t="shared" si="39"/>
        <v>2.09</v>
      </c>
      <c r="Z136" s="123">
        <f t="shared" si="39"/>
        <v>2.09</v>
      </c>
      <c r="AA136" s="123">
        <f t="shared" si="39"/>
        <v>2.09</v>
      </c>
      <c r="AB136" s="123">
        <f t="shared" si="39"/>
        <v>2.09</v>
      </c>
      <c r="AC136" s="123">
        <f t="shared" si="39"/>
        <v>2.09</v>
      </c>
      <c r="AD136" s="123">
        <f t="shared" si="39"/>
        <v>2.09</v>
      </c>
      <c r="AE136" s="123">
        <f t="shared" si="39"/>
        <v>2.09</v>
      </c>
      <c r="AF136" s="123">
        <f t="shared" si="39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37"/>
        <v>1.1399999999999999</v>
      </c>
      <c r="C137" s="124">
        <v>1.1399999999999999</v>
      </c>
      <c r="D137" s="123">
        <f t="shared" si="38"/>
        <v>1.1399999999999999</v>
      </c>
      <c r="E137" s="123">
        <f t="shared" si="38"/>
        <v>1.1399999999999999</v>
      </c>
      <c r="F137" s="123">
        <f t="shared" si="38"/>
        <v>1.1399999999999999</v>
      </c>
      <c r="G137" s="123">
        <f t="shared" si="38"/>
        <v>1.1399999999999999</v>
      </c>
      <c r="H137" s="123">
        <f t="shared" si="38"/>
        <v>1.1399999999999999</v>
      </c>
      <c r="I137" s="123">
        <f t="shared" si="38"/>
        <v>1.1399999999999999</v>
      </c>
      <c r="J137" s="123">
        <f t="shared" si="38"/>
        <v>1.1399999999999999</v>
      </c>
      <c r="K137" s="123">
        <f t="shared" si="38"/>
        <v>1.1399999999999999</v>
      </c>
      <c r="L137" s="123">
        <f t="shared" si="38"/>
        <v>1.1399999999999999</v>
      </c>
      <c r="M137" s="123">
        <f t="shared" si="38"/>
        <v>1.1399999999999999</v>
      </c>
      <c r="N137" s="123">
        <f t="shared" si="38"/>
        <v>1.1399999999999999</v>
      </c>
      <c r="O137" s="123">
        <f t="shared" si="38"/>
        <v>1.1399999999999999</v>
      </c>
      <c r="P137" s="123">
        <f t="shared" si="38"/>
        <v>1.1399999999999999</v>
      </c>
      <c r="Q137" s="123">
        <f t="shared" si="38"/>
        <v>1.1399999999999999</v>
      </c>
      <c r="R137" s="123">
        <f t="shared" si="38"/>
        <v>1.1399999999999999</v>
      </c>
      <c r="S137" s="123">
        <f t="shared" si="38"/>
        <v>1.1399999999999999</v>
      </c>
      <c r="T137" s="123">
        <f t="shared" si="39"/>
        <v>1.1399999999999999</v>
      </c>
      <c r="U137" s="123">
        <f t="shared" si="39"/>
        <v>1.1399999999999999</v>
      </c>
      <c r="V137" s="123">
        <f t="shared" si="39"/>
        <v>1.1399999999999999</v>
      </c>
      <c r="W137" s="123">
        <f t="shared" si="39"/>
        <v>1.1399999999999999</v>
      </c>
      <c r="X137" s="123">
        <f t="shared" si="39"/>
        <v>1.1399999999999999</v>
      </c>
      <c r="Y137" s="123">
        <f t="shared" si="39"/>
        <v>1.1399999999999999</v>
      </c>
      <c r="Z137" s="123">
        <f t="shared" si="39"/>
        <v>1.1399999999999999</v>
      </c>
      <c r="AA137" s="123">
        <f t="shared" si="39"/>
        <v>1.1399999999999999</v>
      </c>
      <c r="AB137" s="123">
        <f t="shared" si="39"/>
        <v>1.1399999999999999</v>
      </c>
      <c r="AC137" s="123">
        <f t="shared" si="39"/>
        <v>1.1399999999999999</v>
      </c>
      <c r="AD137" s="123">
        <f t="shared" si="39"/>
        <v>1.1399999999999999</v>
      </c>
      <c r="AE137" s="123">
        <f t="shared" si="39"/>
        <v>1.1399999999999999</v>
      </c>
      <c r="AF137" s="123">
        <f t="shared" si="39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37"/>
        <v>0.82</v>
      </c>
      <c r="C138" s="124">
        <v>0.82</v>
      </c>
      <c r="D138" s="123">
        <f t="shared" si="38"/>
        <v>0.82</v>
      </c>
      <c r="E138" s="123">
        <f t="shared" si="38"/>
        <v>0.82</v>
      </c>
      <c r="F138" s="123">
        <f t="shared" si="38"/>
        <v>0.82</v>
      </c>
      <c r="G138" s="123">
        <f t="shared" si="38"/>
        <v>0.82</v>
      </c>
      <c r="H138" s="123">
        <f t="shared" si="38"/>
        <v>0.82</v>
      </c>
      <c r="I138" s="123">
        <f t="shared" si="38"/>
        <v>0.82</v>
      </c>
      <c r="J138" s="123">
        <f t="shared" si="38"/>
        <v>0.82</v>
      </c>
      <c r="K138" s="123">
        <f t="shared" si="38"/>
        <v>0.82</v>
      </c>
      <c r="L138" s="123">
        <f t="shared" si="38"/>
        <v>0.82</v>
      </c>
      <c r="M138" s="123">
        <f t="shared" si="38"/>
        <v>0.82</v>
      </c>
      <c r="N138" s="123">
        <f t="shared" si="38"/>
        <v>0.82</v>
      </c>
      <c r="O138" s="123">
        <f t="shared" si="38"/>
        <v>0.82</v>
      </c>
      <c r="P138" s="123">
        <f t="shared" si="38"/>
        <v>0.82</v>
      </c>
      <c r="Q138" s="123">
        <f t="shared" si="38"/>
        <v>0.82</v>
      </c>
      <c r="R138" s="123">
        <f t="shared" si="38"/>
        <v>0.82</v>
      </c>
      <c r="S138" s="123">
        <f t="shared" si="38"/>
        <v>0.82</v>
      </c>
      <c r="T138" s="123">
        <f t="shared" si="39"/>
        <v>0.82</v>
      </c>
      <c r="U138" s="123">
        <f t="shared" si="39"/>
        <v>0.82</v>
      </c>
      <c r="V138" s="123">
        <f t="shared" si="39"/>
        <v>0.82</v>
      </c>
      <c r="W138" s="123">
        <f t="shared" si="39"/>
        <v>0.82</v>
      </c>
      <c r="X138" s="123">
        <f t="shared" si="39"/>
        <v>0.82</v>
      </c>
      <c r="Y138" s="123">
        <f t="shared" si="39"/>
        <v>0.82</v>
      </c>
      <c r="Z138" s="123">
        <f t="shared" si="39"/>
        <v>0.82</v>
      </c>
      <c r="AA138" s="123">
        <f t="shared" si="39"/>
        <v>0.82</v>
      </c>
      <c r="AB138" s="123">
        <f t="shared" si="39"/>
        <v>0.82</v>
      </c>
      <c r="AC138" s="123">
        <f t="shared" si="39"/>
        <v>0.82</v>
      </c>
      <c r="AD138" s="123">
        <f t="shared" si="39"/>
        <v>0.82</v>
      </c>
      <c r="AE138" s="123">
        <f t="shared" si="39"/>
        <v>0.82</v>
      </c>
      <c r="AF138" s="123">
        <f t="shared" si="39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40">AF140</f>
        <v>2</v>
      </c>
      <c r="C140" s="124">
        <v>2</v>
      </c>
      <c r="D140" s="123">
        <f t="shared" ref="D140:S146" si="41">C140</f>
        <v>2</v>
      </c>
      <c r="E140" s="123">
        <f t="shared" si="41"/>
        <v>2</v>
      </c>
      <c r="F140" s="123">
        <f t="shared" si="41"/>
        <v>2</v>
      </c>
      <c r="G140" s="123">
        <f t="shared" si="41"/>
        <v>2</v>
      </c>
      <c r="H140" s="123">
        <f t="shared" si="41"/>
        <v>2</v>
      </c>
      <c r="I140" s="123">
        <f t="shared" si="41"/>
        <v>2</v>
      </c>
      <c r="J140" s="123">
        <f t="shared" si="41"/>
        <v>2</v>
      </c>
      <c r="K140" s="123">
        <f t="shared" si="41"/>
        <v>2</v>
      </c>
      <c r="L140" s="123">
        <f t="shared" si="41"/>
        <v>2</v>
      </c>
      <c r="M140" s="123">
        <f t="shared" si="41"/>
        <v>2</v>
      </c>
      <c r="N140" s="123">
        <f t="shared" si="41"/>
        <v>2</v>
      </c>
      <c r="O140" s="123">
        <f t="shared" si="41"/>
        <v>2</v>
      </c>
      <c r="P140" s="123">
        <f t="shared" si="41"/>
        <v>2</v>
      </c>
      <c r="Q140" s="123">
        <f t="shared" si="41"/>
        <v>2</v>
      </c>
      <c r="R140" s="123">
        <f t="shared" si="41"/>
        <v>2</v>
      </c>
      <c r="S140" s="123">
        <f t="shared" si="41"/>
        <v>2</v>
      </c>
      <c r="T140" s="123">
        <f t="shared" ref="T140:AF146" si="42">S140</f>
        <v>2</v>
      </c>
      <c r="U140" s="123">
        <f t="shared" si="42"/>
        <v>2</v>
      </c>
      <c r="V140" s="123">
        <f t="shared" si="42"/>
        <v>2</v>
      </c>
      <c r="W140" s="123">
        <f t="shared" si="42"/>
        <v>2</v>
      </c>
      <c r="X140" s="123">
        <f t="shared" si="42"/>
        <v>2</v>
      </c>
      <c r="Y140" s="123">
        <f t="shared" si="42"/>
        <v>2</v>
      </c>
      <c r="Z140" s="123">
        <f t="shared" si="42"/>
        <v>2</v>
      </c>
      <c r="AA140" s="123">
        <f t="shared" si="42"/>
        <v>2</v>
      </c>
      <c r="AB140" s="123">
        <f t="shared" si="42"/>
        <v>2</v>
      </c>
      <c r="AC140" s="123">
        <f t="shared" si="42"/>
        <v>2</v>
      </c>
      <c r="AD140" s="123">
        <f t="shared" si="42"/>
        <v>2</v>
      </c>
      <c r="AE140" s="123">
        <f t="shared" si="42"/>
        <v>2</v>
      </c>
      <c r="AF140" s="123">
        <f t="shared" si="42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40"/>
        <v>5.61</v>
      </c>
      <c r="C141" s="124">
        <v>5.61</v>
      </c>
      <c r="D141" s="123">
        <f t="shared" si="41"/>
        <v>5.61</v>
      </c>
      <c r="E141" s="123">
        <f t="shared" si="41"/>
        <v>5.61</v>
      </c>
      <c r="F141" s="123">
        <f t="shared" si="41"/>
        <v>5.61</v>
      </c>
      <c r="G141" s="123">
        <f t="shared" si="41"/>
        <v>5.61</v>
      </c>
      <c r="H141" s="123">
        <f t="shared" si="41"/>
        <v>5.61</v>
      </c>
      <c r="I141" s="123">
        <f t="shared" si="41"/>
        <v>5.61</v>
      </c>
      <c r="J141" s="123">
        <f t="shared" si="41"/>
        <v>5.61</v>
      </c>
      <c r="K141" s="123">
        <f t="shared" si="41"/>
        <v>5.61</v>
      </c>
      <c r="L141" s="123">
        <f t="shared" si="41"/>
        <v>5.61</v>
      </c>
      <c r="M141" s="123">
        <f t="shared" si="41"/>
        <v>5.61</v>
      </c>
      <c r="N141" s="123">
        <f t="shared" si="41"/>
        <v>5.61</v>
      </c>
      <c r="O141" s="123">
        <f t="shared" si="41"/>
        <v>5.61</v>
      </c>
      <c r="P141" s="123">
        <f t="shared" si="41"/>
        <v>5.61</v>
      </c>
      <c r="Q141" s="123">
        <f t="shared" si="41"/>
        <v>5.61</v>
      </c>
      <c r="R141" s="123">
        <f t="shared" si="41"/>
        <v>5.61</v>
      </c>
      <c r="S141" s="123">
        <f t="shared" si="41"/>
        <v>5.61</v>
      </c>
      <c r="T141" s="123">
        <f t="shared" si="42"/>
        <v>5.61</v>
      </c>
      <c r="U141" s="123">
        <f t="shared" si="42"/>
        <v>5.61</v>
      </c>
      <c r="V141" s="123">
        <f t="shared" si="42"/>
        <v>5.61</v>
      </c>
      <c r="W141" s="123">
        <f t="shared" si="42"/>
        <v>5.61</v>
      </c>
      <c r="X141" s="123">
        <f t="shared" si="42"/>
        <v>5.61</v>
      </c>
      <c r="Y141" s="123">
        <f t="shared" si="42"/>
        <v>5.61</v>
      </c>
      <c r="Z141" s="123">
        <f t="shared" si="42"/>
        <v>5.61</v>
      </c>
      <c r="AA141" s="123">
        <f t="shared" si="42"/>
        <v>5.61</v>
      </c>
      <c r="AB141" s="123">
        <f t="shared" si="42"/>
        <v>5.61</v>
      </c>
      <c r="AC141" s="123">
        <f t="shared" si="42"/>
        <v>5.61</v>
      </c>
      <c r="AD141" s="123">
        <f t="shared" si="42"/>
        <v>5.61</v>
      </c>
      <c r="AE141" s="123">
        <f t="shared" si="42"/>
        <v>5.61</v>
      </c>
      <c r="AF141" s="123">
        <f t="shared" si="42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40"/>
        <v>1.25</v>
      </c>
      <c r="C142" s="124">
        <v>1.25</v>
      </c>
      <c r="D142" s="123">
        <f t="shared" si="41"/>
        <v>1.25</v>
      </c>
      <c r="E142" s="123">
        <f t="shared" si="41"/>
        <v>1.25</v>
      </c>
      <c r="F142" s="123">
        <f t="shared" si="41"/>
        <v>1.25</v>
      </c>
      <c r="G142" s="123">
        <f t="shared" si="41"/>
        <v>1.25</v>
      </c>
      <c r="H142" s="123">
        <f t="shared" si="41"/>
        <v>1.25</v>
      </c>
      <c r="I142" s="123">
        <f t="shared" si="41"/>
        <v>1.25</v>
      </c>
      <c r="J142" s="123">
        <f t="shared" si="41"/>
        <v>1.25</v>
      </c>
      <c r="K142" s="123">
        <f t="shared" si="41"/>
        <v>1.25</v>
      </c>
      <c r="L142" s="123">
        <f t="shared" si="41"/>
        <v>1.25</v>
      </c>
      <c r="M142" s="123">
        <f t="shared" si="41"/>
        <v>1.25</v>
      </c>
      <c r="N142" s="123">
        <f t="shared" si="41"/>
        <v>1.25</v>
      </c>
      <c r="O142" s="123">
        <f t="shared" si="41"/>
        <v>1.25</v>
      </c>
      <c r="P142" s="123">
        <f t="shared" si="41"/>
        <v>1.25</v>
      </c>
      <c r="Q142" s="123">
        <f t="shared" si="41"/>
        <v>1.25</v>
      </c>
      <c r="R142" s="123">
        <f t="shared" si="41"/>
        <v>1.25</v>
      </c>
      <c r="S142" s="123">
        <f t="shared" si="41"/>
        <v>1.25</v>
      </c>
      <c r="T142" s="123">
        <f t="shared" si="42"/>
        <v>1.25</v>
      </c>
      <c r="U142" s="123">
        <f t="shared" si="42"/>
        <v>1.25</v>
      </c>
      <c r="V142" s="123">
        <f t="shared" si="42"/>
        <v>1.25</v>
      </c>
      <c r="W142" s="123">
        <f t="shared" si="42"/>
        <v>1.25</v>
      </c>
      <c r="X142" s="123">
        <f t="shared" si="42"/>
        <v>1.25</v>
      </c>
      <c r="Y142" s="123">
        <f t="shared" si="42"/>
        <v>1.25</v>
      </c>
      <c r="Z142" s="123">
        <f t="shared" si="42"/>
        <v>1.25</v>
      </c>
      <c r="AA142" s="123">
        <f t="shared" si="42"/>
        <v>1.25</v>
      </c>
      <c r="AB142" s="123">
        <f t="shared" si="42"/>
        <v>1.25</v>
      </c>
      <c r="AC142" s="123">
        <f t="shared" si="42"/>
        <v>1.25</v>
      </c>
      <c r="AD142" s="123">
        <f t="shared" si="42"/>
        <v>1.25</v>
      </c>
      <c r="AE142" s="123">
        <f t="shared" si="42"/>
        <v>1.25</v>
      </c>
      <c r="AF142" s="123">
        <f t="shared" si="42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40"/>
        <v>1.25</v>
      </c>
      <c r="C143" s="124">
        <v>1.25</v>
      </c>
      <c r="D143" s="123">
        <f t="shared" si="41"/>
        <v>1.25</v>
      </c>
      <c r="E143" s="123">
        <f t="shared" si="41"/>
        <v>1.25</v>
      </c>
      <c r="F143" s="123">
        <f t="shared" si="41"/>
        <v>1.25</v>
      </c>
      <c r="G143" s="123">
        <f t="shared" si="41"/>
        <v>1.25</v>
      </c>
      <c r="H143" s="123">
        <f t="shared" si="41"/>
        <v>1.25</v>
      </c>
      <c r="I143" s="123">
        <f t="shared" si="41"/>
        <v>1.25</v>
      </c>
      <c r="J143" s="123">
        <f t="shared" si="41"/>
        <v>1.25</v>
      </c>
      <c r="K143" s="123">
        <f t="shared" si="41"/>
        <v>1.25</v>
      </c>
      <c r="L143" s="123">
        <f t="shared" si="41"/>
        <v>1.25</v>
      </c>
      <c r="M143" s="123">
        <f t="shared" si="41"/>
        <v>1.25</v>
      </c>
      <c r="N143" s="123">
        <f t="shared" si="41"/>
        <v>1.25</v>
      </c>
      <c r="O143" s="123">
        <f t="shared" si="41"/>
        <v>1.25</v>
      </c>
      <c r="P143" s="123">
        <f t="shared" si="41"/>
        <v>1.25</v>
      </c>
      <c r="Q143" s="123">
        <f t="shared" si="41"/>
        <v>1.25</v>
      </c>
      <c r="R143" s="123">
        <f t="shared" si="41"/>
        <v>1.25</v>
      </c>
      <c r="S143" s="123">
        <f t="shared" si="41"/>
        <v>1.25</v>
      </c>
      <c r="T143" s="123">
        <f t="shared" si="42"/>
        <v>1.25</v>
      </c>
      <c r="U143" s="123">
        <f t="shared" si="42"/>
        <v>1.25</v>
      </c>
      <c r="V143" s="123">
        <f t="shared" si="42"/>
        <v>1.25</v>
      </c>
      <c r="W143" s="123">
        <f t="shared" si="42"/>
        <v>1.25</v>
      </c>
      <c r="X143" s="123">
        <f t="shared" si="42"/>
        <v>1.25</v>
      </c>
      <c r="Y143" s="123">
        <f t="shared" si="42"/>
        <v>1.25</v>
      </c>
      <c r="Z143" s="123">
        <f t="shared" si="42"/>
        <v>1.25</v>
      </c>
      <c r="AA143" s="123">
        <f t="shared" si="42"/>
        <v>1.25</v>
      </c>
      <c r="AB143" s="123">
        <f t="shared" si="42"/>
        <v>1.25</v>
      </c>
      <c r="AC143" s="123">
        <f t="shared" si="42"/>
        <v>1.25</v>
      </c>
      <c r="AD143" s="123">
        <f t="shared" si="42"/>
        <v>1.25</v>
      </c>
      <c r="AE143" s="123">
        <f t="shared" si="42"/>
        <v>1.25</v>
      </c>
      <c r="AF143" s="123">
        <f t="shared" si="42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40"/>
        <v>1.46</v>
      </c>
      <c r="C144" s="124">
        <v>1.46</v>
      </c>
      <c r="D144" s="123">
        <f t="shared" si="41"/>
        <v>1.46</v>
      </c>
      <c r="E144" s="123">
        <f t="shared" si="41"/>
        <v>1.46</v>
      </c>
      <c r="F144" s="123">
        <f t="shared" si="41"/>
        <v>1.46</v>
      </c>
      <c r="G144" s="123">
        <f t="shared" si="41"/>
        <v>1.46</v>
      </c>
      <c r="H144" s="123">
        <f t="shared" si="41"/>
        <v>1.46</v>
      </c>
      <c r="I144" s="123">
        <f t="shared" si="41"/>
        <v>1.46</v>
      </c>
      <c r="J144" s="123">
        <f t="shared" si="41"/>
        <v>1.46</v>
      </c>
      <c r="K144" s="123">
        <f t="shared" si="41"/>
        <v>1.46</v>
      </c>
      <c r="L144" s="123">
        <f t="shared" si="41"/>
        <v>1.46</v>
      </c>
      <c r="M144" s="123">
        <f t="shared" si="41"/>
        <v>1.46</v>
      </c>
      <c r="N144" s="123">
        <f t="shared" si="41"/>
        <v>1.46</v>
      </c>
      <c r="O144" s="123">
        <f t="shared" si="41"/>
        <v>1.46</v>
      </c>
      <c r="P144" s="123">
        <f t="shared" si="41"/>
        <v>1.46</v>
      </c>
      <c r="Q144" s="123">
        <f t="shared" si="41"/>
        <v>1.46</v>
      </c>
      <c r="R144" s="123">
        <f t="shared" si="41"/>
        <v>1.46</v>
      </c>
      <c r="S144" s="123">
        <f t="shared" si="41"/>
        <v>1.46</v>
      </c>
      <c r="T144" s="123">
        <f t="shared" si="42"/>
        <v>1.46</v>
      </c>
      <c r="U144" s="123">
        <f t="shared" si="42"/>
        <v>1.46</v>
      </c>
      <c r="V144" s="123">
        <f t="shared" si="42"/>
        <v>1.46</v>
      </c>
      <c r="W144" s="123">
        <f t="shared" si="42"/>
        <v>1.46</v>
      </c>
      <c r="X144" s="123">
        <f t="shared" si="42"/>
        <v>1.46</v>
      </c>
      <c r="Y144" s="123">
        <f t="shared" si="42"/>
        <v>1.46</v>
      </c>
      <c r="Z144" s="123">
        <f t="shared" si="42"/>
        <v>1.46</v>
      </c>
      <c r="AA144" s="123">
        <f t="shared" si="42"/>
        <v>1.46</v>
      </c>
      <c r="AB144" s="123">
        <f t="shared" si="42"/>
        <v>1.46</v>
      </c>
      <c r="AC144" s="123">
        <f t="shared" si="42"/>
        <v>1.46</v>
      </c>
      <c r="AD144" s="123">
        <f t="shared" si="42"/>
        <v>1.46</v>
      </c>
      <c r="AE144" s="123">
        <f t="shared" si="42"/>
        <v>1.46</v>
      </c>
      <c r="AF144" s="123">
        <f t="shared" si="42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40"/>
        <v>3</v>
      </c>
      <c r="C145" s="124">
        <v>3</v>
      </c>
      <c r="D145" s="123">
        <f t="shared" si="41"/>
        <v>3</v>
      </c>
      <c r="E145" s="123">
        <f t="shared" si="41"/>
        <v>3</v>
      </c>
      <c r="F145" s="123">
        <f t="shared" si="41"/>
        <v>3</v>
      </c>
      <c r="G145" s="123">
        <f t="shared" si="41"/>
        <v>3</v>
      </c>
      <c r="H145" s="123">
        <f t="shared" si="41"/>
        <v>3</v>
      </c>
      <c r="I145" s="123">
        <f t="shared" si="41"/>
        <v>3</v>
      </c>
      <c r="J145" s="123">
        <f t="shared" si="41"/>
        <v>3</v>
      </c>
      <c r="K145" s="123">
        <f t="shared" si="41"/>
        <v>3</v>
      </c>
      <c r="L145" s="123">
        <f t="shared" si="41"/>
        <v>3</v>
      </c>
      <c r="M145" s="123">
        <f t="shared" si="41"/>
        <v>3</v>
      </c>
      <c r="N145" s="123">
        <f t="shared" si="41"/>
        <v>3</v>
      </c>
      <c r="O145" s="123">
        <f t="shared" si="41"/>
        <v>3</v>
      </c>
      <c r="P145" s="123">
        <f t="shared" si="41"/>
        <v>3</v>
      </c>
      <c r="Q145" s="123">
        <f t="shared" si="41"/>
        <v>3</v>
      </c>
      <c r="R145" s="123">
        <f t="shared" si="41"/>
        <v>3</v>
      </c>
      <c r="S145" s="123">
        <f t="shared" si="41"/>
        <v>3</v>
      </c>
      <c r="T145" s="123">
        <f t="shared" si="42"/>
        <v>3</v>
      </c>
      <c r="U145" s="123">
        <f t="shared" si="42"/>
        <v>3</v>
      </c>
      <c r="V145" s="123">
        <f t="shared" si="42"/>
        <v>3</v>
      </c>
      <c r="W145" s="123">
        <f t="shared" si="42"/>
        <v>3</v>
      </c>
      <c r="X145" s="123">
        <f t="shared" si="42"/>
        <v>3</v>
      </c>
      <c r="Y145" s="123">
        <f t="shared" si="42"/>
        <v>3</v>
      </c>
      <c r="Z145" s="123">
        <f t="shared" si="42"/>
        <v>3</v>
      </c>
      <c r="AA145" s="123">
        <f t="shared" si="42"/>
        <v>3</v>
      </c>
      <c r="AB145" s="123">
        <f t="shared" si="42"/>
        <v>3</v>
      </c>
      <c r="AC145" s="123">
        <f t="shared" si="42"/>
        <v>3</v>
      </c>
      <c r="AD145" s="123">
        <f t="shared" si="42"/>
        <v>3</v>
      </c>
      <c r="AE145" s="123">
        <f t="shared" si="42"/>
        <v>3</v>
      </c>
      <c r="AF145" s="123">
        <f t="shared" si="42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40"/>
        <v>3.3</v>
      </c>
      <c r="C146" s="124">
        <v>3.3</v>
      </c>
      <c r="D146" s="123">
        <f t="shared" si="41"/>
        <v>3.3</v>
      </c>
      <c r="E146" s="123">
        <f t="shared" si="41"/>
        <v>3.3</v>
      </c>
      <c r="F146" s="123">
        <f t="shared" si="41"/>
        <v>3.3</v>
      </c>
      <c r="G146" s="123">
        <f t="shared" si="41"/>
        <v>3.3</v>
      </c>
      <c r="H146" s="123">
        <f t="shared" si="41"/>
        <v>3.3</v>
      </c>
      <c r="I146" s="123">
        <f t="shared" si="41"/>
        <v>3.3</v>
      </c>
      <c r="J146" s="123">
        <f t="shared" si="41"/>
        <v>3.3</v>
      </c>
      <c r="K146" s="123">
        <f t="shared" si="41"/>
        <v>3.3</v>
      </c>
      <c r="L146" s="123">
        <f t="shared" si="41"/>
        <v>3.3</v>
      </c>
      <c r="M146" s="123">
        <f t="shared" si="41"/>
        <v>3.3</v>
      </c>
      <c r="N146" s="123">
        <f t="shared" si="41"/>
        <v>3.3</v>
      </c>
      <c r="O146" s="123">
        <f t="shared" si="41"/>
        <v>3.3</v>
      </c>
      <c r="P146" s="123">
        <f t="shared" si="41"/>
        <v>3.3</v>
      </c>
      <c r="Q146" s="123">
        <f t="shared" si="41"/>
        <v>3.3</v>
      </c>
      <c r="R146" s="123">
        <f t="shared" si="41"/>
        <v>3.3</v>
      </c>
      <c r="S146" s="123">
        <f t="shared" si="41"/>
        <v>3.3</v>
      </c>
      <c r="T146" s="123">
        <f t="shared" si="42"/>
        <v>3.3</v>
      </c>
      <c r="U146" s="123">
        <f t="shared" si="42"/>
        <v>3.3</v>
      </c>
      <c r="V146" s="123">
        <f t="shared" si="42"/>
        <v>3.3</v>
      </c>
      <c r="W146" s="123">
        <f t="shared" si="42"/>
        <v>3.3</v>
      </c>
      <c r="X146" s="123">
        <f t="shared" si="42"/>
        <v>3.3</v>
      </c>
      <c r="Y146" s="123">
        <f t="shared" si="42"/>
        <v>3.3</v>
      </c>
      <c r="Z146" s="123">
        <f t="shared" si="42"/>
        <v>3.3</v>
      </c>
      <c r="AA146" s="123">
        <f t="shared" si="42"/>
        <v>3.3</v>
      </c>
      <c r="AB146" s="123">
        <f t="shared" si="42"/>
        <v>3.3</v>
      </c>
      <c r="AC146" s="123">
        <f t="shared" si="42"/>
        <v>3.3</v>
      </c>
      <c r="AD146" s="123">
        <f t="shared" si="42"/>
        <v>3.3</v>
      </c>
      <c r="AE146" s="123">
        <f t="shared" si="42"/>
        <v>3.3</v>
      </c>
      <c r="AF146" s="123">
        <f t="shared" si="42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43">C148</f>
        <v>1.76</v>
      </c>
      <c r="E148" s="123">
        <f t="shared" si="43"/>
        <v>1.76</v>
      </c>
      <c r="F148" s="123">
        <f t="shared" si="43"/>
        <v>1.76</v>
      </c>
      <c r="G148" s="123">
        <f t="shared" si="43"/>
        <v>1.76</v>
      </c>
      <c r="H148" s="123">
        <f t="shared" si="43"/>
        <v>1.76</v>
      </c>
      <c r="I148" s="123">
        <f t="shared" si="43"/>
        <v>1.76</v>
      </c>
      <c r="J148" s="123">
        <f t="shared" si="43"/>
        <v>1.76</v>
      </c>
      <c r="K148" s="123">
        <f t="shared" si="43"/>
        <v>1.76</v>
      </c>
      <c r="L148" s="123">
        <f t="shared" si="43"/>
        <v>1.76</v>
      </c>
      <c r="M148" s="123">
        <f t="shared" si="43"/>
        <v>1.76</v>
      </c>
      <c r="N148" s="123">
        <f t="shared" si="43"/>
        <v>1.76</v>
      </c>
      <c r="O148" s="123">
        <f t="shared" si="43"/>
        <v>1.76</v>
      </c>
      <c r="P148" s="123">
        <f t="shared" si="43"/>
        <v>1.76</v>
      </c>
      <c r="Q148" s="123">
        <f t="shared" si="43"/>
        <v>1.76</v>
      </c>
      <c r="R148" s="123">
        <f t="shared" si="43"/>
        <v>1.76</v>
      </c>
      <c r="S148" s="123">
        <f t="shared" si="43"/>
        <v>1.76</v>
      </c>
      <c r="T148" s="123">
        <f t="shared" ref="T148:AF149" si="44">S148</f>
        <v>1.76</v>
      </c>
      <c r="U148" s="123">
        <f t="shared" si="44"/>
        <v>1.76</v>
      </c>
      <c r="V148" s="123">
        <f t="shared" si="44"/>
        <v>1.76</v>
      </c>
      <c r="W148" s="123">
        <f t="shared" si="44"/>
        <v>1.76</v>
      </c>
      <c r="X148" s="123">
        <f t="shared" si="44"/>
        <v>1.76</v>
      </c>
      <c r="Y148" s="123">
        <f t="shared" si="44"/>
        <v>1.76</v>
      </c>
      <c r="Z148" s="123">
        <f t="shared" si="44"/>
        <v>1.76</v>
      </c>
      <c r="AA148" s="123">
        <f t="shared" si="44"/>
        <v>1.76</v>
      </c>
      <c r="AB148" s="123">
        <f t="shared" si="44"/>
        <v>1.76</v>
      </c>
      <c r="AC148" s="123">
        <f t="shared" si="44"/>
        <v>1.76</v>
      </c>
      <c r="AD148" s="123">
        <f t="shared" si="44"/>
        <v>1.76</v>
      </c>
      <c r="AE148" s="123">
        <f t="shared" si="44"/>
        <v>1.76</v>
      </c>
      <c r="AF148" s="123">
        <f t="shared" si="44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43"/>
        <v>0</v>
      </c>
      <c r="E149" s="123">
        <f t="shared" si="43"/>
        <v>0</v>
      </c>
      <c r="F149" s="123">
        <f t="shared" si="43"/>
        <v>0</v>
      </c>
      <c r="G149" s="123">
        <f t="shared" si="43"/>
        <v>0</v>
      </c>
      <c r="H149" s="123">
        <f t="shared" si="43"/>
        <v>0</v>
      </c>
      <c r="I149" s="123">
        <f t="shared" si="43"/>
        <v>0</v>
      </c>
      <c r="J149" s="123">
        <f t="shared" si="43"/>
        <v>0</v>
      </c>
      <c r="K149" s="123">
        <f t="shared" si="43"/>
        <v>0</v>
      </c>
      <c r="L149" s="123">
        <f t="shared" si="43"/>
        <v>0</v>
      </c>
      <c r="M149" s="123">
        <f t="shared" si="43"/>
        <v>0</v>
      </c>
      <c r="N149" s="123">
        <f t="shared" si="43"/>
        <v>0</v>
      </c>
      <c r="O149" s="123">
        <f t="shared" si="43"/>
        <v>0</v>
      </c>
      <c r="P149" s="123">
        <f t="shared" si="43"/>
        <v>0</v>
      </c>
      <c r="Q149" s="123">
        <f t="shared" si="43"/>
        <v>0</v>
      </c>
      <c r="R149" s="123">
        <f t="shared" si="43"/>
        <v>0</v>
      </c>
      <c r="S149" s="123">
        <f t="shared" si="43"/>
        <v>0</v>
      </c>
      <c r="T149" s="123">
        <f t="shared" si="44"/>
        <v>0</v>
      </c>
      <c r="U149" s="123">
        <f t="shared" si="44"/>
        <v>0</v>
      </c>
      <c r="V149" s="123">
        <f t="shared" si="44"/>
        <v>0</v>
      </c>
      <c r="W149" s="123">
        <f t="shared" si="44"/>
        <v>0</v>
      </c>
      <c r="X149" s="123">
        <f t="shared" si="44"/>
        <v>0</v>
      </c>
      <c r="Y149" s="123">
        <f t="shared" si="44"/>
        <v>0</v>
      </c>
      <c r="Z149" s="123">
        <f t="shared" si="44"/>
        <v>0</v>
      </c>
      <c r="AA149" s="123">
        <f t="shared" si="44"/>
        <v>0</v>
      </c>
      <c r="AB149" s="123">
        <f t="shared" si="44"/>
        <v>0</v>
      </c>
      <c r="AC149" s="123">
        <f t="shared" si="44"/>
        <v>0</v>
      </c>
      <c r="AD149" s="123">
        <f t="shared" si="44"/>
        <v>0</v>
      </c>
      <c r="AE149" s="123">
        <f t="shared" si="44"/>
        <v>0</v>
      </c>
      <c r="AF149" s="123">
        <f t="shared" si="44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45">C151</f>
        <v>0.1</v>
      </c>
      <c r="E151" s="123">
        <f t="shared" si="45"/>
        <v>0.1</v>
      </c>
      <c r="F151" s="123">
        <f t="shared" si="45"/>
        <v>0.1</v>
      </c>
      <c r="G151" s="123">
        <f t="shared" si="45"/>
        <v>0.1</v>
      </c>
      <c r="H151" s="123">
        <f t="shared" si="45"/>
        <v>0.1</v>
      </c>
      <c r="I151" s="123">
        <f t="shared" si="45"/>
        <v>0.1</v>
      </c>
      <c r="J151" s="123">
        <f t="shared" si="45"/>
        <v>0.1</v>
      </c>
      <c r="K151" s="123">
        <f t="shared" si="45"/>
        <v>0.1</v>
      </c>
      <c r="L151" s="123">
        <f t="shared" si="45"/>
        <v>0.1</v>
      </c>
      <c r="M151" s="123">
        <f t="shared" si="45"/>
        <v>0.1</v>
      </c>
      <c r="N151" s="123">
        <f t="shared" si="45"/>
        <v>0.1</v>
      </c>
      <c r="O151" s="123">
        <f t="shared" si="45"/>
        <v>0.1</v>
      </c>
      <c r="P151" s="123">
        <f t="shared" si="45"/>
        <v>0.1</v>
      </c>
      <c r="Q151" s="123">
        <f t="shared" si="45"/>
        <v>0.1</v>
      </c>
      <c r="R151" s="123">
        <f t="shared" si="45"/>
        <v>0.1</v>
      </c>
      <c r="S151" s="123">
        <f t="shared" si="45"/>
        <v>0.1</v>
      </c>
      <c r="T151" s="123">
        <f t="shared" ref="T151:AF154" si="46">S151</f>
        <v>0.1</v>
      </c>
      <c r="U151" s="123">
        <f t="shared" si="46"/>
        <v>0.1</v>
      </c>
      <c r="V151" s="123">
        <f t="shared" si="46"/>
        <v>0.1</v>
      </c>
      <c r="W151" s="123">
        <f t="shared" si="46"/>
        <v>0.1</v>
      </c>
      <c r="X151" s="123">
        <f t="shared" si="46"/>
        <v>0.1</v>
      </c>
      <c r="Y151" s="123">
        <f t="shared" si="46"/>
        <v>0.1</v>
      </c>
      <c r="Z151" s="123">
        <f t="shared" si="46"/>
        <v>0.1</v>
      </c>
      <c r="AA151" s="123">
        <f t="shared" si="46"/>
        <v>0.1</v>
      </c>
      <c r="AB151" s="123">
        <f t="shared" si="46"/>
        <v>0.1</v>
      </c>
      <c r="AC151" s="123">
        <f t="shared" si="46"/>
        <v>0.1</v>
      </c>
      <c r="AD151" s="123">
        <f t="shared" si="46"/>
        <v>0.1</v>
      </c>
      <c r="AE151" s="123">
        <f t="shared" si="46"/>
        <v>0.1</v>
      </c>
      <c r="AF151" s="123">
        <f t="shared" si="46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45"/>
        <v>2.0499999999999998</v>
      </c>
      <c r="E152" s="123">
        <f t="shared" si="45"/>
        <v>2.0499999999999998</v>
      </c>
      <c r="F152" s="123">
        <f t="shared" si="45"/>
        <v>2.0499999999999998</v>
      </c>
      <c r="G152" s="123">
        <f t="shared" si="45"/>
        <v>2.0499999999999998</v>
      </c>
      <c r="H152" s="123">
        <f t="shared" si="45"/>
        <v>2.0499999999999998</v>
      </c>
      <c r="I152" s="123">
        <f t="shared" si="45"/>
        <v>2.0499999999999998</v>
      </c>
      <c r="J152" s="123">
        <f t="shared" si="45"/>
        <v>2.0499999999999998</v>
      </c>
      <c r="K152" s="123">
        <f t="shared" si="45"/>
        <v>2.0499999999999998</v>
      </c>
      <c r="L152" s="123">
        <f t="shared" si="45"/>
        <v>2.0499999999999998</v>
      </c>
      <c r="M152" s="123">
        <f t="shared" si="45"/>
        <v>2.0499999999999998</v>
      </c>
      <c r="N152" s="123">
        <f t="shared" si="45"/>
        <v>2.0499999999999998</v>
      </c>
      <c r="O152" s="123">
        <f t="shared" si="45"/>
        <v>2.0499999999999998</v>
      </c>
      <c r="P152" s="123">
        <f t="shared" si="45"/>
        <v>2.0499999999999998</v>
      </c>
      <c r="Q152" s="123">
        <f t="shared" si="45"/>
        <v>2.0499999999999998</v>
      </c>
      <c r="R152" s="123">
        <f t="shared" si="45"/>
        <v>2.0499999999999998</v>
      </c>
      <c r="S152" s="123">
        <f t="shared" si="45"/>
        <v>2.0499999999999998</v>
      </c>
      <c r="T152" s="123">
        <f t="shared" si="46"/>
        <v>2.0499999999999998</v>
      </c>
      <c r="U152" s="123">
        <f t="shared" si="46"/>
        <v>2.0499999999999998</v>
      </c>
      <c r="V152" s="123">
        <f t="shared" si="46"/>
        <v>2.0499999999999998</v>
      </c>
      <c r="W152" s="123">
        <f t="shared" si="46"/>
        <v>2.0499999999999998</v>
      </c>
      <c r="X152" s="123">
        <f t="shared" si="46"/>
        <v>2.0499999999999998</v>
      </c>
      <c r="Y152" s="123">
        <f t="shared" si="46"/>
        <v>2.0499999999999998</v>
      </c>
      <c r="Z152" s="123">
        <f t="shared" si="46"/>
        <v>2.0499999999999998</v>
      </c>
      <c r="AA152" s="123">
        <f t="shared" si="46"/>
        <v>2.0499999999999998</v>
      </c>
      <c r="AB152" s="123">
        <f t="shared" si="46"/>
        <v>2.0499999999999998</v>
      </c>
      <c r="AC152" s="123">
        <f t="shared" si="46"/>
        <v>2.0499999999999998</v>
      </c>
      <c r="AD152" s="123">
        <f t="shared" si="46"/>
        <v>2.0499999999999998</v>
      </c>
      <c r="AE152" s="123">
        <f t="shared" si="46"/>
        <v>2.0499999999999998</v>
      </c>
      <c r="AF152" s="123">
        <f t="shared" si="46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45"/>
        <v>2.7</v>
      </c>
      <c r="E153" s="123">
        <f t="shared" si="45"/>
        <v>2.7</v>
      </c>
      <c r="F153" s="123">
        <f t="shared" si="45"/>
        <v>2.7</v>
      </c>
      <c r="G153" s="123">
        <f t="shared" si="45"/>
        <v>2.7</v>
      </c>
      <c r="H153" s="123">
        <f t="shared" si="45"/>
        <v>2.7</v>
      </c>
      <c r="I153" s="123">
        <f t="shared" si="45"/>
        <v>2.7</v>
      </c>
      <c r="J153" s="123">
        <f t="shared" si="45"/>
        <v>2.7</v>
      </c>
      <c r="K153" s="123">
        <f t="shared" si="45"/>
        <v>2.7</v>
      </c>
      <c r="L153" s="123">
        <f t="shared" si="45"/>
        <v>2.7</v>
      </c>
      <c r="M153" s="123">
        <f t="shared" si="45"/>
        <v>2.7</v>
      </c>
      <c r="N153" s="123">
        <f t="shared" si="45"/>
        <v>2.7</v>
      </c>
      <c r="O153" s="123">
        <f t="shared" si="45"/>
        <v>2.7</v>
      </c>
      <c r="P153" s="123">
        <f t="shared" si="45"/>
        <v>2.7</v>
      </c>
      <c r="Q153" s="123">
        <f t="shared" si="45"/>
        <v>2.7</v>
      </c>
      <c r="R153" s="123">
        <f t="shared" si="45"/>
        <v>2.7</v>
      </c>
      <c r="S153" s="123">
        <f t="shared" si="45"/>
        <v>2.7</v>
      </c>
      <c r="T153" s="123">
        <f t="shared" si="46"/>
        <v>2.7</v>
      </c>
      <c r="U153" s="123">
        <f t="shared" si="46"/>
        <v>2.7</v>
      </c>
      <c r="V153" s="123">
        <f t="shared" si="46"/>
        <v>2.7</v>
      </c>
      <c r="W153" s="123">
        <f t="shared" si="46"/>
        <v>2.7</v>
      </c>
      <c r="X153" s="123">
        <f t="shared" si="46"/>
        <v>2.7</v>
      </c>
      <c r="Y153" s="123">
        <f t="shared" si="46"/>
        <v>2.7</v>
      </c>
      <c r="Z153" s="123">
        <f t="shared" si="46"/>
        <v>2.7</v>
      </c>
      <c r="AA153" s="123">
        <f t="shared" si="46"/>
        <v>2.7</v>
      </c>
      <c r="AB153" s="123">
        <f t="shared" si="46"/>
        <v>2.7</v>
      </c>
      <c r="AC153" s="123">
        <f t="shared" si="46"/>
        <v>2.7</v>
      </c>
      <c r="AD153" s="123">
        <f t="shared" si="46"/>
        <v>2.7</v>
      </c>
      <c r="AE153" s="123">
        <f t="shared" si="46"/>
        <v>2.7</v>
      </c>
      <c r="AF153" s="123">
        <f t="shared" si="46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45"/>
        <v>2.15</v>
      </c>
      <c r="E154" s="123">
        <f t="shared" si="45"/>
        <v>2.15</v>
      </c>
      <c r="F154" s="123">
        <f t="shared" si="45"/>
        <v>2.15</v>
      </c>
      <c r="G154" s="123">
        <f t="shared" si="45"/>
        <v>2.15</v>
      </c>
      <c r="H154" s="123">
        <f t="shared" si="45"/>
        <v>2.15</v>
      </c>
      <c r="I154" s="123">
        <f t="shared" si="45"/>
        <v>2.15</v>
      </c>
      <c r="J154" s="123">
        <f t="shared" si="45"/>
        <v>2.15</v>
      </c>
      <c r="K154" s="123">
        <f t="shared" si="45"/>
        <v>2.15</v>
      </c>
      <c r="L154" s="123">
        <f t="shared" si="45"/>
        <v>2.15</v>
      </c>
      <c r="M154" s="123">
        <f t="shared" si="45"/>
        <v>2.15</v>
      </c>
      <c r="N154" s="123">
        <f t="shared" si="45"/>
        <v>2.15</v>
      </c>
      <c r="O154" s="123">
        <f t="shared" si="45"/>
        <v>2.15</v>
      </c>
      <c r="P154" s="123">
        <f t="shared" si="45"/>
        <v>2.15</v>
      </c>
      <c r="Q154" s="123">
        <f t="shared" si="45"/>
        <v>2.15</v>
      </c>
      <c r="R154" s="123">
        <f t="shared" si="45"/>
        <v>2.15</v>
      </c>
      <c r="S154" s="123">
        <f t="shared" si="45"/>
        <v>2.15</v>
      </c>
      <c r="T154" s="123">
        <f t="shared" si="46"/>
        <v>2.15</v>
      </c>
      <c r="U154" s="123">
        <f t="shared" si="46"/>
        <v>2.15</v>
      </c>
      <c r="V154" s="123">
        <f t="shared" si="46"/>
        <v>2.15</v>
      </c>
      <c r="W154" s="123">
        <f t="shared" si="46"/>
        <v>2.15</v>
      </c>
      <c r="X154" s="123">
        <f t="shared" si="46"/>
        <v>2.15</v>
      </c>
      <c r="Y154" s="123">
        <f t="shared" si="46"/>
        <v>2.15</v>
      </c>
      <c r="Z154" s="123">
        <f t="shared" si="46"/>
        <v>2.15</v>
      </c>
      <c r="AA154" s="123">
        <f t="shared" si="46"/>
        <v>2.15</v>
      </c>
      <c r="AB154" s="123">
        <f t="shared" si="46"/>
        <v>2.15</v>
      </c>
      <c r="AC154" s="123">
        <f t="shared" si="46"/>
        <v>2.15</v>
      </c>
      <c r="AD154" s="123">
        <f t="shared" si="46"/>
        <v>2.15</v>
      </c>
      <c r="AE154" s="123">
        <f t="shared" si="46"/>
        <v>2.15</v>
      </c>
      <c r="AF154" s="123">
        <f t="shared" si="46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47">AF156</f>
        <v>0.9</v>
      </c>
      <c r="C156" s="124">
        <v>0.9</v>
      </c>
      <c r="D156" s="123">
        <f t="shared" ref="D156:S168" si="48">C156</f>
        <v>0.9</v>
      </c>
      <c r="E156" s="123">
        <f t="shared" si="48"/>
        <v>0.9</v>
      </c>
      <c r="F156" s="123">
        <f t="shared" si="48"/>
        <v>0.9</v>
      </c>
      <c r="G156" s="123">
        <f t="shared" si="48"/>
        <v>0.9</v>
      </c>
      <c r="H156" s="123">
        <f t="shared" si="48"/>
        <v>0.9</v>
      </c>
      <c r="I156" s="123">
        <f t="shared" si="48"/>
        <v>0.9</v>
      </c>
      <c r="J156" s="123">
        <f t="shared" si="48"/>
        <v>0.9</v>
      </c>
      <c r="K156" s="123">
        <f t="shared" si="48"/>
        <v>0.9</v>
      </c>
      <c r="L156" s="123">
        <f t="shared" si="48"/>
        <v>0.9</v>
      </c>
      <c r="M156" s="123">
        <f t="shared" si="48"/>
        <v>0.9</v>
      </c>
      <c r="N156" s="123">
        <f t="shared" si="48"/>
        <v>0.9</v>
      </c>
      <c r="O156" s="123">
        <f t="shared" si="48"/>
        <v>0.9</v>
      </c>
      <c r="P156" s="123">
        <f t="shared" si="48"/>
        <v>0.9</v>
      </c>
      <c r="Q156" s="123">
        <f t="shared" si="48"/>
        <v>0.9</v>
      </c>
      <c r="R156" s="123">
        <f t="shared" si="48"/>
        <v>0.9</v>
      </c>
      <c r="S156" s="123">
        <f t="shared" si="48"/>
        <v>0.9</v>
      </c>
      <c r="T156" s="123">
        <f t="shared" ref="S156:AF168" si="49">S156</f>
        <v>0.9</v>
      </c>
      <c r="U156" s="123">
        <f t="shared" si="49"/>
        <v>0.9</v>
      </c>
      <c r="V156" s="123">
        <f t="shared" si="49"/>
        <v>0.9</v>
      </c>
      <c r="W156" s="123">
        <f t="shared" si="49"/>
        <v>0.9</v>
      </c>
      <c r="X156" s="123">
        <f t="shared" si="49"/>
        <v>0.9</v>
      </c>
      <c r="Y156" s="123">
        <f t="shared" si="49"/>
        <v>0.9</v>
      </c>
      <c r="Z156" s="123">
        <f t="shared" si="49"/>
        <v>0.9</v>
      </c>
      <c r="AA156" s="123">
        <f t="shared" si="49"/>
        <v>0.9</v>
      </c>
      <c r="AB156" s="123">
        <f t="shared" si="49"/>
        <v>0.9</v>
      </c>
      <c r="AC156" s="123">
        <f t="shared" si="49"/>
        <v>0.9</v>
      </c>
      <c r="AD156" s="123">
        <f t="shared" si="49"/>
        <v>0.9</v>
      </c>
      <c r="AE156" s="123">
        <f t="shared" si="49"/>
        <v>0.9</v>
      </c>
      <c r="AF156" s="123">
        <f t="shared" si="49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47"/>
        <v>1.08</v>
      </c>
      <c r="C157" s="124">
        <v>1.08</v>
      </c>
      <c r="D157" s="123">
        <f t="shared" si="48"/>
        <v>1.08</v>
      </c>
      <c r="E157" s="123">
        <f t="shared" si="48"/>
        <v>1.08</v>
      </c>
      <c r="F157" s="123">
        <f t="shared" si="48"/>
        <v>1.08</v>
      </c>
      <c r="G157" s="123">
        <f t="shared" si="48"/>
        <v>1.08</v>
      </c>
      <c r="H157" s="123">
        <f t="shared" si="48"/>
        <v>1.08</v>
      </c>
      <c r="I157" s="123">
        <f t="shared" si="48"/>
        <v>1.08</v>
      </c>
      <c r="J157" s="123">
        <f t="shared" si="48"/>
        <v>1.08</v>
      </c>
      <c r="K157" s="123">
        <f t="shared" si="48"/>
        <v>1.08</v>
      </c>
      <c r="L157" s="123">
        <f t="shared" si="48"/>
        <v>1.08</v>
      </c>
      <c r="M157" s="123">
        <f t="shared" si="48"/>
        <v>1.08</v>
      </c>
      <c r="N157" s="123">
        <f t="shared" si="48"/>
        <v>1.08</v>
      </c>
      <c r="O157" s="123">
        <f t="shared" si="48"/>
        <v>1.08</v>
      </c>
      <c r="P157" s="123">
        <f t="shared" si="48"/>
        <v>1.08</v>
      </c>
      <c r="Q157" s="123">
        <f t="shared" si="48"/>
        <v>1.08</v>
      </c>
      <c r="R157" s="123">
        <f t="shared" si="48"/>
        <v>1.08</v>
      </c>
      <c r="S157" s="123">
        <f t="shared" si="48"/>
        <v>1.08</v>
      </c>
      <c r="T157" s="123">
        <f t="shared" si="49"/>
        <v>1.08</v>
      </c>
      <c r="U157" s="123">
        <f t="shared" si="49"/>
        <v>1.08</v>
      </c>
      <c r="V157" s="123">
        <f t="shared" si="49"/>
        <v>1.08</v>
      </c>
      <c r="W157" s="123">
        <f t="shared" si="49"/>
        <v>1.08</v>
      </c>
      <c r="X157" s="123">
        <f t="shared" si="49"/>
        <v>1.08</v>
      </c>
      <c r="Y157" s="123">
        <f t="shared" si="49"/>
        <v>1.08</v>
      </c>
      <c r="Z157" s="123">
        <f t="shared" si="49"/>
        <v>1.08</v>
      </c>
      <c r="AA157" s="123">
        <f t="shared" si="49"/>
        <v>1.08</v>
      </c>
      <c r="AB157" s="123">
        <f t="shared" si="49"/>
        <v>1.08</v>
      </c>
      <c r="AC157" s="123">
        <f t="shared" si="49"/>
        <v>1.08</v>
      </c>
      <c r="AD157" s="123">
        <f t="shared" si="49"/>
        <v>1.08</v>
      </c>
      <c r="AE157" s="123">
        <f t="shared" si="49"/>
        <v>1.08</v>
      </c>
      <c r="AF157" s="123">
        <f t="shared" si="49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47"/>
        <v>2.37</v>
      </c>
      <c r="C158" s="124">
        <v>2.37</v>
      </c>
      <c r="D158" s="123">
        <f t="shared" si="48"/>
        <v>2.37</v>
      </c>
      <c r="E158" s="123">
        <f t="shared" si="48"/>
        <v>2.37</v>
      </c>
      <c r="F158" s="123">
        <f t="shared" si="48"/>
        <v>2.37</v>
      </c>
      <c r="G158" s="123">
        <f t="shared" si="48"/>
        <v>2.37</v>
      </c>
      <c r="H158" s="123">
        <f t="shared" si="48"/>
        <v>2.37</v>
      </c>
      <c r="I158" s="123">
        <f t="shared" si="48"/>
        <v>2.37</v>
      </c>
      <c r="J158" s="123">
        <f t="shared" si="48"/>
        <v>2.37</v>
      </c>
      <c r="K158" s="123">
        <f t="shared" si="48"/>
        <v>2.37</v>
      </c>
      <c r="L158" s="123">
        <f t="shared" si="48"/>
        <v>2.37</v>
      </c>
      <c r="M158" s="123">
        <f t="shared" si="48"/>
        <v>2.37</v>
      </c>
      <c r="N158" s="123">
        <f t="shared" si="48"/>
        <v>2.37</v>
      </c>
      <c r="O158" s="123">
        <f t="shared" si="48"/>
        <v>2.37</v>
      </c>
      <c r="P158" s="123">
        <f t="shared" si="48"/>
        <v>2.37</v>
      </c>
      <c r="Q158" s="123">
        <f t="shared" si="48"/>
        <v>2.37</v>
      </c>
      <c r="R158" s="123">
        <f t="shared" si="48"/>
        <v>2.37</v>
      </c>
      <c r="S158" s="123">
        <f t="shared" si="48"/>
        <v>2.37</v>
      </c>
      <c r="T158" s="123">
        <f t="shared" si="49"/>
        <v>2.37</v>
      </c>
      <c r="U158" s="123">
        <f t="shared" si="49"/>
        <v>2.37</v>
      </c>
      <c r="V158" s="123">
        <f t="shared" si="49"/>
        <v>2.37</v>
      </c>
      <c r="W158" s="123">
        <f t="shared" si="49"/>
        <v>2.37</v>
      </c>
      <c r="X158" s="123">
        <f t="shared" si="49"/>
        <v>2.37</v>
      </c>
      <c r="Y158" s="123">
        <f t="shared" si="49"/>
        <v>2.37</v>
      </c>
      <c r="Z158" s="123">
        <f t="shared" si="49"/>
        <v>2.37</v>
      </c>
      <c r="AA158" s="123">
        <f t="shared" si="49"/>
        <v>2.37</v>
      </c>
      <c r="AB158" s="123">
        <f t="shared" si="49"/>
        <v>2.37</v>
      </c>
      <c r="AC158" s="123">
        <f t="shared" si="49"/>
        <v>2.37</v>
      </c>
      <c r="AD158" s="123">
        <f t="shared" si="49"/>
        <v>2.37</v>
      </c>
      <c r="AE158" s="123">
        <f t="shared" si="49"/>
        <v>2.37</v>
      </c>
      <c r="AF158" s="123">
        <f t="shared" si="49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47"/>
        <v>1.81</v>
      </c>
      <c r="C159" s="124">
        <v>1.81</v>
      </c>
      <c r="D159" s="123">
        <f t="shared" si="48"/>
        <v>1.81</v>
      </c>
      <c r="E159" s="123">
        <f t="shared" si="48"/>
        <v>1.81</v>
      </c>
      <c r="F159" s="123">
        <f t="shared" si="48"/>
        <v>1.81</v>
      </c>
      <c r="G159" s="123">
        <f t="shared" si="48"/>
        <v>1.81</v>
      </c>
      <c r="H159" s="123">
        <f t="shared" si="48"/>
        <v>1.81</v>
      </c>
      <c r="I159" s="123">
        <f t="shared" si="48"/>
        <v>1.81</v>
      </c>
      <c r="J159" s="123">
        <f t="shared" si="48"/>
        <v>1.81</v>
      </c>
      <c r="K159" s="123">
        <f t="shared" si="48"/>
        <v>1.81</v>
      </c>
      <c r="L159" s="123">
        <f t="shared" si="48"/>
        <v>1.81</v>
      </c>
      <c r="M159" s="123">
        <f t="shared" si="48"/>
        <v>1.81</v>
      </c>
      <c r="N159" s="123">
        <f t="shared" si="48"/>
        <v>1.81</v>
      </c>
      <c r="O159" s="123">
        <f t="shared" si="48"/>
        <v>1.81</v>
      </c>
      <c r="P159" s="123">
        <f t="shared" si="48"/>
        <v>1.81</v>
      </c>
      <c r="Q159" s="123">
        <f t="shared" si="48"/>
        <v>1.81</v>
      </c>
      <c r="R159" s="123">
        <f t="shared" si="48"/>
        <v>1.81</v>
      </c>
      <c r="S159" s="123">
        <f t="shared" si="48"/>
        <v>1.81</v>
      </c>
      <c r="T159" s="123">
        <f t="shared" si="49"/>
        <v>1.81</v>
      </c>
      <c r="U159" s="123">
        <f t="shared" si="49"/>
        <v>1.81</v>
      </c>
      <c r="V159" s="123">
        <f t="shared" si="49"/>
        <v>1.81</v>
      </c>
      <c r="W159" s="123">
        <f t="shared" si="49"/>
        <v>1.81</v>
      </c>
      <c r="X159" s="123">
        <f t="shared" si="49"/>
        <v>1.81</v>
      </c>
      <c r="Y159" s="123">
        <f t="shared" si="49"/>
        <v>1.81</v>
      </c>
      <c r="Z159" s="123">
        <f t="shared" si="49"/>
        <v>1.81</v>
      </c>
      <c r="AA159" s="123">
        <f t="shared" si="49"/>
        <v>1.81</v>
      </c>
      <c r="AB159" s="123">
        <f t="shared" si="49"/>
        <v>1.81</v>
      </c>
      <c r="AC159" s="123">
        <f t="shared" si="49"/>
        <v>1.81</v>
      </c>
      <c r="AD159" s="123">
        <f t="shared" si="49"/>
        <v>1.81</v>
      </c>
      <c r="AE159" s="123">
        <f t="shared" si="49"/>
        <v>1.81</v>
      </c>
      <c r="AF159" s="123">
        <f t="shared" si="49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47"/>
        <v>1.0900000000000001</v>
      </c>
      <c r="C160" s="124">
        <v>1.0900000000000001</v>
      </c>
      <c r="D160" s="123">
        <f t="shared" si="48"/>
        <v>1.0900000000000001</v>
      </c>
      <c r="E160" s="123">
        <f t="shared" si="48"/>
        <v>1.0900000000000001</v>
      </c>
      <c r="F160" s="123">
        <f t="shared" si="48"/>
        <v>1.0900000000000001</v>
      </c>
      <c r="G160" s="123">
        <f t="shared" si="48"/>
        <v>1.0900000000000001</v>
      </c>
      <c r="H160" s="123">
        <f t="shared" si="48"/>
        <v>1.0900000000000001</v>
      </c>
      <c r="I160" s="123">
        <f t="shared" si="48"/>
        <v>1.0900000000000001</v>
      </c>
      <c r="J160" s="123">
        <f t="shared" si="48"/>
        <v>1.0900000000000001</v>
      </c>
      <c r="K160" s="123">
        <f t="shared" si="48"/>
        <v>1.0900000000000001</v>
      </c>
      <c r="L160" s="123">
        <f t="shared" si="48"/>
        <v>1.0900000000000001</v>
      </c>
      <c r="M160" s="123">
        <f t="shared" si="48"/>
        <v>1.0900000000000001</v>
      </c>
      <c r="N160" s="123">
        <f t="shared" si="48"/>
        <v>1.0900000000000001</v>
      </c>
      <c r="O160" s="123">
        <f t="shared" si="48"/>
        <v>1.0900000000000001</v>
      </c>
      <c r="P160" s="123">
        <f t="shared" si="48"/>
        <v>1.0900000000000001</v>
      </c>
      <c r="Q160" s="123">
        <f t="shared" si="48"/>
        <v>1.0900000000000001</v>
      </c>
      <c r="R160" s="123">
        <f t="shared" si="48"/>
        <v>1.0900000000000001</v>
      </c>
      <c r="S160" s="123">
        <f t="shared" si="48"/>
        <v>1.0900000000000001</v>
      </c>
      <c r="T160" s="123">
        <f t="shared" si="49"/>
        <v>1.0900000000000001</v>
      </c>
      <c r="U160" s="123">
        <f t="shared" si="49"/>
        <v>1.0900000000000001</v>
      </c>
      <c r="V160" s="123">
        <f t="shared" si="49"/>
        <v>1.0900000000000001</v>
      </c>
      <c r="W160" s="123">
        <f t="shared" si="49"/>
        <v>1.0900000000000001</v>
      </c>
      <c r="X160" s="123">
        <f t="shared" si="49"/>
        <v>1.0900000000000001</v>
      </c>
      <c r="Y160" s="123">
        <f t="shared" si="49"/>
        <v>1.0900000000000001</v>
      </c>
      <c r="Z160" s="123">
        <f t="shared" si="49"/>
        <v>1.0900000000000001</v>
      </c>
      <c r="AA160" s="123">
        <f t="shared" si="49"/>
        <v>1.0900000000000001</v>
      </c>
      <c r="AB160" s="123">
        <f t="shared" si="49"/>
        <v>1.0900000000000001</v>
      </c>
      <c r="AC160" s="123">
        <f t="shared" si="49"/>
        <v>1.0900000000000001</v>
      </c>
      <c r="AD160" s="123">
        <f t="shared" si="49"/>
        <v>1.0900000000000001</v>
      </c>
      <c r="AE160" s="123">
        <f t="shared" si="49"/>
        <v>1.0900000000000001</v>
      </c>
      <c r="AF160" s="123">
        <f t="shared" si="49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47"/>
        <v>1.58</v>
      </c>
      <c r="C161" s="124">
        <v>1.58</v>
      </c>
      <c r="D161" s="123">
        <f t="shared" si="48"/>
        <v>1.58</v>
      </c>
      <c r="E161" s="123">
        <f t="shared" si="48"/>
        <v>1.58</v>
      </c>
      <c r="F161" s="123">
        <f t="shared" si="48"/>
        <v>1.58</v>
      </c>
      <c r="G161" s="123">
        <f t="shared" si="48"/>
        <v>1.58</v>
      </c>
      <c r="H161" s="123">
        <f t="shared" si="48"/>
        <v>1.58</v>
      </c>
      <c r="I161" s="123">
        <f t="shared" si="48"/>
        <v>1.58</v>
      </c>
      <c r="J161" s="123">
        <f t="shared" si="48"/>
        <v>1.58</v>
      </c>
      <c r="K161" s="123">
        <f t="shared" si="48"/>
        <v>1.58</v>
      </c>
      <c r="L161" s="123">
        <f t="shared" si="48"/>
        <v>1.58</v>
      </c>
      <c r="M161" s="123">
        <f t="shared" si="48"/>
        <v>1.58</v>
      </c>
      <c r="N161" s="123">
        <f t="shared" si="48"/>
        <v>1.58</v>
      </c>
      <c r="O161" s="123">
        <f t="shared" si="48"/>
        <v>1.58</v>
      </c>
      <c r="P161" s="123">
        <f t="shared" si="48"/>
        <v>1.58</v>
      </c>
      <c r="Q161" s="123">
        <f t="shared" si="48"/>
        <v>1.58</v>
      </c>
      <c r="R161" s="123">
        <f t="shared" si="48"/>
        <v>1.58</v>
      </c>
      <c r="S161" s="123">
        <f t="shared" si="48"/>
        <v>1.58</v>
      </c>
      <c r="T161" s="123">
        <f t="shared" si="49"/>
        <v>1.58</v>
      </c>
      <c r="U161" s="123">
        <f t="shared" si="49"/>
        <v>1.58</v>
      </c>
      <c r="V161" s="123">
        <f t="shared" si="49"/>
        <v>1.58</v>
      </c>
      <c r="W161" s="123">
        <f t="shared" si="49"/>
        <v>1.58</v>
      </c>
      <c r="X161" s="123">
        <f t="shared" si="49"/>
        <v>1.58</v>
      </c>
      <c r="Y161" s="123">
        <f t="shared" si="49"/>
        <v>1.58</v>
      </c>
      <c r="Z161" s="123">
        <f t="shared" si="49"/>
        <v>1.58</v>
      </c>
      <c r="AA161" s="123">
        <f t="shared" si="49"/>
        <v>1.58</v>
      </c>
      <c r="AB161" s="123">
        <f t="shared" si="49"/>
        <v>1.58</v>
      </c>
      <c r="AC161" s="123">
        <f t="shared" si="49"/>
        <v>1.58</v>
      </c>
      <c r="AD161" s="123">
        <f t="shared" si="49"/>
        <v>1.58</v>
      </c>
      <c r="AE161" s="123">
        <f t="shared" si="49"/>
        <v>1.58</v>
      </c>
      <c r="AF161" s="123">
        <f t="shared" si="49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47"/>
        <v>2</v>
      </c>
      <c r="C162" s="124">
        <v>2</v>
      </c>
      <c r="D162" s="123">
        <f t="shared" si="48"/>
        <v>2</v>
      </c>
      <c r="E162" s="123">
        <f t="shared" si="48"/>
        <v>2</v>
      </c>
      <c r="F162" s="123">
        <f t="shared" si="48"/>
        <v>2</v>
      </c>
      <c r="G162" s="123">
        <f t="shared" si="48"/>
        <v>2</v>
      </c>
      <c r="H162" s="123">
        <f t="shared" si="48"/>
        <v>2</v>
      </c>
      <c r="I162" s="123">
        <f t="shared" si="48"/>
        <v>2</v>
      </c>
      <c r="J162" s="123">
        <f t="shared" si="48"/>
        <v>2</v>
      </c>
      <c r="K162" s="123">
        <f t="shared" si="48"/>
        <v>2</v>
      </c>
      <c r="L162" s="123">
        <f t="shared" si="48"/>
        <v>2</v>
      </c>
      <c r="M162" s="123">
        <f t="shared" si="48"/>
        <v>2</v>
      </c>
      <c r="N162" s="123">
        <f t="shared" si="48"/>
        <v>2</v>
      </c>
      <c r="O162" s="123">
        <f t="shared" si="48"/>
        <v>2</v>
      </c>
      <c r="P162" s="123">
        <f t="shared" si="48"/>
        <v>2</v>
      </c>
      <c r="Q162" s="123">
        <f t="shared" si="48"/>
        <v>2</v>
      </c>
      <c r="R162" s="123">
        <f t="shared" si="48"/>
        <v>2</v>
      </c>
      <c r="S162" s="123">
        <f t="shared" si="48"/>
        <v>2</v>
      </c>
      <c r="T162" s="123">
        <f t="shared" si="49"/>
        <v>2</v>
      </c>
      <c r="U162" s="123">
        <f t="shared" si="49"/>
        <v>2</v>
      </c>
      <c r="V162" s="123">
        <f t="shared" si="49"/>
        <v>2</v>
      </c>
      <c r="W162" s="123">
        <f t="shared" si="49"/>
        <v>2</v>
      </c>
      <c r="X162" s="123">
        <f t="shared" si="49"/>
        <v>2</v>
      </c>
      <c r="Y162" s="123">
        <f t="shared" si="49"/>
        <v>2</v>
      </c>
      <c r="Z162" s="123">
        <f t="shared" si="49"/>
        <v>2</v>
      </c>
      <c r="AA162" s="123">
        <f t="shared" si="49"/>
        <v>2</v>
      </c>
      <c r="AB162" s="123">
        <f t="shared" si="49"/>
        <v>2</v>
      </c>
      <c r="AC162" s="123">
        <f t="shared" si="49"/>
        <v>2</v>
      </c>
      <c r="AD162" s="123">
        <f t="shared" si="49"/>
        <v>2</v>
      </c>
      <c r="AE162" s="123">
        <f t="shared" si="49"/>
        <v>2</v>
      </c>
      <c r="AF162" s="123">
        <f t="shared" si="49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47"/>
        <v>0.47</v>
      </c>
      <c r="C163" s="124">
        <v>0.47</v>
      </c>
      <c r="D163" s="123">
        <f t="shared" si="48"/>
        <v>0.47</v>
      </c>
      <c r="E163" s="123">
        <f t="shared" si="48"/>
        <v>0.47</v>
      </c>
      <c r="F163" s="123">
        <f t="shared" si="48"/>
        <v>0.47</v>
      </c>
      <c r="G163" s="123">
        <f t="shared" si="48"/>
        <v>0.47</v>
      </c>
      <c r="H163" s="123">
        <f t="shared" si="48"/>
        <v>0.47</v>
      </c>
      <c r="I163" s="123">
        <f t="shared" si="48"/>
        <v>0.47</v>
      </c>
      <c r="J163" s="123">
        <f t="shared" si="48"/>
        <v>0.47</v>
      </c>
      <c r="K163" s="123">
        <f t="shared" si="48"/>
        <v>0.47</v>
      </c>
      <c r="L163" s="123">
        <f t="shared" si="48"/>
        <v>0.47</v>
      </c>
      <c r="M163" s="123">
        <f t="shared" si="48"/>
        <v>0.47</v>
      </c>
      <c r="N163" s="123">
        <f t="shared" si="48"/>
        <v>0.47</v>
      </c>
      <c r="O163" s="123">
        <f t="shared" si="48"/>
        <v>0.47</v>
      </c>
      <c r="P163" s="123">
        <f t="shared" si="48"/>
        <v>0.47</v>
      </c>
      <c r="Q163" s="123">
        <f t="shared" si="48"/>
        <v>0.47</v>
      </c>
      <c r="R163" s="123">
        <f t="shared" si="48"/>
        <v>0.47</v>
      </c>
      <c r="S163" s="123">
        <f t="shared" si="48"/>
        <v>0.47</v>
      </c>
      <c r="T163" s="123">
        <f t="shared" si="49"/>
        <v>0.47</v>
      </c>
      <c r="U163" s="123">
        <f t="shared" si="49"/>
        <v>0.47</v>
      </c>
      <c r="V163" s="123">
        <f t="shared" si="49"/>
        <v>0.47</v>
      </c>
      <c r="W163" s="123">
        <f t="shared" si="49"/>
        <v>0.47</v>
      </c>
      <c r="X163" s="123">
        <f t="shared" si="49"/>
        <v>0.47</v>
      </c>
      <c r="Y163" s="123">
        <f t="shared" si="49"/>
        <v>0.47</v>
      </c>
      <c r="Z163" s="123">
        <f t="shared" si="49"/>
        <v>0.47</v>
      </c>
      <c r="AA163" s="123">
        <f t="shared" si="49"/>
        <v>0.47</v>
      </c>
      <c r="AB163" s="123">
        <f t="shared" si="49"/>
        <v>0.47</v>
      </c>
      <c r="AC163" s="123">
        <f t="shared" si="49"/>
        <v>0.47</v>
      </c>
      <c r="AD163" s="123">
        <f t="shared" si="49"/>
        <v>0.47</v>
      </c>
      <c r="AE163" s="123">
        <f t="shared" si="49"/>
        <v>0.47</v>
      </c>
      <c r="AF163" s="123">
        <f t="shared" si="49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47"/>
        <v>0</v>
      </c>
      <c r="C164" s="124">
        <v>0</v>
      </c>
      <c r="D164" s="123">
        <f t="shared" si="48"/>
        <v>0</v>
      </c>
      <c r="E164" s="123">
        <f t="shared" si="48"/>
        <v>0</v>
      </c>
      <c r="F164" s="123">
        <f t="shared" si="48"/>
        <v>0</v>
      </c>
      <c r="G164" s="123">
        <f t="shared" si="48"/>
        <v>0</v>
      </c>
      <c r="H164" s="123">
        <f t="shared" si="48"/>
        <v>0</v>
      </c>
      <c r="I164" s="123">
        <f t="shared" si="48"/>
        <v>0</v>
      </c>
      <c r="J164" s="123">
        <f t="shared" si="48"/>
        <v>0</v>
      </c>
      <c r="K164" s="123">
        <f t="shared" si="48"/>
        <v>0</v>
      </c>
      <c r="L164" s="123">
        <f t="shared" si="48"/>
        <v>0</v>
      </c>
      <c r="M164" s="123">
        <f t="shared" si="48"/>
        <v>0</v>
      </c>
      <c r="N164" s="123">
        <f t="shared" si="48"/>
        <v>0</v>
      </c>
      <c r="O164" s="123">
        <f t="shared" si="48"/>
        <v>0</v>
      </c>
      <c r="P164" s="123">
        <f t="shared" si="48"/>
        <v>0</v>
      </c>
      <c r="Q164" s="123">
        <f t="shared" si="48"/>
        <v>0</v>
      </c>
      <c r="R164" s="123">
        <f t="shared" si="48"/>
        <v>0</v>
      </c>
      <c r="S164" s="123">
        <f t="shared" si="48"/>
        <v>0</v>
      </c>
      <c r="T164" s="123">
        <f t="shared" si="49"/>
        <v>0</v>
      </c>
      <c r="U164" s="123">
        <f t="shared" si="49"/>
        <v>0</v>
      </c>
      <c r="V164" s="123">
        <f t="shared" si="49"/>
        <v>0</v>
      </c>
      <c r="W164" s="123">
        <f t="shared" si="49"/>
        <v>0</v>
      </c>
      <c r="X164" s="123">
        <f t="shared" si="49"/>
        <v>0</v>
      </c>
      <c r="Y164" s="123">
        <f t="shared" si="49"/>
        <v>0</v>
      </c>
      <c r="Z164" s="123">
        <f t="shared" si="49"/>
        <v>0</v>
      </c>
      <c r="AA164" s="123">
        <f t="shared" si="49"/>
        <v>0</v>
      </c>
      <c r="AB164" s="123">
        <f t="shared" si="49"/>
        <v>0</v>
      </c>
      <c r="AC164" s="123">
        <f t="shared" si="49"/>
        <v>0</v>
      </c>
      <c r="AD164" s="123">
        <f t="shared" si="49"/>
        <v>0</v>
      </c>
      <c r="AE164" s="123">
        <f t="shared" si="49"/>
        <v>0</v>
      </c>
      <c r="AF164" s="123">
        <f t="shared" si="49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47"/>
        <v>0</v>
      </c>
      <c r="C165" s="124">
        <v>0</v>
      </c>
      <c r="D165" s="123">
        <f t="shared" si="48"/>
        <v>0</v>
      </c>
      <c r="E165" s="123">
        <f t="shared" si="48"/>
        <v>0</v>
      </c>
      <c r="F165" s="123">
        <f t="shared" si="48"/>
        <v>0</v>
      </c>
      <c r="G165" s="123">
        <f t="shared" si="48"/>
        <v>0</v>
      </c>
      <c r="H165" s="123">
        <f t="shared" si="48"/>
        <v>0</v>
      </c>
      <c r="I165" s="123">
        <f t="shared" si="48"/>
        <v>0</v>
      </c>
      <c r="J165" s="123">
        <f t="shared" si="48"/>
        <v>0</v>
      </c>
      <c r="K165" s="123">
        <f t="shared" si="48"/>
        <v>0</v>
      </c>
      <c r="L165" s="123">
        <f t="shared" si="48"/>
        <v>0</v>
      </c>
      <c r="M165" s="123">
        <f t="shared" si="48"/>
        <v>0</v>
      </c>
      <c r="N165" s="123">
        <f t="shared" si="48"/>
        <v>0</v>
      </c>
      <c r="O165" s="123">
        <f t="shared" si="48"/>
        <v>0</v>
      </c>
      <c r="P165" s="123">
        <f t="shared" si="48"/>
        <v>0</v>
      </c>
      <c r="Q165" s="123">
        <f t="shared" si="48"/>
        <v>0</v>
      </c>
      <c r="R165" s="123">
        <f t="shared" si="48"/>
        <v>0</v>
      </c>
      <c r="S165" s="123">
        <f t="shared" si="49"/>
        <v>0</v>
      </c>
      <c r="T165" s="123">
        <f t="shared" si="49"/>
        <v>0</v>
      </c>
      <c r="U165" s="123">
        <f t="shared" si="49"/>
        <v>0</v>
      </c>
      <c r="V165" s="123">
        <f t="shared" si="49"/>
        <v>0</v>
      </c>
      <c r="W165" s="123">
        <f t="shared" si="49"/>
        <v>0</v>
      </c>
      <c r="X165" s="123">
        <f t="shared" si="49"/>
        <v>0</v>
      </c>
      <c r="Y165" s="123">
        <f t="shared" si="49"/>
        <v>0</v>
      </c>
      <c r="Z165" s="123">
        <f t="shared" si="49"/>
        <v>0</v>
      </c>
      <c r="AA165" s="123">
        <f t="shared" si="49"/>
        <v>0</v>
      </c>
      <c r="AB165" s="123">
        <f t="shared" si="49"/>
        <v>0</v>
      </c>
      <c r="AC165" s="123">
        <f t="shared" si="49"/>
        <v>0</v>
      </c>
      <c r="AD165" s="123">
        <f t="shared" si="49"/>
        <v>0</v>
      </c>
      <c r="AE165" s="123">
        <f t="shared" si="49"/>
        <v>0</v>
      </c>
      <c r="AF165" s="123">
        <f t="shared" si="49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47"/>
        <v>0.8</v>
      </c>
      <c r="C166" s="124">
        <v>0.8</v>
      </c>
      <c r="D166" s="123">
        <f t="shared" si="48"/>
        <v>0.8</v>
      </c>
      <c r="E166" s="123">
        <f t="shared" si="48"/>
        <v>0.8</v>
      </c>
      <c r="F166" s="123">
        <f t="shared" si="48"/>
        <v>0.8</v>
      </c>
      <c r="G166" s="123">
        <f t="shared" si="48"/>
        <v>0.8</v>
      </c>
      <c r="H166" s="123">
        <f t="shared" si="48"/>
        <v>0.8</v>
      </c>
      <c r="I166" s="123">
        <f t="shared" si="48"/>
        <v>0.8</v>
      </c>
      <c r="J166" s="123">
        <f t="shared" si="48"/>
        <v>0.8</v>
      </c>
      <c r="K166" s="123">
        <f t="shared" si="48"/>
        <v>0.8</v>
      </c>
      <c r="L166" s="123">
        <f t="shared" si="48"/>
        <v>0.8</v>
      </c>
      <c r="M166" s="123">
        <f t="shared" si="48"/>
        <v>0.8</v>
      </c>
      <c r="N166" s="123">
        <f t="shared" si="48"/>
        <v>0.8</v>
      </c>
      <c r="O166" s="123">
        <f t="shared" si="48"/>
        <v>0.8</v>
      </c>
      <c r="P166" s="123">
        <f t="shared" si="48"/>
        <v>0.8</v>
      </c>
      <c r="Q166" s="123">
        <f t="shared" si="48"/>
        <v>0.8</v>
      </c>
      <c r="R166" s="123">
        <f t="shared" si="48"/>
        <v>0.8</v>
      </c>
      <c r="S166" s="123">
        <f t="shared" si="49"/>
        <v>0.8</v>
      </c>
      <c r="T166" s="123">
        <f t="shared" si="49"/>
        <v>0.8</v>
      </c>
      <c r="U166" s="123">
        <f t="shared" si="49"/>
        <v>0.8</v>
      </c>
      <c r="V166" s="123">
        <f t="shared" si="49"/>
        <v>0.8</v>
      </c>
      <c r="W166" s="123">
        <f t="shared" si="49"/>
        <v>0.8</v>
      </c>
      <c r="X166" s="123">
        <f t="shared" si="49"/>
        <v>0.8</v>
      </c>
      <c r="Y166" s="123">
        <f t="shared" si="49"/>
        <v>0.8</v>
      </c>
      <c r="Z166" s="123">
        <f t="shared" si="49"/>
        <v>0.8</v>
      </c>
      <c r="AA166" s="123">
        <f t="shared" si="49"/>
        <v>0.8</v>
      </c>
      <c r="AB166" s="123">
        <f t="shared" si="49"/>
        <v>0.8</v>
      </c>
      <c r="AC166" s="123">
        <f t="shared" si="49"/>
        <v>0.8</v>
      </c>
      <c r="AD166" s="123">
        <f t="shared" si="49"/>
        <v>0.8</v>
      </c>
      <c r="AE166" s="123">
        <f t="shared" si="49"/>
        <v>0.8</v>
      </c>
      <c r="AF166" s="123">
        <f t="shared" si="49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47"/>
        <v>1.5</v>
      </c>
      <c r="C167" s="124">
        <v>1.5</v>
      </c>
      <c r="D167" s="123">
        <f t="shared" si="48"/>
        <v>1.5</v>
      </c>
      <c r="E167" s="123">
        <f t="shared" si="48"/>
        <v>1.5</v>
      </c>
      <c r="F167" s="123">
        <f t="shared" si="48"/>
        <v>1.5</v>
      </c>
      <c r="G167" s="123">
        <f t="shared" si="48"/>
        <v>1.5</v>
      </c>
      <c r="H167" s="123">
        <f t="shared" si="48"/>
        <v>1.5</v>
      </c>
      <c r="I167" s="123">
        <f t="shared" si="48"/>
        <v>1.5</v>
      </c>
      <c r="J167" s="123">
        <f t="shared" si="48"/>
        <v>1.5</v>
      </c>
      <c r="K167" s="123">
        <f t="shared" si="48"/>
        <v>1.5</v>
      </c>
      <c r="L167" s="123">
        <f t="shared" si="48"/>
        <v>1.5</v>
      </c>
      <c r="M167" s="123">
        <f t="shared" si="48"/>
        <v>1.5</v>
      </c>
      <c r="N167" s="123">
        <f t="shared" si="48"/>
        <v>1.5</v>
      </c>
      <c r="O167" s="123">
        <f t="shared" si="48"/>
        <v>1.5</v>
      </c>
      <c r="P167" s="123">
        <f t="shared" si="48"/>
        <v>1.5</v>
      </c>
      <c r="Q167" s="123">
        <f t="shared" si="48"/>
        <v>1.5</v>
      </c>
      <c r="R167" s="123">
        <f t="shared" si="48"/>
        <v>1.5</v>
      </c>
      <c r="S167" s="123">
        <f t="shared" si="49"/>
        <v>1.5</v>
      </c>
      <c r="T167" s="123">
        <f t="shared" si="49"/>
        <v>1.5</v>
      </c>
      <c r="U167" s="123">
        <f t="shared" si="49"/>
        <v>1.5</v>
      </c>
      <c r="V167" s="123">
        <f t="shared" si="49"/>
        <v>1.5</v>
      </c>
      <c r="W167" s="123">
        <f t="shared" si="49"/>
        <v>1.5</v>
      </c>
      <c r="X167" s="123">
        <f t="shared" si="49"/>
        <v>1.5</v>
      </c>
      <c r="Y167" s="123">
        <f t="shared" si="49"/>
        <v>1.5</v>
      </c>
      <c r="Z167" s="123">
        <f t="shared" si="49"/>
        <v>1.5</v>
      </c>
      <c r="AA167" s="123">
        <f t="shared" si="49"/>
        <v>1.5</v>
      </c>
      <c r="AB167" s="123">
        <f t="shared" si="49"/>
        <v>1.5</v>
      </c>
      <c r="AC167" s="123">
        <f t="shared" si="49"/>
        <v>1.5</v>
      </c>
      <c r="AD167" s="123">
        <f t="shared" si="49"/>
        <v>1.5</v>
      </c>
      <c r="AE167" s="123">
        <f t="shared" si="49"/>
        <v>1.5</v>
      </c>
      <c r="AF167" s="123">
        <f t="shared" si="49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47"/>
        <v>1</v>
      </c>
      <c r="C168" s="124">
        <v>1</v>
      </c>
      <c r="D168" s="123">
        <f t="shared" si="48"/>
        <v>1</v>
      </c>
      <c r="E168" s="123">
        <f t="shared" si="48"/>
        <v>1</v>
      </c>
      <c r="F168" s="123">
        <f t="shared" si="48"/>
        <v>1</v>
      </c>
      <c r="G168" s="123">
        <f t="shared" si="48"/>
        <v>1</v>
      </c>
      <c r="H168" s="123">
        <f t="shared" si="48"/>
        <v>1</v>
      </c>
      <c r="I168" s="123">
        <f t="shared" si="48"/>
        <v>1</v>
      </c>
      <c r="J168" s="123">
        <f t="shared" si="48"/>
        <v>1</v>
      </c>
      <c r="K168" s="123">
        <f t="shared" si="48"/>
        <v>1</v>
      </c>
      <c r="L168" s="123">
        <f t="shared" si="48"/>
        <v>1</v>
      </c>
      <c r="M168" s="123">
        <f t="shared" si="48"/>
        <v>1</v>
      </c>
      <c r="N168" s="123">
        <f t="shared" si="48"/>
        <v>1</v>
      </c>
      <c r="O168" s="123">
        <f t="shared" si="48"/>
        <v>1</v>
      </c>
      <c r="P168" s="123">
        <f t="shared" si="48"/>
        <v>1</v>
      </c>
      <c r="Q168" s="123">
        <f t="shared" si="48"/>
        <v>1</v>
      </c>
      <c r="R168" s="123">
        <f t="shared" si="48"/>
        <v>1</v>
      </c>
      <c r="S168" s="123">
        <f t="shared" si="49"/>
        <v>1</v>
      </c>
      <c r="T168" s="123">
        <f t="shared" si="49"/>
        <v>1</v>
      </c>
      <c r="U168" s="123">
        <f t="shared" si="49"/>
        <v>1</v>
      </c>
      <c r="V168" s="123">
        <f t="shared" si="49"/>
        <v>1</v>
      </c>
      <c r="W168" s="123">
        <f t="shared" si="49"/>
        <v>1</v>
      </c>
      <c r="X168" s="123">
        <f t="shared" si="49"/>
        <v>1</v>
      </c>
      <c r="Y168" s="123">
        <f t="shared" si="49"/>
        <v>1</v>
      </c>
      <c r="Z168" s="123">
        <f t="shared" si="49"/>
        <v>1</v>
      </c>
      <c r="AA168" s="123">
        <f t="shared" si="49"/>
        <v>1</v>
      </c>
      <c r="AB168" s="123">
        <f t="shared" si="49"/>
        <v>1</v>
      </c>
      <c r="AC168" s="123">
        <f t="shared" si="49"/>
        <v>1</v>
      </c>
      <c r="AD168" s="123">
        <f t="shared" si="49"/>
        <v>1</v>
      </c>
      <c r="AE168" s="123">
        <f t="shared" si="49"/>
        <v>1</v>
      </c>
      <c r="AF168" s="123">
        <f t="shared" si="49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50">AF170</f>
        <v>1</v>
      </c>
      <c r="C170" s="124">
        <v>1</v>
      </c>
      <c r="D170" s="123">
        <f t="shared" ref="D170:S177" si="51">C170</f>
        <v>1</v>
      </c>
      <c r="E170" s="123">
        <f t="shared" si="51"/>
        <v>1</v>
      </c>
      <c r="F170" s="123">
        <f t="shared" si="51"/>
        <v>1</v>
      </c>
      <c r="G170" s="123">
        <f t="shared" si="51"/>
        <v>1</v>
      </c>
      <c r="H170" s="123">
        <f t="shared" si="51"/>
        <v>1</v>
      </c>
      <c r="I170" s="123">
        <f t="shared" si="51"/>
        <v>1</v>
      </c>
      <c r="J170" s="123">
        <f t="shared" si="51"/>
        <v>1</v>
      </c>
      <c r="K170" s="123">
        <f t="shared" si="51"/>
        <v>1</v>
      </c>
      <c r="L170" s="123">
        <f t="shared" si="51"/>
        <v>1</v>
      </c>
      <c r="M170" s="123">
        <f t="shared" si="51"/>
        <v>1</v>
      </c>
      <c r="N170" s="123">
        <f t="shared" si="51"/>
        <v>1</v>
      </c>
      <c r="O170" s="123">
        <f t="shared" si="51"/>
        <v>1</v>
      </c>
      <c r="P170" s="123">
        <f t="shared" si="51"/>
        <v>1</v>
      </c>
      <c r="Q170" s="123">
        <f t="shared" si="51"/>
        <v>1</v>
      </c>
      <c r="R170" s="123">
        <f t="shared" si="51"/>
        <v>1</v>
      </c>
      <c r="S170" s="123">
        <f t="shared" si="51"/>
        <v>1</v>
      </c>
      <c r="T170" s="123">
        <f t="shared" ref="S170:AF177" si="52">S170</f>
        <v>1</v>
      </c>
      <c r="U170" s="123">
        <f t="shared" si="52"/>
        <v>1</v>
      </c>
      <c r="V170" s="123">
        <f t="shared" si="52"/>
        <v>1</v>
      </c>
      <c r="W170" s="123">
        <f t="shared" si="52"/>
        <v>1</v>
      </c>
      <c r="X170" s="123">
        <f t="shared" si="52"/>
        <v>1</v>
      </c>
      <c r="Y170" s="123">
        <f t="shared" si="52"/>
        <v>1</v>
      </c>
      <c r="Z170" s="123">
        <f t="shared" si="52"/>
        <v>1</v>
      </c>
      <c r="AA170" s="123">
        <f t="shared" si="52"/>
        <v>1</v>
      </c>
      <c r="AB170" s="123">
        <f t="shared" si="52"/>
        <v>1</v>
      </c>
      <c r="AC170" s="123">
        <f t="shared" si="52"/>
        <v>1</v>
      </c>
      <c r="AD170" s="123">
        <f t="shared" si="52"/>
        <v>1</v>
      </c>
      <c r="AE170" s="123">
        <f t="shared" si="52"/>
        <v>1</v>
      </c>
      <c r="AF170" s="123">
        <f t="shared" si="52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50"/>
        <v>0.42</v>
      </c>
      <c r="C171" s="124">
        <v>0.42</v>
      </c>
      <c r="D171" s="123">
        <f t="shared" si="51"/>
        <v>0.42</v>
      </c>
      <c r="E171" s="123">
        <f t="shared" si="51"/>
        <v>0.42</v>
      </c>
      <c r="F171" s="123">
        <f t="shared" si="51"/>
        <v>0.42</v>
      </c>
      <c r="G171" s="123">
        <f t="shared" si="51"/>
        <v>0.42</v>
      </c>
      <c r="H171" s="123">
        <f t="shared" si="51"/>
        <v>0.42</v>
      </c>
      <c r="I171" s="123">
        <f t="shared" si="51"/>
        <v>0.42</v>
      </c>
      <c r="J171" s="123">
        <f t="shared" si="51"/>
        <v>0.42</v>
      </c>
      <c r="K171" s="123">
        <f t="shared" si="51"/>
        <v>0.42</v>
      </c>
      <c r="L171" s="123">
        <f t="shared" si="51"/>
        <v>0.42</v>
      </c>
      <c r="M171" s="123">
        <f t="shared" si="51"/>
        <v>0.42</v>
      </c>
      <c r="N171" s="123">
        <f t="shared" si="51"/>
        <v>0.42</v>
      </c>
      <c r="O171" s="123">
        <f t="shared" si="51"/>
        <v>0.42</v>
      </c>
      <c r="P171" s="123">
        <f t="shared" si="51"/>
        <v>0.42</v>
      </c>
      <c r="Q171" s="123">
        <f t="shared" si="51"/>
        <v>0.42</v>
      </c>
      <c r="R171" s="123">
        <f t="shared" si="51"/>
        <v>0.42</v>
      </c>
      <c r="S171" s="123">
        <f t="shared" si="52"/>
        <v>0.42</v>
      </c>
      <c r="T171" s="123">
        <f t="shared" si="52"/>
        <v>0.42</v>
      </c>
      <c r="U171" s="123">
        <f t="shared" si="52"/>
        <v>0.42</v>
      </c>
      <c r="V171" s="123">
        <f t="shared" si="52"/>
        <v>0.42</v>
      </c>
      <c r="W171" s="123">
        <f t="shared" si="52"/>
        <v>0.42</v>
      </c>
      <c r="X171" s="123">
        <f t="shared" si="52"/>
        <v>0.42</v>
      </c>
      <c r="Y171" s="123">
        <f t="shared" si="52"/>
        <v>0.42</v>
      </c>
      <c r="Z171" s="123">
        <f t="shared" si="52"/>
        <v>0.42</v>
      </c>
      <c r="AA171" s="123">
        <f t="shared" si="52"/>
        <v>0.42</v>
      </c>
      <c r="AB171" s="123">
        <f t="shared" si="52"/>
        <v>0.42</v>
      </c>
      <c r="AC171" s="123">
        <f t="shared" si="52"/>
        <v>0.42</v>
      </c>
      <c r="AD171" s="123">
        <f t="shared" si="52"/>
        <v>0.42</v>
      </c>
      <c r="AE171" s="123">
        <f t="shared" si="52"/>
        <v>0.42</v>
      </c>
      <c r="AF171" s="123">
        <f t="shared" si="52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50"/>
        <v>0.46</v>
      </c>
      <c r="C172" s="124">
        <v>0.46</v>
      </c>
      <c r="D172" s="123">
        <f t="shared" si="51"/>
        <v>0.46</v>
      </c>
      <c r="E172" s="123">
        <f t="shared" si="51"/>
        <v>0.46</v>
      </c>
      <c r="F172" s="123">
        <f t="shared" si="51"/>
        <v>0.46</v>
      </c>
      <c r="G172" s="123">
        <f t="shared" si="51"/>
        <v>0.46</v>
      </c>
      <c r="H172" s="123">
        <f t="shared" si="51"/>
        <v>0.46</v>
      </c>
      <c r="I172" s="123">
        <f t="shared" si="51"/>
        <v>0.46</v>
      </c>
      <c r="J172" s="123">
        <f t="shared" si="51"/>
        <v>0.46</v>
      </c>
      <c r="K172" s="123">
        <f t="shared" si="51"/>
        <v>0.46</v>
      </c>
      <c r="L172" s="123">
        <f t="shared" si="51"/>
        <v>0.46</v>
      </c>
      <c r="M172" s="123">
        <f t="shared" si="51"/>
        <v>0.46</v>
      </c>
      <c r="N172" s="123">
        <f t="shared" si="51"/>
        <v>0.46</v>
      </c>
      <c r="O172" s="123">
        <f t="shared" si="51"/>
        <v>0.46</v>
      </c>
      <c r="P172" s="123">
        <f t="shared" si="51"/>
        <v>0.46</v>
      </c>
      <c r="Q172" s="123">
        <f t="shared" si="51"/>
        <v>0.46</v>
      </c>
      <c r="R172" s="123">
        <f t="shared" si="51"/>
        <v>0.46</v>
      </c>
      <c r="S172" s="123">
        <f t="shared" si="52"/>
        <v>0.46</v>
      </c>
      <c r="T172" s="123">
        <f t="shared" si="52"/>
        <v>0.46</v>
      </c>
      <c r="U172" s="123">
        <f t="shared" si="52"/>
        <v>0.46</v>
      </c>
      <c r="V172" s="123">
        <f t="shared" si="52"/>
        <v>0.46</v>
      </c>
      <c r="W172" s="123">
        <f t="shared" si="52"/>
        <v>0.46</v>
      </c>
      <c r="X172" s="123">
        <f t="shared" si="52"/>
        <v>0.46</v>
      </c>
      <c r="Y172" s="123">
        <f t="shared" si="52"/>
        <v>0.46</v>
      </c>
      <c r="Z172" s="123">
        <f t="shared" si="52"/>
        <v>0.46</v>
      </c>
      <c r="AA172" s="123">
        <f t="shared" si="52"/>
        <v>0.46</v>
      </c>
      <c r="AB172" s="123">
        <f t="shared" si="52"/>
        <v>0.46</v>
      </c>
      <c r="AC172" s="123">
        <f t="shared" si="52"/>
        <v>0.46</v>
      </c>
      <c r="AD172" s="123">
        <f t="shared" si="52"/>
        <v>0.46</v>
      </c>
      <c r="AE172" s="123">
        <f t="shared" si="52"/>
        <v>0.46</v>
      </c>
      <c r="AF172" s="123">
        <f t="shared" si="52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50"/>
        <v>0.85</v>
      </c>
      <c r="C173" s="124">
        <v>0.85</v>
      </c>
      <c r="D173" s="123">
        <f t="shared" si="51"/>
        <v>0.85</v>
      </c>
      <c r="E173" s="123">
        <f t="shared" si="51"/>
        <v>0.85</v>
      </c>
      <c r="F173" s="123">
        <f t="shared" si="51"/>
        <v>0.85</v>
      </c>
      <c r="G173" s="123">
        <f t="shared" si="51"/>
        <v>0.85</v>
      </c>
      <c r="H173" s="123">
        <f t="shared" si="51"/>
        <v>0.85</v>
      </c>
      <c r="I173" s="123">
        <f t="shared" si="51"/>
        <v>0.85</v>
      </c>
      <c r="J173" s="123">
        <f t="shared" si="51"/>
        <v>0.85</v>
      </c>
      <c r="K173" s="123">
        <f t="shared" si="51"/>
        <v>0.85</v>
      </c>
      <c r="L173" s="123">
        <f t="shared" si="51"/>
        <v>0.85</v>
      </c>
      <c r="M173" s="123">
        <f t="shared" si="51"/>
        <v>0.85</v>
      </c>
      <c r="N173" s="123">
        <f t="shared" si="51"/>
        <v>0.85</v>
      </c>
      <c r="O173" s="123">
        <f t="shared" si="51"/>
        <v>0.85</v>
      </c>
      <c r="P173" s="123">
        <f t="shared" si="51"/>
        <v>0.85</v>
      </c>
      <c r="Q173" s="123">
        <f t="shared" si="51"/>
        <v>0.85</v>
      </c>
      <c r="R173" s="123">
        <f t="shared" si="51"/>
        <v>0.85</v>
      </c>
      <c r="S173" s="123">
        <f t="shared" si="52"/>
        <v>0.85</v>
      </c>
      <c r="T173" s="123">
        <f t="shared" si="52"/>
        <v>0.85</v>
      </c>
      <c r="U173" s="123">
        <f t="shared" si="52"/>
        <v>0.85</v>
      </c>
      <c r="V173" s="123">
        <f t="shared" si="52"/>
        <v>0.85</v>
      </c>
      <c r="W173" s="123">
        <f t="shared" si="52"/>
        <v>0.85</v>
      </c>
      <c r="X173" s="123">
        <f t="shared" si="52"/>
        <v>0.85</v>
      </c>
      <c r="Y173" s="123">
        <f t="shared" si="52"/>
        <v>0.85</v>
      </c>
      <c r="Z173" s="123">
        <f t="shared" si="52"/>
        <v>0.85</v>
      </c>
      <c r="AA173" s="123">
        <f t="shared" si="52"/>
        <v>0.85</v>
      </c>
      <c r="AB173" s="123">
        <f t="shared" si="52"/>
        <v>0.85</v>
      </c>
      <c r="AC173" s="123">
        <f t="shared" si="52"/>
        <v>0.85</v>
      </c>
      <c r="AD173" s="123">
        <f t="shared" si="52"/>
        <v>0.85</v>
      </c>
      <c r="AE173" s="123">
        <f t="shared" si="52"/>
        <v>0.85</v>
      </c>
      <c r="AF173" s="123">
        <f t="shared" si="52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50"/>
        <v>0.9</v>
      </c>
      <c r="C174" s="124">
        <v>0.9</v>
      </c>
      <c r="D174" s="123">
        <f t="shared" si="51"/>
        <v>0.9</v>
      </c>
      <c r="E174" s="123">
        <f t="shared" si="51"/>
        <v>0.9</v>
      </c>
      <c r="F174" s="123">
        <f t="shared" si="51"/>
        <v>0.9</v>
      </c>
      <c r="G174" s="123">
        <f t="shared" si="51"/>
        <v>0.9</v>
      </c>
      <c r="H174" s="123">
        <f t="shared" si="51"/>
        <v>0.9</v>
      </c>
      <c r="I174" s="123">
        <f t="shared" si="51"/>
        <v>0.9</v>
      </c>
      <c r="J174" s="123">
        <f t="shared" si="51"/>
        <v>0.9</v>
      </c>
      <c r="K174" s="123">
        <f t="shared" si="51"/>
        <v>0.9</v>
      </c>
      <c r="L174" s="123">
        <f t="shared" si="51"/>
        <v>0.9</v>
      </c>
      <c r="M174" s="123">
        <f t="shared" si="51"/>
        <v>0.9</v>
      </c>
      <c r="N174" s="123">
        <f t="shared" si="51"/>
        <v>0.9</v>
      </c>
      <c r="O174" s="123">
        <f t="shared" si="51"/>
        <v>0.9</v>
      </c>
      <c r="P174" s="123">
        <f t="shared" si="51"/>
        <v>0.9</v>
      </c>
      <c r="Q174" s="123">
        <f t="shared" si="51"/>
        <v>0.9</v>
      </c>
      <c r="R174" s="123">
        <f t="shared" si="51"/>
        <v>0.9</v>
      </c>
      <c r="S174" s="123">
        <f t="shared" si="52"/>
        <v>0.9</v>
      </c>
      <c r="T174" s="123">
        <f t="shared" si="52"/>
        <v>0.9</v>
      </c>
      <c r="U174" s="123">
        <f t="shared" si="52"/>
        <v>0.9</v>
      </c>
      <c r="V174" s="123">
        <f t="shared" si="52"/>
        <v>0.9</v>
      </c>
      <c r="W174" s="123">
        <f t="shared" si="52"/>
        <v>0.9</v>
      </c>
      <c r="X174" s="123">
        <f t="shared" si="52"/>
        <v>0.9</v>
      </c>
      <c r="Y174" s="123">
        <f t="shared" si="52"/>
        <v>0.9</v>
      </c>
      <c r="Z174" s="123">
        <f t="shared" si="52"/>
        <v>0.9</v>
      </c>
      <c r="AA174" s="123">
        <f t="shared" si="52"/>
        <v>0.9</v>
      </c>
      <c r="AB174" s="123">
        <f t="shared" si="52"/>
        <v>0.9</v>
      </c>
      <c r="AC174" s="123">
        <f t="shared" si="52"/>
        <v>0.9</v>
      </c>
      <c r="AD174" s="123">
        <f t="shared" si="52"/>
        <v>0.9</v>
      </c>
      <c r="AE174" s="123">
        <f t="shared" si="52"/>
        <v>0.9</v>
      </c>
      <c r="AF174" s="123">
        <f t="shared" si="52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50"/>
        <v>0.44</v>
      </c>
      <c r="C175" s="124">
        <v>0.44</v>
      </c>
      <c r="D175" s="123">
        <f t="shared" si="51"/>
        <v>0.44</v>
      </c>
      <c r="E175" s="123">
        <f t="shared" si="51"/>
        <v>0.44</v>
      </c>
      <c r="F175" s="123">
        <f t="shared" si="51"/>
        <v>0.44</v>
      </c>
      <c r="G175" s="123">
        <f t="shared" si="51"/>
        <v>0.44</v>
      </c>
      <c r="H175" s="123">
        <f t="shared" si="51"/>
        <v>0.44</v>
      </c>
      <c r="I175" s="123">
        <f t="shared" si="51"/>
        <v>0.44</v>
      </c>
      <c r="J175" s="123">
        <f t="shared" si="51"/>
        <v>0.44</v>
      </c>
      <c r="K175" s="123">
        <f t="shared" si="51"/>
        <v>0.44</v>
      </c>
      <c r="L175" s="123">
        <f t="shared" si="51"/>
        <v>0.44</v>
      </c>
      <c r="M175" s="123">
        <f t="shared" si="51"/>
        <v>0.44</v>
      </c>
      <c r="N175" s="123">
        <f t="shared" si="51"/>
        <v>0.44</v>
      </c>
      <c r="O175" s="123">
        <f t="shared" si="51"/>
        <v>0.44</v>
      </c>
      <c r="P175" s="123">
        <f t="shared" si="51"/>
        <v>0.44</v>
      </c>
      <c r="Q175" s="123">
        <f t="shared" si="51"/>
        <v>0.44</v>
      </c>
      <c r="R175" s="123">
        <f t="shared" si="51"/>
        <v>0.44</v>
      </c>
      <c r="S175" s="123">
        <f t="shared" si="52"/>
        <v>0.44</v>
      </c>
      <c r="T175" s="123">
        <f t="shared" si="52"/>
        <v>0.44</v>
      </c>
      <c r="U175" s="123">
        <f t="shared" si="52"/>
        <v>0.44</v>
      </c>
      <c r="V175" s="123">
        <f t="shared" si="52"/>
        <v>0.44</v>
      </c>
      <c r="W175" s="123">
        <f t="shared" si="52"/>
        <v>0.44</v>
      </c>
      <c r="X175" s="123">
        <f t="shared" si="52"/>
        <v>0.44</v>
      </c>
      <c r="Y175" s="123">
        <f t="shared" si="52"/>
        <v>0.44</v>
      </c>
      <c r="Z175" s="123">
        <f t="shared" si="52"/>
        <v>0.44</v>
      </c>
      <c r="AA175" s="123">
        <f t="shared" si="52"/>
        <v>0.44</v>
      </c>
      <c r="AB175" s="123">
        <f t="shared" si="52"/>
        <v>0.44</v>
      </c>
      <c r="AC175" s="123">
        <f t="shared" si="52"/>
        <v>0.44</v>
      </c>
      <c r="AD175" s="123">
        <f t="shared" si="52"/>
        <v>0.44</v>
      </c>
      <c r="AE175" s="123">
        <f t="shared" si="52"/>
        <v>0.44</v>
      </c>
      <c r="AF175" s="123">
        <f t="shared" si="52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50"/>
        <v>2.1</v>
      </c>
      <c r="C176" s="124">
        <v>2.1</v>
      </c>
      <c r="D176" s="123">
        <f t="shared" si="51"/>
        <v>2.1</v>
      </c>
      <c r="E176" s="123">
        <f t="shared" si="51"/>
        <v>2.1</v>
      </c>
      <c r="F176" s="123">
        <f t="shared" si="51"/>
        <v>2.1</v>
      </c>
      <c r="G176" s="123">
        <f t="shared" si="51"/>
        <v>2.1</v>
      </c>
      <c r="H176" s="123">
        <f t="shared" si="51"/>
        <v>2.1</v>
      </c>
      <c r="I176" s="123">
        <f t="shared" si="51"/>
        <v>2.1</v>
      </c>
      <c r="J176" s="123">
        <f t="shared" si="51"/>
        <v>2.1</v>
      </c>
      <c r="K176" s="123">
        <f t="shared" si="51"/>
        <v>2.1</v>
      </c>
      <c r="L176" s="123">
        <f t="shared" si="51"/>
        <v>2.1</v>
      </c>
      <c r="M176" s="123">
        <f t="shared" si="51"/>
        <v>2.1</v>
      </c>
      <c r="N176" s="123">
        <f t="shared" si="51"/>
        <v>2.1</v>
      </c>
      <c r="O176" s="123">
        <f t="shared" si="51"/>
        <v>2.1</v>
      </c>
      <c r="P176" s="123">
        <f t="shared" si="51"/>
        <v>2.1</v>
      </c>
      <c r="Q176" s="123">
        <f t="shared" si="51"/>
        <v>2.1</v>
      </c>
      <c r="R176" s="123">
        <f t="shared" si="51"/>
        <v>2.1</v>
      </c>
      <c r="S176" s="123">
        <f t="shared" si="52"/>
        <v>2.1</v>
      </c>
      <c r="T176" s="123">
        <f t="shared" si="52"/>
        <v>2.1</v>
      </c>
      <c r="U176" s="123">
        <f t="shared" si="52"/>
        <v>2.1</v>
      </c>
      <c r="V176" s="123">
        <f t="shared" si="52"/>
        <v>2.1</v>
      </c>
      <c r="W176" s="123">
        <f t="shared" si="52"/>
        <v>2.1</v>
      </c>
      <c r="X176" s="123">
        <f t="shared" si="52"/>
        <v>2.1</v>
      </c>
      <c r="Y176" s="123">
        <f t="shared" si="52"/>
        <v>2.1</v>
      </c>
      <c r="Z176" s="123">
        <f t="shared" si="52"/>
        <v>2.1</v>
      </c>
      <c r="AA176" s="123">
        <f t="shared" si="52"/>
        <v>2.1</v>
      </c>
      <c r="AB176" s="123">
        <f t="shared" si="52"/>
        <v>2.1</v>
      </c>
      <c r="AC176" s="123">
        <f t="shared" si="52"/>
        <v>2.1</v>
      </c>
      <c r="AD176" s="123">
        <f t="shared" si="52"/>
        <v>2.1</v>
      </c>
      <c r="AE176" s="123">
        <f t="shared" si="52"/>
        <v>2.1</v>
      </c>
      <c r="AF176" s="123">
        <f t="shared" si="52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50"/>
        <v>0.9</v>
      </c>
      <c r="C177" s="124">
        <v>0.9</v>
      </c>
      <c r="D177" s="123">
        <f t="shared" si="51"/>
        <v>0.9</v>
      </c>
      <c r="E177" s="123">
        <f t="shared" si="51"/>
        <v>0.9</v>
      </c>
      <c r="F177" s="123">
        <f t="shared" si="51"/>
        <v>0.9</v>
      </c>
      <c r="G177" s="123">
        <f t="shared" si="51"/>
        <v>0.9</v>
      </c>
      <c r="H177" s="123">
        <f t="shared" si="51"/>
        <v>0.9</v>
      </c>
      <c r="I177" s="123">
        <f t="shared" si="51"/>
        <v>0.9</v>
      </c>
      <c r="J177" s="123">
        <f t="shared" si="51"/>
        <v>0.9</v>
      </c>
      <c r="K177" s="123">
        <f t="shared" si="51"/>
        <v>0.9</v>
      </c>
      <c r="L177" s="123">
        <f t="shared" si="51"/>
        <v>0.9</v>
      </c>
      <c r="M177" s="123">
        <f t="shared" si="51"/>
        <v>0.9</v>
      </c>
      <c r="N177" s="123">
        <f t="shared" si="51"/>
        <v>0.9</v>
      </c>
      <c r="O177" s="123">
        <f t="shared" si="51"/>
        <v>0.9</v>
      </c>
      <c r="P177" s="123">
        <f t="shared" si="51"/>
        <v>0.9</v>
      </c>
      <c r="Q177" s="123">
        <f t="shared" si="51"/>
        <v>0.9</v>
      </c>
      <c r="R177" s="123">
        <f t="shared" si="51"/>
        <v>0.9</v>
      </c>
      <c r="S177" s="123">
        <f t="shared" si="52"/>
        <v>0.9</v>
      </c>
      <c r="T177" s="123">
        <f t="shared" si="52"/>
        <v>0.9</v>
      </c>
      <c r="U177" s="123">
        <f t="shared" si="52"/>
        <v>0.9</v>
      </c>
      <c r="V177" s="123">
        <f t="shared" si="52"/>
        <v>0.9</v>
      </c>
      <c r="W177" s="123">
        <f t="shared" si="52"/>
        <v>0.9</v>
      </c>
      <c r="X177" s="123">
        <f t="shared" si="52"/>
        <v>0.9</v>
      </c>
      <c r="Y177" s="123">
        <f t="shared" si="52"/>
        <v>0.9</v>
      </c>
      <c r="Z177" s="123">
        <f t="shared" si="52"/>
        <v>0.9</v>
      </c>
      <c r="AA177" s="123">
        <f t="shared" si="52"/>
        <v>0.9</v>
      </c>
      <c r="AB177" s="123">
        <f t="shared" si="52"/>
        <v>0.9</v>
      </c>
      <c r="AC177" s="123">
        <f t="shared" si="52"/>
        <v>0.9</v>
      </c>
      <c r="AD177" s="123">
        <f t="shared" si="52"/>
        <v>0.9</v>
      </c>
      <c r="AE177" s="123">
        <f t="shared" si="52"/>
        <v>0.9</v>
      </c>
      <c r="AF177" s="123">
        <f t="shared" si="52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53">AF179</f>
        <v>0.57999999999999996</v>
      </c>
      <c r="C179" s="124">
        <v>0.57999999999999996</v>
      </c>
      <c r="D179" s="123">
        <f t="shared" ref="D179:S191" si="54">C179</f>
        <v>0.57999999999999996</v>
      </c>
      <c r="E179" s="123">
        <f t="shared" si="54"/>
        <v>0.57999999999999996</v>
      </c>
      <c r="F179" s="123">
        <f t="shared" si="54"/>
        <v>0.57999999999999996</v>
      </c>
      <c r="G179" s="123">
        <f t="shared" si="54"/>
        <v>0.57999999999999996</v>
      </c>
      <c r="H179" s="123">
        <f t="shared" si="54"/>
        <v>0.57999999999999996</v>
      </c>
      <c r="I179" s="123">
        <f t="shared" si="54"/>
        <v>0.57999999999999996</v>
      </c>
      <c r="J179" s="123">
        <f t="shared" si="54"/>
        <v>0.57999999999999996</v>
      </c>
      <c r="K179" s="123">
        <f t="shared" si="54"/>
        <v>0.57999999999999996</v>
      </c>
      <c r="L179" s="123">
        <f t="shared" si="54"/>
        <v>0.57999999999999996</v>
      </c>
      <c r="M179" s="123">
        <f t="shared" si="54"/>
        <v>0.57999999999999996</v>
      </c>
      <c r="N179" s="123">
        <f t="shared" si="54"/>
        <v>0.57999999999999996</v>
      </c>
      <c r="O179" s="123">
        <f t="shared" si="54"/>
        <v>0.57999999999999996</v>
      </c>
      <c r="P179" s="123">
        <f t="shared" si="54"/>
        <v>0.57999999999999996</v>
      </c>
      <c r="Q179" s="123">
        <f t="shared" si="54"/>
        <v>0.57999999999999996</v>
      </c>
      <c r="R179" s="123">
        <f t="shared" si="54"/>
        <v>0.57999999999999996</v>
      </c>
      <c r="S179" s="123">
        <f t="shared" si="54"/>
        <v>0.57999999999999996</v>
      </c>
      <c r="T179" s="123">
        <f t="shared" ref="S179:AF191" si="55">S179</f>
        <v>0.57999999999999996</v>
      </c>
      <c r="U179" s="123">
        <f t="shared" si="55"/>
        <v>0.57999999999999996</v>
      </c>
      <c r="V179" s="123">
        <f t="shared" si="55"/>
        <v>0.57999999999999996</v>
      </c>
      <c r="W179" s="123">
        <f t="shared" si="55"/>
        <v>0.57999999999999996</v>
      </c>
      <c r="X179" s="123">
        <f t="shared" si="55"/>
        <v>0.57999999999999996</v>
      </c>
      <c r="Y179" s="123">
        <f t="shared" si="55"/>
        <v>0.57999999999999996</v>
      </c>
      <c r="Z179" s="123">
        <f t="shared" si="55"/>
        <v>0.57999999999999996</v>
      </c>
      <c r="AA179" s="123">
        <f t="shared" si="55"/>
        <v>0.57999999999999996</v>
      </c>
      <c r="AB179" s="123">
        <f t="shared" si="55"/>
        <v>0.57999999999999996</v>
      </c>
      <c r="AC179" s="123">
        <f t="shared" si="55"/>
        <v>0.57999999999999996</v>
      </c>
      <c r="AD179" s="123">
        <f t="shared" si="55"/>
        <v>0.57999999999999996</v>
      </c>
      <c r="AE179" s="123">
        <f t="shared" si="55"/>
        <v>0.57999999999999996</v>
      </c>
      <c r="AF179" s="123">
        <f t="shared" si="55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53"/>
        <v>0.8</v>
      </c>
      <c r="C180" s="124">
        <v>0.8</v>
      </c>
      <c r="D180" s="123">
        <f t="shared" si="54"/>
        <v>0.8</v>
      </c>
      <c r="E180" s="123">
        <f t="shared" si="54"/>
        <v>0.8</v>
      </c>
      <c r="F180" s="123">
        <f t="shared" si="54"/>
        <v>0.8</v>
      </c>
      <c r="G180" s="123">
        <f t="shared" si="54"/>
        <v>0.8</v>
      </c>
      <c r="H180" s="123">
        <f t="shared" si="54"/>
        <v>0.8</v>
      </c>
      <c r="I180" s="123">
        <f t="shared" si="54"/>
        <v>0.8</v>
      </c>
      <c r="J180" s="123">
        <f t="shared" si="54"/>
        <v>0.8</v>
      </c>
      <c r="K180" s="123">
        <f t="shared" si="54"/>
        <v>0.8</v>
      </c>
      <c r="L180" s="123">
        <f t="shared" si="54"/>
        <v>0.8</v>
      </c>
      <c r="M180" s="123">
        <f t="shared" si="54"/>
        <v>0.8</v>
      </c>
      <c r="N180" s="123">
        <f t="shared" si="54"/>
        <v>0.8</v>
      </c>
      <c r="O180" s="123">
        <f t="shared" si="54"/>
        <v>0.8</v>
      </c>
      <c r="P180" s="123">
        <f t="shared" si="54"/>
        <v>0.8</v>
      </c>
      <c r="Q180" s="123">
        <f t="shared" si="54"/>
        <v>0.8</v>
      </c>
      <c r="R180" s="123">
        <f t="shared" si="54"/>
        <v>0.8</v>
      </c>
      <c r="S180" s="123">
        <f t="shared" si="54"/>
        <v>0.8</v>
      </c>
      <c r="T180" s="123">
        <f t="shared" si="55"/>
        <v>0.8</v>
      </c>
      <c r="U180" s="123">
        <f t="shared" si="55"/>
        <v>0.8</v>
      </c>
      <c r="V180" s="123">
        <f t="shared" si="55"/>
        <v>0.8</v>
      </c>
      <c r="W180" s="123">
        <f t="shared" si="55"/>
        <v>0.8</v>
      </c>
      <c r="X180" s="123">
        <f t="shared" si="55"/>
        <v>0.8</v>
      </c>
      <c r="Y180" s="123">
        <f t="shared" si="55"/>
        <v>0.8</v>
      </c>
      <c r="Z180" s="123">
        <f t="shared" si="55"/>
        <v>0.8</v>
      </c>
      <c r="AA180" s="123">
        <f t="shared" si="55"/>
        <v>0.8</v>
      </c>
      <c r="AB180" s="123">
        <f t="shared" si="55"/>
        <v>0.8</v>
      </c>
      <c r="AC180" s="123">
        <f t="shared" si="55"/>
        <v>0.8</v>
      </c>
      <c r="AD180" s="123">
        <f t="shared" si="55"/>
        <v>0.8</v>
      </c>
      <c r="AE180" s="123">
        <f t="shared" si="55"/>
        <v>0.8</v>
      </c>
      <c r="AF180" s="123">
        <f t="shared" si="55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53"/>
        <v>0</v>
      </c>
      <c r="C181" s="124">
        <v>0</v>
      </c>
      <c r="D181" s="123">
        <f t="shared" si="54"/>
        <v>0</v>
      </c>
      <c r="E181" s="123">
        <f t="shared" si="54"/>
        <v>0</v>
      </c>
      <c r="F181" s="123">
        <f t="shared" si="54"/>
        <v>0</v>
      </c>
      <c r="G181" s="123">
        <f t="shared" si="54"/>
        <v>0</v>
      </c>
      <c r="H181" s="123">
        <f t="shared" si="54"/>
        <v>0</v>
      </c>
      <c r="I181" s="123">
        <f t="shared" si="54"/>
        <v>0</v>
      </c>
      <c r="J181" s="123">
        <f t="shared" si="54"/>
        <v>0</v>
      </c>
      <c r="K181" s="123">
        <f t="shared" si="54"/>
        <v>0</v>
      </c>
      <c r="L181" s="123">
        <f t="shared" si="54"/>
        <v>0</v>
      </c>
      <c r="M181" s="123">
        <f t="shared" si="54"/>
        <v>0</v>
      </c>
      <c r="N181" s="123">
        <f t="shared" si="54"/>
        <v>0</v>
      </c>
      <c r="O181" s="123">
        <f t="shared" si="54"/>
        <v>0</v>
      </c>
      <c r="P181" s="123">
        <f t="shared" si="54"/>
        <v>0</v>
      </c>
      <c r="Q181" s="123">
        <f t="shared" si="54"/>
        <v>0</v>
      </c>
      <c r="R181" s="123">
        <f t="shared" si="54"/>
        <v>0</v>
      </c>
      <c r="S181" s="123">
        <f t="shared" si="54"/>
        <v>0</v>
      </c>
      <c r="T181" s="123">
        <f t="shared" si="55"/>
        <v>0</v>
      </c>
      <c r="U181" s="123">
        <f t="shared" si="55"/>
        <v>0</v>
      </c>
      <c r="V181" s="123">
        <f t="shared" si="55"/>
        <v>0</v>
      </c>
      <c r="W181" s="123">
        <f t="shared" si="55"/>
        <v>0</v>
      </c>
      <c r="X181" s="123">
        <f t="shared" si="55"/>
        <v>0</v>
      </c>
      <c r="Y181" s="123">
        <f t="shared" si="55"/>
        <v>0</v>
      </c>
      <c r="Z181" s="123">
        <f t="shared" si="55"/>
        <v>0</v>
      </c>
      <c r="AA181" s="123">
        <f t="shared" si="55"/>
        <v>0</v>
      </c>
      <c r="AB181" s="123">
        <f t="shared" si="55"/>
        <v>0</v>
      </c>
      <c r="AC181" s="123">
        <f t="shared" si="55"/>
        <v>0</v>
      </c>
      <c r="AD181" s="123">
        <f t="shared" si="55"/>
        <v>0</v>
      </c>
      <c r="AE181" s="123">
        <f t="shared" si="55"/>
        <v>0</v>
      </c>
      <c r="AF181" s="123">
        <f t="shared" si="55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53"/>
        <v>0.6</v>
      </c>
      <c r="C182" s="124">
        <v>0.6</v>
      </c>
      <c r="D182" s="123">
        <f t="shared" si="54"/>
        <v>0.6</v>
      </c>
      <c r="E182" s="123">
        <f t="shared" si="54"/>
        <v>0.6</v>
      </c>
      <c r="F182" s="123">
        <f t="shared" si="54"/>
        <v>0.6</v>
      </c>
      <c r="G182" s="123">
        <f t="shared" si="54"/>
        <v>0.6</v>
      </c>
      <c r="H182" s="123">
        <f t="shared" si="54"/>
        <v>0.6</v>
      </c>
      <c r="I182" s="123">
        <f t="shared" si="54"/>
        <v>0.6</v>
      </c>
      <c r="J182" s="123">
        <f t="shared" si="54"/>
        <v>0.6</v>
      </c>
      <c r="K182" s="123">
        <f t="shared" si="54"/>
        <v>0.6</v>
      </c>
      <c r="L182" s="123">
        <f t="shared" si="54"/>
        <v>0.6</v>
      </c>
      <c r="M182" s="123">
        <f t="shared" si="54"/>
        <v>0.6</v>
      </c>
      <c r="N182" s="123">
        <f t="shared" si="54"/>
        <v>0.6</v>
      </c>
      <c r="O182" s="123">
        <f t="shared" si="54"/>
        <v>0.6</v>
      </c>
      <c r="P182" s="123">
        <f t="shared" si="54"/>
        <v>0.6</v>
      </c>
      <c r="Q182" s="123">
        <f t="shared" si="54"/>
        <v>0.6</v>
      </c>
      <c r="R182" s="123">
        <f t="shared" si="54"/>
        <v>0.6</v>
      </c>
      <c r="S182" s="123">
        <f t="shared" si="54"/>
        <v>0.6</v>
      </c>
      <c r="T182" s="123">
        <f t="shared" si="55"/>
        <v>0.6</v>
      </c>
      <c r="U182" s="123">
        <f t="shared" si="55"/>
        <v>0.6</v>
      </c>
      <c r="V182" s="123">
        <f t="shared" si="55"/>
        <v>0.6</v>
      </c>
      <c r="W182" s="123">
        <f t="shared" si="55"/>
        <v>0.6</v>
      </c>
      <c r="X182" s="123">
        <f t="shared" si="55"/>
        <v>0.6</v>
      </c>
      <c r="Y182" s="123">
        <f t="shared" si="55"/>
        <v>0.6</v>
      </c>
      <c r="Z182" s="123">
        <f t="shared" si="55"/>
        <v>0.6</v>
      </c>
      <c r="AA182" s="123">
        <f t="shared" si="55"/>
        <v>0.6</v>
      </c>
      <c r="AB182" s="123">
        <f t="shared" si="55"/>
        <v>0.6</v>
      </c>
      <c r="AC182" s="123">
        <f t="shared" si="55"/>
        <v>0.6</v>
      </c>
      <c r="AD182" s="123">
        <f t="shared" si="55"/>
        <v>0.6</v>
      </c>
      <c r="AE182" s="123">
        <f t="shared" si="55"/>
        <v>0.6</v>
      </c>
      <c r="AF182" s="123">
        <f t="shared" si="55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53"/>
        <v>0.6</v>
      </c>
      <c r="C183" s="124">
        <v>0.6</v>
      </c>
      <c r="D183" s="123">
        <f t="shared" si="54"/>
        <v>0.6</v>
      </c>
      <c r="E183" s="123">
        <f t="shared" si="54"/>
        <v>0.6</v>
      </c>
      <c r="F183" s="123">
        <f t="shared" si="54"/>
        <v>0.6</v>
      </c>
      <c r="G183" s="123">
        <f t="shared" si="54"/>
        <v>0.6</v>
      </c>
      <c r="H183" s="123">
        <f t="shared" si="54"/>
        <v>0.6</v>
      </c>
      <c r="I183" s="123">
        <f t="shared" si="54"/>
        <v>0.6</v>
      </c>
      <c r="J183" s="123">
        <f t="shared" si="54"/>
        <v>0.6</v>
      </c>
      <c r="K183" s="123">
        <f t="shared" si="54"/>
        <v>0.6</v>
      </c>
      <c r="L183" s="123">
        <f t="shared" si="54"/>
        <v>0.6</v>
      </c>
      <c r="M183" s="123">
        <f t="shared" si="54"/>
        <v>0.6</v>
      </c>
      <c r="N183" s="123">
        <f t="shared" si="54"/>
        <v>0.6</v>
      </c>
      <c r="O183" s="123">
        <f t="shared" si="54"/>
        <v>0.6</v>
      </c>
      <c r="P183" s="123">
        <f t="shared" si="54"/>
        <v>0.6</v>
      </c>
      <c r="Q183" s="123">
        <f t="shared" si="54"/>
        <v>0.6</v>
      </c>
      <c r="R183" s="123">
        <f t="shared" si="54"/>
        <v>0.6</v>
      </c>
      <c r="S183" s="123">
        <f t="shared" si="54"/>
        <v>0.6</v>
      </c>
      <c r="T183" s="123">
        <f t="shared" si="55"/>
        <v>0.6</v>
      </c>
      <c r="U183" s="123">
        <f t="shared" si="55"/>
        <v>0.6</v>
      </c>
      <c r="V183" s="123">
        <f t="shared" si="55"/>
        <v>0.6</v>
      </c>
      <c r="W183" s="123">
        <f t="shared" si="55"/>
        <v>0.6</v>
      </c>
      <c r="X183" s="123">
        <f t="shared" si="55"/>
        <v>0.6</v>
      </c>
      <c r="Y183" s="123">
        <f t="shared" si="55"/>
        <v>0.6</v>
      </c>
      <c r="Z183" s="123">
        <f t="shared" si="55"/>
        <v>0.6</v>
      </c>
      <c r="AA183" s="123">
        <f t="shared" si="55"/>
        <v>0.6</v>
      </c>
      <c r="AB183" s="123">
        <f t="shared" si="55"/>
        <v>0.6</v>
      </c>
      <c r="AC183" s="123">
        <f t="shared" si="55"/>
        <v>0.6</v>
      </c>
      <c r="AD183" s="123">
        <f t="shared" si="55"/>
        <v>0.6</v>
      </c>
      <c r="AE183" s="123">
        <f t="shared" si="55"/>
        <v>0.6</v>
      </c>
      <c r="AF183" s="123">
        <f t="shared" si="55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53"/>
        <v>0.35</v>
      </c>
      <c r="C184" s="124">
        <v>0.35</v>
      </c>
      <c r="D184" s="123">
        <f t="shared" si="54"/>
        <v>0.35</v>
      </c>
      <c r="E184" s="123">
        <f t="shared" si="54"/>
        <v>0.35</v>
      </c>
      <c r="F184" s="123">
        <f t="shared" si="54"/>
        <v>0.35</v>
      </c>
      <c r="G184" s="123">
        <f t="shared" si="54"/>
        <v>0.35</v>
      </c>
      <c r="H184" s="123">
        <f t="shared" si="54"/>
        <v>0.35</v>
      </c>
      <c r="I184" s="123">
        <f t="shared" si="54"/>
        <v>0.35</v>
      </c>
      <c r="J184" s="123">
        <f t="shared" si="54"/>
        <v>0.35</v>
      </c>
      <c r="K184" s="123">
        <f t="shared" si="54"/>
        <v>0.35</v>
      </c>
      <c r="L184" s="123">
        <f t="shared" si="54"/>
        <v>0.35</v>
      </c>
      <c r="M184" s="123">
        <f t="shared" si="54"/>
        <v>0.35</v>
      </c>
      <c r="N184" s="123">
        <f t="shared" si="54"/>
        <v>0.35</v>
      </c>
      <c r="O184" s="123">
        <f t="shared" si="54"/>
        <v>0.35</v>
      </c>
      <c r="P184" s="123">
        <f t="shared" si="54"/>
        <v>0.35</v>
      </c>
      <c r="Q184" s="123">
        <f t="shared" si="54"/>
        <v>0.35</v>
      </c>
      <c r="R184" s="123">
        <f t="shared" si="54"/>
        <v>0.35</v>
      </c>
      <c r="S184" s="123">
        <f t="shared" si="54"/>
        <v>0.35</v>
      </c>
      <c r="T184" s="123">
        <f t="shared" si="55"/>
        <v>0.35</v>
      </c>
      <c r="U184" s="123">
        <f t="shared" si="55"/>
        <v>0.35</v>
      </c>
      <c r="V184" s="123">
        <f t="shared" si="55"/>
        <v>0.35</v>
      </c>
      <c r="W184" s="123">
        <f t="shared" si="55"/>
        <v>0.35</v>
      </c>
      <c r="X184" s="123">
        <f t="shared" si="55"/>
        <v>0.35</v>
      </c>
      <c r="Y184" s="123">
        <f t="shared" si="55"/>
        <v>0.35</v>
      </c>
      <c r="Z184" s="123">
        <f t="shared" si="55"/>
        <v>0.35</v>
      </c>
      <c r="AA184" s="123">
        <f t="shared" si="55"/>
        <v>0.35</v>
      </c>
      <c r="AB184" s="123">
        <f t="shared" si="55"/>
        <v>0.35</v>
      </c>
      <c r="AC184" s="123">
        <f t="shared" si="55"/>
        <v>0.35</v>
      </c>
      <c r="AD184" s="123">
        <f t="shared" si="55"/>
        <v>0.35</v>
      </c>
      <c r="AE184" s="123">
        <f t="shared" si="55"/>
        <v>0.35</v>
      </c>
      <c r="AF184" s="123">
        <f t="shared" si="55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53"/>
        <v>0.28999999999999998</v>
      </c>
      <c r="C185" s="124">
        <v>0.28999999999999998</v>
      </c>
      <c r="D185" s="123">
        <f t="shared" si="54"/>
        <v>0.28999999999999998</v>
      </c>
      <c r="E185" s="123">
        <f t="shared" si="54"/>
        <v>0.28999999999999998</v>
      </c>
      <c r="F185" s="123">
        <f t="shared" si="54"/>
        <v>0.28999999999999998</v>
      </c>
      <c r="G185" s="123">
        <f t="shared" si="54"/>
        <v>0.28999999999999998</v>
      </c>
      <c r="H185" s="123">
        <f t="shared" si="54"/>
        <v>0.28999999999999998</v>
      </c>
      <c r="I185" s="123">
        <f t="shared" si="54"/>
        <v>0.28999999999999998</v>
      </c>
      <c r="J185" s="123">
        <f t="shared" si="54"/>
        <v>0.28999999999999998</v>
      </c>
      <c r="K185" s="123">
        <f t="shared" si="54"/>
        <v>0.28999999999999998</v>
      </c>
      <c r="L185" s="123">
        <f t="shared" si="54"/>
        <v>0.28999999999999998</v>
      </c>
      <c r="M185" s="123">
        <f t="shared" si="54"/>
        <v>0.28999999999999998</v>
      </c>
      <c r="N185" s="123">
        <f t="shared" si="54"/>
        <v>0.28999999999999998</v>
      </c>
      <c r="O185" s="123">
        <f t="shared" si="54"/>
        <v>0.28999999999999998</v>
      </c>
      <c r="P185" s="123">
        <f t="shared" si="54"/>
        <v>0.28999999999999998</v>
      </c>
      <c r="Q185" s="123">
        <f t="shared" si="54"/>
        <v>0.28999999999999998</v>
      </c>
      <c r="R185" s="123">
        <f t="shared" si="54"/>
        <v>0.28999999999999998</v>
      </c>
      <c r="S185" s="123">
        <f t="shared" si="54"/>
        <v>0.28999999999999998</v>
      </c>
      <c r="T185" s="123">
        <f t="shared" si="55"/>
        <v>0.28999999999999998</v>
      </c>
      <c r="U185" s="123">
        <f t="shared" si="55"/>
        <v>0.28999999999999998</v>
      </c>
      <c r="V185" s="123">
        <f t="shared" si="55"/>
        <v>0.28999999999999998</v>
      </c>
      <c r="W185" s="123">
        <f t="shared" si="55"/>
        <v>0.28999999999999998</v>
      </c>
      <c r="X185" s="123">
        <f t="shared" si="55"/>
        <v>0.28999999999999998</v>
      </c>
      <c r="Y185" s="123">
        <f t="shared" si="55"/>
        <v>0.28999999999999998</v>
      </c>
      <c r="Z185" s="123">
        <f t="shared" si="55"/>
        <v>0.28999999999999998</v>
      </c>
      <c r="AA185" s="123">
        <f t="shared" si="55"/>
        <v>0.28999999999999998</v>
      </c>
      <c r="AB185" s="123">
        <f t="shared" si="55"/>
        <v>0.28999999999999998</v>
      </c>
      <c r="AC185" s="123">
        <f t="shared" si="55"/>
        <v>0.28999999999999998</v>
      </c>
      <c r="AD185" s="123">
        <f t="shared" si="55"/>
        <v>0.28999999999999998</v>
      </c>
      <c r="AE185" s="123">
        <f t="shared" si="55"/>
        <v>0.28999999999999998</v>
      </c>
      <c r="AF185" s="123">
        <f t="shared" si="55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53"/>
        <v>0.06</v>
      </c>
      <c r="C186" s="124">
        <v>0.06</v>
      </c>
      <c r="D186" s="123">
        <f t="shared" si="54"/>
        <v>0.06</v>
      </c>
      <c r="E186" s="123">
        <f t="shared" si="54"/>
        <v>0.06</v>
      </c>
      <c r="F186" s="123">
        <f t="shared" si="54"/>
        <v>0.06</v>
      </c>
      <c r="G186" s="123">
        <f t="shared" si="54"/>
        <v>0.06</v>
      </c>
      <c r="H186" s="123">
        <f t="shared" si="54"/>
        <v>0.06</v>
      </c>
      <c r="I186" s="123">
        <f t="shared" si="54"/>
        <v>0.06</v>
      </c>
      <c r="J186" s="123">
        <f t="shared" si="54"/>
        <v>0.06</v>
      </c>
      <c r="K186" s="123">
        <f t="shared" si="54"/>
        <v>0.06</v>
      </c>
      <c r="L186" s="123">
        <f t="shared" si="54"/>
        <v>0.06</v>
      </c>
      <c r="M186" s="123">
        <f t="shared" si="54"/>
        <v>0.06</v>
      </c>
      <c r="N186" s="123">
        <f t="shared" si="54"/>
        <v>0.06</v>
      </c>
      <c r="O186" s="123">
        <f t="shared" si="54"/>
        <v>0.06</v>
      </c>
      <c r="P186" s="123">
        <f t="shared" si="54"/>
        <v>0.06</v>
      </c>
      <c r="Q186" s="123">
        <f t="shared" si="54"/>
        <v>0.06</v>
      </c>
      <c r="R186" s="123">
        <f t="shared" si="54"/>
        <v>0.06</v>
      </c>
      <c r="S186" s="123">
        <f t="shared" si="54"/>
        <v>0.06</v>
      </c>
      <c r="T186" s="123">
        <f t="shared" si="55"/>
        <v>0.06</v>
      </c>
      <c r="U186" s="123">
        <f t="shared" si="55"/>
        <v>0.06</v>
      </c>
      <c r="V186" s="123">
        <f t="shared" si="55"/>
        <v>0.06</v>
      </c>
      <c r="W186" s="123">
        <f t="shared" si="55"/>
        <v>0.06</v>
      </c>
      <c r="X186" s="123">
        <f t="shared" si="55"/>
        <v>0.06</v>
      </c>
      <c r="Y186" s="123">
        <f t="shared" si="55"/>
        <v>0.06</v>
      </c>
      <c r="Z186" s="123">
        <f t="shared" si="55"/>
        <v>0.06</v>
      </c>
      <c r="AA186" s="123">
        <f t="shared" si="55"/>
        <v>0.06</v>
      </c>
      <c r="AB186" s="123">
        <f t="shared" si="55"/>
        <v>0.06</v>
      </c>
      <c r="AC186" s="123">
        <f t="shared" si="55"/>
        <v>0.06</v>
      </c>
      <c r="AD186" s="123">
        <f t="shared" si="55"/>
        <v>0.06</v>
      </c>
      <c r="AE186" s="123">
        <f t="shared" si="55"/>
        <v>0.06</v>
      </c>
      <c r="AF186" s="123">
        <f t="shared" si="55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53"/>
        <v>0.11</v>
      </c>
      <c r="C187" s="124">
        <v>0.11</v>
      </c>
      <c r="D187" s="123">
        <f t="shared" si="54"/>
        <v>0.11</v>
      </c>
      <c r="E187" s="123">
        <f t="shared" si="54"/>
        <v>0.11</v>
      </c>
      <c r="F187" s="123">
        <f t="shared" si="54"/>
        <v>0.11</v>
      </c>
      <c r="G187" s="123">
        <f t="shared" si="54"/>
        <v>0.11</v>
      </c>
      <c r="H187" s="123">
        <f t="shared" si="54"/>
        <v>0.11</v>
      </c>
      <c r="I187" s="123">
        <f t="shared" si="54"/>
        <v>0.11</v>
      </c>
      <c r="J187" s="123">
        <f t="shared" si="54"/>
        <v>0.11</v>
      </c>
      <c r="K187" s="123">
        <f t="shared" si="54"/>
        <v>0.11</v>
      </c>
      <c r="L187" s="123">
        <f t="shared" si="54"/>
        <v>0.11</v>
      </c>
      <c r="M187" s="123">
        <f t="shared" si="54"/>
        <v>0.11</v>
      </c>
      <c r="N187" s="123">
        <f t="shared" si="54"/>
        <v>0.11</v>
      </c>
      <c r="O187" s="123">
        <f t="shared" si="54"/>
        <v>0.11</v>
      </c>
      <c r="P187" s="123">
        <f t="shared" si="54"/>
        <v>0.11</v>
      </c>
      <c r="Q187" s="123">
        <f t="shared" si="54"/>
        <v>0.11</v>
      </c>
      <c r="R187" s="123">
        <f t="shared" si="54"/>
        <v>0.11</v>
      </c>
      <c r="S187" s="123">
        <f t="shared" si="54"/>
        <v>0.11</v>
      </c>
      <c r="T187" s="123">
        <f t="shared" si="55"/>
        <v>0.11</v>
      </c>
      <c r="U187" s="123">
        <f t="shared" si="55"/>
        <v>0.11</v>
      </c>
      <c r="V187" s="123">
        <f t="shared" si="55"/>
        <v>0.11</v>
      </c>
      <c r="W187" s="123">
        <f t="shared" si="55"/>
        <v>0.11</v>
      </c>
      <c r="X187" s="123">
        <f t="shared" si="55"/>
        <v>0.11</v>
      </c>
      <c r="Y187" s="123">
        <f t="shared" si="55"/>
        <v>0.11</v>
      </c>
      <c r="Z187" s="123">
        <f t="shared" si="55"/>
        <v>0.11</v>
      </c>
      <c r="AA187" s="123">
        <f t="shared" si="55"/>
        <v>0.11</v>
      </c>
      <c r="AB187" s="123">
        <f t="shared" si="55"/>
        <v>0.11</v>
      </c>
      <c r="AC187" s="123">
        <f t="shared" si="55"/>
        <v>0.11</v>
      </c>
      <c r="AD187" s="123">
        <f t="shared" si="55"/>
        <v>0.11</v>
      </c>
      <c r="AE187" s="123">
        <f t="shared" si="55"/>
        <v>0.11</v>
      </c>
      <c r="AF187" s="123">
        <f t="shared" si="55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53"/>
        <v>0.1</v>
      </c>
      <c r="C188" s="124">
        <v>0.1</v>
      </c>
      <c r="D188" s="123">
        <f t="shared" si="54"/>
        <v>0.1</v>
      </c>
      <c r="E188" s="123">
        <f t="shared" si="54"/>
        <v>0.1</v>
      </c>
      <c r="F188" s="123">
        <f t="shared" si="54"/>
        <v>0.1</v>
      </c>
      <c r="G188" s="123">
        <f t="shared" si="54"/>
        <v>0.1</v>
      </c>
      <c r="H188" s="123">
        <f t="shared" si="54"/>
        <v>0.1</v>
      </c>
      <c r="I188" s="123">
        <f t="shared" si="54"/>
        <v>0.1</v>
      </c>
      <c r="J188" s="123">
        <f t="shared" si="54"/>
        <v>0.1</v>
      </c>
      <c r="K188" s="123">
        <f t="shared" si="54"/>
        <v>0.1</v>
      </c>
      <c r="L188" s="123">
        <f t="shared" si="54"/>
        <v>0.1</v>
      </c>
      <c r="M188" s="123">
        <f t="shared" si="54"/>
        <v>0.1</v>
      </c>
      <c r="N188" s="123">
        <f t="shared" si="54"/>
        <v>0.1</v>
      </c>
      <c r="O188" s="123">
        <f t="shared" si="54"/>
        <v>0.1</v>
      </c>
      <c r="P188" s="123">
        <f t="shared" si="54"/>
        <v>0.1</v>
      </c>
      <c r="Q188" s="123">
        <f t="shared" si="54"/>
        <v>0.1</v>
      </c>
      <c r="R188" s="123">
        <f t="shared" si="54"/>
        <v>0.1</v>
      </c>
      <c r="S188" s="123">
        <f t="shared" si="55"/>
        <v>0.1</v>
      </c>
      <c r="T188" s="123">
        <f t="shared" si="55"/>
        <v>0.1</v>
      </c>
      <c r="U188" s="123">
        <f t="shared" si="55"/>
        <v>0.1</v>
      </c>
      <c r="V188" s="123">
        <f t="shared" si="55"/>
        <v>0.1</v>
      </c>
      <c r="W188" s="123">
        <f t="shared" si="55"/>
        <v>0.1</v>
      </c>
      <c r="X188" s="123">
        <f t="shared" si="55"/>
        <v>0.1</v>
      </c>
      <c r="Y188" s="123">
        <f t="shared" si="55"/>
        <v>0.1</v>
      </c>
      <c r="Z188" s="123">
        <f t="shared" si="55"/>
        <v>0.1</v>
      </c>
      <c r="AA188" s="123">
        <f t="shared" si="55"/>
        <v>0.1</v>
      </c>
      <c r="AB188" s="123">
        <f t="shared" si="55"/>
        <v>0.1</v>
      </c>
      <c r="AC188" s="123">
        <f t="shared" si="55"/>
        <v>0.1</v>
      </c>
      <c r="AD188" s="123">
        <f t="shared" si="55"/>
        <v>0.1</v>
      </c>
      <c r="AE188" s="123">
        <f t="shared" si="55"/>
        <v>0.1</v>
      </c>
      <c r="AF188" s="123">
        <f t="shared" si="55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53"/>
        <v>0.09</v>
      </c>
      <c r="C189" s="124">
        <v>0.09</v>
      </c>
      <c r="D189" s="123">
        <f t="shared" si="54"/>
        <v>0.09</v>
      </c>
      <c r="E189" s="123">
        <f t="shared" si="54"/>
        <v>0.09</v>
      </c>
      <c r="F189" s="123">
        <f t="shared" si="54"/>
        <v>0.09</v>
      </c>
      <c r="G189" s="123">
        <f t="shared" si="54"/>
        <v>0.09</v>
      </c>
      <c r="H189" s="123">
        <f t="shared" si="54"/>
        <v>0.09</v>
      </c>
      <c r="I189" s="123">
        <f t="shared" si="54"/>
        <v>0.09</v>
      </c>
      <c r="J189" s="123">
        <f t="shared" si="54"/>
        <v>0.09</v>
      </c>
      <c r="K189" s="123">
        <f t="shared" si="54"/>
        <v>0.09</v>
      </c>
      <c r="L189" s="123">
        <f t="shared" si="54"/>
        <v>0.09</v>
      </c>
      <c r="M189" s="123">
        <f t="shared" si="54"/>
        <v>0.09</v>
      </c>
      <c r="N189" s="123">
        <f t="shared" si="54"/>
        <v>0.09</v>
      </c>
      <c r="O189" s="123">
        <f t="shared" si="54"/>
        <v>0.09</v>
      </c>
      <c r="P189" s="123">
        <f t="shared" si="54"/>
        <v>0.09</v>
      </c>
      <c r="Q189" s="123">
        <f t="shared" si="54"/>
        <v>0.09</v>
      </c>
      <c r="R189" s="123">
        <f t="shared" si="54"/>
        <v>0.09</v>
      </c>
      <c r="S189" s="123">
        <f t="shared" si="55"/>
        <v>0.09</v>
      </c>
      <c r="T189" s="123">
        <f t="shared" si="55"/>
        <v>0.09</v>
      </c>
      <c r="U189" s="123">
        <f t="shared" si="55"/>
        <v>0.09</v>
      </c>
      <c r="V189" s="123">
        <f t="shared" si="55"/>
        <v>0.09</v>
      </c>
      <c r="W189" s="123">
        <f t="shared" si="55"/>
        <v>0.09</v>
      </c>
      <c r="X189" s="123">
        <f t="shared" si="55"/>
        <v>0.09</v>
      </c>
      <c r="Y189" s="123">
        <f t="shared" si="55"/>
        <v>0.09</v>
      </c>
      <c r="Z189" s="123">
        <f t="shared" si="55"/>
        <v>0.09</v>
      </c>
      <c r="AA189" s="123">
        <f t="shared" si="55"/>
        <v>0.09</v>
      </c>
      <c r="AB189" s="123">
        <f t="shared" si="55"/>
        <v>0.09</v>
      </c>
      <c r="AC189" s="123">
        <f t="shared" si="55"/>
        <v>0.09</v>
      </c>
      <c r="AD189" s="123">
        <f t="shared" si="55"/>
        <v>0.09</v>
      </c>
      <c r="AE189" s="123">
        <f t="shared" si="55"/>
        <v>0.09</v>
      </c>
      <c r="AF189" s="123">
        <f t="shared" si="55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53"/>
        <v>0.04</v>
      </c>
      <c r="C190" s="53">
        <v>0.04</v>
      </c>
      <c r="D190" s="123">
        <f t="shared" si="54"/>
        <v>0.04</v>
      </c>
      <c r="E190" s="123">
        <f t="shared" si="54"/>
        <v>0.04</v>
      </c>
      <c r="F190" s="123">
        <f t="shared" si="54"/>
        <v>0.04</v>
      </c>
      <c r="G190" s="123">
        <f t="shared" si="54"/>
        <v>0.04</v>
      </c>
      <c r="H190" s="123">
        <f t="shared" si="54"/>
        <v>0.04</v>
      </c>
      <c r="I190" s="123">
        <f t="shared" si="54"/>
        <v>0.04</v>
      </c>
      <c r="J190" s="123">
        <f t="shared" si="54"/>
        <v>0.04</v>
      </c>
      <c r="K190" s="123">
        <f t="shared" si="54"/>
        <v>0.04</v>
      </c>
      <c r="L190" s="123">
        <f t="shared" si="54"/>
        <v>0.04</v>
      </c>
      <c r="M190" s="123">
        <f t="shared" si="54"/>
        <v>0.04</v>
      </c>
      <c r="N190" s="123">
        <f t="shared" si="54"/>
        <v>0.04</v>
      </c>
      <c r="O190" s="123">
        <f t="shared" si="54"/>
        <v>0.04</v>
      </c>
      <c r="P190" s="123">
        <f t="shared" si="54"/>
        <v>0.04</v>
      </c>
      <c r="Q190" s="123">
        <f t="shared" si="54"/>
        <v>0.04</v>
      </c>
      <c r="R190" s="123">
        <f t="shared" si="54"/>
        <v>0.04</v>
      </c>
      <c r="S190" s="123">
        <f t="shared" si="55"/>
        <v>0.04</v>
      </c>
      <c r="T190" s="123">
        <f t="shared" si="55"/>
        <v>0.04</v>
      </c>
      <c r="U190" s="123">
        <f t="shared" si="55"/>
        <v>0.04</v>
      </c>
      <c r="V190" s="123">
        <f t="shared" si="55"/>
        <v>0.04</v>
      </c>
      <c r="W190" s="123">
        <f t="shared" si="55"/>
        <v>0.04</v>
      </c>
      <c r="X190" s="123">
        <f t="shared" si="55"/>
        <v>0.04</v>
      </c>
      <c r="Y190" s="123">
        <f t="shared" si="55"/>
        <v>0.04</v>
      </c>
      <c r="Z190" s="123">
        <f t="shared" si="55"/>
        <v>0.04</v>
      </c>
      <c r="AA190" s="123">
        <f t="shared" si="55"/>
        <v>0.04</v>
      </c>
      <c r="AB190" s="123">
        <f t="shared" si="55"/>
        <v>0.04</v>
      </c>
      <c r="AC190" s="123">
        <f t="shared" si="55"/>
        <v>0.04</v>
      </c>
      <c r="AD190" s="123">
        <f t="shared" si="55"/>
        <v>0.04</v>
      </c>
      <c r="AE190" s="123">
        <f t="shared" si="55"/>
        <v>0.04</v>
      </c>
      <c r="AF190" s="123">
        <f t="shared" si="55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53"/>
        <v>2.3E-2</v>
      </c>
      <c r="C191" s="53">
        <v>2.3E-2</v>
      </c>
      <c r="D191" s="123">
        <f>C191</f>
        <v>2.3E-2</v>
      </c>
      <c r="E191" s="123">
        <f t="shared" si="54"/>
        <v>2.3E-2</v>
      </c>
      <c r="F191" s="123">
        <f t="shared" si="54"/>
        <v>2.3E-2</v>
      </c>
      <c r="G191" s="123">
        <f t="shared" si="54"/>
        <v>2.3E-2</v>
      </c>
      <c r="H191" s="123">
        <f t="shared" si="54"/>
        <v>2.3E-2</v>
      </c>
      <c r="I191" s="123">
        <f t="shared" si="54"/>
        <v>2.3E-2</v>
      </c>
      <c r="J191" s="123">
        <f t="shared" si="54"/>
        <v>2.3E-2</v>
      </c>
      <c r="K191" s="123">
        <f t="shared" si="54"/>
        <v>2.3E-2</v>
      </c>
      <c r="L191" s="123">
        <f t="shared" si="54"/>
        <v>2.3E-2</v>
      </c>
      <c r="M191" s="123">
        <f t="shared" si="54"/>
        <v>2.3E-2</v>
      </c>
      <c r="N191" s="123">
        <f t="shared" si="54"/>
        <v>2.3E-2</v>
      </c>
      <c r="O191" s="123">
        <f t="shared" si="54"/>
        <v>2.3E-2</v>
      </c>
      <c r="P191" s="123">
        <f t="shared" si="54"/>
        <v>2.3E-2</v>
      </c>
      <c r="Q191" s="123">
        <f t="shared" si="54"/>
        <v>2.3E-2</v>
      </c>
      <c r="R191" s="123">
        <f t="shared" si="54"/>
        <v>2.3E-2</v>
      </c>
      <c r="S191" s="123">
        <f t="shared" si="55"/>
        <v>2.3E-2</v>
      </c>
      <c r="T191" s="123">
        <f t="shared" si="55"/>
        <v>2.3E-2</v>
      </c>
      <c r="U191" s="123">
        <f t="shared" si="55"/>
        <v>2.3E-2</v>
      </c>
      <c r="V191" s="123">
        <f t="shared" si="55"/>
        <v>2.3E-2</v>
      </c>
      <c r="W191" s="123">
        <f t="shared" si="55"/>
        <v>2.3E-2</v>
      </c>
      <c r="X191" s="123">
        <f t="shared" si="55"/>
        <v>2.3E-2</v>
      </c>
      <c r="Y191" s="123">
        <f t="shared" si="55"/>
        <v>2.3E-2</v>
      </c>
      <c r="Z191" s="123">
        <f t="shared" si="55"/>
        <v>2.3E-2</v>
      </c>
      <c r="AA191" s="123">
        <f t="shared" si="55"/>
        <v>2.3E-2</v>
      </c>
      <c r="AB191" s="123">
        <f t="shared" si="55"/>
        <v>2.3E-2</v>
      </c>
      <c r="AC191" s="123">
        <f t="shared" si="55"/>
        <v>2.3E-2</v>
      </c>
      <c r="AD191" s="123">
        <f t="shared" si="55"/>
        <v>2.3E-2</v>
      </c>
      <c r="AE191" s="123">
        <f t="shared" si="55"/>
        <v>2.3E-2</v>
      </c>
      <c r="AF191" s="123">
        <f t="shared" si="55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56">SUM(C102:C191)</f>
        <v>194.70600000000002</v>
      </c>
      <c r="D192" s="128">
        <f t="shared" si="56"/>
        <v>194.70600000000002</v>
      </c>
      <c r="E192" s="128">
        <f t="shared" si="56"/>
        <v>194.70600000000002</v>
      </c>
      <c r="F192" s="128">
        <f t="shared" si="56"/>
        <v>194.70600000000002</v>
      </c>
      <c r="G192" s="128">
        <f t="shared" si="56"/>
        <v>194.70600000000002</v>
      </c>
      <c r="H192" s="128">
        <f t="shared" si="56"/>
        <v>194.70600000000002</v>
      </c>
      <c r="I192" s="128">
        <f t="shared" si="56"/>
        <v>189.70600000000005</v>
      </c>
      <c r="J192" s="128">
        <f t="shared" si="56"/>
        <v>187.10600000000005</v>
      </c>
      <c r="K192" s="128">
        <f t="shared" si="56"/>
        <v>187.10600000000005</v>
      </c>
      <c r="L192" s="128">
        <f t="shared" si="56"/>
        <v>187.10600000000005</v>
      </c>
      <c r="M192" s="128">
        <f t="shared" si="56"/>
        <v>187.10600000000005</v>
      </c>
      <c r="N192" s="128">
        <f t="shared" si="56"/>
        <v>187.10600000000005</v>
      </c>
      <c r="O192" s="128">
        <f t="shared" si="56"/>
        <v>187.10600000000005</v>
      </c>
      <c r="P192" s="128">
        <f t="shared" si="56"/>
        <v>187.10600000000005</v>
      </c>
      <c r="Q192" s="128">
        <f t="shared" si="56"/>
        <v>187.10600000000005</v>
      </c>
      <c r="R192" s="128">
        <f t="shared" si="56"/>
        <v>187.10600000000005</v>
      </c>
      <c r="S192" s="128">
        <f t="shared" si="56"/>
        <v>187.10600000000005</v>
      </c>
      <c r="T192" s="128">
        <f t="shared" si="56"/>
        <v>187.10600000000005</v>
      </c>
      <c r="U192" s="128">
        <f t="shared" si="56"/>
        <v>187.10600000000005</v>
      </c>
      <c r="V192" s="128">
        <f t="shared" si="56"/>
        <v>187.10600000000005</v>
      </c>
      <c r="W192" s="128">
        <f t="shared" si="56"/>
        <v>187.10600000000005</v>
      </c>
      <c r="X192" s="128">
        <f t="shared" si="56"/>
        <v>187.10600000000005</v>
      </c>
      <c r="Y192" s="128">
        <f t="shared" si="56"/>
        <v>187.10600000000005</v>
      </c>
      <c r="Z192" s="128">
        <f t="shared" si="56"/>
        <v>187.10600000000005</v>
      </c>
      <c r="AA192" s="128">
        <f t="shared" si="56"/>
        <v>187.10600000000005</v>
      </c>
      <c r="AB192" s="128">
        <f t="shared" si="56"/>
        <v>187.10600000000005</v>
      </c>
      <c r="AC192" s="128">
        <f t="shared" si="56"/>
        <v>187.10600000000005</v>
      </c>
      <c r="AD192" s="128">
        <f t="shared" si="56"/>
        <v>187.10600000000005</v>
      </c>
      <c r="AE192" s="128">
        <f t="shared" si="56"/>
        <v>187.10600000000005</v>
      </c>
      <c r="AF192" s="128">
        <f t="shared" si="56"/>
        <v>187.10600000000005</v>
      </c>
      <c r="AG192" s="129">
        <f t="shared" si="56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57">AF194</f>
        <v>0.3</v>
      </c>
      <c r="C194" s="130">
        <v>0.3</v>
      </c>
      <c r="D194" s="130">
        <f t="shared" ref="D194:S199" si="58">C194</f>
        <v>0.3</v>
      </c>
      <c r="E194" s="130">
        <f t="shared" si="58"/>
        <v>0.3</v>
      </c>
      <c r="F194" s="130">
        <f t="shared" si="58"/>
        <v>0.3</v>
      </c>
      <c r="G194" s="130">
        <f t="shared" si="58"/>
        <v>0.3</v>
      </c>
      <c r="H194" s="130">
        <f t="shared" si="58"/>
        <v>0.3</v>
      </c>
      <c r="I194" s="130">
        <f t="shared" si="58"/>
        <v>0.3</v>
      </c>
      <c r="J194" s="130">
        <f t="shared" si="58"/>
        <v>0.3</v>
      </c>
      <c r="K194" s="130">
        <f t="shared" si="58"/>
        <v>0.3</v>
      </c>
      <c r="L194" s="130">
        <f t="shared" si="58"/>
        <v>0.3</v>
      </c>
      <c r="M194" s="130">
        <f t="shared" si="58"/>
        <v>0.3</v>
      </c>
      <c r="N194" s="130">
        <f t="shared" si="58"/>
        <v>0.3</v>
      </c>
      <c r="O194" s="130">
        <f t="shared" si="58"/>
        <v>0.3</v>
      </c>
      <c r="P194" s="130">
        <f t="shared" si="58"/>
        <v>0.3</v>
      </c>
      <c r="Q194" s="130">
        <f t="shared" si="58"/>
        <v>0.3</v>
      </c>
      <c r="R194" s="130">
        <f t="shared" si="58"/>
        <v>0.3</v>
      </c>
      <c r="S194" s="130">
        <f t="shared" si="58"/>
        <v>0.3</v>
      </c>
      <c r="T194" s="130">
        <f t="shared" ref="T194:AF199" si="59">S194</f>
        <v>0.3</v>
      </c>
      <c r="U194" s="130">
        <f t="shared" si="59"/>
        <v>0.3</v>
      </c>
      <c r="V194" s="130">
        <f t="shared" si="59"/>
        <v>0.3</v>
      </c>
      <c r="W194" s="130">
        <f t="shared" si="59"/>
        <v>0.3</v>
      </c>
      <c r="X194" s="130">
        <f t="shared" si="59"/>
        <v>0.3</v>
      </c>
      <c r="Y194" s="130">
        <f t="shared" si="59"/>
        <v>0.3</v>
      </c>
      <c r="Z194" s="130">
        <f t="shared" si="59"/>
        <v>0.3</v>
      </c>
      <c r="AA194" s="130">
        <f t="shared" si="59"/>
        <v>0.3</v>
      </c>
      <c r="AB194" s="130">
        <f t="shared" si="59"/>
        <v>0.3</v>
      </c>
      <c r="AC194" s="130">
        <f t="shared" si="59"/>
        <v>0.3</v>
      </c>
      <c r="AD194" s="130">
        <f t="shared" si="59"/>
        <v>0.3</v>
      </c>
      <c r="AE194" s="130">
        <f t="shared" si="59"/>
        <v>0.3</v>
      </c>
      <c r="AF194" s="130">
        <f t="shared" si="59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57"/>
        <v>0.4</v>
      </c>
      <c r="C195" s="123">
        <v>0.4</v>
      </c>
      <c r="D195" s="123">
        <f t="shared" si="58"/>
        <v>0.4</v>
      </c>
      <c r="E195" s="123">
        <f t="shared" si="58"/>
        <v>0.4</v>
      </c>
      <c r="F195" s="123">
        <f t="shared" si="58"/>
        <v>0.4</v>
      </c>
      <c r="G195" s="123">
        <f t="shared" si="58"/>
        <v>0.4</v>
      </c>
      <c r="H195" s="123">
        <f t="shared" si="58"/>
        <v>0.4</v>
      </c>
      <c r="I195" s="123">
        <f t="shared" si="58"/>
        <v>0.4</v>
      </c>
      <c r="J195" s="123">
        <f t="shared" si="58"/>
        <v>0.4</v>
      </c>
      <c r="K195" s="123">
        <f t="shared" si="58"/>
        <v>0.4</v>
      </c>
      <c r="L195" s="123">
        <f t="shared" si="58"/>
        <v>0.4</v>
      </c>
      <c r="M195" s="123">
        <f t="shared" si="58"/>
        <v>0.4</v>
      </c>
      <c r="N195" s="123">
        <f t="shared" si="58"/>
        <v>0.4</v>
      </c>
      <c r="O195" s="123">
        <f t="shared" si="58"/>
        <v>0.4</v>
      </c>
      <c r="P195" s="123">
        <f t="shared" si="58"/>
        <v>0.4</v>
      </c>
      <c r="Q195" s="123">
        <f t="shared" si="58"/>
        <v>0.4</v>
      </c>
      <c r="R195" s="123">
        <f t="shared" si="58"/>
        <v>0.4</v>
      </c>
      <c r="S195" s="123">
        <f t="shared" si="58"/>
        <v>0.4</v>
      </c>
      <c r="T195" s="123">
        <f t="shared" si="59"/>
        <v>0.4</v>
      </c>
      <c r="U195" s="123">
        <f t="shared" si="59"/>
        <v>0.4</v>
      </c>
      <c r="V195" s="123">
        <f t="shared" si="59"/>
        <v>0.4</v>
      </c>
      <c r="W195" s="123">
        <f>V195</f>
        <v>0.4</v>
      </c>
      <c r="X195" s="123">
        <f>W195</f>
        <v>0.4</v>
      </c>
      <c r="Y195" s="123">
        <f t="shared" si="59"/>
        <v>0.4</v>
      </c>
      <c r="Z195" s="123">
        <f t="shared" si="59"/>
        <v>0.4</v>
      </c>
      <c r="AA195" s="123">
        <f t="shared" si="59"/>
        <v>0.4</v>
      </c>
      <c r="AB195" s="123">
        <f t="shared" si="59"/>
        <v>0.4</v>
      </c>
      <c r="AC195" s="123">
        <f t="shared" si="59"/>
        <v>0.4</v>
      </c>
      <c r="AD195" s="123">
        <f t="shared" si="59"/>
        <v>0.4</v>
      </c>
      <c r="AE195" s="123">
        <f t="shared" si="59"/>
        <v>0.4</v>
      </c>
      <c r="AF195" s="123">
        <f t="shared" si="59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57"/>
        <v>1.5</v>
      </c>
      <c r="C196" s="123">
        <v>1.5</v>
      </c>
      <c r="D196" s="123">
        <f t="shared" si="58"/>
        <v>1.5</v>
      </c>
      <c r="E196" s="123">
        <f t="shared" si="58"/>
        <v>1.5</v>
      </c>
      <c r="F196" s="123">
        <f t="shared" si="58"/>
        <v>1.5</v>
      </c>
      <c r="G196" s="123">
        <f t="shared" si="58"/>
        <v>1.5</v>
      </c>
      <c r="H196" s="123">
        <f t="shared" si="58"/>
        <v>1.5</v>
      </c>
      <c r="I196" s="123">
        <f t="shared" si="58"/>
        <v>1.5</v>
      </c>
      <c r="J196" s="123">
        <f t="shared" si="58"/>
        <v>1.5</v>
      </c>
      <c r="K196" s="123">
        <f t="shared" si="58"/>
        <v>1.5</v>
      </c>
      <c r="L196" s="123">
        <f t="shared" si="58"/>
        <v>1.5</v>
      </c>
      <c r="M196" s="123">
        <f t="shared" si="58"/>
        <v>1.5</v>
      </c>
      <c r="N196" s="123">
        <f t="shared" si="58"/>
        <v>1.5</v>
      </c>
      <c r="O196" s="123">
        <f t="shared" si="58"/>
        <v>1.5</v>
      </c>
      <c r="P196" s="123">
        <f t="shared" si="58"/>
        <v>1.5</v>
      </c>
      <c r="Q196" s="123">
        <f t="shared" si="58"/>
        <v>1.5</v>
      </c>
      <c r="R196" s="123">
        <f t="shared" si="58"/>
        <v>1.5</v>
      </c>
      <c r="S196" s="123">
        <f t="shared" si="58"/>
        <v>1.5</v>
      </c>
      <c r="T196" s="123">
        <f t="shared" si="59"/>
        <v>1.5</v>
      </c>
      <c r="U196" s="123">
        <f t="shared" si="59"/>
        <v>1.5</v>
      </c>
      <c r="V196" s="123">
        <f t="shared" si="59"/>
        <v>1.5</v>
      </c>
      <c r="W196" s="123">
        <f t="shared" si="59"/>
        <v>1.5</v>
      </c>
      <c r="X196" s="123">
        <f t="shared" si="59"/>
        <v>1.5</v>
      </c>
      <c r="Y196" s="123">
        <f t="shared" si="59"/>
        <v>1.5</v>
      </c>
      <c r="Z196" s="123">
        <f t="shared" si="59"/>
        <v>1.5</v>
      </c>
      <c r="AA196" s="123">
        <f t="shared" si="59"/>
        <v>1.5</v>
      </c>
      <c r="AB196" s="123">
        <f t="shared" si="59"/>
        <v>1.5</v>
      </c>
      <c r="AC196" s="123">
        <f t="shared" si="59"/>
        <v>1.5</v>
      </c>
      <c r="AD196" s="123">
        <f t="shared" si="59"/>
        <v>1.5</v>
      </c>
      <c r="AE196" s="123">
        <f t="shared" si="59"/>
        <v>1.5</v>
      </c>
      <c r="AF196" s="123">
        <f t="shared" si="59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57"/>
        <v>0.3</v>
      </c>
      <c r="C197" s="123">
        <v>0.3</v>
      </c>
      <c r="D197" s="123">
        <f t="shared" si="58"/>
        <v>0.3</v>
      </c>
      <c r="E197" s="123">
        <f t="shared" si="58"/>
        <v>0.3</v>
      </c>
      <c r="F197" s="123">
        <f t="shared" si="58"/>
        <v>0.3</v>
      </c>
      <c r="G197" s="123">
        <f t="shared" si="58"/>
        <v>0.3</v>
      </c>
      <c r="H197" s="123">
        <f t="shared" si="58"/>
        <v>0.3</v>
      </c>
      <c r="I197" s="123">
        <f t="shared" si="58"/>
        <v>0.3</v>
      </c>
      <c r="J197" s="123">
        <f t="shared" si="58"/>
        <v>0.3</v>
      </c>
      <c r="K197" s="123">
        <f t="shared" si="58"/>
        <v>0.3</v>
      </c>
      <c r="L197" s="123">
        <f t="shared" si="58"/>
        <v>0.3</v>
      </c>
      <c r="M197" s="123">
        <f t="shared" si="58"/>
        <v>0.3</v>
      </c>
      <c r="N197" s="123">
        <f t="shared" si="58"/>
        <v>0.3</v>
      </c>
      <c r="O197" s="123">
        <f t="shared" si="58"/>
        <v>0.3</v>
      </c>
      <c r="P197" s="123">
        <f t="shared" si="58"/>
        <v>0.3</v>
      </c>
      <c r="Q197" s="123">
        <f t="shared" si="58"/>
        <v>0.3</v>
      </c>
      <c r="R197" s="123">
        <f t="shared" si="58"/>
        <v>0.3</v>
      </c>
      <c r="S197" s="123">
        <f t="shared" si="58"/>
        <v>0.3</v>
      </c>
      <c r="T197" s="123">
        <f t="shared" si="59"/>
        <v>0.3</v>
      </c>
      <c r="U197" s="123">
        <f t="shared" si="59"/>
        <v>0.3</v>
      </c>
      <c r="V197" s="123">
        <f t="shared" si="59"/>
        <v>0.3</v>
      </c>
      <c r="W197" s="123">
        <f t="shared" si="59"/>
        <v>0.3</v>
      </c>
      <c r="X197" s="123">
        <f t="shared" si="59"/>
        <v>0.3</v>
      </c>
      <c r="Y197" s="123">
        <f t="shared" si="59"/>
        <v>0.3</v>
      </c>
      <c r="Z197" s="123">
        <f t="shared" si="59"/>
        <v>0.3</v>
      </c>
      <c r="AA197" s="123">
        <f t="shared" si="59"/>
        <v>0.3</v>
      </c>
      <c r="AB197" s="123">
        <f t="shared" si="59"/>
        <v>0.3</v>
      </c>
      <c r="AC197" s="123">
        <f t="shared" si="59"/>
        <v>0.3</v>
      </c>
      <c r="AD197" s="123">
        <f t="shared" si="59"/>
        <v>0.3</v>
      </c>
      <c r="AE197" s="123">
        <f t="shared" si="59"/>
        <v>0.3</v>
      </c>
      <c r="AF197" s="123">
        <f t="shared" si="59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57"/>
        <v>0.4</v>
      </c>
      <c r="C198" s="123">
        <v>0.4</v>
      </c>
      <c r="D198" s="123">
        <f t="shared" si="58"/>
        <v>0.4</v>
      </c>
      <c r="E198" s="123">
        <f t="shared" si="58"/>
        <v>0.4</v>
      </c>
      <c r="F198" s="123">
        <f t="shared" si="58"/>
        <v>0.4</v>
      </c>
      <c r="G198" s="123">
        <f t="shared" si="58"/>
        <v>0.4</v>
      </c>
      <c r="H198" s="123">
        <f t="shared" si="58"/>
        <v>0.4</v>
      </c>
      <c r="I198" s="123">
        <f t="shared" si="58"/>
        <v>0.4</v>
      </c>
      <c r="J198" s="123">
        <f t="shared" si="58"/>
        <v>0.4</v>
      </c>
      <c r="K198" s="123">
        <f t="shared" si="58"/>
        <v>0.4</v>
      </c>
      <c r="L198" s="123">
        <f t="shared" si="58"/>
        <v>0.4</v>
      </c>
      <c r="M198" s="123">
        <f t="shared" si="58"/>
        <v>0.4</v>
      </c>
      <c r="N198" s="123">
        <f t="shared" si="58"/>
        <v>0.4</v>
      </c>
      <c r="O198" s="123">
        <f t="shared" si="58"/>
        <v>0.4</v>
      </c>
      <c r="P198" s="123">
        <f t="shared" si="58"/>
        <v>0.4</v>
      </c>
      <c r="Q198" s="123">
        <f t="shared" si="58"/>
        <v>0.4</v>
      </c>
      <c r="R198" s="123">
        <f t="shared" si="58"/>
        <v>0.4</v>
      </c>
      <c r="S198" s="123">
        <f t="shared" si="58"/>
        <v>0.4</v>
      </c>
      <c r="T198" s="123">
        <f t="shared" si="59"/>
        <v>0.4</v>
      </c>
      <c r="U198" s="123">
        <f t="shared" si="59"/>
        <v>0.4</v>
      </c>
      <c r="V198" s="123">
        <f t="shared" si="59"/>
        <v>0.4</v>
      </c>
      <c r="W198" s="123">
        <f t="shared" si="59"/>
        <v>0.4</v>
      </c>
      <c r="X198" s="123">
        <f t="shared" si="59"/>
        <v>0.4</v>
      </c>
      <c r="Y198" s="123">
        <f t="shared" si="59"/>
        <v>0.4</v>
      </c>
      <c r="Z198" s="123">
        <f t="shared" si="59"/>
        <v>0.4</v>
      </c>
      <c r="AA198" s="123">
        <f t="shared" si="59"/>
        <v>0.4</v>
      </c>
      <c r="AB198" s="123">
        <f t="shared" si="59"/>
        <v>0.4</v>
      </c>
      <c r="AC198" s="123">
        <f t="shared" si="59"/>
        <v>0.4</v>
      </c>
      <c r="AD198" s="123">
        <f t="shared" si="59"/>
        <v>0.4</v>
      </c>
      <c r="AE198" s="123">
        <f t="shared" si="59"/>
        <v>0.4</v>
      </c>
      <c r="AF198" s="123">
        <f t="shared" si="59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57"/>
        <v>0.64</v>
      </c>
      <c r="C199" s="133">
        <v>0.64</v>
      </c>
      <c r="D199" s="133">
        <f t="shared" si="58"/>
        <v>0.64</v>
      </c>
      <c r="E199" s="133">
        <f t="shared" si="58"/>
        <v>0.64</v>
      </c>
      <c r="F199" s="133">
        <f t="shared" si="58"/>
        <v>0.64</v>
      </c>
      <c r="G199" s="133">
        <f t="shared" si="58"/>
        <v>0.64</v>
      </c>
      <c r="H199" s="133">
        <f t="shared" si="58"/>
        <v>0.64</v>
      </c>
      <c r="I199" s="133">
        <f t="shared" si="58"/>
        <v>0.64</v>
      </c>
      <c r="J199" s="133">
        <f t="shared" si="58"/>
        <v>0.64</v>
      </c>
      <c r="K199" s="133">
        <f t="shared" si="58"/>
        <v>0.64</v>
      </c>
      <c r="L199" s="133">
        <f t="shared" si="58"/>
        <v>0.64</v>
      </c>
      <c r="M199" s="133">
        <f t="shared" si="58"/>
        <v>0.64</v>
      </c>
      <c r="N199" s="133">
        <f t="shared" si="58"/>
        <v>0.64</v>
      </c>
      <c r="O199" s="133">
        <f t="shared" si="58"/>
        <v>0.64</v>
      </c>
      <c r="P199" s="133">
        <f t="shared" si="58"/>
        <v>0.64</v>
      </c>
      <c r="Q199" s="133">
        <f t="shared" si="58"/>
        <v>0.64</v>
      </c>
      <c r="R199" s="133">
        <f t="shared" si="58"/>
        <v>0.64</v>
      </c>
      <c r="S199" s="133">
        <f t="shared" si="58"/>
        <v>0.64</v>
      </c>
      <c r="T199" s="133">
        <f t="shared" si="59"/>
        <v>0.64</v>
      </c>
      <c r="U199" s="133">
        <f t="shared" si="59"/>
        <v>0.64</v>
      </c>
      <c r="V199" s="133">
        <f t="shared" si="59"/>
        <v>0.64</v>
      </c>
      <c r="W199" s="133">
        <f t="shared" si="59"/>
        <v>0.64</v>
      </c>
      <c r="X199" s="133">
        <f t="shared" si="59"/>
        <v>0.64</v>
      </c>
      <c r="Y199" s="133">
        <f t="shared" si="59"/>
        <v>0.64</v>
      </c>
      <c r="Z199" s="133">
        <f t="shared" si="59"/>
        <v>0.64</v>
      </c>
      <c r="AA199" s="133">
        <f t="shared" si="59"/>
        <v>0.64</v>
      </c>
      <c r="AB199" s="133">
        <f t="shared" si="59"/>
        <v>0.64</v>
      </c>
      <c r="AC199" s="133">
        <f t="shared" si="59"/>
        <v>0.64</v>
      </c>
      <c r="AD199" s="133">
        <f t="shared" si="59"/>
        <v>0.64</v>
      </c>
      <c r="AE199" s="133">
        <f t="shared" si="59"/>
        <v>0.64</v>
      </c>
      <c r="AF199" s="133">
        <f t="shared" si="59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60">SUM(D194:D199)</f>
        <v>3.54</v>
      </c>
      <c r="E200" s="136">
        <f t="shared" si="60"/>
        <v>3.54</v>
      </c>
      <c r="F200" s="136">
        <f t="shared" si="60"/>
        <v>3.54</v>
      </c>
      <c r="G200" s="136">
        <f t="shared" si="60"/>
        <v>3.54</v>
      </c>
      <c r="H200" s="136">
        <f t="shared" si="60"/>
        <v>3.54</v>
      </c>
      <c r="I200" s="136">
        <f t="shared" si="60"/>
        <v>3.54</v>
      </c>
      <c r="J200" s="136">
        <f t="shared" si="60"/>
        <v>3.54</v>
      </c>
      <c r="K200" s="136">
        <f t="shared" si="60"/>
        <v>3.54</v>
      </c>
      <c r="L200" s="136">
        <f t="shared" si="60"/>
        <v>3.54</v>
      </c>
      <c r="M200" s="136">
        <f>SUM(M194:M199)</f>
        <v>3.54</v>
      </c>
      <c r="N200" s="136">
        <f t="shared" ref="N200:S200" si="61">SUM(N194:N199)</f>
        <v>3.54</v>
      </c>
      <c r="O200" s="136">
        <f t="shared" si="61"/>
        <v>3.54</v>
      </c>
      <c r="P200" s="136">
        <f t="shared" si="61"/>
        <v>3.54</v>
      </c>
      <c r="Q200" s="136">
        <f t="shared" si="61"/>
        <v>3.54</v>
      </c>
      <c r="R200" s="136">
        <f t="shared" si="61"/>
        <v>3.54</v>
      </c>
      <c r="S200" s="136">
        <f t="shared" si="61"/>
        <v>3.54</v>
      </c>
      <c r="T200" s="136">
        <f>SUM(T194:T199)</f>
        <v>3.54</v>
      </c>
      <c r="U200" s="136">
        <f t="shared" ref="U200:AG200" si="62">SUM(U194:U199)</f>
        <v>3.54</v>
      </c>
      <c r="V200" s="136">
        <f t="shared" si="62"/>
        <v>3.54</v>
      </c>
      <c r="W200" s="136">
        <f t="shared" si="62"/>
        <v>3.54</v>
      </c>
      <c r="X200" s="136">
        <f t="shared" si="62"/>
        <v>3.54</v>
      </c>
      <c r="Y200" s="136">
        <f t="shared" si="62"/>
        <v>3.54</v>
      </c>
      <c r="Z200" s="136">
        <f t="shared" si="62"/>
        <v>3.54</v>
      </c>
      <c r="AA200" s="136">
        <f t="shared" si="62"/>
        <v>3.54</v>
      </c>
      <c r="AB200" s="136">
        <f t="shared" si="62"/>
        <v>3.54</v>
      </c>
      <c r="AC200" s="136">
        <f t="shared" si="62"/>
        <v>3.54</v>
      </c>
      <c r="AD200" s="136">
        <f t="shared" si="62"/>
        <v>3.54</v>
      </c>
      <c r="AE200" s="136">
        <f t="shared" si="62"/>
        <v>3.54</v>
      </c>
      <c r="AF200" s="136">
        <f t="shared" si="62"/>
        <v>3.54</v>
      </c>
      <c r="AG200" s="137">
        <f t="shared" si="62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1450.14</v>
      </c>
      <c r="C209" s="151">
        <f>INDEX(G9:N9,1,MATCH(MAX(G75:N75),G75:N75,0))</f>
        <v>0.375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27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str">
        <f ca="1">"Pie Chart of Daily Peak Demand(Inclusive of Export) of Nepal ("&amp;A4&amp;" "&amp;B4&amp;")"</f>
        <v>Pie Chart of Daily Peak Demand(Inclusive of Export) of Nepal (Nepali Date: 2079/02/27)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"Daily Load Curve(Excluding of Export) of Nepal ("&amp;A4&amp;" "&amp;B4&amp;")"</f>
        <v>Daily Load Curve(Excluding of Export) of Nepal (Nepali Date: 2079/02/27)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63">B75</f>
        <v>1331.54</v>
      </c>
      <c r="U214" s="161">
        <f t="shared" si="63"/>
        <v>1334.94</v>
      </c>
      <c r="V214" s="161">
        <f t="shared" si="63"/>
        <v>1277.94</v>
      </c>
      <c r="W214" s="161">
        <f t="shared" si="63"/>
        <v>1303.54</v>
      </c>
      <c r="X214" s="161">
        <f t="shared" si="63"/>
        <v>1330.54</v>
      </c>
      <c r="Y214" s="161">
        <f t="shared" si="63"/>
        <v>1288.7399999999998</v>
      </c>
      <c r="Z214" s="161">
        <f t="shared" si="63"/>
        <v>1311.9399999999998</v>
      </c>
      <c r="AA214" s="161">
        <f t="shared" si="63"/>
        <v>1327.84</v>
      </c>
      <c r="AB214" s="161">
        <f t="shared" si="63"/>
        <v>1360.2399999999998</v>
      </c>
      <c r="AC214" s="161">
        <f t="shared" si="63"/>
        <v>1428.2399999999998</v>
      </c>
      <c r="AD214" s="161">
        <f t="shared" si="63"/>
        <v>1419.2400000000002</v>
      </c>
      <c r="AE214" s="161">
        <f t="shared" si="63"/>
        <v>1442.74</v>
      </c>
      <c r="AF214" s="161">
        <f t="shared" si="63"/>
        <v>1450.14</v>
      </c>
      <c r="AG214" s="161">
        <f t="shared" si="63"/>
        <v>1485.64</v>
      </c>
      <c r="AH214" s="161">
        <f t="shared" si="63"/>
        <v>1507.6399999999999</v>
      </c>
      <c r="AI214" s="161">
        <f t="shared" si="63"/>
        <v>1486.14</v>
      </c>
      <c r="AJ214" s="161">
        <f t="shared" si="63"/>
        <v>1484.14</v>
      </c>
      <c r="AK214" s="161">
        <f t="shared" si="63"/>
        <v>1488.7400000000002</v>
      </c>
      <c r="AL214" s="161">
        <f t="shared" si="63"/>
        <v>1496.14</v>
      </c>
      <c r="AM214" s="161">
        <f t="shared" si="63"/>
        <v>1417.44</v>
      </c>
      <c r="AN214" s="161">
        <f t="shared" si="63"/>
        <v>1436.54</v>
      </c>
      <c r="AO214" s="161">
        <f t="shared" si="63"/>
        <v>1346.24</v>
      </c>
      <c r="AP214" s="161">
        <f t="shared" si="63"/>
        <v>1404.2400000000002</v>
      </c>
      <c r="AQ214" s="161">
        <f t="shared" si="63"/>
        <v>1403.24</v>
      </c>
      <c r="AR214" s="161">
        <f t="shared" si="63"/>
        <v>1513.2400000000002</v>
      </c>
      <c r="AS214" s="161">
        <f t="shared" si="63"/>
        <v>1577.2400000000002</v>
      </c>
      <c r="AT214" s="161">
        <f t="shared" si="63"/>
        <v>1528.54</v>
      </c>
      <c r="AU214" s="161">
        <f t="shared" si="63"/>
        <v>1548.14</v>
      </c>
      <c r="AV214" s="161">
        <f t="shared" si="63"/>
        <v>1535.14</v>
      </c>
      <c r="AW214" s="161">
        <f t="shared" si="63"/>
        <v>1468.54</v>
      </c>
      <c r="AX214" s="161">
        <f t="shared" si="63"/>
        <v>1408.54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64">C199</f>
        <v>0.64</v>
      </c>
      <c r="C235" s="164">
        <f t="shared" si="64"/>
        <v>0.64</v>
      </c>
      <c r="D235" s="164">
        <f t="shared" si="64"/>
        <v>0.64</v>
      </c>
      <c r="E235" s="164">
        <f t="shared" si="64"/>
        <v>0.64</v>
      </c>
      <c r="F235" s="164">
        <f t="shared" si="64"/>
        <v>0.64</v>
      </c>
      <c r="G235" s="164">
        <f t="shared" si="64"/>
        <v>0.64</v>
      </c>
      <c r="H235" s="164">
        <f t="shared" si="64"/>
        <v>0.64</v>
      </c>
      <c r="I235" s="164">
        <f t="shared" si="64"/>
        <v>0.64</v>
      </c>
      <c r="J235" s="164">
        <f t="shared" si="64"/>
        <v>0.64</v>
      </c>
      <c r="K235" s="164">
        <f t="shared" si="64"/>
        <v>0.64</v>
      </c>
      <c r="L235" s="164">
        <f t="shared" si="64"/>
        <v>0.64</v>
      </c>
      <c r="M235" s="164">
        <f t="shared" si="64"/>
        <v>0.64</v>
      </c>
      <c r="N235" s="164">
        <f t="shared" si="64"/>
        <v>0.64</v>
      </c>
      <c r="O235" s="164">
        <f t="shared" si="64"/>
        <v>0.64</v>
      </c>
      <c r="P235" s="164">
        <f t="shared" si="64"/>
        <v>0.64</v>
      </c>
      <c r="Q235" s="164">
        <f t="shared" si="64"/>
        <v>0.64</v>
      </c>
      <c r="R235" s="164">
        <f t="shared" si="64"/>
        <v>0.64</v>
      </c>
      <c r="S235" s="164">
        <f t="shared" si="64"/>
        <v>0.64</v>
      </c>
      <c r="T235" s="164">
        <f t="shared" si="64"/>
        <v>0.64</v>
      </c>
      <c r="U235" s="164">
        <f t="shared" si="64"/>
        <v>0.64</v>
      </c>
      <c r="V235" s="164">
        <f t="shared" si="64"/>
        <v>0.64</v>
      </c>
      <c r="W235" s="164">
        <f t="shared" si="64"/>
        <v>0.64</v>
      </c>
      <c r="X235" s="164">
        <f t="shared" si="64"/>
        <v>0.64</v>
      </c>
      <c r="Y235" s="164">
        <f t="shared" si="64"/>
        <v>0.64</v>
      </c>
      <c r="Z235" s="164">
        <f t="shared" si="64"/>
        <v>0.64</v>
      </c>
      <c r="AA235" s="164">
        <f t="shared" si="64"/>
        <v>0.64</v>
      </c>
      <c r="AB235" s="164">
        <f t="shared" si="64"/>
        <v>0.64</v>
      </c>
      <c r="AC235" s="164">
        <f t="shared" si="64"/>
        <v>0.64</v>
      </c>
      <c r="AD235" s="164">
        <f t="shared" si="64"/>
        <v>0.64</v>
      </c>
      <c r="AE235" s="164">
        <f t="shared" si="64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65">IF(C203&lt;100,"",C203-520)</f>
        <v/>
      </c>
      <c r="D236" s="107" t="str">
        <f t="shared" si="65"/>
        <v/>
      </c>
      <c r="E236" s="107" t="str">
        <f t="shared" si="65"/>
        <v/>
      </c>
      <c r="F236" s="107" t="str">
        <f t="shared" si="65"/>
        <v/>
      </c>
      <c r="G236" s="107" t="str">
        <f t="shared" si="65"/>
        <v/>
      </c>
      <c r="H236" s="107" t="str">
        <f t="shared" si="65"/>
        <v/>
      </c>
      <c r="I236" s="107" t="str">
        <f t="shared" si="65"/>
        <v/>
      </c>
      <c r="J236" s="107" t="str">
        <f t="shared" si="65"/>
        <v/>
      </c>
      <c r="K236" s="107" t="str">
        <f t="shared" si="65"/>
        <v/>
      </c>
      <c r="L236" s="107" t="str">
        <f t="shared" si="65"/>
        <v/>
      </c>
      <c r="M236" s="107" t="str">
        <f t="shared" si="65"/>
        <v/>
      </c>
      <c r="N236" s="107" t="str">
        <f t="shared" si="65"/>
        <v/>
      </c>
      <c r="O236" s="107" t="str">
        <f t="shared" si="65"/>
        <v/>
      </c>
      <c r="P236" s="107" t="str">
        <f t="shared" si="65"/>
        <v/>
      </c>
      <c r="Q236" s="107" t="str">
        <f t="shared" si="65"/>
        <v/>
      </c>
      <c r="R236" s="107" t="str">
        <f t="shared" si="65"/>
        <v/>
      </c>
      <c r="S236" s="107" t="str">
        <f t="shared" si="65"/>
        <v/>
      </c>
      <c r="T236" s="107" t="str">
        <f t="shared" si="65"/>
        <v/>
      </c>
      <c r="U236" s="107" t="str">
        <f t="shared" si="65"/>
        <v/>
      </c>
      <c r="V236" s="107" t="str">
        <f t="shared" si="65"/>
        <v/>
      </c>
      <c r="W236" s="107" t="str">
        <f t="shared" si="65"/>
        <v/>
      </c>
      <c r="X236" s="107" t="str">
        <f t="shared" si="65"/>
        <v/>
      </c>
      <c r="Y236" s="107" t="str">
        <f t="shared" si="65"/>
        <v/>
      </c>
      <c r="Z236" s="107" t="str">
        <f t="shared" si="65"/>
        <v/>
      </c>
      <c r="AA236" s="107" t="str">
        <f t="shared" si="65"/>
        <v/>
      </c>
      <c r="AB236" s="107" t="str">
        <f t="shared" si="65"/>
        <v/>
      </c>
      <c r="AC236" s="107" t="str">
        <f t="shared" si="65"/>
        <v/>
      </c>
      <c r="AD236" s="107" t="str">
        <f t="shared" si="65"/>
        <v/>
      </c>
      <c r="AE236" s="107" t="str">
        <f t="shared" si="65"/>
        <v/>
      </c>
      <c r="AF236" s="107" t="str">
        <f t="shared" si="65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66">IF(B204&lt;100,"",B204-620)</f>
        <v/>
      </c>
      <c r="C237" s="107" t="str">
        <f t="shared" si="66"/>
        <v/>
      </c>
      <c r="D237" s="107" t="str">
        <f t="shared" si="66"/>
        <v/>
      </c>
      <c r="E237" s="107" t="str">
        <f t="shared" si="66"/>
        <v/>
      </c>
      <c r="F237" s="107" t="str">
        <f t="shared" si="66"/>
        <v/>
      </c>
      <c r="G237" s="107" t="str">
        <f t="shared" si="66"/>
        <v/>
      </c>
      <c r="H237" s="107" t="str">
        <f t="shared" si="66"/>
        <v/>
      </c>
      <c r="I237" s="107" t="str">
        <f t="shared" si="66"/>
        <v/>
      </c>
      <c r="J237" s="107" t="str">
        <f t="shared" si="66"/>
        <v/>
      </c>
      <c r="K237" s="107" t="str">
        <f t="shared" si="66"/>
        <v/>
      </c>
      <c r="L237" s="107" t="str">
        <f t="shared" si="66"/>
        <v/>
      </c>
      <c r="M237" s="107" t="str">
        <f t="shared" si="66"/>
        <v/>
      </c>
      <c r="N237" s="107" t="str">
        <f t="shared" si="66"/>
        <v/>
      </c>
      <c r="O237" s="107" t="str">
        <f t="shared" si="66"/>
        <v/>
      </c>
      <c r="P237" s="107" t="str">
        <f t="shared" si="66"/>
        <v/>
      </c>
      <c r="Q237" s="107" t="str">
        <f t="shared" si="66"/>
        <v/>
      </c>
      <c r="R237" s="107" t="str">
        <f t="shared" si="66"/>
        <v/>
      </c>
      <c r="S237" s="107" t="str">
        <f t="shared" si="66"/>
        <v/>
      </c>
      <c r="T237" s="107" t="str">
        <f t="shared" si="66"/>
        <v/>
      </c>
      <c r="U237" s="107" t="str">
        <f t="shared" si="66"/>
        <v/>
      </c>
      <c r="V237" s="107" t="str">
        <f t="shared" si="66"/>
        <v/>
      </c>
      <c r="W237" s="107" t="str">
        <f t="shared" si="66"/>
        <v/>
      </c>
      <c r="X237" s="107" t="str">
        <f t="shared" si="66"/>
        <v/>
      </c>
      <c r="Y237" s="107" t="str">
        <f t="shared" si="66"/>
        <v/>
      </c>
      <c r="Z237" s="107" t="str">
        <f t="shared" si="66"/>
        <v/>
      </c>
      <c r="AA237" s="107" t="str">
        <f t="shared" si="66"/>
        <v/>
      </c>
      <c r="AB237" s="107" t="str">
        <f t="shared" si="66"/>
        <v/>
      </c>
      <c r="AC237" s="107" t="str">
        <f t="shared" si="66"/>
        <v/>
      </c>
      <c r="AD237" s="107" t="str">
        <f t="shared" si="66"/>
        <v/>
      </c>
      <c r="AE237" s="107" t="str">
        <f t="shared" si="66"/>
        <v/>
      </c>
      <c r="AF237" s="107" t="str">
        <f t="shared" si="66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67">IF(B205&lt;100,"",B205-330)</f>
        <v/>
      </c>
      <c r="C238" s="107" t="str">
        <f t="shared" si="67"/>
        <v/>
      </c>
      <c r="D238" s="107" t="str">
        <f t="shared" si="67"/>
        <v/>
      </c>
      <c r="E238" s="107" t="str">
        <f t="shared" si="67"/>
        <v/>
      </c>
      <c r="F238" s="107" t="str">
        <f t="shared" si="67"/>
        <v/>
      </c>
      <c r="G238" s="107" t="str">
        <f t="shared" si="67"/>
        <v/>
      </c>
      <c r="H238" s="107" t="str">
        <f t="shared" si="67"/>
        <v/>
      </c>
      <c r="I238" s="107" t="str">
        <f t="shared" si="67"/>
        <v/>
      </c>
      <c r="J238" s="107" t="str">
        <f t="shared" si="67"/>
        <v/>
      </c>
      <c r="K238" s="107" t="str">
        <f t="shared" si="67"/>
        <v/>
      </c>
      <c r="L238" s="107" t="str">
        <f t="shared" si="67"/>
        <v/>
      </c>
      <c r="M238" s="107" t="str">
        <f t="shared" si="67"/>
        <v/>
      </c>
      <c r="N238" s="107" t="str">
        <f t="shared" si="67"/>
        <v/>
      </c>
      <c r="O238" s="107" t="str">
        <f t="shared" si="67"/>
        <v/>
      </c>
      <c r="P238" s="107" t="str">
        <f t="shared" si="67"/>
        <v/>
      </c>
      <c r="Q238" s="107" t="str">
        <f t="shared" si="67"/>
        <v/>
      </c>
      <c r="R238" s="107" t="str">
        <f t="shared" si="67"/>
        <v/>
      </c>
      <c r="S238" s="107" t="str">
        <f t="shared" si="67"/>
        <v/>
      </c>
      <c r="T238" s="107" t="str">
        <f t="shared" si="67"/>
        <v/>
      </c>
      <c r="U238" s="107" t="str">
        <f t="shared" si="67"/>
        <v/>
      </c>
      <c r="V238" s="107" t="str">
        <f t="shared" si="67"/>
        <v/>
      </c>
      <c r="W238" s="107" t="str">
        <f t="shared" si="67"/>
        <v/>
      </c>
      <c r="X238" s="107" t="str">
        <f t="shared" si="67"/>
        <v/>
      </c>
      <c r="Y238" s="107" t="str">
        <f t="shared" si="67"/>
        <v/>
      </c>
      <c r="Z238" s="107" t="str">
        <f t="shared" si="67"/>
        <v/>
      </c>
      <c r="AA238" s="107" t="str">
        <f t="shared" si="67"/>
        <v/>
      </c>
      <c r="AB238" s="107" t="str">
        <f t="shared" si="67"/>
        <v/>
      </c>
      <c r="AC238" s="107" t="str">
        <f t="shared" si="67"/>
        <v/>
      </c>
      <c r="AD238" s="107" t="str">
        <f t="shared" si="67"/>
        <v/>
      </c>
      <c r="AE238" s="107" t="str">
        <f t="shared" si="67"/>
        <v/>
      </c>
      <c r="AF238" s="107" t="str">
        <f t="shared" si="67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68">IF(C206&lt;100,"",C206-1500)</f>
        <v/>
      </c>
      <c r="D239" s="107" t="str">
        <f t="shared" si="68"/>
        <v/>
      </c>
      <c r="E239" s="107" t="str">
        <f t="shared" si="68"/>
        <v/>
      </c>
      <c r="F239" s="107" t="str">
        <f t="shared" si="68"/>
        <v/>
      </c>
      <c r="G239" s="107" t="str">
        <f t="shared" si="68"/>
        <v/>
      </c>
      <c r="H239" s="107" t="str">
        <f t="shared" si="68"/>
        <v/>
      </c>
      <c r="I239" s="107" t="str">
        <f t="shared" si="68"/>
        <v/>
      </c>
      <c r="J239" s="107" t="str">
        <f t="shared" si="68"/>
        <v/>
      </c>
      <c r="K239" s="107" t="str">
        <f t="shared" si="68"/>
        <v/>
      </c>
      <c r="L239" s="107" t="str">
        <f t="shared" si="68"/>
        <v/>
      </c>
      <c r="M239" s="107" t="str">
        <f t="shared" si="68"/>
        <v/>
      </c>
      <c r="N239" s="107" t="str">
        <f t="shared" si="68"/>
        <v/>
      </c>
      <c r="O239" s="107" t="str">
        <f t="shared" si="68"/>
        <v/>
      </c>
      <c r="P239" s="107" t="str">
        <f t="shared" si="68"/>
        <v/>
      </c>
      <c r="Q239" s="107" t="str">
        <f t="shared" si="68"/>
        <v/>
      </c>
      <c r="R239" s="107" t="str">
        <f t="shared" si="68"/>
        <v/>
      </c>
      <c r="S239" s="107" t="str">
        <f t="shared" si="68"/>
        <v/>
      </c>
      <c r="T239" s="107" t="str">
        <f t="shared" si="68"/>
        <v/>
      </c>
      <c r="U239" s="107" t="str">
        <f t="shared" si="68"/>
        <v/>
      </c>
      <c r="V239" s="107" t="str">
        <f t="shared" si="68"/>
        <v/>
      </c>
      <c r="W239" s="107" t="str">
        <f t="shared" si="68"/>
        <v/>
      </c>
      <c r="X239" s="107" t="str">
        <f t="shared" si="68"/>
        <v/>
      </c>
      <c r="Y239" s="107" t="str">
        <f t="shared" si="68"/>
        <v/>
      </c>
      <c r="Z239" s="107" t="str">
        <f t="shared" si="68"/>
        <v/>
      </c>
      <c r="AA239" s="107" t="str">
        <f t="shared" si="68"/>
        <v/>
      </c>
      <c r="AB239" s="107" t="str">
        <f t="shared" si="68"/>
        <v/>
      </c>
      <c r="AC239" s="107" t="str">
        <f t="shared" si="68"/>
        <v/>
      </c>
      <c r="AD239" s="107" t="str">
        <f t="shared" si="68"/>
        <v/>
      </c>
      <c r="AE239" s="107" t="str">
        <f t="shared" si="68"/>
        <v/>
      </c>
      <c r="AF239" s="107" t="str">
        <f t="shared" si="68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X11:AF11 C94:AF100">
    <cfRule type="expression" dxfId="1178" priority="284">
      <formula>B$9&gt;=20/24</formula>
    </cfRule>
    <cfRule type="expression" dxfId="1177" priority="285">
      <formula>AND(B$9&gt;=14/24,B$9&lt;20/24)</formula>
    </cfRule>
    <cfRule type="expression" dxfId="1176" priority="286">
      <formula>AND(B$9&gt;=8/24,B$9&lt;14/24)</formula>
    </cfRule>
    <cfRule type="expression" dxfId="1175" priority="287">
      <formula>B$9&lt;8/24</formula>
    </cfRule>
  </conditionalFormatting>
  <conditionalFormatting sqref="AL4:AL6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1174" priority="279">
      <formula>AB$9&gt;=20/24</formula>
    </cfRule>
    <cfRule type="expression" dxfId="1173" priority="280">
      <formula>AND(AB$9&gt;=14/24,AB$9&lt;20/24)</formula>
    </cfRule>
    <cfRule type="expression" dxfId="1172" priority="281">
      <formula>AND(AB$9&gt;=8/24,AB$9&lt;14/24)</formula>
    </cfRule>
    <cfRule type="expression" dxfId="1171" priority="282">
      <formula>AB$9&lt;8/24</formula>
    </cfRule>
  </conditionalFormatting>
  <conditionalFormatting sqref="AG51 AB37:AF37 K11:AF11">
    <cfRule type="expression" dxfId="1170" priority="278">
      <formula>K11&gt;$AG11</formula>
    </cfRule>
  </conditionalFormatting>
  <conditionalFormatting sqref="A101:A157 A84:A97 A11:A14 A16:A32 A45:A72 A80:A82 A74:A78 A35:A43 A170:A200">
    <cfRule type="expression" dxfId="1169" priority="277">
      <formula>$AH11=0</formula>
    </cfRule>
  </conditionalFormatting>
  <conditionalFormatting sqref="A98">
    <cfRule type="expression" dxfId="1168" priority="276">
      <formula>$AH98=0</formula>
    </cfRule>
  </conditionalFormatting>
  <conditionalFormatting sqref="AL32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167" priority="274">
      <formula>$AH34=0</formula>
    </cfRule>
  </conditionalFormatting>
  <conditionalFormatting sqref="A83">
    <cfRule type="expression" dxfId="1166" priority="273">
      <formula>$AH83=0</formula>
    </cfRule>
  </conditionalFormatting>
  <conditionalFormatting sqref="A15">
    <cfRule type="expression" dxfId="1165" priority="272">
      <formula>$AH15=0</formula>
    </cfRule>
  </conditionalFormatting>
  <conditionalFormatting sqref="A164:A169">
    <cfRule type="expression" dxfId="1164" priority="271">
      <formula>$AH164=0</formula>
    </cfRule>
  </conditionalFormatting>
  <conditionalFormatting sqref="A158:A163">
    <cfRule type="expression" dxfId="1163" priority="270">
      <formula>$AH158=0</formula>
    </cfRule>
  </conditionalFormatting>
  <conditionalFormatting sqref="A44">
    <cfRule type="expression" dxfId="1162" priority="269">
      <formula>$AH44=0</formula>
    </cfRule>
  </conditionalFormatting>
  <conditionalFormatting sqref="A79">
    <cfRule type="expression" dxfId="1161" priority="268">
      <formula>$AH79=0</formula>
    </cfRule>
  </conditionalFormatting>
  <conditionalFormatting sqref="A73">
    <cfRule type="expression" dxfId="1160" priority="267">
      <formula>$AH73=0</formula>
    </cfRule>
  </conditionalFormatting>
  <conditionalFormatting sqref="AL34:AL35 AL7:AL31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159" priority="263">
      <formula>C$9&gt;=20/24</formula>
    </cfRule>
    <cfRule type="expression" dxfId="1158" priority="264">
      <formula>AND(C$9&gt;=14/24,C$9&lt;20/24)</formula>
    </cfRule>
    <cfRule type="expression" dxfId="1157" priority="265">
      <formula>AND(C$9&gt;=8/24,C$9&lt;14/24)</formula>
    </cfRule>
    <cfRule type="expression" dxfId="1156" priority="266">
      <formula>C$9&lt;8/24</formula>
    </cfRule>
  </conditionalFormatting>
  <conditionalFormatting sqref="AL3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155" priority="291">
      <formula>C$9&gt;=20/24</formula>
    </cfRule>
    <cfRule type="expression" dxfId="1154" priority="292">
      <formula>AND(C$9&gt;=14/24,C$9&lt;20/24)</formula>
    </cfRule>
    <cfRule type="expression" dxfId="1153" priority="293">
      <formula>AND(C$9&gt;=8/24,C$9&lt;14/24)</formula>
    </cfRule>
    <cfRule type="expression" dxfId="1152" priority="294">
      <formula>C$9&lt;8/24</formula>
    </cfRule>
  </conditionalFormatting>
  <conditionalFormatting sqref="A201">
    <cfRule type="expression" dxfId="1151" priority="295">
      <formula>$AH201=0</formula>
    </cfRule>
  </conditionalFormatting>
  <conditionalFormatting sqref="AG213">
    <cfRule type="expression" dxfId="1150" priority="296">
      <formula>B$9&gt;=20/24</formula>
    </cfRule>
    <cfRule type="expression" dxfId="1149" priority="297">
      <formula>AND(B$9&gt;=14/24,B$9&lt;20/24)</formula>
    </cfRule>
    <cfRule type="expression" dxfId="1148" priority="298">
      <formula>AND(B$9&gt;=8/24,B$9&lt;14/24)</formula>
    </cfRule>
    <cfRule type="expression" dxfId="1147" priority="299">
      <formula>B$9&lt;8/24</formula>
    </cfRule>
  </conditionalFormatting>
  <conditionalFormatting sqref="S8">
    <cfRule type="expression" dxfId="1146" priority="257">
      <formula>U$9&gt;=20/24</formula>
    </cfRule>
    <cfRule type="expression" dxfId="1145" priority="258">
      <formula>AND(U$9&gt;=14/24,U$9&lt;20/24)</formula>
    </cfRule>
    <cfRule type="expression" dxfId="1144" priority="259">
      <formula>AND(U$9&gt;=8/24,U$9&lt;14/24)</formula>
    </cfRule>
    <cfRule type="expression" dxfId="1143" priority="260">
      <formula>U$9&lt;8/24</formula>
    </cfRule>
  </conditionalFormatting>
  <conditionalFormatting sqref="AB8">
    <cfRule type="expression" dxfId="1142" priority="253">
      <formula>AD$9&gt;=20/24</formula>
    </cfRule>
    <cfRule type="expression" dxfId="1141" priority="254">
      <formula>AND(AD$9&gt;=14/24,AD$9&lt;20/24)</formula>
    </cfRule>
    <cfRule type="expression" dxfId="1140" priority="255">
      <formula>AND(AD$9&gt;=8/24,AD$9&lt;14/24)</formula>
    </cfRule>
    <cfRule type="expression" dxfId="1139" priority="256">
      <formula>AD$9&lt;8/24</formula>
    </cfRule>
  </conditionalFormatting>
  <conditionalFormatting sqref="AH213:AX213">
    <cfRule type="expression" dxfId="1138" priority="300">
      <formula>AG$9&gt;=20/24</formula>
    </cfRule>
    <cfRule type="expression" dxfId="1137" priority="301">
      <formula>AND(AG$9&gt;=14/24,AG$9&lt;20/24)</formula>
    </cfRule>
    <cfRule type="expression" dxfId="1136" priority="302">
      <formula>AND(AG$9&gt;=8/24,AG$9&lt;14/24)</formula>
    </cfRule>
    <cfRule type="expression" dxfId="1135" priority="303">
      <formula>AG$9&lt;8/24</formula>
    </cfRule>
  </conditionalFormatting>
  <conditionalFormatting sqref="T213">
    <cfRule type="expression" dxfId="1134" priority="304">
      <formula>AX$9&gt;=20/24</formula>
    </cfRule>
    <cfRule type="expression" dxfId="1133" priority="305">
      <formula>AND(AX$9&gt;=14/24,AX$9&lt;20/24)</formula>
    </cfRule>
    <cfRule type="expression" dxfId="1132" priority="306">
      <formula>AND(AX$9&gt;=8/24,AX$9&lt;14/24)</formula>
    </cfRule>
    <cfRule type="expression" dxfId="1131" priority="307">
      <formula>AX$9&lt;8/24</formula>
    </cfRule>
  </conditionalFormatting>
  <conditionalFormatting sqref="A99:A100">
    <cfRule type="expression" dxfId="1130" priority="252">
      <formula>$AH99=0</formula>
    </cfRule>
  </conditionalFormatting>
  <conditionalFormatting sqref="C11:J11 E40:M41 C57:AF57 T40:W41 AB40:AF40">
    <cfRule type="expression" dxfId="1129" priority="248">
      <formula>C$9&gt;=20/24</formula>
    </cfRule>
    <cfRule type="expression" dxfId="1128" priority="249">
      <formula>AND(C$9&gt;=14/24,C$9&lt;20/24)</formula>
    </cfRule>
    <cfRule type="expression" dxfId="1127" priority="250">
      <formula>AND(C$9&gt;=8/24,C$9&lt;14/24)</formula>
    </cfRule>
    <cfRule type="expression" dxfId="1126" priority="251">
      <formula>C$9&lt;8/24</formula>
    </cfRule>
  </conditionalFormatting>
  <conditionalFormatting sqref="E39:L39 T39:W39 Z39:AF39">
    <cfRule type="expression" dxfId="1125" priority="244">
      <formula>E$9&gt;=20/24</formula>
    </cfRule>
    <cfRule type="expression" dxfId="1124" priority="245">
      <formula>AND(E$9&gt;=14/24,E$9&lt;20/24)</formula>
    </cfRule>
    <cfRule type="expression" dxfId="1123" priority="246">
      <formula>AND(E$9&gt;=8/24,E$9&lt;14/24)</formula>
    </cfRule>
    <cfRule type="expression" dxfId="1122" priority="247">
      <formula>E$9&lt;8/24</formula>
    </cfRule>
  </conditionalFormatting>
  <conditionalFormatting sqref="E39:L41 C11:J11 M40:M41 T39:W41 Z39:AA39 AB39:AF40">
    <cfRule type="expression" dxfId="1121" priority="243">
      <formula>C11&gt;$AG11</formula>
    </cfRule>
  </conditionalFormatting>
  <conditionalFormatting sqref="C83:AF83 C75:AF81 C68:AF72 C58:D67 K12:L12 E58:S63 E67:S67 M11:W14 C53:AF56 C85:AF91 X12:AF14 T58:AF67">
    <cfRule type="expression" dxfId="1120" priority="239">
      <formula>C$9&gt;=20/24</formula>
    </cfRule>
    <cfRule type="expression" dxfId="1119" priority="240">
      <formula>AND(C$9&gt;=14/24,C$9&lt;20/24)</formula>
    </cfRule>
    <cfRule type="expression" dxfId="1118" priority="241">
      <formula>AND(C$9&gt;=8/24,C$9&lt;14/24)</formula>
    </cfRule>
    <cfRule type="expression" dxfId="1117" priority="242">
      <formula>C$9&lt;8/24</formula>
    </cfRule>
  </conditionalFormatting>
  <conditionalFormatting sqref="C38:AF38 E42:K43 K12:L12 L42:M44 N44 M11:W15 C51:AF56 D37:AA37 X12:AF15">
    <cfRule type="expression" dxfId="1116" priority="230">
      <formula>C11&gt;$AG11</formula>
    </cfRule>
  </conditionalFormatting>
  <conditionalFormatting sqref="M15:AF15">
    <cfRule type="expression" dxfId="1115" priority="222">
      <formula>M$9&gt;=20/24</formula>
    </cfRule>
    <cfRule type="expression" dxfId="1114" priority="223">
      <formula>AND(M$9&gt;=14/24,M$9&lt;20/24)</formula>
    </cfRule>
    <cfRule type="expression" dxfId="1113" priority="224">
      <formula>AND(M$9&gt;=8/24,M$9&lt;14/24)</formula>
    </cfRule>
    <cfRule type="expression" dxfId="1112" priority="225">
      <formula>M$9&lt;8/24</formula>
    </cfRule>
  </conditionalFormatting>
  <conditionalFormatting sqref="V42:AF43">
    <cfRule type="expression" dxfId="1111" priority="209">
      <formula>V$9&gt;=20/24</formula>
    </cfRule>
    <cfRule type="expression" dxfId="1110" priority="210">
      <formula>AND(V$9&gt;=14/24,V$9&lt;20/24)</formula>
    </cfRule>
    <cfRule type="expression" dxfId="1109" priority="211">
      <formula>AND(V$9&gt;=8/24,V$9&lt;14/24)</formula>
    </cfRule>
    <cfRule type="expression" dxfId="1108" priority="212">
      <formula>V$9&lt;8/24</formula>
    </cfRule>
  </conditionalFormatting>
  <conditionalFormatting sqref="V42:AF43">
    <cfRule type="expression" dxfId="1107" priority="208">
      <formula>V42&gt;$AG42</formula>
    </cfRule>
  </conditionalFormatting>
  <conditionalFormatting sqref="M39:R39 N40:R43 O44:R45 Q49:S50 S39:S45 T42:U50 V44:AF50">
    <cfRule type="expression" dxfId="1106" priority="204">
      <formula>M$9&gt;=20/24</formula>
    </cfRule>
    <cfRule type="expression" dxfId="1105" priority="205">
      <formula>AND(M$9&gt;=14/24,M$9&lt;20/24)</formula>
    </cfRule>
    <cfRule type="expression" dxfId="1104" priority="206">
      <formula>AND(M$9&gt;=8/24,M$9&lt;14/24)</formula>
    </cfRule>
    <cfRule type="expression" dxfId="1103" priority="207">
      <formula>M$9&lt;8/24</formula>
    </cfRule>
  </conditionalFormatting>
  <conditionalFormatting sqref="M39:R39 N40:R43 O44:R45 Q49:S50 S39:S45 T42:U50 V44:AF50">
    <cfRule type="expression" dxfId="1102" priority="203">
      <formula>M39&gt;$AG39</formula>
    </cfRule>
  </conditionalFormatting>
  <conditionalFormatting sqref="F74:I74">
    <cfRule type="expression" dxfId="1101" priority="195">
      <formula>F$9&gt;=20/24</formula>
    </cfRule>
    <cfRule type="expression" dxfId="1100" priority="196">
      <formula>AND(F$9&gt;=14/24,F$9&lt;20/24)</formula>
    </cfRule>
    <cfRule type="expression" dxfId="1099" priority="197">
      <formula>AND(F$9&gt;=8/24,F$9&lt;14/24)</formula>
    </cfRule>
    <cfRule type="expression" dxfId="1098" priority="198">
      <formula>F$9&lt;8/24</formula>
    </cfRule>
  </conditionalFormatting>
  <conditionalFormatting sqref="C40:D41">
    <cfRule type="expression" dxfId="1097" priority="169">
      <formula>C$9&gt;=20/24</formula>
    </cfRule>
    <cfRule type="expression" dxfId="1096" priority="170">
      <formula>AND(C$9&gt;=14/24,C$9&lt;20/24)</formula>
    </cfRule>
    <cfRule type="expression" dxfId="1095" priority="171">
      <formula>AND(C$9&gt;=8/24,C$9&lt;14/24)</formula>
    </cfRule>
    <cfRule type="expression" dxfId="1094" priority="172">
      <formula>C$9&lt;8/24</formula>
    </cfRule>
  </conditionalFormatting>
  <conditionalFormatting sqref="C39:D39">
    <cfRule type="expression" dxfId="1093" priority="165">
      <formula>C$9&gt;=20/24</formula>
    </cfRule>
    <cfRule type="expression" dxfId="1092" priority="166">
      <formula>AND(C$9&gt;=14/24,C$9&lt;20/24)</formula>
    </cfRule>
    <cfRule type="expression" dxfId="1091" priority="167">
      <formula>AND(C$9&gt;=8/24,C$9&lt;14/24)</formula>
    </cfRule>
    <cfRule type="expression" dxfId="1090" priority="168">
      <formula>C$9&lt;8/24</formula>
    </cfRule>
  </conditionalFormatting>
  <conditionalFormatting sqref="C39:D41">
    <cfRule type="expression" dxfId="1089" priority="164">
      <formula>C39&gt;$AG39</formula>
    </cfRule>
  </conditionalFormatting>
  <conditionalFormatting sqref="E64:S66">
    <cfRule type="expression" dxfId="1088" priority="160">
      <formula>E$9&gt;=20/24</formula>
    </cfRule>
    <cfRule type="expression" dxfId="1087" priority="161">
      <formula>AND(E$9&gt;=14/24,E$9&lt;20/24)</formula>
    </cfRule>
    <cfRule type="expression" dxfId="1086" priority="162">
      <formula>AND(E$9&gt;=8/24,E$9&lt;14/24)</formula>
    </cfRule>
    <cfRule type="expression" dxfId="1085" priority="163">
      <formula>E$9&lt;8/24</formula>
    </cfRule>
  </conditionalFormatting>
  <conditionalFormatting sqref="C42:D43">
    <cfRule type="expression" dxfId="1084" priority="159">
      <formula>C42&gt;$AG42</formula>
    </cfRule>
  </conditionalFormatting>
  <conditionalFormatting sqref="C44:D45 E44:K50 L45:N50 O46:P50 Q46:S48">
    <cfRule type="expression" dxfId="1083" priority="155">
      <formula>C$9&gt;=20/24</formula>
    </cfRule>
    <cfRule type="expression" dxfId="1082" priority="156">
      <formula>AND(C$9&gt;=14/24,C$9&lt;20/24)</formula>
    </cfRule>
    <cfRule type="expression" dxfId="1081" priority="157">
      <formula>AND(C$9&gt;=8/24,C$9&lt;14/24)</formula>
    </cfRule>
    <cfRule type="expression" dxfId="1080" priority="158">
      <formula>C$9&lt;8/24</formula>
    </cfRule>
  </conditionalFormatting>
  <conditionalFormatting sqref="C44:D45 E44:K50 L45:N50 O46:P50 Q46:S48">
    <cfRule type="expression" dxfId="1079" priority="154">
      <formula>C44&gt;$AG44</formula>
    </cfRule>
  </conditionalFormatting>
  <conditionalFormatting sqref="X40:AA41 AB41:AF41">
    <cfRule type="expression" dxfId="1078" priority="150">
      <formula>X$9&gt;=20/24</formula>
    </cfRule>
    <cfRule type="expression" dxfId="1077" priority="151">
      <formula>AND(X$9&gt;=14/24,X$9&lt;20/24)</formula>
    </cfRule>
    <cfRule type="expression" dxfId="1076" priority="152">
      <formula>AND(X$9&gt;=8/24,X$9&lt;14/24)</formula>
    </cfRule>
    <cfRule type="expression" dxfId="1075" priority="153">
      <formula>X$9&lt;8/24</formula>
    </cfRule>
  </conditionalFormatting>
  <conditionalFormatting sqref="X39:Y39">
    <cfRule type="expression" dxfId="1074" priority="146">
      <formula>X$9&gt;=20/24</formula>
    </cfRule>
    <cfRule type="expression" dxfId="1073" priority="147">
      <formula>AND(X$9&gt;=14/24,X$9&lt;20/24)</formula>
    </cfRule>
    <cfRule type="expression" dxfId="1072" priority="148">
      <formula>AND(X$9&gt;=8/24,X$9&lt;14/24)</formula>
    </cfRule>
    <cfRule type="expression" dxfId="1071" priority="149">
      <formula>X$9&lt;8/24</formula>
    </cfRule>
  </conditionalFormatting>
  <conditionalFormatting sqref="X39:Y41 Z40:AA41 AB41:AF41">
    <cfRule type="expression" dxfId="1070" priority="145">
      <formula>X39&gt;$AG39</formula>
    </cfRule>
  </conditionalFormatting>
  <conditionalFormatting sqref="B44:B47 C46:D47 B49:D50">
    <cfRule type="expression" dxfId="1069" priority="16">
      <formula>B$9&gt;=20/24</formula>
    </cfRule>
    <cfRule type="expression" dxfId="1068" priority="17">
      <formula>AND(B$9&gt;=14/24,B$9&lt;20/24)</formula>
    </cfRule>
    <cfRule type="expression" dxfId="1067" priority="18">
      <formula>AND(B$9&gt;=8/24,B$9&lt;14/24)</formula>
    </cfRule>
    <cfRule type="expression" dxfId="1066" priority="19">
      <formula>B$9&lt;8/24</formula>
    </cfRule>
  </conditionalFormatting>
  <conditionalFormatting sqref="B44:B47 C46:D47 B49:D50">
    <cfRule type="expression" dxfId="1065" priority="15">
      <formula>B44&gt;$AG44</formula>
    </cfRule>
  </conditionalFormatting>
  <conditionalFormatting sqref="B27:AF27">
    <cfRule type="expression" dxfId="1064" priority="11">
      <formula>B$9&gt;=20/24</formula>
    </cfRule>
    <cfRule type="expression" dxfId="1063" priority="12">
      <formula>AND(B$9&gt;=14/24,B$9&lt;20/24)</formula>
    </cfRule>
    <cfRule type="expression" dxfId="1062" priority="13">
      <formula>AND(B$9&gt;=8/24,B$9&lt;14/24)</formula>
    </cfRule>
    <cfRule type="expression" dxfId="1061" priority="14">
      <formula>B$9&lt;8/24</formula>
    </cfRule>
  </conditionalFormatting>
  <conditionalFormatting sqref="B82 B94:B100 B11 B74:E74">
    <cfRule type="expression" dxfId="1060" priority="79">
      <formula>B$9&gt;=20/24</formula>
    </cfRule>
    <cfRule type="expression" dxfId="1059" priority="80">
      <formula>AND(B$9&gt;=14/24,B$9&lt;20/24)</formula>
    </cfRule>
    <cfRule type="expression" dxfId="1058" priority="81">
      <formula>AND(B$9&gt;=8/24,B$9&lt;14/24)</formula>
    </cfRule>
    <cfRule type="expression" dxfId="1057" priority="82">
      <formula>B$9&lt;8/24</formula>
    </cfRule>
  </conditionalFormatting>
  <conditionalFormatting sqref="B37:C37">
    <cfRule type="expression" dxfId="1056" priority="75">
      <formula>B$9&gt;=20/24</formula>
    </cfRule>
    <cfRule type="expression" dxfId="1055" priority="76">
      <formula>AND(B$9&gt;=14/24,B$9&lt;20/24)</formula>
    </cfRule>
    <cfRule type="expression" dxfId="1054" priority="77">
      <formula>AND(B$9&gt;=8/24,B$9&lt;14/24)</formula>
    </cfRule>
    <cfRule type="expression" dxfId="1053" priority="78">
      <formula>B$9&lt;8/24</formula>
    </cfRule>
  </conditionalFormatting>
  <conditionalFormatting sqref="B37:C37 B11">
    <cfRule type="expression" dxfId="1052" priority="74">
      <formula>B11&gt;$AG11</formula>
    </cfRule>
  </conditionalFormatting>
  <conditionalFormatting sqref="B84">
    <cfRule type="expression" dxfId="1051" priority="70">
      <formula>B$9&gt;=20/24</formula>
    </cfRule>
    <cfRule type="expression" dxfId="1050" priority="71">
      <formula>AND(B$9&gt;=14/24,B$9&lt;20/24)</formula>
    </cfRule>
    <cfRule type="expression" dxfId="1049" priority="72">
      <formula>AND(B$9&gt;=8/24,B$9&lt;14/24)</formula>
    </cfRule>
    <cfRule type="expression" dxfId="1048" priority="73">
      <formula>B$9&lt;8/24</formula>
    </cfRule>
  </conditionalFormatting>
  <conditionalFormatting sqref="B57 B40:B41">
    <cfRule type="expression" dxfId="1047" priority="66">
      <formula>B$9&gt;=20/24</formula>
    </cfRule>
    <cfRule type="expression" dxfId="1046" priority="67">
      <formula>AND(B$9&gt;=14/24,B$9&lt;20/24)</formula>
    </cfRule>
    <cfRule type="expression" dxfId="1045" priority="68">
      <formula>AND(B$9&gt;=8/24,B$9&lt;14/24)</formula>
    </cfRule>
    <cfRule type="expression" dxfId="1044" priority="69">
      <formula>B$9&lt;8/24</formula>
    </cfRule>
  </conditionalFormatting>
  <conditionalFormatting sqref="B39">
    <cfRule type="expression" dxfId="1043" priority="62">
      <formula>B$9&gt;=20/24</formula>
    </cfRule>
    <cfRule type="expression" dxfId="1042" priority="63">
      <formula>AND(B$9&gt;=14/24,B$9&lt;20/24)</formula>
    </cfRule>
    <cfRule type="expression" dxfId="1041" priority="64">
      <formula>AND(B$9&gt;=8/24,B$9&lt;14/24)</formula>
    </cfRule>
    <cfRule type="expression" dxfId="1040" priority="65">
      <formula>B$9&lt;8/24</formula>
    </cfRule>
  </conditionalFormatting>
  <conditionalFormatting sqref="B39:B41">
    <cfRule type="expression" dxfId="1039" priority="61">
      <formula>B39&gt;$AG39</formula>
    </cfRule>
  </conditionalFormatting>
  <conditionalFormatting sqref="B83 B75:B81 B85:B91 B53:B56 B58:B73 B12:J14 K13:L14 B16:AF16 B36:AF36 C73:AF73">
    <cfRule type="expression" dxfId="1038" priority="57">
      <formula>B$9&gt;=20/24</formula>
    </cfRule>
    <cfRule type="expression" dxfId="1037" priority="58">
      <formula>AND(B$9&gt;=14/24,B$9&lt;20/24)</formula>
    </cfRule>
    <cfRule type="expression" dxfId="1036" priority="59">
      <formula>AND(B$9&gt;=8/24,B$9&lt;14/24)</formula>
    </cfRule>
    <cfRule type="expression" dxfId="1035" priority="60">
      <formula>B$9&lt;8/24</formula>
    </cfRule>
  </conditionalFormatting>
  <conditionalFormatting sqref="B38 B51:B56 B12:J16 K13:L16 M16:AF16 B36:AF36">
    <cfRule type="expression" dxfId="1034" priority="56">
      <formula>B12&gt;$AG12</formula>
    </cfRule>
  </conditionalFormatting>
  <conditionalFormatting sqref="B15:L15">
    <cfRule type="expression" dxfId="1033" priority="52">
      <formula>B$9&gt;=20/24</formula>
    </cfRule>
    <cfRule type="expression" dxfId="1032" priority="53">
      <formula>AND(B$9&gt;=14/24,B$9&lt;20/24)</formula>
    </cfRule>
    <cfRule type="expression" dxfId="1031" priority="54">
      <formula>AND(B$9&gt;=8/24,B$9&lt;14/24)</formula>
    </cfRule>
    <cfRule type="expression" dxfId="1030" priority="55">
      <formula>B$9&lt;8/24</formula>
    </cfRule>
  </conditionalFormatting>
  <conditionalFormatting sqref="B42 B48:D48">
    <cfRule type="expression" dxfId="1029" priority="48">
      <formula>B$9&gt;=20/24</formula>
    </cfRule>
    <cfRule type="expression" dxfId="1028" priority="49">
      <formula>AND(B$9&gt;=14/24,B$9&lt;20/24)</formula>
    </cfRule>
    <cfRule type="expression" dxfId="1027" priority="50">
      <formula>AND(B$9&gt;=8/24,B$9&lt;14/24)</formula>
    </cfRule>
    <cfRule type="expression" dxfId="1026" priority="51">
      <formula>B$9&lt;8/24</formula>
    </cfRule>
  </conditionalFormatting>
  <conditionalFormatting sqref="B42 B48:D48">
    <cfRule type="expression" dxfId="1025" priority="47">
      <formula>B42&gt;$AG42</formula>
    </cfRule>
  </conditionalFormatting>
  <conditionalFormatting sqref="B43">
    <cfRule type="expression" dxfId="1024" priority="43">
      <formula>B$9&gt;=20/24</formula>
    </cfRule>
    <cfRule type="expression" dxfId="1023" priority="44">
      <formula>AND(B$9&gt;=14/24,B$9&lt;20/24)</formula>
    </cfRule>
    <cfRule type="expression" dxfId="1022" priority="45">
      <formula>AND(B$9&gt;=8/24,B$9&lt;14/24)</formula>
    </cfRule>
    <cfRule type="expression" dxfId="1021" priority="46">
      <formula>B$9&lt;8/24</formula>
    </cfRule>
  </conditionalFormatting>
  <conditionalFormatting sqref="B43">
    <cfRule type="expression" dxfId="1020" priority="42">
      <formula>B43&gt;$AG43</formula>
    </cfRule>
  </conditionalFormatting>
  <conditionalFormatting sqref="B28:AF31 B18:AF22 B24:AF26">
    <cfRule type="expression" dxfId="1019" priority="38">
      <formula>B$9&gt;=20/24</formula>
    </cfRule>
    <cfRule type="expression" dxfId="1018" priority="39">
      <formula>AND(B$9&gt;=14/24,B$9&lt;20/24)</formula>
    </cfRule>
    <cfRule type="expression" dxfId="1017" priority="40">
      <formula>AND(B$9&gt;=8/24,B$9&lt;14/24)</formula>
    </cfRule>
    <cfRule type="expression" dxfId="1016" priority="41">
      <formula>B$9&lt;8/24</formula>
    </cfRule>
  </conditionalFormatting>
  <conditionalFormatting sqref="B32:AF32">
    <cfRule type="expression" dxfId="1015" priority="34">
      <formula>B$9&gt;=20/24</formula>
    </cfRule>
    <cfRule type="expression" dxfId="1014" priority="35">
      <formula>AND(B$9&gt;=14/24,B$9&lt;20/24)</formula>
    </cfRule>
    <cfRule type="expression" dxfId="1013" priority="36">
      <formula>AND(B$9&gt;=8/24,B$9&lt;14/24)</formula>
    </cfRule>
    <cfRule type="expression" dxfId="1012" priority="37">
      <formula>B$9&lt;8/24</formula>
    </cfRule>
  </conditionalFormatting>
  <conditionalFormatting sqref="B35:AF35">
    <cfRule type="expression" dxfId="1011" priority="30">
      <formula>B$9&gt;=20/24</formula>
    </cfRule>
    <cfRule type="expression" dxfId="1010" priority="31">
      <formula>AND(B$9&gt;=14/24,B$9&lt;20/24)</formula>
    </cfRule>
    <cfRule type="expression" dxfId="1009" priority="32">
      <formula>AND(B$9&gt;=8/24,B$9&lt;14/24)</formula>
    </cfRule>
    <cfRule type="expression" dxfId="1008" priority="33">
      <formula>B$9&lt;8/24</formula>
    </cfRule>
  </conditionalFormatting>
  <conditionalFormatting sqref="B18:AF22 B24:AF32 B34:AF35">
    <cfRule type="expression" dxfId="1007" priority="29">
      <formula>B18&gt;$AG18</formula>
    </cfRule>
  </conditionalFormatting>
  <conditionalFormatting sqref="B34:AF34">
    <cfRule type="expression" dxfId="1006" priority="25">
      <formula>B$9&gt;=20/24</formula>
    </cfRule>
    <cfRule type="expression" dxfId="1005" priority="26">
      <formula>AND(B$9&gt;=14/24,B$9&lt;20/24)</formula>
    </cfRule>
    <cfRule type="expression" dxfId="1004" priority="27">
      <formula>AND(B$9&gt;=8/24,B$9&lt;14/24)</formula>
    </cfRule>
    <cfRule type="expression" dxfId="1003" priority="28">
      <formula>B$9&lt;8/24</formula>
    </cfRule>
  </conditionalFormatting>
  <conditionalFormatting sqref="B33:AF33">
    <cfRule type="expression" dxfId="1002" priority="21">
      <formula>B$9&gt;=20/24</formula>
    </cfRule>
    <cfRule type="expression" dxfId="1001" priority="22">
      <formula>AND(B$9&gt;=14/24,B$9&lt;20/24)</formula>
    </cfRule>
    <cfRule type="expression" dxfId="1000" priority="23">
      <formula>AND(B$9&gt;=8/24,B$9&lt;14/24)</formula>
    </cfRule>
    <cfRule type="expression" dxfId="999" priority="24">
      <formula>B$9&lt;8/24</formula>
    </cfRule>
  </conditionalFormatting>
  <conditionalFormatting sqref="B33:AF33">
    <cfRule type="expression" dxfId="998" priority="20">
      <formula>B33&gt;$AG33</formula>
    </cfRule>
  </conditionalFormatting>
  <conditionalFormatting sqref="B17:AF17 B23:AF23">
    <cfRule type="expression" dxfId="997" priority="7">
      <formula>B$9&gt;=20/24</formula>
    </cfRule>
    <cfRule type="expression" dxfId="996" priority="8">
      <formula>AND(B$9&gt;=14/24,B$9&lt;20/24)</formula>
    </cfRule>
    <cfRule type="expression" dxfId="995" priority="9">
      <formula>AND(B$9&gt;=8/24,B$9&lt;14/24)</formula>
    </cfRule>
    <cfRule type="expression" dxfId="994" priority="10">
      <formula>B$9&lt;8/24</formula>
    </cfRule>
  </conditionalFormatting>
  <conditionalFormatting sqref="B17:AF17 B23:AF23">
    <cfRule type="expression" dxfId="993" priority="6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2" id="{09DFD8EB-51A7-411C-9E5A-35EF66E04D9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3"/>
  <sheetViews>
    <sheetView zoomScale="90" zoomScaleNormal="90" workbookViewId="0">
      <pane xSplit="1" ySplit="10" topLeftCell="B78" activePane="bottomRight" state="frozen"/>
      <selection activeCell="AF88" sqref="AF88"/>
      <selection pane="topRight" activeCell="AF88" sqref="AF88"/>
      <selection pane="bottomLeft" activeCell="AF88" sqref="AF88"/>
      <selection pane="bottomRight" activeCell="D101" sqref="D10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K3">
        <f>10515+10602+14459</f>
        <v>35576</v>
      </c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2079/02/28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K4">
        <v>2223</v>
      </c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79.400000000000006</v>
      </c>
      <c r="C5" s="32">
        <f t="shared" si="0"/>
        <v>81.2</v>
      </c>
      <c r="D5" s="32">
        <f t="shared" si="0"/>
        <v>87.6</v>
      </c>
      <c r="E5" s="32">
        <f t="shared" si="0"/>
        <v>87.1</v>
      </c>
      <c r="F5" s="32">
        <f t="shared" si="0"/>
        <v>86.5</v>
      </c>
      <c r="G5" s="32">
        <f t="shared" si="0"/>
        <v>83.9</v>
      </c>
      <c r="H5" s="32">
        <f t="shared" si="0"/>
        <v>79.400000000000006</v>
      </c>
      <c r="I5" s="32">
        <f t="shared" si="0"/>
        <v>71.900000000000006</v>
      </c>
      <c r="J5" s="32">
        <f t="shared" si="0"/>
        <v>95.2</v>
      </c>
      <c r="K5" s="32">
        <f t="shared" si="0"/>
        <v>93.8</v>
      </c>
      <c r="L5" s="32">
        <f t="shared" si="0"/>
        <v>99.2</v>
      </c>
      <c r="M5" s="32">
        <f t="shared" si="0"/>
        <v>104.6</v>
      </c>
      <c r="N5" s="32">
        <f t="shared" si="0"/>
        <v>100</v>
      </c>
      <c r="O5" s="32">
        <f t="shared" si="0"/>
        <v>103.4</v>
      </c>
      <c r="P5" s="32">
        <f t="shared" si="0"/>
        <v>109.2</v>
      </c>
      <c r="Q5" s="32">
        <f t="shared" si="0"/>
        <v>111.2</v>
      </c>
      <c r="R5" s="32">
        <f t="shared" si="0"/>
        <v>70</v>
      </c>
      <c r="S5" s="32">
        <f t="shared" si="0"/>
        <v>102</v>
      </c>
      <c r="T5" s="32">
        <f t="shared" si="0"/>
        <v>96</v>
      </c>
      <c r="U5" s="32">
        <f t="shared" si="0"/>
        <v>99.199999999999989</v>
      </c>
      <c r="V5" s="32">
        <f t="shared" si="0"/>
        <v>104.5</v>
      </c>
      <c r="W5" s="32">
        <f t="shared" si="0"/>
        <v>104.5</v>
      </c>
      <c r="X5" s="32">
        <f t="shared" si="0"/>
        <v>102.5</v>
      </c>
      <c r="Y5" s="32">
        <f t="shared" si="0"/>
        <v>117.2</v>
      </c>
      <c r="Z5" s="32">
        <f t="shared" si="0"/>
        <v>113.5</v>
      </c>
      <c r="AA5" s="32">
        <f t="shared" si="0"/>
        <v>121.3</v>
      </c>
      <c r="AB5" s="32">
        <f t="shared" si="0"/>
        <v>127.39999999999999</v>
      </c>
      <c r="AC5" s="32">
        <f t="shared" si="0"/>
        <v>88.1</v>
      </c>
      <c r="AD5" s="32">
        <f t="shared" si="0"/>
        <v>56.6</v>
      </c>
      <c r="AE5" s="32">
        <f t="shared" si="0"/>
        <v>40</v>
      </c>
      <c r="AF5" s="32">
        <f>B68</f>
        <v>83.6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1749MW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K6">
        <v>33297</v>
      </c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Load=1585</v>
      </c>
      <c r="B7" s="37">
        <f>B75</f>
        <v>1598.8399999999997</v>
      </c>
      <c r="C7" s="37">
        <f t="shared" ref="C7:AF7" si="1">C75</f>
        <v>1692.94</v>
      </c>
      <c r="D7" s="37">
        <f t="shared" si="1"/>
        <v>1713.8400000000001</v>
      </c>
      <c r="E7" s="37">
        <f t="shared" si="1"/>
        <v>1701.3400000000001</v>
      </c>
      <c r="F7" s="37">
        <f t="shared" si="1"/>
        <v>1693.64</v>
      </c>
      <c r="G7" s="37">
        <f t="shared" si="1"/>
        <v>1685.04</v>
      </c>
      <c r="H7" s="37">
        <f t="shared" si="1"/>
        <v>1693.04</v>
      </c>
      <c r="I7" s="37">
        <f t="shared" si="1"/>
        <v>1659.14</v>
      </c>
      <c r="J7" s="37">
        <f t="shared" si="1"/>
        <v>1679.14</v>
      </c>
      <c r="K7" s="37">
        <f t="shared" si="1"/>
        <v>1712.04</v>
      </c>
      <c r="L7" s="37">
        <f t="shared" si="1"/>
        <v>1712.24</v>
      </c>
      <c r="M7" s="37">
        <f t="shared" si="1"/>
        <v>1743.44</v>
      </c>
      <c r="N7" s="37">
        <f t="shared" si="1"/>
        <v>1748.74</v>
      </c>
      <c r="O7" s="37">
        <f t="shared" si="1"/>
        <v>1726.04</v>
      </c>
      <c r="P7" s="37">
        <f t="shared" si="1"/>
        <v>1728.1399999999999</v>
      </c>
      <c r="Q7" s="37">
        <f t="shared" si="1"/>
        <v>1694.3400000000001</v>
      </c>
      <c r="R7" s="37">
        <f t="shared" si="1"/>
        <v>1651.54</v>
      </c>
      <c r="S7" s="37">
        <f t="shared" si="1"/>
        <v>1668.24</v>
      </c>
      <c r="T7" s="37">
        <f t="shared" si="1"/>
        <v>1700.24</v>
      </c>
      <c r="U7" s="37">
        <f t="shared" si="1"/>
        <v>1696.54</v>
      </c>
      <c r="V7" s="37">
        <f t="shared" si="1"/>
        <v>1623.8400000000001</v>
      </c>
      <c r="W7" s="37">
        <f t="shared" si="1"/>
        <v>1614.8400000000001</v>
      </c>
      <c r="X7" s="37">
        <f t="shared" si="1"/>
        <v>1584.8400000000001</v>
      </c>
      <c r="Y7" s="37">
        <f t="shared" si="1"/>
        <v>1589.6400000000003</v>
      </c>
      <c r="Z7" s="37">
        <f t="shared" si="1"/>
        <v>1629.0400000000004</v>
      </c>
      <c r="AA7" s="37">
        <f t="shared" si="1"/>
        <v>1627.8400000000001</v>
      </c>
      <c r="AB7" s="37">
        <f t="shared" si="1"/>
        <v>1626.6400000000003</v>
      </c>
      <c r="AC7" s="37">
        <f t="shared" si="1"/>
        <v>1629.8400000000001</v>
      </c>
      <c r="AD7" s="37">
        <f t="shared" si="1"/>
        <v>1696.94</v>
      </c>
      <c r="AE7" s="37">
        <f t="shared" si="1"/>
        <v>1634.8400000000001</v>
      </c>
      <c r="AF7" s="37">
        <f t="shared" si="1"/>
        <v>1587.5400000000002</v>
      </c>
      <c r="AG7" s="38"/>
      <c r="AH7" s="39"/>
      <c r="AI7" s="40"/>
      <c r="AK7">
        <v>1495</v>
      </c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456</v>
      </c>
      <c r="C11" s="70">
        <v>456</v>
      </c>
      <c r="D11" s="70">
        <v>456</v>
      </c>
      <c r="E11" s="70">
        <v>456</v>
      </c>
      <c r="F11" s="70">
        <v>456</v>
      </c>
      <c r="G11" s="70">
        <v>456</v>
      </c>
      <c r="H11" s="70">
        <v>456</v>
      </c>
      <c r="I11" s="51">
        <v>430</v>
      </c>
      <c r="J11" s="52">
        <v>456</v>
      </c>
      <c r="K11" s="52">
        <v>456</v>
      </c>
      <c r="L11" s="52">
        <v>456</v>
      </c>
      <c r="M11" s="51">
        <v>456</v>
      </c>
      <c r="N11" s="51">
        <v>456</v>
      </c>
      <c r="O11" s="51">
        <v>456</v>
      </c>
      <c r="P11" s="51">
        <v>456</v>
      </c>
      <c r="Q11" s="51">
        <v>456</v>
      </c>
      <c r="R11" s="51">
        <v>456</v>
      </c>
      <c r="S11" s="51">
        <v>456</v>
      </c>
      <c r="T11" s="51">
        <v>456</v>
      </c>
      <c r="U11" s="51">
        <v>456</v>
      </c>
      <c r="V11" s="51">
        <v>400</v>
      </c>
      <c r="W11" s="49">
        <v>375</v>
      </c>
      <c r="X11" s="49">
        <v>345</v>
      </c>
      <c r="Y11" s="49">
        <v>380</v>
      </c>
      <c r="Z11" s="49">
        <v>400</v>
      </c>
      <c r="AA11" s="49">
        <v>400</v>
      </c>
      <c r="AB11" s="49">
        <v>456</v>
      </c>
      <c r="AC11" s="49">
        <v>456</v>
      </c>
      <c r="AD11" s="49">
        <v>456</v>
      </c>
      <c r="AE11" s="49">
        <v>456</v>
      </c>
      <c r="AF11" s="49">
        <v>456</v>
      </c>
      <c r="AG11" s="53">
        <v>456</v>
      </c>
      <c r="AH11" s="54">
        <f>MAX(B11:AF11)</f>
        <v>456</v>
      </c>
      <c r="AI11" s="55">
        <f>MIN(B11:AF11)</f>
        <v>345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53.1</v>
      </c>
      <c r="C13" s="51">
        <v>23.7</v>
      </c>
      <c r="D13" s="51">
        <v>40</v>
      </c>
      <c r="E13" s="51">
        <v>40</v>
      </c>
      <c r="F13" s="51">
        <v>40</v>
      </c>
      <c r="G13" s="51">
        <v>40</v>
      </c>
      <c r="H13" s="51">
        <v>52.7</v>
      </c>
      <c r="I13" s="51">
        <v>52.7</v>
      </c>
      <c r="J13" s="51">
        <v>52.7</v>
      </c>
      <c r="K13" s="51">
        <v>30.8</v>
      </c>
      <c r="L13" s="51">
        <v>30.8</v>
      </c>
      <c r="M13" s="51">
        <v>30.8</v>
      </c>
      <c r="N13" s="51">
        <v>30.8</v>
      </c>
      <c r="O13" s="51">
        <v>30.8</v>
      </c>
      <c r="P13" s="51">
        <v>30.8</v>
      </c>
      <c r="Q13" s="51">
        <v>30.8</v>
      </c>
      <c r="R13" s="51">
        <v>30.8</v>
      </c>
      <c r="S13" s="51">
        <v>40</v>
      </c>
      <c r="T13" s="51">
        <v>40</v>
      </c>
      <c r="U13" s="51">
        <v>40</v>
      </c>
      <c r="V13" s="51">
        <v>36.299999999999997</v>
      </c>
      <c r="W13" s="51">
        <v>41</v>
      </c>
      <c r="X13" s="51">
        <v>41</v>
      </c>
      <c r="Y13" s="51">
        <v>41</v>
      </c>
      <c r="Z13" s="51">
        <v>41</v>
      </c>
      <c r="AA13" s="51">
        <v>41</v>
      </c>
      <c r="AB13" s="51">
        <v>41</v>
      </c>
      <c r="AC13" s="51">
        <v>40.200000000000003</v>
      </c>
      <c r="AD13" s="51">
        <v>40.200000000000003</v>
      </c>
      <c r="AE13" s="51">
        <v>40.200000000000003</v>
      </c>
      <c r="AF13" s="51">
        <v>40.200000000000003</v>
      </c>
      <c r="AG13" s="58">
        <v>52.4</v>
      </c>
      <c r="AH13" s="54">
        <f t="shared" si="2"/>
        <v>53.1</v>
      </c>
      <c r="AI13" s="55">
        <f t="shared" si="3"/>
        <v>23.7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50.5</v>
      </c>
      <c r="C14" s="51">
        <v>50.5</v>
      </c>
      <c r="D14" s="51">
        <v>50.5</v>
      </c>
      <c r="E14" s="51">
        <v>50.5</v>
      </c>
      <c r="F14" s="51">
        <v>50.5</v>
      </c>
      <c r="G14" s="51">
        <v>50.5</v>
      </c>
      <c r="H14" s="51">
        <v>50.5</v>
      </c>
      <c r="I14" s="51">
        <v>50.5</v>
      </c>
      <c r="J14" s="51">
        <v>50.5</v>
      </c>
      <c r="K14" s="51">
        <v>50.5</v>
      </c>
      <c r="L14" s="51">
        <v>50.5</v>
      </c>
      <c r="M14" s="51">
        <v>50.5</v>
      </c>
      <c r="N14" s="51">
        <v>50.5</v>
      </c>
      <c r="O14" s="51">
        <v>50.5</v>
      </c>
      <c r="P14" s="51">
        <v>50.5</v>
      </c>
      <c r="Q14" s="51">
        <v>50.5</v>
      </c>
      <c r="R14" s="51">
        <v>50.5</v>
      </c>
      <c r="S14" s="51">
        <v>50.5</v>
      </c>
      <c r="T14" s="51">
        <v>50.5</v>
      </c>
      <c r="U14" s="51">
        <v>50.5</v>
      </c>
      <c r="V14" s="51">
        <v>50.2</v>
      </c>
      <c r="W14" s="51">
        <v>50.2</v>
      </c>
      <c r="X14" s="51">
        <v>50.2</v>
      </c>
      <c r="Y14" s="51">
        <v>26</v>
      </c>
      <c r="Z14" s="51">
        <v>26</v>
      </c>
      <c r="AA14" s="51">
        <v>26</v>
      </c>
      <c r="AB14" s="51">
        <v>50.2</v>
      </c>
      <c r="AC14" s="51">
        <v>50.4</v>
      </c>
      <c r="AD14" s="51">
        <v>50.4</v>
      </c>
      <c r="AE14" s="51">
        <v>50.4</v>
      </c>
      <c r="AF14" s="51">
        <v>50.4</v>
      </c>
      <c r="AG14" s="58">
        <v>50</v>
      </c>
      <c r="AH14" s="54">
        <f t="shared" si="2"/>
        <v>50.5</v>
      </c>
      <c r="AI14" s="55">
        <f t="shared" si="3"/>
        <v>26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0</v>
      </c>
      <c r="C15" s="51">
        <v>45.6</v>
      </c>
      <c r="D15" s="51">
        <v>45.6</v>
      </c>
      <c r="E15" s="51">
        <v>45.6</v>
      </c>
      <c r="F15" s="51">
        <v>45.6</v>
      </c>
      <c r="G15" s="51">
        <v>45.6</v>
      </c>
      <c r="H15" s="51">
        <v>45.6</v>
      </c>
      <c r="I15" s="51">
        <v>45.6</v>
      </c>
      <c r="J15" s="51">
        <v>45.6</v>
      </c>
      <c r="K15" s="51">
        <v>45.6</v>
      </c>
      <c r="L15" s="51">
        <v>45.6</v>
      </c>
      <c r="M15" s="51">
        <v>45.6</v>
      </c>
      <c r="N15" s="51">
        <v>45.6</v>
      </c>
      <c r="O15" s="51">
        <v>45.6</v>
      </c>
      <c r="P15" s="51">
        <v>45.6</v>
      </c>
      <c r="Q15" s="51">
        <v>45.6</v>
      </c>
      <c r="R15" s="51">
        <v>45.6</v>
      </c>
      <c r="S15" s="51">
        <v>45.6</v>
      </c>
      <c r="T15" s="51">
        <v>45.6</v>
      </c>
      <c r="U15" s="51">
        <v>45.6</v>
      </c>
      <c r="V15" s="51">
        <v>45.2</v>
      </c>
      <c r="W15" s="51">
        <v>45.2</v>
      </c>
      <c r="X15" s="51">
        <v>45.2</v>
      </c>
      <c r="Y15" s="51">
        <v>45.2</v>
      </c>
      <c r="Z15" s="51">
        <v>45.2</v>
      </c>
      <c r="AA15" s="51">
        <v>45.2</v>
      </c>
      <c r="AB15" s="51">
        <v>42.6</v>
      </c>
      <c r="AC15" s="51">
        <v>45.2</v>
      </c>
      <c r="AD15" s="51">
        <v>46.1</v>
      </c>
      <c r="AE15" s="51">
        <v>46.1</v>
      </c>
      <c r="AF15" s="51">
        <v>46.1</v>
      </c>
      <c r="AG15" s="59">
        <v>45</v>
      </c>
      <c r="AH15" s="54">
        <f t="shared" si="2"/>
        <v>46.1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38</v>
      </c>
      <c r="C16" s="51">
        <v>38</v>
      </c>
      <c r="D16" s="51">
        <v>39</v>
      </c>
      <c r="E16" s="51">
        <v>39</v>
      </c>
      <c r="F16" s="51">
        <v>39</v>
      </c>
      <c r="G16" s="51">
        <v>39</v>
      </c>
      <c r="H16" s="51">
        <v>39</v>
      </c>
      <c r="I16" s="51">
        <v>39</v>
      </c>
      <c r="J16" s="51">
        <v>39</v>
      </c>
      <c r="K16" s="51">
        <v>39</v>
      </c>
      <c r="L16" s="51">
        <v>39</v>
      </c>
      <c r="M16" s="51">
        <v>39</v>
      </c>
      <c r="N16" s="51">
        <v>39</v>
      </c>
      <c r="O16" s="51">
        <v>39</v>
      </c>
      <c r="P16" s="51">
        <v>39</v>
      </c>
      <c r="Q16" s="51">
        <v>39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30</v>
      </c>
      <c r="AE16" s="51">
        <v>30</v>
      </c>
      <c r="AF16" s="51">
        <v>30</v>
      </c>
      <c r="AG16" s="58">
        <v>45</v>
      </c>
      <c r="AH16" s="54">
        <f t="shared" si="2"/>
        <v>39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0</v>
      </c>
      <c r="C19" s="51">
        <v>26.4</v>
      </c>
      <c r="D19" s="51">
        <v>26.4</v>
      </c>
      <c r="E19" s="51">
        <v>26.4</v>
      </c>
      <c r="F19" s="51">
        <v>26.4</v>
      </c>
      <c r="G19" s="51">
        <v>26.4</v>
      </c>
      <c r="H19" s="51">
        <v>26.4</v>
      </c>
      <c r="I19" s="51">
        <v>26.4</v>
      </c>
      <c r="J19" s="51">
        <v>26.4</v>
      </c>
      <c r="K19" s="51">
        <v>26.4</v>
      </c>
      <c r="L19" s="51">
        <v>26.4</v>
      </c>
      <c r="M19" s="51">
        <v>26.4</v>
      </c>
      <c r="N19" s="51">
        <v>26.4</v>
      </c>
      <c r="O19" s="51">
        <v>26.4</v>
      </c>
      <c r="P19" s="51">
        <v>26.4</v>
      </c>
      <c r="Q19" s="51">
        <v>26.4</v>
      </c>
      <c r="R19" s="51">
        <v>26.4</v>
      </c>
      <c r="S19" s="51">
        <v>26.4</v>
      </c>
      <c r="T19" s="51">
        <v>26.4</v>
      </c>
      <c r="U19" s="51">
        <v>26.4</v>
      </c>
      <c r="V19" s="51">
        <v>26.1</v>
      </c>
      <c r="W19" s="51">
        <v>26.1</v>
      </c>
      <c r="X19" s="51">
        <v>26.1</v>
      </c>
      <c r="Y19" s="51">
        <v>26.1</v>
      </c>
      <c r="Z19" s="51">
        <v>26.1</v>
      </c>
      <c r="AA19" s="51">
        <v>26.1</v>
      </c>
      <c r="AB19" s="51">
        <v>26.1</v>
      </c>
      <c r="AC19" s="51">
        <v>26.1</v>
      </c>
      <c r="AD19" s="51">
        <v>26.1</v>
      </c>
      <c r="AE19" s="51">
        <v>26.1</v>
      </c>
      <c r="AF19" s="51">
        <v>26.1</v>
      </c>
      <c r="AG19" s="58">
        <v>30</v>
      </c>
      <c r="AH19" s="54">
        <f t="shared" si="2"/>
        <v>26.4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15.5</v>
      </c>
      <c r="C20" s="51">
        <v>15.5</v>
      </c>
      <c r="D20" s="51">
        <v>15.5</v>
      </c>
      <c r="E20" s="51">
        <v>15.5</v>
      </c>
      <c r="F20" s="51">
        <v>15.5</v>
      </c>
      <c r="G20" s="51">
        <v>15.5</v>
      </c>
      <c r="H20" s="51">
        <v>15.5</v>
      </c>
      <c r="I20" s="51">
        <v>15.5</v>
      </c>
      <c r="J20" s="51">
        <v>15.5</v>
      </c>
      <c r="K20" s="51">
        <v>15.5</v>
      </c>
      <c r="L20" s="51">
        <v>15.5</v>
      </c>
      <c r="M20" s="51">
        <v>15.5</v>
      </c>
      <c r="N20" s="51">
        <v>15.5</v>
      </c>
      <c r="O20" s="51">
        <v>15.5</v>
      </c>
      <c r="P20" s="51">
        <v>15.5</v>
      </c>
      <c r="Q20" s="51">
        <v>15.5</v>
      </c>
      <c r="R20" s="51">
        <v>15.5</v>
      </c>
      <c r="S20" s="51">
        <v>15.5</v>
      </c>
      <c r="T20" s="51">
        <v>15.5</v>
      </c>
      <c r="U20" s="51">
        <v>15.5</v>
      </c>
      <c r="V20" s="51">
        <v>15.5</v>
      </c>
      <c r="W20" s="51">
        <v>15.5</v>
      </c>
      <c r="X20" s="51">
        <v>15.5</v>
      </c>
      <c r="Y20" s="51">
        <v>15.5</v>
      </c>
      <c r="Z20" s="51">
        <v>15.5</v>
      </c>
      <c r="AA20" s="51">
        <v>15.5</v>
      </c>
      <c r="AB20" s="51">
        <v>10</v>
      </c>
      <c r="AC20" s="51">
        <v>10</v>
      </c>
      <c r="AD20" s="51">
        <v>10</v>
      </c>
      <c r="AE20" s="51">
        <v>10</v>
      </c>
      <c r="AF20" s="51">
        <v>10</v>
      </c>
      <c r="AG20" s="58">
        <v>27</v>
      </c>
      <c r="AH20" s="54">
        <f t="shared" si="2"/>
        <v>15.5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0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22.9</v>
      </c>
      <c r="C22" s="51">
        <v>23.1</v>
      </c>
      <c r="D22" s="51">
        <v>23.1</v>
      </c>
      <c r="E22" s="51">
        <v>23.1</v>
      </c>
      <c r="F22" s="51">
        <v>23.1</v>
      </c>
      <c r="G22" s="51">
        <v>23.1</v>
      </c>
      <c r="H22" s="51">
        <v>23.1</v>
      </c>
      <c r="I22" s="51">
        <v>23.1</v>
      </c>
      <c r="J22" s="51">
        <v>23.1</v>
      </c>
      <c r="K22" s="51">
        <v>23.1</v>
      </c>
      <c r="L22" s="51">
        <v>23.1</v>
      </c>
      <c r="M22" s="51">
        <v>23.1</v>
      </c>
      <c r="N22" s="51">
        <v>23.1</v>
      </c>
      <c r="O22" s="51">
        <v>23.1</v>
      </c>
      <c r="P22" s="51">
        <v>23.1</v>
      </c>
      <c r="Q22" s="51">
        <v>23.1</v>
      </c>
      <c r="R22" s="51">
        <v>23.1</v>
      </c>
      <c r="S22" s="51">
        <v>23.1</v>
      </c>
      <c r="T22" s="51">
        <v>23.1</v>
      </c>
      <c r="U22" s="51">
        <v>23.1</v>
      </c>
      <c r="V22" s="51">
        <v>22.2</v>
      </c>
      <c r="W22" s="51">
        <v>22.2</v>
      </c>
      <c r="X22" s="51">
        <v>22.2</v>
      </c>
      <c r="Y22" s="51">
        <v>22.2</v>
      </c>
      <c r="Z22" s="51">
        <v>22.2</v>
      </c>
      <c r="AA22" s="51">
        <v>22.2</v>
      </c>
      <c r="AB22" s="51">
        <v>22.1</v>
      </c>
      <c r="AC22" s="51">
        <v>22.1</v>
      </c>
      <c r="AD22" s="51">
        <v>22.1</v>
      </c>
      <c r="AE22" s="51">
        <v>22.1</v>
      </c>
      <c r="AF22" s="51">
        <v>22.1</v>
      </c>
      <c r="AG22" s="58">
        <v>25</v>
      </c>
      <c r="AH22" s="54">
        <f t="shared" si="2"/>
        <v>23.1</v>
      </c>
      <c r="AI22" s="55">
        <f t="shared" si="3"/>
        <v>22.1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22.4</v>
      </c>
      <c r="C24" s="51">
        <v>22.4</v>
      </c>
      <c r="D24" s="51">
        <v>22.4</v>
      </c>
      <c r="E24" s="51">
        <v>22.4</v>
      </c>
      <c r="F24" s="51">
        <v>22.4</v>
      </c>
      <c r="G24" s="51">
        <v>22.4</v>
      </c>
      <c r="H24" s="51">
        <v>22.4</v>
      </c>
      <c r="I24" s="51">
        <v>22.4</v>
      </c>
      <c r="J24" s="51">
        <v>22.4</v>
      </c>
      <c r="K24" s="51">
        <v>19.399999999999999</v>
      </c>
      <c r="L24" s="51">
        <v>19.399999999999999</v>
      </c>
      <c r="M24" s="51">
        <v>19.399999999999999</v>
      </c>
      <c r="N24" s="51">
        <v>19.399999999999999</v>
      </c>
      <c r="O24" s="51">
        <v>19.399999999999999</v>
      </c>
      <c r="P24" s="51">
        <v>19.399999999999999</v>
      </c>
      <c r="Q24" s="51">
        <v>19.399999999999999</v>
      </c>
      <c r="R24" s="51">
        <v>19.399999999999999</v>
      </c>
      <c r="S24" s="51">
        <v>19.399999999999999</v>
      </c>
      <c r="T24" s="51">
        <v>19.399999999999999</v>
      </c>
      <c r="U24" s="51">
        <v>19.399999999999999</v>
      </c>
      <c r="V24" s="51">
        <v>21.5</v>
      </c>
      <c r="W24" s="51">
        <v>21.5</v>
      </c>
      <c r="X24" s="51">
        <v>21.5</v>
      </c>
      <c r="Y24" s="51">
        <v>21.5</v>
      </c>
      <c r="Z24" s="51">
        <v>21.5</v>
      </c>
      <c r="AA24" s="51">
        <v>21.5</v>
      </c>
      <c r="AB24" s="51">
        <v>20.7</v>
      </c>
      <c r="AC24" s="51">
        <v>20.7</v>
      </c>
      <c r="AD24" s="51">
        <v>20.7</v>
      </c>
      <c r="AE24" s="51">
        <v>20.7</v>
      </c>
      <c r="AF24" s="51">
        <v>20.7</v>
      </c>
      <c r="AG24" s="58">
        <v>25</v>
      </c>
      <c r="AH24" s="54">
        <f t="shared" si="2"/>
        <v>22.4</v>
      </c>
      <c r="AI24" s="55">
        <f t="shared" si="3"/>
        <v>19.399999999999999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21</v>
      </c>
      <c r="C25" s="51">
        <v>21</v>
      </c>
      <c r="D25" s="51">
        <v>21</v>
      </c>
      <c r="E25" s="51">
        <v>21</v>
      </c>
      <c r="F25" s="51">
        <v>21</v>
      </c>
      <c r="G25" s="51">
        <v>21</v>
      </c>
      <c r="H25" s="51">
        <v>21</v>
      </c>
      <c r="I25" s="51">
        <v>21</v>
      </c>
      <c r="J25" s="51">
        <v>21</v>
      </c>
      <c r="K25" s="51">
        <v>21</v>
      </c>
      <c r="L25" s="51">
        <v>21</v>
      </c>
      <c r="M25" s="51">
        <v>21</v>
      </c>
      <c r="N25" s="51">
        <v>21</v>
      </c>
      <c r="O25" s="51">
        <v>21</v>
      </c>
      <c r="P25" s="51">
        <v>21</v>
      </c>
      <c r="Q25" s="51">
        <v>21</v>
      </c>
      <c r="R25" s="51">
        <v>21</v>
      </c>
      <c r="S25" s="51">
        <v>21</v>
      </c>
      <c r="T25" s="51">
        <v>21</v>
      </c>
      <c r="U25" s="51">
        <v>21</v>
      </c>
      <c r="V25" s="51">
        <v>21</v>
      </c>
      <c r="W25" s="51">
        <v>21</v>
      </c>
      <c r="X25" s="51">
        <v>21</v>
      </c>
      <c r="Y25" s="51">
        <v>21</v>
      </c>
      <c r="Z25" s="51">
        <v>21</v>
      </c>
      <c r="AA25" s="51">
        <v>21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21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7</v>
      </c>
      <c r="C26" s="51">
        <v>7</v>
      </c>
      <c r="D26" s="51">
        <v>7</v>
      </c>
      <c r="E26" s="51">
        <v>7</v>
      </c>
      <c r="F26" s="51">
        <v>7</v>
      </c>
      <c r="G26" s="51">
        <v>7</v>
      </c>
      <c r="H26" s="51">
        <v>7</v>
      </c>
      <c r="I26" s="51">
        <v>7</v>
      </c>
      <c r="J26" s="51">
        <v>7</v>
      </c>
      <c r="K26" s="51">
        <v>7</v>
      </c>
      <c r="L26" s="51">
        <v>7</v>
      </c>
      <c r="M26" s="51">
        <v>7</v>
      </c>
      <c r="N26" s="51">
        <v>7</v>
      </c>
      <c r="O26" s="51">
        <v>7</v>
      </c>
      <c r="P26" s="51">
        <v>7</v>
      </c>
      <c r="Q26" s="51">
        <v>7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7</v>
      </c>
      <c r="AC26" s="51">
        <v>7</v>
      </c>
      <c r="AD26" s="51">
        <v>7</v>
      </c>
      <c r="AE26" s="51">
        <v>7</v>
      </c>
      <c r="AF26" s="51">
        <v>7</v>
      </c>
      <c r="AG26" s="58">
        <v>20</v>
      </c>
      <c r="AH26" s="54">
        <f t="shared" si="2"/>
        <v>7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7</v>
      </c>
      <c r="AC30" s="51">
        <v>7</v>
      </c>
      <c r="AD30" s="51">
        <v>7</v>
      </c>
      <c r="AE30" s="51">
        <v>7</v>
      </c>
      <c r="AF30" s="51">
        <v>7</v>
      </c>
      <c r="AG30" s="58">
        <v>22.1</v>
      </c>
      <c r="AH30" s="54">
        <f t="shared" si="2"/>
        <v>12</v>
      </c>
      <c r="AI30" s="55">
        <f t="shared" si="3"/>
        <v>7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>
        <v>6</v>
      </c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6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6</v>
      </c>
      <c r="Y31" s="51">
        <v>6</v>
      </c>
      <c r="Z31" s="51">
        <v>6</v>
      </c>
      <c r="AA31" s="51">
        <v>6</v>
      </c>
      <c r="AB31" s="51">
        <v>6</v>
      </c>
      <c r="AC31" s="51">
        <v>6</v>
      </c>
      <c r="AD31" s="51">
        <v>6</v>
      </c>
      <c r="AE31" s="51">
        <v>6</v>
      </c>
      <c r="AF31" s="51">
        <v>6</v>
      </c>
      <c r="AG31" s="59">
        <v>22</v>
      </c>
      <c r="AH31" s="54">
        <f t="shared" si="2"/>
        <v>6</v>
      </c>
      <c r="AI31" s="55">
        <f t="shared" si="3"/>
        <v>6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8.8000000000000007</v>
      </c>
      <c r="C34" s="51">
        <v>8.8000000000000007</v>
      </c>
      <c r="D34" s="51">
        <v>8.8000000000000007</v>
      </c>
      <c r="E34" s="51">
        <v>8.8000000000000007</v>
      </c>
      <c r="F34" s="51">
        <v>8.8000000000000007</v>
      </c>
      <c r="G34" s="51">
        <v>8.8000000000000007</v>
      </c>
      <c r="H34" s="51">
        <v>8.8000000000000007</v>
      </c>
      <c r="I34" s="51">
        <v>8.8000000000000007</v>
      </c>
      <c r="J34" s="51">
        <v>8.8000000000000007</v>
      </c>
      <c r="K34" s="51">
        <v>8.8000000000000007</v>
      </c>
      <c r="L34" s="51">
        <v>8.8000000000000007</v>
      </c>
      <c r="M34" s="51">
        <v>8.8000000000000007</v>
      </c>
      <c r="N34" s="51">
        <v>8.8000000000000007</v>
      </c>
      <c r="O34" s="51">
        <v>8.8000000000000007</v>
      </c>
      <c r="P34" s="51">
        <v>8.8000000000000007</v>
      </c>
      <c r="Q34" s="51">
        <v>8.8000000000000007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8</v>
      </c>
      <c r="AE34" s="51">
        <v>8</v>
      </c>
      <c r="AF34" s="51">
        <v>8</v>
      </c>
      <c r="AG34" s="63">
        <v>20</v>
      </c>
      <c r="AH34" s="54">
        <f t="shared" si="2"/>
        <v>8.8000000000000007</v>
      </c>
      <c r="AI34" s="55">
        <f t="shared" si="3"/>
        <v>0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5</v>
      </c>
      <c r="N35" s="51">
        <v>5</v>
      </c>
      <c r="O35" s="51">
        <v>5</v>
      </c>
      <c r="P35" s="51">
        <v>5</v>
      </c>
      <c r="Q35" s="51">
        <v>5</v>
      </c>
      <c r="R35" s="51">
        <v>5</v>
      </c>
      <c r="S35" s="51">
        <v>5</v>
      </c>
      <c r="T35" s="51">
        <v>5</v>
      </c>
      <c r="U35" s="51">
        <v>5</v>
      </c>
      <c r="V35" s="51">
        <v>5</v>
      </c>
      <c r="W35" s="51">
        <v>5</v>
      </c>
      <c r="X35" s="51">
        <v>5</v>
      </c>
      <c r="Y35" s="51">
        <v>5</v>
      </c>
      <c r="Z35" s="51">
        <v>5</v>
      </c>
      <c r="AA35" s="51">
        <v>5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5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260</v>
      </c>
      <c r="C36" s="65">
        <v>260</v>
      </c>
      <c r="D36" s="65">
        <v>260</v>
      </c>
      <c r="E36" s="65">
        <v>260</v>
      </c>
      <c r="F36" s="65">
        <v>260</v>
      </c>
      <c r="G36" s="65">
        <v>260</v>
      </c>
      <c r="H36" s="65">
        <v>260</v>
      </c>
      <c r="I36" s="65">
        <v>260</v>
      </c>
      <c r="J36" s="65">
        <v>260</v>
      </c>
      <c r="K36" s="65">
        <v>260</v>
      </c>
      <c r="L36" s="65">
        <v>260</v>
      </c>
      <c r="M36" s="65">
        <v>260</v>
      </c>
      <c r="N36" s="65">
        <v>260</v>
      </c>
      <c r="O36" s="65">
        <v>260</v>
      </c>
      <c r="P36" s="65">
        <v>260</v>
      </c>
      <c r="Q36" s="65">
        <v>260</v>
      </c>
      <c r="R36" s="65">
        <v>260</v>
      </c>
      <c r="S36" s="65">
        <v>260</v>
      </c>
      <c r="T36" s="65">
        <v>260</v>
      </c>
      <c r="U36" s="65">
        <v>260</v>
      </c>
      <c r="V36" s="65">
        <v>260</v>
      </c>
      <c r="W36" s="65">
        <v>260</v>
      </c>
      <c r="X36" s="65">
        <v>260</v>
      </c>
      <c r="Y36" s="65">
        <v>260</v>
      </c>
      <c r="Z36" s="65">
        <v>260</v>
      </c>
      <c r="AA36" s="65">
        <v>260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260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v>122.3</v>
      </c>
      <c r="C37" s="65">
        <f>37.4+84.2</f>
        <v>121.6</v>
      </c>
      <c r="D37" s="65">
        <f>33.2+80</f>
        <v>113.2</v>
      </c>
      <c r="E37" s="65">
        <f>38+85.8</f>
        <v>123.8</v>
      </c>
      <c r="F37" s="65">
        <f>38.7+88</f>
        <v>126.7</v>
      </c>
      <c r="G37" s="65">
        <f>38.6+87.2</f>
        <v>125.80000000000001</v>
      </c>
      <c r="H37" s="65">
        <f>38.6+87</f>
        <v>125.6</v>
      </c>
      <c r="I37" s="65">
        <f>38.6+86.8</f>
        <v>125.4</v>
      </c>
      <c r="J37" s="65">
        <f>37.2+82.5</f>
        <v>119.7</v>
      </c>
      <c r="K37" s="65">
        <f>37.1+82.4</f>
        <v>119.5</v>
      </c>
      <c r="L37" s="65">
        <f>36.1+79</f>
        <v>115.1</v>
      </c>
      <c r="M37" s="65">
        <f>78.4+35.7</f>
        <v>114.10000000000001</v>
      </c>
      <c r="N37" s="65">
        <f>83.8+36.9</f>
        <v>120.69999999999999</v>
      </c>
      <c r="O37" s="65">
        <f>87.3+38.6</f>
        <v>125.9</v>
      </c>
      <c r="P37" s="65">
        <f>35.2+75.6</f>
        <v>110.8</v>
      </c>
      <c r="Q37" s="65">
        <f>82.9+37</f>
        <v>119.9</v>
      </c>
      <c r="R37" s="65">
        <f>78.5+35.6</f>
        <v>114.1</v>
      </c>
      <c r="S37" s="65">
        <v>108</v>
      </c>
      <c r="T37" s="65">
        <v>108</v>
      </c>
      <c r="U37" s="67">
        <f>76+34</f>
        <v>110</v>
      </c>
      <c r="V37" s="67">
        <f>31.5+73.5</f>
        <v>105</v>
      </c>
      <c r="W37" s="67">
        <f>31.5+73.5</f>
        <v>105</v>
      </c>
      <c r="X37" s="67">
        <f>31.5+73.5</f>
        <v>105</v>
      </c>
      <c r="Y37" s="67">
        <f>31.5+73.5</f>
        <v>105</v>
      </c>
      <c r="Z37" s="67">
        <v>155</v>
      </c>
      <c r="AA37" s="67">
        <v>159.5</v>
      </c>
      <c r="AB37" s="67">
        <v>156</v>
      </c>
      <c r="AC37" s="67">
        <f>102+58.5</f>
        <v>160.5</v>
      </c>
      <c r="AD37" s="67">
        <f>88.2+72.8</f>
        <v>161</v>
      </c>
      <c r="AE37" s="67">
        <f>87.6+77</f>
        <v>164.6</v>
      </c>
      <c r="AF37" s="67">
        <f>89.2+77.5</f>
        <v>166.7</v>
      </c>
      <c r="AG37" s="63">
        <v>240</v>
      </c>
      <c r="AH37" s="54">
        <f t="shared" si="2"/>
        <v>166.7</v>
      </c>
      <c r="AI37" s="55">
        <f t="shared" si="3"/>
        <v>105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1030.6999999999998</v>
      </c>
      <c r="C38" s="69">
        <f t="shared" si="4"/>
        <v>1137.5</v>
      </c>
      <c r="D38" s="69">
        <f t="shared" si="4"/>
        <v>1154.8</v>
      </c>
      <c r="E38" s="69">
        <f t="shared" si="4"/>
        <v>1154.8</v>
      </c>
      <c r="F38" s="69">
        <f t="shared" si="4"/>
        <v>1154.8</v>
      </c>
      <c r="G38" s="69">
        <f t="shared" si="4"/>
        <v>1154.8</v>
      </c>
      <c r="H38" s="69">
        <f t="shared" si="4"/>
        <v>1167.5</v>
      </c>
      <c r="I38" s="69">
        <f t="shared" si="4"/>
        <v>1141.5</v>
      </c>
      <c r="J38" s="69">
        <f t="shared" si="4"/>
        <v>1167.5</v>
      </c>
      <c r="K38" s="69">
        <f t="shared" si="4"/>
        <v>1142.5999999999999</v>
      </c>
      <c r="L38" s="69">
        <f t="shared" si="4"/>
        <v>1142.5999999999999</v>
      </c>
      <c r="M38" s="69">
        <f t="shared" si="4"/>
        <v>1147.5999999999999</v>
      </c>
      <c r="N38" s="69">
        <f t="shared" si="4"/>
        <v>1147.5999999999999</v>
      </c>
      <c r="O38" s="69">
        <f t="shared" si="4"/>
        <v>1147.5999999999999</v>
      </c>
      <c r="P38" s="69">
        <f t="shared" si="4"/>
        <v>1147.5999999999999</v>
      </c>
      <c r="Q38" s="69">
        <f t="shared" si="4"/>
        <v>1147.5999999999999</v>
      </c>
      <c r="R38" s="69">
        <f t="shared" si="4"/>
        <v>1092.8</v>
      </c>
      <c r="S38" s="69">
        <f t="shared" si="4"/>
        <v>1102</v>
      </c>
      <c r="T38" s="69">
        <f t="shared" si="4"/>
        <v>1102</v>
      </c>
      <c r="U38" s="69">
        <f t="shared" si="4"/>
        <v>1102</v>
      </c>
      <c r="V38" s="69">
        <f t="shared" si="4"/>
        <v>1042.5</v>
      </c>
      <c r="W38" s="69">
        <f t="shared" si="4"/>
        <v>1022.2000000000002</v>
      </c>
      <c r="X38" s="69">
        <f t="shared" si="4"/>
        <v>992.2</v>
      </c>
      <c r="Y38" s="69">
        <f t="shared" si="4"/>
        <v>1003.0000000000001</v>
      </c>
      <c r="Z38" s="69">
        <f t="shared" si="4"/>
        <v>1023.0000000000001</v>
      </c>
      <c r="AA38" s="69">
        <f t="shared" si="4"/>
        <v>1023.0000000000001</v>
      </c>
      <c r="AB38" s="69">
        <f t="shared" si="4"/>
        <v>1049.2000000000003</v>
      </c>
      <c r="AC38" s="69">
        <f t="shared" si="4"/>
        <v>1051.2000000000003</v>
      </c>
      <c r="AD38" s="69">
        <f t="shared" si="4"/>
        <v>1090.1000000000001</v>
      </c>
      <c r="AE38" s="69">
        <f t="shared" si="4"/>
        <v>1090.1000000000001</v>
      </c>
      <c r="AF38" s="69">
        <f t="shared" si="4"/>
        <v>1090.1000000000001</v>
      </c>
      <c r="AG38" s="63">
        <f>SUM(AG11:AG37)</f>
        <v>1492.8299999999997</v>
      </c>
      <c r="AH38" s="54">
        <f t="shared" si="2"/>
        <v>1167.5</v>
      </c>
      <c r="AI38" s="55">
        <f t="shared" si="3"/>
        <v>992.2</v>
      </c>
      <c r="AK38" s="56"/>
    </row>
    <row r="39" spans="1:88" x14ac:dyDescent="0.25">
      <c r="A39" s="57" t="s">
        <v>47</v>
      </c>
      <c r="B39" s="51">
        <v>143.5</v>
      </c>
      <c r="C39" s="51">
        <v>144</v>
      </c>
      <c r="D39" s="51">
        <v>144.19999999999999</v>
      </c>
      <c r="E39" s="51">
        <v>144.1</v>
      </c>
      <c r="F39" s="51">
        <v>145.6</v>
      </c>
      <c r="G39" s="51">
        <v>146.1</v>
      </c>
      <c r="H39" s="51">
        <v>146.30000000000001</v>
      </c>
      <c r="I39" s="51">
        <v>146.19999999999999</v>
      </c>
      <c r="J39" s="51">
        <v>146.19999999999999</v>
      </c>
      <c r="K39" s="51">
        <v>145.1</v>
      </c>
      <c r="L39" s="51">
        <v>144.4</v>
      </c>
      <c r="M39" s="51">
        <v>143.9</v>
      </c>
      <c r="N39" s="51">
        <v>144.4</v>
      </c>
      <c r="O39" s="51">
        <v>144.1</v>
      </c>
      <c r="P39" s="51">
        <v>143.19999999999999</v>
      </c>
      <c r="Q39" s="51">
        <v>144.80000000000001</v>
      </c>
      <c r="R39" s="51">
        <v>145.5</v>
      </c>
      <c r="S39" s="51">
        <v>145.5</v>
      </c>
      <c r="T39" s="51">
        <v>145.5</v>
      </c>
      <c r="U39" s="51">
        <v>145.5</v>
      </c>
      <c r="V39" s="51">
        <v>144</v>
      </c>
      <c r="W39" s="51">
        <v>144</v>
      </c>
      <c r="X39" s="51">
        <v>144</v>
      </c>
      <c r="Y39" s="51">
        <v>144</v>
      </c>
      <c r="Z39" s="51">
        <v>144.80000000000001</v>
      </c>
      <c r="AA39" s="51">
        <v>145.1</v>
      </c>
      <c r="AB39" s="51">
        <v>144.6</v>
      </c>
      <c r="AC39" s="51">
        <v>144.6</v>
      </c>
      <c r="AD39" s="51">
        <v>144.4</v>
      </c>
      <c r="AE39" s="51">
        <v>144.4</v>
      </c>
      <c r="AF39" s="51">
        <v>144.69999999999999</v>
      </c>
      <c r="AG39" s="59">
        <v>144</v>
      </c>
      <c r="AH39" s="54">
        <f t="shared" si="2"/>
        <v>146.30000000000001</v>
      </c>
      <c r="AI39" s="55">
        <f t="shared" si="3"/>
        <v>143.19999999999999</v>
      </c>
      <c r="AK39" s="56"/>
    </row>
    <row r="40" spans="1:88" x14ac:dyDescent="0.25">
      <c r="A40" s="62" t="s">
        <v>48</v>
      </c>
      <c r="B40" s="70">
        <v>0</v>
      </c>
      <c r="C40" s="70">
        <v>69.400000000000006</v>
      </c>
      <c r="D40" s="70">
        <v>69.900000000000006</v>
      </c>
      <c r="E40" s="70">
        <v>69.599999999999994</v>
      </c>
      <c r="F40" s="70">
        <v>69.400000000000006</v>
      </c>
      <c r="G40" s="70">
        <v>69.5</v>
      </c>
      <c r="H40" s="70">
        <v>69.7</v>
      </c>
      <c r="I40" s="70">
        <v>70.400000000000006</v>
      </c>
      <c r="J40" s="70">
        <v>72</v>
      </c>
      <c r="K40" s="70">
        <v>69.900000000000006</v>
      </c>
      <c r="L40" s="70">
        <v>71.7</v>
      </c>
      <c r="M40" s="51">
        <v>70</v>
      </c>
      <c r="N40" s="51">
        <v>70.400000000000006</v>
      </c>
      <c r="O40" s="51">
        <v>70.400000000000006</v>
      </c>
      <c r="P40" s="51">
        <v>71.5</v>
      </c>
      <c r="Q40" s="51">
        <v>70.900000000000006</v>
      </c>
      <c r="R40" s="51">
        <v>70</v>
      </c>
      <c r="S40" s="51">
        <v>70</v>
      </c>
      <c r="T40" s="51">
        <v>70</v>
      </c>
      <c r="U40" s="51">
        <v>70</v>
      </c>
      <c r="V40" s="70">
        <v>69.5</v>
      </c>
      <c r="W40" s="70">
        <v>69.5</v>
      </c>
      <c r="X40" s="70">
        <v>69.5</v>
      </c>
      <c r="Y40" s="70">
        <v>69.5</v>
      </c>
      <c r="Z40" s="70">
        <v>70.900000000000006</v>
      </c>
      <c r="AA40" s="70">
        <v>71.2</v>
      </c>
      <c r="AB40" s="70">
        <v>71.5</v>
      </c>
      <c r="AC40" s="70">
        <v>71.5</v>
      </c>
      <c r="AD40" s="70">
        <v>69.400000000000006</v>
      </c>
      <c r="AE40" s="70">
        <v>69.400000000000006</v>
      </c>
      <c r="AF40" s="70">
        <v>69.900000000000006</v>
      </c>
      <c r="AG40" s="63">
        <v>70</v>
      </c>
      <c r="AH40" s="54">
        <f t="shared" si="2"/>
        <v>72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65.400000000000006</v>
      </c>
      <c r="C41" s="70">
        <v>66.400000000000006</v>
      </c>
      <c r="D41" s="70">
        <v>66.8</v>
      </c>
      <c r="E41" s="70">
        <v>62.3</v>
      </c>
      <c r="F41" s="70">
        <v>63.8</v>
      </c>
      <c r="G41" s="70">
        <v>64.400000000000006</v>
      </c>
      <c r="H41" s="70">
        <v>63.9</v>
      </c>
      <c r="I41" s="70">
        <v>63.9</v>
      </c>
      <c r="J41" s="70">
        <v>63.6</v>
      </c>
      <c r="K41" s="70">
        <v>63.6</v>
      </c>
      <c r="L41" s="70">
        <v>64</v>
      </c>
      <c r="M41" s="51">
        <v>64.2</v>
      </c>
      <c r="N41" s="51">
        <v>63.9</v>
      </c>
      <c r="O41" s="51">
        <v>64.3</v>
      </c>
      <c r="P41" s="51">
        <v>64.5</v>
      </c>
      <c r="Q41" s="51">
        <v>64.400000000000006</v>
      </c>
      <c r="R41" s="51">
        <v>64.5</v>
      </c>
      <c r="S41" s="51">
        <v>64.5</v>
      </c>
      <c r="T41" s="51">
        <v>64.5</v>
      </c>
      <c r="U41" s="51">
        <v>64.5</v>
      </c>
      <c r="V41" s="70">
        <v>65</v>
      </c>
      <c r="W41" s="70">
        <v>65</v>
      </c>
      <c r="X41" s="70">
        <v>65</v>
      </c>
      <c r="Y41" s="70">
        <v>65</v>
      </c>
      <c r="Z41" s="70">
        <v>65.2</v>
      </c>
      <c r="AA41" s="70">
        <v>65.2</v>
      </c>
      <c r="AB41" s="70">
        <v>64.8</v>
      </c>
      <c r="AC41" s="70">
        <v>64.8</v>
      </c>
      <c r="AD41" s="70">
        <v>65.3</v>
      </c>
      <c r="AE41" s="70">
        <v>65.3</v>
      </c>
      <c r="AF41" s="70">
        <v>45.4</v>
      </c>
      <c r="AG41" s="63">
        <v>69</v>
      </c>
      <c r="AH41" s="54">
        <f t="shared" si="2"/>
        <v>66.8</v>
      </c>
      <c r="AI41" s="55">
        <f t="shared" si="3"/>
        <v>45.4</v>
      </c>
      <c r="AK41" s="56"/>
    </row>
    <row r="42" spans="1:88" x14ac:dyDescent="0.25">
      <c r="A42" s="62" t="s">
        <v>50</v>
      </c>
      <c r="B42" s="65">
        <v>60</v>
      </c>
      <c r="C42" s="65">
        <v>60</v>
      </c>
      <c r="D42" s="65">
        <v>60</v>
      </c>
      <c r="E42" s="65">
        <v>60.7</v>
      </c>
      <c r="F42" s="65">
        <v>60.7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51">
        <v>60.7</v>
      </c>
      <c r="N42" s="51">
        <v>60.7</v>
      </c>
      <c r="O42" s="51">
        <v>60.4</v>
      </c>
      <c r="P42" s="51">
        <v>60.2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65">
        <v>0</v>
      </c>
      <c r="AC42" s="65">
        <v>0</v>
      </c>
      <c r="AD42" s="65">
        <v>61.2</v>
      </c>
      <c r="AE42" s="65">
        <v>61.2</v>
      </c>
      <c r="AF42" s="65">
        <v>61.2</v>
      </c>
      <c r="AG42" s="63">
        <v>60</v>
      </c>
      <c r="AH42" s="54">
        <f t="shared" si="2"/>
        <v>61.2</v>
      </c>
      <c r="AI42" s="55">
        <f t="shared" si="3"/>
        <v>0</v>
      </c>
      <c r="AK42" s="56"/>
    </row>
    <row r="43" spans="1:88" x14ac:dyDescent="0.25">
      <c r="A43" s="62" t="s">
        <v>51</v>
      </c>
      <c r="B43" s="65">
        <v>25</v>
      </c>
      <c r="C43" s="65">
        <v>25</v>
      </c>
      <c r="D43" s="65">
        <v>25</v>
      </c>
      <c r="E43" s="65">
        <v>18</v>
      </c>
      <c r="F43" s="65">
        <v>18</v>
      </c>
      <c r="G43" s="65">
        <v>18</v>
      </c>
      <c r="H43" s="65">
        <v>16</v>
      </c>
      <c r="I43" s="65">
        <v>16</v>
      </c>
      <c r="J43" s="65">
        <v>16</v>
      </c>
      <c r="K43" s="65">
        <v>22</v>
      </c>
      <c r="L43" s="65">
        <v>22</v>
      </c>
      <c r="M43" s="65">
        <v>22</v>
      </c>
      <c r="N43" s="51">
        <v>22.6</v>
      </c>
      <c r="O43" s="51">
        <v>20.9</v>
      </c>
      <c r="P43" s="51">
        <v>22.6</v>
      </c>
      <c r="Q43" s="51">
        <v>23</v>
      </c>
      <c r="R43" s="51">
        <v>24.2</v>
      </c>
      <c r="S43" s="51">
        <v>24.2</v>
      </c>
      <c r="T43" s="51">
        <v>24.2</v>
      </c>
      <c r="U43" s="51">
        <v>24.2</v>
      </c>
      <c r="V43" s="70">
        <v>10</v>
      </c>
      <c r="W43" s="70">
        <v>16</v>
      </c>
      <c r="X43" s="70">
        <v>16</v>
      </c>
      <c r="Y43" s="70">
        <v>16</v>
      </c>
      <c r="Z43" s="70">
        <v>16</v>
      </c>
      <c r="AA43" s="70">
        <v>16</v>
      </c>
      <c r="AB43" s="65">
        <v>0</v>
      </c>
      <c r="AC43" s="65">
        <v>0</v>
      </c>
      <c r="AD43" s="65">
        <v>29.4</v>
      </c>
      <c r="AE43" s="65">
        <v>20</v>
      </c>
      <c r="AF43" s="65">
        <v>20</v>
      </c>
      <c r="AG43" s="63">
        <v>30</v>
      </c>
      <c r="AH43" s="54">
        <f t="shared" si="2"/>
        <v>29.4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5</v>
      </c>
      <c r="N44" s="70">
        <v>5</v>
      </c>
      <c r="O44" s="51">
        <v>5</v>
      </c>
      <c r="P44" s="51">
        <v>7</v>
      </c>
      <c r="Q44" s="51">
        <v>7</v>
      </c>
      <c r="R44" s="51">
        <v>7</v>
      </c>
      <c r="S44" s="51">
        <v>7</v>
      </c>
      <c r="T44" s="51">
        <v>7</v>
      </c>
      <c r="U44" s="51">
        <v>7</v>
      </c>
      <c r="V44" s="51">
        <v>7</v>
      </c>
      <c r="W44" s="51">
        <v>7</v>
      </c>
      <c r="X44" s="51">
        <v>7</v>
      </c>
      <c r="Y44" s="51">
        <v>7</v>
      </c>
      <c r="Z44" s="51">
        <v>7</v>
      </c>
      <c r="AA44" s="51">
        <v>7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7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17.2</v>
      </c>
      <c r="C45" s="70">
        <v>17.2</v>
      </c>
      <c r="D45" s="70">
        <v>17.5</v>
      </c>
      <c r="E45" s="70">
        <v>17.5</v>
      </c>
      <c r="F45" s="70">
        <v>17.5</v>
      </c>
      <c r="G45" s="70">
        <v>17.5</v>
      </c>
      <c r="H45" s="70">
        <v>17.5</v>
      </c>
      <c r="I45" s="70">
        <v>17.5</v>
      </c>
      <c r="J45" s="70">
        <v>17.5</v>
      </c>
      <c r="K45" s="70">
        <v>17.5</v>
      </c>
      <c r="L45" s="70">
        <v>17.5</v>
      </c>
      <c r="M45" s="70">
        <v>17.5</v>
      </c>
      <c r="N45" s="70">
        <v>17.5</v>
      </c>
      <c r="O45" s="51">
        <v>15.1</v>
      </c>
      <c r="P45" s="51">
        <v>14.7</v>
      </c>
      <c r="Q45" s="51">
        <v>15</v>
      </c>
      <c r="R45" s="51">
        <v>15</v>
      </c>
      <c r="S45" s="51">
        <v>15</v>
      </c>
      <c r="T45" s="51">
        <v>15</v>
      </c>
      <c r="U45" s="51">
        <v>15</v>
      </c>
      <c r="V45" s="51">
        <v>15.1</v>
      </c>
      <c r="W45" s="51">
        <v>15.1</v>
      </c>
      <c r="X45" s="51">
        <v>15.1</v>
      </c>
      <c r="Y45" s="51">
        <v>15.1</v>
      </c>
      <c r="Z45" s="51">
        <v>15.1</v>
      </c>
      <c r="AA45" s="51">
        <v>15.1</v>
      </c>
      <c r="AB45" s="70">
        <v>15</v>
      </c>
      <c r="AC45" s="70">
        <v>15.1</v>
      </c>
      <c r="AD45" s="70">
        <v>15.1</v>
      </c>
      <c r="AE45" s="70">
        <v>15.1</v>
      </c>
      <c r="AF45" s="70">
        <v>15.1</v>
      </c>
      <c r="AG45" s="63">
        <v>24</v>
      </c>
      <c r="AH45" s="54">
        <f t="shared" si="2"/>
        <v>17.5</v>
      </c>
      <c r="AI45" s="55">
        <f t="shared" si="3"/>
        <v>14.7</v>
      </c>
      <c r="AK45" s="56"/>
    </row>
    <row r="46" spans="1:88" x14ac:dyDescent="0.25">
      <c r="A46" s="62" t="s">
        <v>54</v>
      </c>
      <c r="B46" s="70">
        <v>2</v>
      </c>
      <c r="C46" s="70">
        <v>2</v>
      </c>
      <c r="D46" s="70">
        <v>2</v>
      </c>
      <c r="E46" s="70">
        <v>2</v>
      </c>
      <c r="F46" s="70">
        <v>2</v>
      </c>
      <c r="G46" s="70">
        <v>2</v>
      </c>
      <c r="H46" s="70">
        <v>2</v>
      </c>
      <c r="I46" s="70">
        <v>2</v>
      </c>
      <c r="J46" s="70">
        <v>2</v>
      </c>
      <c r="K46" s="70">
        <v>2</v>
      </c>
      <c r="L46" s="70">
        <v>2</v>
      </c>
      <c r="M46" s="70">
        <v>2</v>
      </c>
      <c r="N46" s="70">
        <v>2</v>
      </c>
      <c r="O46" s="70">
        <v>2</v>
      </c>
      <c r="P46" s="70">
        <v>2</v>
      </c>
      <c r="Q46" s="51">
        <v>2</v>
      </c>
      <c r="R46" s="51">
        <v>2</v>
      </c>
      <c r="S46" s="51">
        <v>2</v>
      </c>
      <c r="T46" s="51">
        <v>2</v>
      </c>
      <c r="U46" s="51">
        <v>2</v>
      </c>
      <c r="V46" s="51">
        <v>2</v>
      </c>
      <c r="W46" s="51">
        <v>2</v>
      </c>
      <c r="X46" s="51">
        <v>2</v>
      </c>
      <c r="Y46" s="51">
        <v>2</v>
      </c>
      <c r="Z46" s="51">
        <v>2</v>
      </c>
      <c r="AA46" s="51">
        <v>2</v>
      </c>
      <c r="AB46" s="70">
        <v>14</v>
      </c>
      <c r="AC46" s="70">
        <v>14</v>
      </c>
      <c r="AD46" s="70">
        <v>14</v>
      </c>
      <c r="AE46" s="70">
        <v>14</v>
      </c>
      <c r="AF46" s="70">
        <v>14</v>
      </c>
      <c r="AG46" s="63">
        <v>15</v>
      </c>
      <c r="AH46" s="54">
        <f t="shared" si="2"/>
        <v>14</v>
      </c>
      <c r="AI46" s="55">
        <f t="shared" si="3"/>
        <v>2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13.3</v>
      </c>
      <c r="C47" s="70">
        <v>13.3</v>
      </c>
      <c r="D47" s="70">
        <v>13.3</v>
      </c>
      <c r="E47" s="70">
        <v>13.3</v>
      </c>
      <c r="F47" s="70">
        <v>13.3</v>
      </c>
      <c r="G47" s="70">
        <v>13.3</v>
      </c>
      <c r="H47" s="70">
        <v>13.3</v>
      </c>
      <c r="I47" s="70">
        <v>13.3</v>
      </c>
      <c r="J47" s="70">
        <v>13.3</v>
      </c>
      <c r="K47" s="70">
        <v>13.3</v>
      </c>
      <c r="L47" s="70">
        <v>13.3</v>
      </c>
      <c r="M47" s="70">
        <v>13.3</v>
      </c>
      <c r="N47" s="70">
        <v>13.3</v>
      </c>
      <c r="O47" s="70">
        <v>13.3</v>
      </c>
      <c r="P47" s="70">
        <v>13.3</v>
      </c>
      <c r="Q47" s="51">
        <v>11.1</v>
      </c>
      <c r="R47" s="51">
        <v>11.1</v>
      </c>
      <c r="S47" s="51">
        <v>11.1</v>
      </c>
      <c r="T47" s="51">
        <v>11.1</v>
      </c>
      <c r="U47" s="51">
        <v>11.1</v>
      </c>
      <c r="V47" s="51">
        <v>11.3</v>
      </c>
      <c r="W47" s="51">
        <v>11.3</v>
      </c>
      <c r="X47" s="51">
        <v>11.3</v>
      </c>
      <c r="Y47" s="51">
        <v>11.3</v>
      </c>
      <c r="Z47" s="51">
        <v>11.3</v>
      </c>
      <c r="AA47" s="51">
        <v>11.3</v>
      </c>
      <c r="AB47" s="70">
        <v>11.2</v>
      </c>
      <c r="AC47" s="70">
        <v>11.2</v>
      </c>
      <c r="AD47" s="70">
        <v>11.2</v>
      </c>
      <c r="AE47" s="70">
        <v>11.2</v>
      </c>
      <c r="AF47" s="70">
        <v>11.2</v>
      </c>
      <c r="AG47" s="63">
        <v>14.1</v>
      </c>
      <c r="AH47" s="54">
        <f t="shared" si="2"/>
        <v>13.3</v>
      </c>
      <c r="AI47" s="55">
        <f t="shared" si="3"/>
        <v>11.1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12.5</v>
      </c>
      <c r="C48" s="70">
        <v>12.5</v>
      </c>
      <c r="D48" s="70">
        <v>12.8</v>
      </c>
      <c r="E48" s="70">
        <v>12.8</v>
      </c>
      <c r="F48" s="70">
        <v>12.8</v>
      </c>
      <c r="G48" s="70">
        <v>12.8</v>
      </c>
      <c r="H48" s="70">
        <v>12.8</v>
      </c>
      <c r="I48" s="70">
        <v>12.8</v>
      </c>
      <c r="J48" s="70">
        <v>12.8</v>
      </c>
      <c r="K48" s="70">
        <v>12.8</v>
      </c>
      <c r="L48" s="70">
        <v>12.8</v>
      </c>
      <c r="M48" s="70">
        <v>12.8</v>
      </c>
      <c r="N48" s="70">
        <v>12.8</v>
      </c>
      <c r="O48" s="70">
        <v>12.8</v>
      </c>
      <c r="P48" s="70">
        <v>12.8</v>
      </c>
      <c r="Q48" s="51">
        <v>13</v>
      </c>
      <c r="R48" s="51">
        <v>13</v>
      </c>
      <c r="S48" s="51">
        <v>0</v>
      </c>
      <c r="T48" s="51">
        <v>0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70">
        <v>6.7</v>
      </c>
      <c r="AC48" s="70">
        <v>6.7</v>
      </c>
      <c r="AD48" s="70">
        <v>6.7</v>
      </c>
      <c r="AE48" s="70">
        <v>6.7</v>
      </c>
      <c r="AF48" s="70">
        <v>6.7</v>
      </c>
      <c r="AG48" s="63">
        <v>14</v>
      </c>
      <c r="AH48" s="54">
        <f t="shared" si="2"/>
        <v>13</v>
      </c>
      <c r="AI48" s="55">
        <f t="shared" si="3"/>
        <v>0</v>
      </c>
      <c r="AK48" s="56"/>
    </row>
    <row r="49" spans="1:37" x14ac:dyDescent="0.25">
      <c r="A49" s="62" t="s">
        <v>57</v>
      </c>
      <c r="B49" s="70">
        <v>6.5</v>
      </c>
      <c r="C49" s="70">
        <v>6.5</v>
      </c>
      <c r="D49" s="70">
        <v>9.6</v>
      </c>
      <c r="E49" s="70">
        <v>9.6</v>
      </c>
      <c r="F49" s="70">
        <v>9.6</v>
      </c>
      <c r="G49" s="70">
        <v>9.6</v>
      </c>
      <c r="H49" s="70">
        <v>9.6</v>
      </c>
      <c r="I49" s="70">
        <v>9.6</v>
      </c>
      <c r="J49" s="70">
        <v>9.6</v>
      </c>
      <c r="K49" s="70">
        <v>9.6</v>
      </c>
      <c r="L49" s="70">
        <v>9.6</v>
      </c>
      <c r="M49" s="70">
        <v>9.6</v>
      </c>
      <c r="N49" s="70">
        <v>9.6</v>
      </c>
      <c r="O49" s="70">
        <v>9.6</v>
      </c>
      <c r="P49" s="70">
        <v>9.6</v>
      </c>
      <c r="Q49" s="70">
        <v>9.6</v>
      </c>
      <c r="R49" s="70">
        <v>9.6</v>
      </c>
      <c r="S49" s="70">
        <v>9.6</v>
      </c>
      <c r="T49" s="70">
        <v>9.6</v>
      </c>
      <c r="U49" s="70">
        <v>9.6</v>
      </c>
      <c r="V49" s="51">
        <v>9.6</v>
      </c>
      <c r="W49" s="51">
        <v>9.6</v>
      </c>
      <c r="X49" s="51">
        <v>9.6</v>
      </c>
      <c r="Y49" s="51">
        <v>9.6</v>
      </c>
      <c r="Z49" s="51">
        <v>9.6</v>
      </c>
      <c r="AA49" s="51">
        <v>9.6</v>
      </c>
      <c r="AB49" s="70">
        <v>6.5</v>
      </c>
      <c r="AC49" s="70">
        <v>6.5</v>
      </c>
      <c r="AD49" s="70">
        <v>6.5</v>
      </c>
      <c r="AE49" s="70">
        <v>6.5</v>
      </c>
      <c r="AF49" s="70">
        <v>6.5</v>
      </c>
      <c r="AG49" s="63">
        <v>10.050000000000001</v>
      </c>
      <c r="AH49" s="54">
        <f t="shared" si="2"/>
        <v>9.6</v>
      </c>
      <c r="AI49" s="55">
        <f t="shared" si="3"/>
        <v>6.5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3.1</v>
      </c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70">
        <v>3.1</v>
      </c>
      <c r="P50" s="70">
        <v>3.1</v>
      </c>
      <c r="Q50" s="70">
        <v>3.1</v>
      </c>
      <c r="R50" s="70">
        <v>3.1</v>
      </c>
      <c r="S50" s="70">
        <v>3.1</v>
      </c>
      <c r="T50" s="70">
        <v>3.1</v>
      </c>
      <c r="U50" s="70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70">
        <v>3.1</v>
      </c>
      <c r="AC50" s="70">
        <v>3.1</v>
      </c>
      <c r="AD50" s="70">
        <v>3.1</v>
      </c>
      <c r="AE50" s="70">
        <v>3.1</v>
      </c>
      <c r="AF50" s="70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AG201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352.04</v>
      </c>
      <c r="C52" s="69">
        <f t="shared" si="6"/>
        <v>422.94000000000005</v>
      </c>
      <c r="D52" s="69">
        <f t="shared" si="6"/>
        <v>427.74000000000007</v>
      </c>
      <c r="E52" s="69">
        <f t="shared" si="6"/>
        <v>416.54000000000008</v>
      </c>
      <c r="F52" s="69">
        <f t="shared" si="6"/>
        <v>419.34000000000009</v>
      </c>
      <c r="G52" s="69">
        <f t="shared" si="6"/>
        <v>420.74000000000007</v>
      </c>
      <c r="H52" s="69">
        <f t="shared" si="6"/>
        <v>418.64000000000004</v>
      </c>
      <c r="I52" s="69">
        <f t="shared" si="6"/>
        <v>419.24000000000007</v>
      </c>
      <c r="J52" s="69">
        <f t="shared" si="6"/>
        <v>420.54000000000008</v>
      </c>
      <c r="K52" s="69">
        <f t="shared" si="6"/>
        <v>423.34000000000009</v>
      </c>
      <c r="L52" s="69">
        <f t="shared" si="6"/>
        <v>424.84000000000009</v>
      </c>
      <c r="M52" s="69">
        <f t="shared" si="6"/>
        <v>427.6400000000001</v>
      </c>
      <c r="N52" s="69">
        <f t="shared" si="6"/>
        <v>428.84000000000009</v>
      </c>
      <c r="O52" s="69">
        <f t="shared" si="6"/>
        <v>424.54000000000008</v>
      </c>
      <c r="P52" s="69">
        <f t="shared" si="6"/>
        <v>428.04000000000008</v>
      </c>
      <c r="Q52" s="69">
        <f t="shared" si="6"/>
        <v>367.44000000000011</v>
      </c>
      <c r="R52" s="69">
        <f t="shared" si="6"/>
        <v>368.54000000000008</v>
      </c>
      <c r="S52" s="69">
        <f t="shared" si="6"/>
        <v>355.54000000000008</v>
      </c>
      <c r="T52" s="69">
        <f t="shared" si="6"/>
        <v>355.54000000000008</v>
      </c>
      <c r="U52" s="69">
        <f t="shared" si="6"/>
        <v>355.54000000000008</v>
      </c>
      <c r="V52" s="69">
        <f t="shared" si="6"/>
        <v>340.1400000000001</v>
      </c>
      <c r="W52" s="69">
        <f t="shared" si="6"/>
        <v>346.1400000000001</v>
      </c>
      <c r="X52" s="69">
        <f>SUM(X39:X51)</f>
        <v>346.1400000000001</v>
      </c>
      <c r="Y52" s="69">
        <f t="shared" si="6"/>
        <v>346.1400000000001</v>
      </c>
      <c r="Z52" s="69">
        <f t="shared" si="6"/>
        <v>348.54000000000013</v>
      </c>
      <c r="AA52" s="69">
        <f t="shared" si="6"/>
        <v>349.1400000000001</v>
      </c>
      <c r="AB52" s="69">
        <f t="shared" si="6"/>
        <v>340.94</v>
      </c>
      <c r="AC52" s="69">
        <f>SUM(AC39:AC51)</f>
        <v>341.04</v>
      </c>
      <c r="AD52" s="69">
        <f t="shared" si="6"/>
        <v>429.84000000000003</v>
      </c>
      <c r="AE52" s="69">
        <f t="shared" si="6"/>
        <v>420.44000000000005</v>
      </c>
      <c r="AF52" s="69">
        <f t="shared" si="6"/>
        <v>401.34000000000003</v>
      </c>
      <c r="AG52" s="74">
        <f>SUM(AG39:AG51)</f>
        <v>489.91</v>
      </c>
      <c r="AH52" s="54">
        <f t="shared" si="2"/>
        <v>429.84000000000003</v>
      </c>
      <c r="AI52" s="55">
        <f t="shared" si="3"/>
        <v>340.1400000000001</v>
      </c>
      <c r="AK52" s="56"/>
    </row>
    <row r="53" spans="1:37" x14ac:dyDescent="0.25">
      <c r="A53" s="57" t="s">
        <v>61</v>
      </c>
      <c r="B53" s="51">
        <v>60</v>
      </c>
      <c r="C53" s="51">
        <v>20</v>
      </c>
      <c r="D53" s="51">
        <v>14</v>
      </c>
      <c r="E53" s="51">
        <v>10</v>
      </c>
      <c r="F53" s="51">
        <v>20</v>
      </c>
      <c r="G53" s="51">
        <v>14</v>
      </c>
      <c r="H53" s="51">
        <v>14</v>
      </c>
      <c r="I53" s="51">
        <v>10</v>
      </c>
      <c r="J53" s="51">
        <v>14</v>
      </c>
      <c r="K53" s="51">
        <v>30</v>
      </c>
      <c r="L53" s="51">
        <v>30</v>
      </c>
      <c r="M53" s="51">
        <v>45</v>
      </c>
      <c r="N53" s="51">
        <v>40</v>
      </c>
      <c r="O53" s="51">
        <v>35</v>
      </c>
      <c r="P53" s="51">
        <v>30</v>
      </c>
      <c r="Q53" s="51">
        <v>35</v>
      </c>
      <c r="R53" s="51">
        <v>55</v>
      </c>
      <c r="S53" s="51">
        <v>60</v>
      </c>
      <c r="T53" s="51">
        <v>60</v>
      </c>
      <c r="U53" s="51">
        <v>59</v>
      </c>
      <c r="V53" s="51">
        <v>59.4</v>
      </c>
      <c r="W53" s="51">
        <v>59.4</v>
      </c>
      <c r="X53" s="51">
        <v>59.4</v>
      </c>
      <c r="Y53" s="51">
        <v>58</v>
      </c>
      <c r="Z53" s="51">
        <v>59.2</v>
      </c>
      <c r="AA53" s="51">
        <v>59.2</v>
      </c>
      <c r="AB53" s="51">
        <v>59.2</v>
      </c>
      <c r="AC53" s="51">
        <v>53.2</v>
      </c>
      <c r="AD53" s="51">
        <v>53</v>
      </c>
      <c r="AE53" s="51">
        <v>39.200000000000003</v>
      </c>
      <c r="AF53" s="51">
        <v>35</v>
      </c>
      <c r="AG53" s="59">
        <v>60</v>
      </c>
      <c r="AH53" s="54">
        <f t="shared" si="2"/>
        <v>60</v>
      </c>
      <c r="AI53" s="55">
        <f t="shared" si="3"/>
        <v>10</v>
      </c>
      <c r="AK53" s="56"/>
    </row>
    <row r="54" spans="1:37" x14ac:dyDescent="0.25">
      <c r="A54" s="62" t="s">
        <v>62</v>
      </c>
      <c r="B54" s="70">
        <v>31</v>
      </c>
      <c r="C54" s="70">
        <v>9.6</v>
      </c>
      <c r="D54" s="70">
        <v>9.6</v>
      </c>
      <c r="E54" s="70">
        <v>9.1</v>
      </c>
      <c r="F54" s="70">
        <v>9.1</v>
      </c>
      <c r="G54" s="70">
        <v>6.6</v>
      </c>
      <c r="H54" s="70">
        <v>6.6</v>
      </c>
      <c r="I54" s="70">
        <v>6.6</v>
      </c>
      <c r="J54" s="70">
        <v>3.8</v>
      </c>
      <c r="K54" s="70">
        <v>15.3</v>
      </c>
      <c r="L54" s="70">
        <v>15.4</v>
      </c>
      <c r="M54" s="70">
        <v>17.600000000000001</v>
      </c>
      <c r="N54" s="70">
        <v>20.3</v>
      </c>
      <c r="O54" s="70">
        <v>13.8</v>
      </c>
      <c r="P54" s="70">
        <v>14</v>
      </c>
      <c r="Q54" s="70">
        <v>25.7</v>
      </c>
      <c r="R54" s="70">
        <v>17.600000000000001</v>
      </c>
      <c r="S54" s="70">
        <v>29.7</v>
      </c>
      <c r="T54" s="70">
        <v>29.7</v>
      </c>
      <c r="U54" s="70">
        <v>31</v>
      </c>
      <c r="V54" s="70">
        <v>31.2</v>
      </c>
      <c r="W54" s="70">
        <v>31.2</v>
      </c>
      <c r="X54" s="70">
        <v>31.2</v>
      </c>
      <c r="Y54" s="70">
        <v>29</v>
      </c>
      <c r="Z54" s="70">
        <v>30.1</v>
      </c>
      <c r="AA54" s="70">
        <v>31.5</v>
      </c>
      <c r="AB54" s="70">
        <v>30</v>
      </c>
      <c r="AC54" s="70">
        <v>30.8</v>
      </c>
      <c r="AD54" s="70">
        <v>26.3</v>
      </c>
      <c r="AE54" s="70">
        <v>20.9</v>
      </c>
      <c r="AF54" s="70">
        <v>15.5</v>
      </c>
      <c r="AG54" s="63">
        <v>32</v>
      </c>
      <c r="AH54" s="54">
        <f t="shared" si="2"/>
        <v>31.5</v>
      </c>
      <c r="AI54" s="55">
        <f t="shared" si="3"/>
        <v>3.8</v>
      </c>
      <c r="AK54" s="56"/>
    </row>
    <row r="55" spans="1:37" ht="15.75" thickBot="1" x14ac:dyDescent="0.3">
      <c r="A55" s="72" t="s">
        <v>63</v>
      </c>
      <c r="B55" s="75">
        <v>11.5</v>
      </c>
      <c r="C55" s="75">
        <v>3.5</v>
      </c>
      <c r="D55" s="75">
        <v>6.5</v>
      </c>
      <c r="E55" s="75">
        <v>3.3</v>
      </c>
      <c r="F55" s="75">
        <v>3.3</v>
      </c>
      <c r="G55" s="75">
        <v>2.4</v>
      </c>
      <c r="H55" s="75">
        <v>2.4</v>
      </c>
      <c r="I55" s="75">
        <v>2.4</v>
      </c>
      <c r="J55" s="75">
        <v>1.4</v>
      </c>
      <c r="K55" s="75">
        <v>5.6</v>
      </c>
      <c r="L55" s="75">
        <v>5.6</v>
      </c>
      <c r="M55" s="75">
        <v>6.4</v>
      </c>
      <c r="N55" s="75">
        <v>7.4</v>
      </c>
      <c r="O55" s="75">
        <v>5.0999999999999996</v>
      </c>
      <c r="P55" s="75">
        <v>5.0999999999999996</v>
      </c>
      <c r="Q55" s="75">
        <v>9.4</v>
      </c>
      <c r="R55" s="75">
        <v>6.4</v>
      </c>
      <c r="S55" s="75">
        <v>11</v>
      </c>
      <c r="T55" s="75">
        <v>11</v>
      </c>
      <c r="U55" s="75">
        <v>13</v>
      </c>
      <c r="V55" s="75">
        <v>11.4</v>
      </c>
      <c r="W55" s="75">
        <v>11.4</v>
      </c>
      <c r="X55" s="75">
        <v>11.4</v>
      </c>
      <c r="Y55" s="75">
        <v>11</v>
      </c>
      <c r="Z55" s="75">
        <v>11</v>
      </c>
      <c r="AA55" s="75">
        <v>11.5</v>
      </c>
      <c r="AB55" s="75">
        <v>11</v>
      </c>
      <c r="AC55" s="75">
        <v>11.2</v>
      </c>
      <c r="AD55" s="75">
        <v>9.6</v>
      </c>
      <c r="AE55" s="75">
        <v>7.6</v>
      </c>
      <c r="AF55" s="75">
        <v>5.6</v>
      </c>
      <c r="AG55" s="76">
        <v>14</v>
      </c>
      <c r="AH55" s="54">
        <f t="shared" si="2"/>
        <v>13</v>
      </c>
      <c r="AI55" s="55">
        <f t="shared" si="3"/>
        <v>1.4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102.5</v>
      </c>
      <c r="C56" s="69">
        <f t="shared" si="7"/>
        <v>33.1</v>
      </c>
      <c r="D56" s="69">
        <f t="shared" si="7"/>
        <v>30.1</v>
      </c>
      <c r="E56" s="69">
        <f t="shared" si="7"/>
        <v>22.400000000000002</v>
      </c>
      <c r="F56" s="69">
        <f t="shared" si="7"/>
        <v>32.4</v>
      </c>
      <c r="G56" s="69">
        <f t="shared" si="7"/>
        <v>23</v>
      </c>
      <c r="H56" s="69">
        <f t="shared" si="7"/>
        <v>23</v>
      </c>
      <c r="I56" s="69">
        <f t="shared" si="7"/>
        <v>19</v>
      </c>
      <c r="J56" s="69">
        <f t="shared" si="7"/>
        <v>19.2</v>
      </c>
      <c r="K56" s="69">
        <f t="shared" si="7"/>
        <v>50.9</v>
      </c>
      <c r="L56" s="69">
        <f t="shared" si="7"/>
        <v>51</v>
      </c>
      <c r="M56" s="69">
        <f t="shared" si="7"/>
        <v>69</v>
      </c>
      <c r="N56" s="69">
        <f t="shared" si="7"/>
        <v>67.7</v>
      </c>
      <c r="O56" s="69">
        <f t="shared" si="7"/>
        <v>53.9</v>
      </c>
      <c r="P56" s="69">
        <f t="shared" si="7"/>
        <v>49.1</v>
      </c>
      <c r="Q56" s="69">
        <f t="shared" si="7"/>
        <v>70.100000000000009</v>
      </c>
      <c r="R56" s="69">
        <f t="shared" si="7"/>
        <v>79</v>
      </c>
      <c r="S56" s="69">
        <f t="shared" si="7"/>
        <v>100.7</v>
      </c>
      <c r="T56" s="69">
        <f t="shared" si="7"/>
        <v>100.7</v>
      </c>
      <c r="U56" s="69">
        <f t="shared" si="7"/>
        <v>103</v>
      </c>
      <c r="V56" s="69">
        <f t="shared" si="7"/>
        <v>102</v>
      </c>
      <c r="W56" s="69">
        <f t="shared" si="7"/>
        <v>102</v>
      </c>
      <c r="X56" s="69">
        <f t="shared" si="7"/>
        <v>102</v>
      </c>
      <c r="Y56" s="69">
        <f t="shared" si="7"/>
        <v>98</v>
      </c>
      <c r="Z56" s="69">
        <f t="shared" si="7"/>
        <v>100.30000000000001</v>
      </c>
      <c r="AA56" s="69">
        <f t="shared" si="7"/>
        <v>102.2</v>
      </c>
      <c r="AB56" s="69">
        <f t="shared" si="7"/>
        <v>100.2</v>
      </c>
      <c r="AC56" s="69">
        <f t="shared" si="7"/>
        <v>95.2</v>
      </c>
      <c r="AD56" s="69">
        <f t="shared" si="7"/>
        <v>88.899999999999991</v>
      </c>
      <c r="AE56" s="69">
        <f t="shared" si="7"/>
        <v>67.7</v>
      </c>
      <c r="AF56" s="69">
        <f t="shared" si="7"/>
        <v>56.1</v>
      </c>
      <c r="AG56" s="74">
        <f>SUM(AG53:AG55)</f>
        <v>106</v>
      </c>
      <c r="AH56" s="54">
        <f t="shared" si="2"/>
        <v>103</v>
      </c>
      <c r="AI56" s="55">
        <f t="shared" si="3"/>
        <v>19</v>
      </c>
      <c r="AK56" s="56"/>
    </row>
    <row r="57" spans="1:37" x14ac:dyDescent="0.25">
      <c r="A57" s="57" t="s">
        <v>65</v>
      </c>
      <c r="B57" s="51">
        <v>54</v>
      </c>
      <c r="C57" s="51">
        <v>47.4</v>
      </c>
      <c r="D57" s="51">
        <v>44.2</v>
      </c>
      <c r="E57" s="51">
        <v>50.6</v>
      </c>
      <c r="F57" s="51">
        <v>50.1</v>
      </c>
      <c r="G57" s="51">
        <v>48.6</v>
      </c>
      <c r="H57" s="51">
        <v>46.9</v>
      </c>
      <c r="I57" s="51">
        <v>43.4</v>
      </c>
      <c r="J57" s="51">
        <v>35</v>
      </c>
      <c r="K57" s="51">
        <v>58.5</v>
      </c>
      <c r="L57" s="51">
        <v>57.8</v>
      </c>
      <c r="M57" s="51">
        <v>61.2</v>
      </c>
      <c r="N57" s="51">
        <v>65.099999999999994</v>
      </c>
      <c r="O57" s="51">
        <v>68.2</v>
      </c>
      <c r="P57" s="51">
        <v>68.2</v>
      </c>
      <c r="Q57" s="51">
        <v>74</v>
      </c>
      <c r="R57" s="51">
        <v>76.2</v>
      </c>
      <c r="S57" s="51">
        <v>35</v>
      </c>
      <c r="T57" s="51">
        <v>55</v>
      </c>
      <c r="U57" s="51">
        <v>48</v>
      </c>
      <c r="V57" s="51">
        <v>51</v>
      </c>
      <c r="W57" s="51">
        <v>52</v>
      </c>
      <c r="X57" s="51">
        <v>52</v>
      </c>
      <c r="Y57" s="51">
        <v>50</v>
      </c>
      <c r="Z57" s="51">
        <v>63.2</v>
      </c>
      <c r="AA57" s="51">
        <v>59.5</v>
      </c>
      <c r="AB57" s="51">
        <v>66</v>
      </c>
      <c r="AC57" s="51">
        <v>73.099999999999994</v>
      </c>
      <c r="AD57" s="51">
        <v>60</v>
      </c>
      <c r="AE57" s="51">
        <v>42.1</v>
      </c>
      <c r="AF57" s="51">
        <v>40</v>
      </c>
      <c r="AG57" s="59"/>
      <c r="AH57" s="54">
        <f t="shared" si="2"/>
        <v>76.2</v>
      </c>
      <c r="AI57" s="55">
        <f t="shared" si="3"/>
        <v>35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-275</v>
      </c>
      <c r="C59" s="70">
        <v>-342</v>
      </c>
      <c r="D59" s="70">
        <v>-363.8</v>
      </c>
      <c r="E59" s="70">
        <v>-383</v>
      </c>
      <c r="F59" s="70">
        <v>-391</v>
      </c>
      <c r="G59" s="70">
        <v>-381</v>
      </c>
      <c r="H59" s="70">
        <v>-385.7</v>
      </c>
      <c r="I59" s="70">
        <v>-370</v>
      </c>
      <c r="J59" s="70">
        <v>-370</v>
      </c>
      <c r="K59" s="70">
        <v>-390</v>
      </c>
      <c r="L59" s="70">
        <v>-380</v>
      </c>
      <c r="M59" s="70">
        <v>-370</v>
      </c>
      <c r="N59" s="70">
        <v>-382.5</v>
      </c>
      <c r="O59" s="70">
        <v>-390</v>
      </c>
      <c r="P59" s="70">
        <v>-405</v>
      </c>
      <c r="Q59" s="70">
        <v>-405.9</v>
      </c>
      <c r="R59" s="70">
        <v>-368</v>
      </c>
      <c r="S59" s="70">
        <v>-368</v>
      </c>
      <c r="T59" s="70">
        <v>-370</v>
      </c>
      <c r="U59" s="70">
        <v>-388</v>
      </c>
      <c r="V59" s="70">
        <v>-355</v>
      </c>
      <c r="W59" s="70">
        <v>-360</v>
      </c>
      <c r="X59" s="70">
        <v>-366</v>
      </c>
      <c r="Y59" s="70">
        <v>-360</v>
      </c>
      <c r="Z59" s="70">
        <v>-285</v>
      </c>
      <c r="AA59" s="70">
        <v>-270</v>
      </c>
      <c r="AB59" s="70">
        <v>-271</v>
      </c>
      <c r="AC59" s="70">
        <v>-367</v>
      </c>
      <c r="AD59" s="70">
        <v>-380</v>
      </c>
      <c r="AE59" s="70">
        <v>-380.2</v>
      </c>
      <c r="AF59" s="70">
        <v>-410</v>
      </c>
      <c r="AG59" s="77"/>
      <c r="AH59" s="54">
        <f t="shared" si="2"/>
        <v>-270</v>
      </c>
      <c r="AI59" s="55">
        <f t="shared" si="3"/>
        <v>-410</v>
      </c>
      <c r="AK59" s="56"/>
    </row>
    <row r="60" spans="1:37" x14ac:dyDescent="0.25">
      <c r="A60" s="62" t="s">
        <v>68</v>
      </c>
      <c r="B60" s="78">
        <v>21.6</v>
      </c>
      <c r="C60" s="78">
        <v>24</v>
      </c>
      <c r="D60" s="78">
        <v>29</v>
      </c>
      <c r="E60" s="78">
        <v>29</v>
      </c>
      <c r="F60" s="78">
        <v>29</v>
      </c>
      <c r="G60" s="78">
        <v>29.9</v>
      </c>
      <c r="H60" s="78">
        <v>29</v>
      </c>
      <c r="I60" s="78">
        <v>28</v>
      </c>
      <c r="J60" s="78">
        <v>28.9</v>
      </c>
      <c r="K60" s="78">
        <v>28.7</v>
      </c>
      <c r="L60" s="78">
        <v>28</v>
      </c>
      <c r="M60" s="78">
        <v>30</v>
      </c>
      <c r="N60" s="78">
        <v>31.5</v>
      </c>
      <c r="O60" s="78">
        <v>31.8</v>
      </c>
      <c r="P60" s="78">
        <v>35.200000000000003</v>
      </c>
      <c r="Q60" s="78">
        <v>35.200000000000003</v>
      </c>
      <c r="R60" s="78">
        <v>35</v>
      </c>
      <c r="S60" s="78">
        <v>35</v>
      </c>
      <c r="T60" s="78">
        <v>28</v>
      </c>
      <c r="U60" s="78">
        <v>28</v>
      </c>
      <c r="V60" s="78">
        <v>27.6</v>
      </c>
      <c r="W60" s="78">
        <v>21</v>
      </c>
      <c r="X60" s="78">
        <v>27</v>
      </c>
      <c r="Y60" s="78">
        <v>27</v>
      </c>
      <c r="Z60" s="78">
        <v>27.3</v>
      </c>
      <c r="AA60" s="78">
        <v>27.3</v>
      </c>
      <c r="AB60" s="78">
        <v>29</v>
      </c>
      <c r="AC60" s="78">
        <v>25</v>
      </c>
      <c r="AD60" s="78">
        <v>23.6</v>
      </c>
      <c r="AE60" s="78">
        <v>10</v>
      </c>
      <c r="AF60" s="78">
        <v>0</v>
      </c>
      <c r="AG60" s="77"/>
      <c r="AH60" s="54">
        <f t="shared" si="2"/>
        <v>35.200000000000003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19</v>
      </c>
      <c r="U61" s="51">
        <v>20</v>
      </c>
      <c r="V61" s="51">
        <v>20.6</v>
      </c>
      <c r="W61" s="51">
        <v>27</v>
      </c>
      <c r="X61" s="51">
        <v>21</v>
      </c>
      <c r="Y61" s="51">
        <v>21</v>
      </c>
      <c r="Z61" s="51">
        <v>22.2</v>
      </c>
      <c r="AA61" s="51">
        <v>22.2</v>
      </c>
      <c r="AB61" s="51">
        <v>21.8</v>
      </c>
      <c r="AC61" s="51">
        <v>24.8</v>
      </c>
      <c r="AD61" s="51">
        <v>0</v>
      </c>
      <c r="AE61" s="51">
        <v>0</v>
      </c>
      <c r="AF61" s="51">
        <v>0</v>
      </c>
      <c r="AG61" s="77"/>
      <c r="AH61" s="54">
        <f t="shared" si="2"/>
        <v>27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8</v>
      </c>
      <c r="C62" s="79">
        <v>8</v>
      </c>
      <c r="D62" s="79">
        <v>8</v>
      </c>
      <c r="E62" s="79">
        <v>8</v>
      </c>
      <c r="F62" s="79">
        <v>8</v>
      </c>
      <c r="G62" s="79">
        <v>8</v>
      </c>
      <c r="H62" s="79">
        <v>8</v>
      </c>
      <c r="I62" s="79">
        <v>8</v>
      </c>
      <c r="J62" s="79">
        <v>8</v>
      </c>
      <c r="K62" s="79">
        <v>8</v>
      </c>
      <c r="L62" s="79">
        <v>8</v>
      </c>
      <c r="M62" s="79">
        <v>8</v>
      </c>
      <c r="N62" s="79">
        <v>8</v>
      </c>
      <c r="O62" s="79">
        <v>0</v>
      </c>
      <c r="P62" s="79">
        <v>0</v>
      </c>
      <c r="Q62" s="79">
        <v>0</v>
      </c>
      <c r="R62" s="79">
        <v>0</v>
      </c>
      <c r="S62" s="79" t="s">
        <v>237</v>
      </c>
      <c r="T62" s="79" t="s">
        <v>238</v>
      </c>
      <c r="U62" s="79" t="s">
        <v>239</v>
      </c>
      <c r="V62" s="79" t="s">
        <v>240</v>
      </c>
      <c r="W62" s="79">
        <v>4.5</v>
      </c>
      <c r="X62" s="79">
        <v>4.5</v>
      </c>
      <c r="Y62" s="79">
        <v>4.5</v>
      </c>
      <c r="Z62" s="79">
        <v>4.5</v>
      </c>
      <c r="AA62" s="79">
        <v>4.5</v>
      </c>
      <c r="AB62" s="79">
        <v>4.5</v>
      </c>
      <c r="AC62" s="79">
        <v>4.5</v>
      </c>
      <c r="AD62" s="79">
        <v>4.5</v>
      </c>
      <c r="AE62" s="79">
        <v>4.5</v>
      </c>
      <c r="AF62" s="79">
        <v>0</v>
      </c>
      <c r="AG62" s="77"/>
      <c r="AH62" s="54">
        <f t="shared" si="2"/>
        <v>8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>SUMIF(B57:B67,"&gt;0")</f>
        <v>83.6</v>
      </c>
      <c r="C68" s="69">
        <f t="shared" ref="C68:AF68" si="8">SUMIF(C57:C67,"&gt;0")</f>
        <v>79.400000000000006</v>
      </c>
      <c r="D68" s="69">
        <f t="shared" si="8"/>
        <v>81.2</v>
      </c>
      <c r="E68" s="69">
        <f t="shared" si="8"/>
        <v>87.6</v>
      </c>
      <c r="F68" s="69">
        <f t="shared" si="8"/>
        <v>87.1</v>
      </c>
      <c r="G68" s="69">
        <f t="shared" si="8"/>
        <v>86.5</v>
      </c>
      <c r="H68" s="69">
        <f t="shared" si="8"/>
        <v>83.9</v>
      </c>
      <c r="I68" s="69">
        <f t="shared" si="8"/>
        <v>79.400000000000006</v>
      </c>
      <c r="J68" s="69">
        <f t="shared" si="8"/>
        <v>71.900000000000006</v>
      </c>
      <c r="K68" s="69">
        <f t="shared" si="8"/>
        <v>95.2</v>
      </c>
      <c r="L68" s="69">
        <f t="shared" si="8"/>
        <v>93.8</v>
      </c>
      <c r="M68" s="69">
        <f t="shared" si="8"/>
        <v>99.2</v>
      </c>
      <c r="N68" s="69">
        <f t="shared" si="8"/>
        <v>104.6</v>
      </c>
      <c r="O68" s="69">
        <f t="shared" si="8"/>
        <v>100</v>
      </c>
      <c r="P68" s="69">
        <f t="shared" si="8"/>
        <v>103.4</v>
      </c>
      <c r="Q68" s="69">
        <f t="shared" si="8"/>
        <v>109.2</v>
      </c>
      <c r="R68" s="69">
        <f t="shared" si="8"/>
        <v>111.2</v>
      </c>
      <c r="S68" s="69">
        <f t="shared" si="8"/>
        <v>70</v>
      </c>
      <c r="T68" s="69">
        <f t="shared" si="8"/>
        <v>102</v>
      </c>
      <c r="U68" s="69">
        <f t="shared" si="8"/>
        <v>96</v>
      </c>
      <c r="V68" s="69">
        <f t="shared" si="8"/>
        <v>99.199999999999989</v>
      </c>
      <c r="W68" s="69">
        <f t="shared" si="8"/>
        <v>104.5</v>
      </c>
      <c r="X68" s="69">
        <f t="shared" si="8"/>
        <v>104.5</v>
      </c>
      <c r="Y68" s="69">
        <f t="shared" si="8"/>
        <v>102.5</v>
      </c>
      <c r="Z68" s="69">
        <f t="shared" si="8"/>
        <v>117.2</v>
      </c>
      <c r="AA68" s="69">
        <f t="shared" si="8"/>
        <v>113.5</v>
      </c>
      <c r="AB68" s="69">
        <f t="shared" si="8"/>
        <v>121.3</v>
      </c>
      <c r="AC68" s="69">
        <f t="shared" si="8"/>
        <v>127.39999999999999</v>
      </c>
      <c r="AD68" s="69">
        <f t="shared" si="8"/>
        <v>88.1</v>
      </c>
      <c r="AE68" s="69">
        <f t="shared" si="8"/>
        <v>56.6</v>
      </c>
      <c r="AF68" s="69">
        <f t="shared" si="8"/>
        <v>40</v>
      </c>
      <c r="AG68" s="74">
        <f>SUM(AG57:AG67)</f>
        <v>0</v>
      </c>
      <c r="AH68" s="54">
        <f t="shared" si="2"/>
        <v>127.39999999999999</v>
      </c>
      <c r="AI68" s="55">
        <f t="shared" si="3"/>
        <v>40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30</v>
      </c>
      <c r="C74" s="86">
        <v>20</v>
      </c>
      <c r="D74" s="86">
        <v>20</v>
      </c>
      <c r="E74" s="86">
        <v>20</v>
      </c>
      <c r="F74" s="86">
        <v>0</v>
      </c>
      <c r="G74" s="86">
        <v>0</v>
      </c>
      <c r="H74" s="86">
        <v>0</v>
      </c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>
        <v>40</v>
      </c>
      <c r="T74" s="86">
        <v>40</v>
      </c>
      <c r="U74" s="86">
        <v>40</v>
      </c>
      <c r="V74" s="86">
        <v>40</v>
      </c>
      <c r="W74" s="86">
        <v>40</v>
      </c>
      <c r="X74" s="86">
        <v>40</v>
      </c>
      <c r="Y74" s="86">
        <v>40</v>
      </c>
      <c r="Z74" s="86">
        <v>40</v>
      </c>
      <c r="AA74" s="86">
        <v>40</v>
      </c>
      <c r="AB74" s="86">
        <v>15</v>
      </c>
      <c r="AC74" s="86">
        <v>15</v>
      </c>
      <c r="AD74" s="86"/>
      <c r="AE74" s="86"/>
      <c r="AF74" s="86"/>
      <c r="AG74" s="74"/>
      <c r="AH74" s="54">
        <f t="shared" si="2"/>
        <v>40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>B72+B68+B56+B52+B38+B74</f>
        <v>1598.8399999999997</v>
      </c>
      <c r="C75" s="84">
        <f t="shared" ref="C75:AF75" si="10">C72+C68+C56+C52+C38+C74</f>
        <v>1692.94</v>
      </c>
      <c r="D75" s="84">
        <f t="shared" si="10"/>
        <v>1713.8400000000001</v>
      </c>
      <c r="E75" s="84">
        <f t="shared" si="10"/>
        <v>1701.3400000000001</v>
      </c>
      <c r="F75" s="84">
        <f t="shared" si="10"/>
        <v>1693.64</v>
      </c>
      <c r="G75" s="84">
        <f t="shared" si="10"/>
        <v>1685.04</v>
      </c>
      <c r="H75" s="84">
        <f t="shared" si="10"/>
        <v>1693.04</v>
      </c>
      <c r="I75" s="84">
        <f t="shared" si="10"/>
        <v>1659.14</v>
      </c>
      <c r="J75" s="84">
        <f t="shared" si="10"/>
        <v>1679.14</v>
      </c>
      <c r="K75" s="84">
        <f t="shared" si="10"/>
        <v>1712.04</v>
      </c>
      <c r="L75" s="84">
        <f t="shared" si="10"/>
        <v>1712.24</v>
      </c>
      <c r="M75" s="84">
        <f t="shared" si="10"/>
        <v>1743.44</v>
      </c>
      <c r="N75" s="84">
        <f t="shared" si="10"/>
        <v>1748.74</v>
      </c>
      <c r="O75" s="84">
        <f t="shared" si="10"/>
        <v>1726.04</v>
      </c>
      <c r="P75" s="84">
        <f t="shared" si="10"/>
        <v>1728.1399999999999</v>
      </c>
      <c r="Q75" s="84">
        <f t="shared" si="10"/>
        <v>1694.3400000000001</v>
      </c>
      <c r="R75" s="84">
        <f t="shared" si="10"/>
        <v>1651.54</v>
      </c>
      <c r="S75" s="84">
        <f t="shared" si="10"/>
        <v>1668.24</v>
      </c>
      <c r="T75" s="84">
        <f t="shared" si="10"/>
        <v>1700.24</v>
      </c>
      <c r="U75" s="84">
        <f t="shared" si="10"/>
        <v>1696.54</v>
      </c>
      <c r="V75" s="84">
        <f t="shared" si="10"/>
        <v>1623.8400000000001</v>
      </c>
      <c r="W75" s="84">
        <f t="shared" si="10"/>
        <v>1614.8400000000001</v>
      </c>
      <c r="X75" s="84">
        <f t="shared" si="10"/>
        <v>1584.8400000000001</v>
      </c>
      <c r="Y75" s="84">
        <f t="shared" si="10"/>
        <v>1589.6400000000003</v>
      </c>
      <c r="Z75" s="84">
        <f t="shared" si="10"/>
        <v>1629.0400000000004</v>
      </c>
      <c r="AA75" s="84">
        <f t="shared" si="10"/>
        <v>1627.8400000000001</v>
      </c>
      <c r="AB75" s="84">
        <f t="shared" si="10"/>
        <v>1626.6400000000003</v>
      </c>
      <c r="AC75" s="84">
        <f t="shared" si="10"/>
        <v>1629.8400000000001</v>
      </c>
      <c r="AD75" s="84">
        <f t="shared" si="10"/>
        <v>1696.94</v>
      </c>
      <c r="AE75" s="84">
        <f t="shared" si="10"/>
        <v>1634.8400000000001</v>
      </c>
      <c r="AF75" s="84">
        <f t="shared" si="10"/>
        <v>1587.5400000000002</v>
      </c>
      <c r="AG75" s="74">
        <f>AG72+AG68+AG56+AG52+AG38+AG74</f>
        <v>2144.14</v>
      </c>
      <c r="AH75" s="54">
        <f t="shared" si="2"/>
        <v>1748.74</v>
      </c>
      <c r="AI75" s="55">
        <f t="shared" si="3"/>
        <v>1584.8400000000001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f>IF(B60&lt;0,B60*-1,0)</f>
        <v>0</v>
      </c>
      <c r="C76" s="78">
        <f t="shared" ref="C76:AF76" si="11">IF(C60&lt;0,C60*-1,0)</f>
        <v>0</v>
      </c>
      <c r="D76" s="78">
        <f t="shared" si="11"/>
        <v>0</v>
      </c>
      <c r="E76" s="78">
        <f t="shared" si="11"/>
        <v>0</v>
      </c>
      <c r="F76" s="78">
        <f t="shared" si="11"/>
        <v>0</v>
      </c>
      <c r="G76" s="78">
        <f t="shared" si="11"/>
        <v>0</v>
      </c>
      <c r="H76" s="78">
        <f t="shared" si="11"/>
        <v>0</v>
      </c>
      <c r="I76" s="78">
        <f t="shared" si="11"/>
        <v>0</v>
      </c>
      <c r="J76" s="78">
        <f t="shared" si="11"/>
        <v>0</v>
      </c>
      <c r="K76" s="78">
        <f t="shared" si="11"/>
        <v>0</v>
      </c>
      <c r="L76" s="78">
        <f t="shared" si="11"/>
        <v>0</v>
      </c>
      <c r="M76" s="78">
        <f t="shared" si="11"/>
        <v>0</v>
      </c>
      <c r="N76" s="78">
        <f t="shared" si="11"/>
        <v>0</v>
      </c>
      <c r="O76" s="78">
        <f t="shared" si="11"/>
        <v>0</v>
      </c>
      <c r="P76" s="78">
        <f t="shared" si="11"/>
        <v>0</v>
      </c>
      <c r="Q76" s="78">
        <f t="shared" si="11"/>
        <v>0</v>
      </c>
      <c r="R76" s="78">
        <f t="shared" si="11"/>
        <v>0</v>
      </c>
      <c r="S76" s="78">
        <f t="shared" si="11"/>
        <v>0</v>
      </c>
      <c r="T76" s="78">
        <f t="shared" si="11"/>
        <v>0</v>
      </c>
      <c r="U76" s="78">
        <f t="shared" si="11"/>
        <v>0</v>
      </c>
      <c r="V76" s="78">
        <f t="shared" si="11"/>
        <v>0</v>
      </c>
      <c r="W76" s="78">
        <f t="shared" si="11"/>
        <v>0</v>
      </c>
      <c r="X76" s="78">
        <f t="shared" si="11"/>
        <v>0</v>
      </c>
      <c r="Y76" s="78">
        <f t="shared" si="11"/>
        <v>0</v>
      </c>
      <c r="Z76" s="78">
        <f t="shared" si="11"/>
        <v>0</v>
      </c>
      <c r="AA76" s="78">
        <f t="shared" si="11"/>
        <v>0</v>
      </c>
      <c r="AB76" s="78">
        <f t="shared" si="11"/>
        <v>0</v>
      </c>
      <c r="AC76" s="78">
        <f t="shared" si="11"/>
        <v>0</v>
      </c>
      <c r="AD76" s="78">
        <f t="shared" si="11"/>
        <v>0</v>
      </c>
      <c r="AE76" s="78">
        <f t="shared" si="11"/>
        <v>0</v>
      </c>
      <c r="AF76" s="78">
        <f t="shared" si="11"/>
        <v>0</v>
      </c>
      <c r="AG76" s="59"/>
      <c r="AH76" s="54">
        <f t="shared" ref="AH76:AH91" si="12">MAX(B76:AF76)</f>
        <v>0</v>
      </c>
      <c r="AI76" s="55">
        <f t="shared" ref="AI76:AI91" si="13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f>IF(B58&lt;0,B58*-1,0)</f>
        <v>0</v>
      </c>
      <c r="C77" s="78">
        <f t="shared" ref="C77:AF77" si="14">IF(C58&lt;0,C58*-1,0)</f>
        <v>0</v>
      </c>
      <c r="D77" s="78">
        <f t="shared" si="14"/>
        <v>0</v>
      </c>
      <c r="E77" s="78">
        <f t="shared" si="14"/>
        <v>0</v>
      </c>
      <c r="F77" s="78">
        <f t="shared" si="14"/>
        <v>0</v>
      </c>
      <c r="G77" s="78">
        <f t="shared" si="14"/>
        <v>0</v>
      </c>
      <c r="H77" s="78">
        <f t="shared" si="14"/>
        <v>0</v>
      </c>
      <c r="I77" s="78">
        <f t="shared" si="14"/>
        <v>0</v>
      </c>
      <c r="J77" s="78">
        <f t="shared" si="14"/>
        <v>0</v>
      </c>
      <c r="K77" s="78">
        <f t="shared" si="14"/>
        <v>0</v>
      </c>
      <c r="L77" s="78">
        <f t="shared" si="14"/>
        <v>0</v>
      </c>
      <c r="M77" s="78">
        <f t="shared" si="14"/>
        <v>0</v>
      </c>
      <c r="N77" s="78">
        <f t="shared" si="14"/>
        <v>0</v>
      </c>
      <c r="O77" s="78">
        <f t="shared" si="14"/>
        <v>0</v>
      </c>
      <c r="P77" s="78">
        <f t="shared" si="14"/>
        <v>0</v>
      </c>
      <c r="Q77" s="78">
        <f t="shared" si="14"/>
        <v>0</v>
      </c>
      <c r="R77" s="78">
        <f t="shared" si="14"/>
        <v>0</v>
      </c>
      <c r="S77" s="78">
        <f t="shared" si="14"/>
        <v>0</v>
      </c>
      <c r="T77" s="78">
        <f t="shared" si="14"/>
        <v>0</v>
      </c>
      <c r="U77" s="78">
        <f t="shared" si="14"/>
        <v>0</v>
      </c>
      <c r="V77" s="78">
        <f t="shared" si="14"/>
        <v>0</v>
      </c>
      <c r="W77" s="78">
        <f t="shared" si="14"/>
        <v>0</v>
      </c>
      <c r="X77" s="78">
        <f t="shared" si="14"/>
        <v>0</v>
      </c>
      <c r="Y77" s="78">
        <f t="shared" si="14"/>
        <v>0</v>
      </c>
      <c r="Z77" s="78">
        <f t="shared" si="14"/>
        <v>0</v>
      </c>
      <c r="AA77" s="78">
        <f t="shared" si="14"/>
        <v>0</v>
      </c>
      <c r="AB77" s="78">
        <f t="shared" si="14"/>
        <v>0</v>
      </c>
      <c r="AC77" s="78">
        <f t="shared" si="14"/>
        <v>0</v>
      </c>
      <c r="AD77" s="78">
        <f t="shared" si="14"/>
        <v>0</v>
      </c>
      <c r="AE77" s="78">
        <f t="shared" si="14"/>
        <v>0</v>
      </c>
      <c r="AF77" s="78">
        <f t="shared" si="14"/>
        <v>0</v>
      </c>
      <c r="AG77" s="63"/>
      <c r="AH77" s="54">
        <f t="shared" si="12"/>
        <v>0</v>
      </c>
      <c r="AI77" s="55">
        <f t="shared" si="13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5">IF(C61&lt;0,C61*-1,0)</f>
        <v>0</v>
      </c>
      <c r="D78" s="78">
        <f t="shared" si="15"/>
        <v>0</v>
      </c>
      <c r="E78" s="78">
        <f t="shared" si="15"/>
        <v>0</v>
      </c>
      <c r="F78" s="78">
        <f t="shared" si="15"/>
        <v>0</v>
      </c>
      <c r="G78" s="78">
        <f t="shared" si="15"/>
        <v>0</v>
      </c>
      <c r="H78" s="78">
        <f t="shared" si="15"/>
        <v>0</v>
      </c>
      <c r="I78" s="78">
        <f t="shared" si="15"/>
        <v>0</v>
      </c>
      <c r="J78" s="78">
        <f t="shared" si="15"/>
        <v>0</v>
      </c>
      <c r="K78" s="78">
        <f t="shared" si="15"/>
        <v>0</v>
      </c>
      <c r="L78" s="78">
        <f t="shared" si="15"/>
        <v>0</v>
      </c>
      <c r="M78" s="78">
        <f t="shared" si="15"/>
        <v>0</v>
      </c>
      <c r="N78" s="78">
        <f t="shared" si="15"/>
        <v>0</v>
      </c>
      <c r="O78" s="78">
        <f t="shared" si="15"/>
        <v>0</v>
      </c>
      <c r="P78" s="78">
        <f t="shared" si="15"/>
        <v>0</v>
      </c>
      <c r="Q78" s="78">
        <f t="shared" si="15"/>
        <v>0</v>
      </c>
      <c r="R78" s="78">
        <f t="shared" si="15"/>
        <v>0</v>
      </c>
      <c r="S78" s="78">
        <f t="shared" si="15"/>
        <v>0</v>
      </c>
      <c r="T78" s="78">
        <f t="shared" si="15"/>
        <v>0</v>
      </c>
      <c r="U78" s="78">
        <f t="shared" si="15"/>
        <v>0</v>
      </c>
      <c r="V78" s="78">
        <f t="shared" si="15"/>
        <v>0</v>
      </c>
      <c r="W78" s="78">
        <f t="shared" si="15"/>
        <v>0</v>
      </c>
      <c r="X78" s="78">
        <f t="shared" si="15"/>
        <v>0</v>
      </c>
      <c r="Y78" s="78">
        <f t="shared" si="15"/>
        <v>0</v>
      </c>
      <c r="Z78" s="78">
        <f t="shared" si="15"/>
        <v>0</v>
      </c>
      <c r="AA78" s="78">
        <f t="shared" si="15"/>
        <v>0</v>
      </c>
      <c r="AB78" s="78">
        <f t="shared" si="15"/>
        <v>0</v>
      </c>
      <c r="AC78" s="78">
        <f t="shared" si="15"/>
        <v>0</v>
      </c>
      <c r="AD78" s="78">
        <f t="shared" si="15"/>
        <v>0</v>
      </c>
      <c r="AE78" s="78">
        <f t="shared" si="15"/>
        <v>0</v>
      </c>
      <c r="AF78" s="78">
        <f t="shared" si="15"/>
        <v>0</v>
      </c>
      <c r="AG78" s="87"/>
      <c r="AH78" s="54">
        <f t="shared" si="12"/>
        <v>0</v>
      </c>
      <c r="AI78" s="55">
        <f t="shared" si="13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f>IF(B59&lt;0,B59*-1,0)</f>
        <v>275</v>
      </c>
      <c r="C79" s="78">
        <f t="shared" ref="C79:AF79" si="16">IF(C59&lt;0,C59*-1,0)</f>
        <v>342</v>
      </c>
      <c r="D79" s="78">
        <f t="shared" si="16"/>
        <v>363.8</v>
      </c>
      <c r="E79" s="78">
        <f t="shared" si="16"/>
        <v>383</v>
      </c>
      <c r="F79" s="78">
        <f t="shared" si="16"/>
        <v>391</v>
      </c>
      <c r="G79" s="78">
        <f t="shared" si="16"/>
        <v>381</v>
      </c>
      <c r="H79" s="78">
        <f t="shared" si="16"/>
        <v>385.7</v>
      </c>
      <c r="I79" s="78">
        <f t="shared" si="16"/>
        <v>370</v>
      </c>
      <c r="J79" s="78">
        <f t="shared" si="16"/>
        <v>370</v>
      </c>
      <c r="K79" s="78">
        <f t="shared" si="16"/>
        <v>390</v>
      </c>
      <c r="L79" s="78">
        <f t="shared" si="16"/>
        <v>380</v>
      </c>
      <c r="M79" s="78">
        <f t="shared" si="16"/>
        <v>370</v>
      </c>
      <c r="N79" s="78">
        <f t="shared" si="16"/>
        <v>382.5</v>
      </c>
      <c r="O79" s="78">
        <f t="shared" si="16"/>
        <v>390</v>
      </c>
      <c r="P79" s="78">
        <f t="shared" si="16"/>
        <v>405</v>
      </c>
      <c r="Q79" s="78">
        <f t="shared" si="16"/>
        <v>405.9</v>
      </c>
      <c r="R79" s="78">
        <f t="shared" si="16"/>
        <v>368</v>
      </c>
      <c r="S79" s="78">
        <f t="shared" si="16"/>
        <v>368</v>
      </c>
      <c r="T79" s="78">
        <f t="shared" si="16"/>
        <v>370</v>
      </c>
      <c r="U79" s="78">
        <f t="shared" si="16"/>
        <v>388</v>
      </c>
      <c r="V79" s="78">
        <f t="shared" si="16"/>
        <v>355</v>
      </c>
      <c r="W79" s="78">
        <f t="shared" si="16"/>
        <v>360</v>
      </c>
      <c r="X79" s="78">
        <f t="shared" si="16"/>
        <v>366</v>
      </c>
      <c r="Y79" s="78">
        <f t="shared" si="16"/>
        <v>360</v>
      </c>
      <c r="Z79" s="78">
        <f t="shared" si="16"/>
        <v>285</v>
      </c>
      <c r="AA79" s="78">
        <f t="shared" si="16"/>
        <v>270</v>
      </c>
      <c r="AB79" s="78">
        <f t="shared" si="16"/>
        <v>271</v>
      </c>
      <c r="AC79" s="78">
        <f t="shared" si="16"/>
        <v>367</v>
      </c>
      <c r="AD79" s="78">
        <f t="shared" si="16"/>
        <v>380</v>
      </c>
      <c r="AE79" s="78">
        <f t="shared" si="16"/>
        <v>380.2</v>
      </c>
      <c r="AF79" s="78">
        <f t="shared" si="16"/>
        <v>410</v>
      </c>
      <c r="AG79" s="87"/>
      <c r="AH79" s="54">
        <f t="shared" si="12"/>
        <v>410</v>
      </c>
      <c r="AI79" s="55">
        <f t="shared" si="13"/>
        <v>270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17">IF(C57&lt;0,C57*-1,0)</f>
        <v>0</v>
      </c>
      <c r="D80" s="78">
        <f t="shared" si="17"/>
        <v>0</v>
      </c>
      <c r="E80" s="78">
        <f t="shared" si="17"/>
        <v>0</v>
      </c>
      <c r="F80" s="78">
        <f t="shared" si="17"/>
        <v>0</v>
      </c>
      <c r="G80" s="78">
        <f t="shared" si="17"/>
        <v>0</v>
      </c>
      <c r="H80" s="78">
        <f t="shared" si="17"/>
        <v>0</v>
      </c>
      <c r="I80" s="78">
        <f t="shared" si="17"/>
        <v>0</v>
      </c>
      <c r="J80" s="78">
        <f t="shared" si="17"/>
        <v>0</v>
      </c>
      <c r="K80" s="78">
        <f t="shared" si="17"/>
        <v>0</v>
      </c>
      <c r="L80" s="78">
        <f t="shared" si="17"/>
        <v>0</v>
      </c>
      <c r="M80" s="78">
        <f t="shared" si="17"/>
        <v>0</v>
      </c>
      <c r="N80" s="78">
        <f t="shared" si="17"/>
        <v>0</v>
      </c>
      <c r="O80" s="78">
        <f t="shared" si="17"/>
        <v>0</v>
      </c>
      <c r="P80" s="78">
        <f t="shared" si="17"/>
        <v>0</v>
      </c>
      <c r="Q80" s="78">
        <f t="shared" si="17"/>
        <v>0</v>
      </c>
      <c r="R80" s="78">
        <f t="shared" si="17"/>
        <v>0</v>
      </c>
      <c r="S80" s="78">
        <f t="shared" si="17"/>
        <v>0</v>
      </c>
      <c r="T80" s="78">
        <f t="shared" si="17"/>
        <v>0</v>
      </c>
      <c r="U80" s="78">
        <f t="shared" si="17"/>
        <v>0</v>
      </c>
      <c r="V80" s="78">
        <f t="shared" si="17"/>
        <v>0</v>
      </c>
      <c r="W80" s="78">
        <f t="shared" si="17"/>
        <v>0</v>
      </c>
      <c r="X80" s="78">
        <f t="shared" si="17"/>
        <v>0</v>
      </c>
      <c r="Y80" s="78">
        <f t="shared" si="17"/>
        <v>0</v>
      </c>
      <c r="Z80" s="78">
        <f t="shared" si="17"/>
        <v>0</v>
      </c>
      <c r="AA80" s="78">
        <f t="shared" si="17"/>
        <v>0</v>
      </c>
      <c r="AB80" s="78">
        <f t="shared" si="17"/>
        <v>0</v>
      </c>
      <c r="AC80" s="78">
        <f t="shared" si="17"/>
        <v>0</v>
      </c>
      <c r="AD80" s="78">
        <f t="shared" si="17"/>
        <v>0</v>
      </c>
      <c r="AE80" s="78">
        <f t="shared" si="17"/>
        <v>0</v>
      </c>
      <c r="AF80" s="78">
        <f t="shared" si="17"/>
        <v>0</v>
      </c>
      <c r="AG80" s="87"/>
      <c r="AH80" s="54">
        <f t="shared" si="12"/>
        <v>0</v>
      </c>
      <c r="AI80" s="55">
        <f t="shared" si="13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2"/>
        <v>0</v>
      </c>
      <c r="AI81" s="55">
        <f t="shared" si="13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>
        <f>SUM(B76:B81)</f>
        <v>275</v>
      </c>
      <c r="C82" s="69">
        <f t="shared" ref="C82:AF82" si="18">SUM(C76:C81)</f>
        <v>342</v>
      </c>
      <c r="D82" s="69">
        <f t="shared" si="18"/>
        <v>363.8</v>
      </c>
      <c r="E82" s="69">
        <f t="shared" si="18"/>
        <v>383</v>
      </c>
      <c r="F82" s="69">
        <f t="shared" si="18"/>
        <v>391</v>
      </c>
      <c r="G82" s="69">
        <f t="shared" si="18"/>
        <v>381</v>
      </c>
      <c r="H82" s="69">
        <f t="shared" si="18"/>
        <v>385.7</v>
      </c>
      <c r="I82" s="69">
        <f t="shared" si="18"/>
        <v>370</v>
      </c>
      <c r="J82" s="69">
        <f t="shared" si="18"/>
        <v>370</v>
      </c>
      <c r="K82" s="69">
        <f t="shared" si="18"/>
        <v>390</v>
      </c>
      <c r="L82" s="69">
        <f t="shared" si="18"/>
        <v>380</v>
      </c>
      <c r="M82" s="69">
        <f t="shared" si="18"/>
        <v>370</v>
      </c>
      <c r="N82" s="69">
        <f t="shared" si="18"/>
        <v>382.5</v>
      </c>
      <c r="O82" s="69">
        <f t="shared" si="18"/>
        <v>390</v>
      </c>
      <c r="P82" s="69">
        <f t="shared" si="18"/>
        <v>405</v>
      </c>
      <c r="Q82" s="69">
        <f t="shared" si="18"/>
        <v>405.9</v>
      </c>
      <c r="R82" s="69">
        <f t="shared" si="18"/>
        <v>368</v>
      </c>
      <c r="S82" s="69">
        <f t="shared" si="18"/>
        <v>368</v>
      </c>
      <c r="T82" s="69">
        <f t="shared" si="18"/>
        <v>370</v>
      </c>
      <c r="U82" s="69">
        <f t="shared" si="18"/>
        <v>388</v>
      </c>
      <c r="V82" s="69">
        <f t="shared" si="18"/>
        <v>355</v>
      </c>
      <c r="W82" s="69">
        <f t="shared" si="18"/>
        <v>360</v>
      </c>
      <c r="X82" s="69">
        <f t="shared" si="18"/>
        <v>366</v>
      </c>
      <c r="Y82" s="69">
        <f t="shared" si="18"/>
        <v>360</v>
      </c>
      <c r="Z82" s="69">
        <f t="shared" si="18"/>
        <v>285</v>
      </c>
      <c r="AA82" s="69">
        <f t="shared" si="18"/>
        <v>270</v>
      </c>
      <c r="AB82" s="69">
        <f t="shared" si="18"/>
        <v>271</v>
      </c>
      <c r="AC82" s="69">
        <f t="shared" si="18"/>
        <v>367</v>
      </c>
      <c r="AD82" s="69">
        <f t="shared" si="18"/>
        <v>380</v>
      </c>
      <c r="AE82" s="69">
        <f t="shared" si="18"/>
        <v>380.2</v>
      </c>
      <c r="AF82" s="69">
        <f t="shared" si="18"/>
        <v>410</v>
      </c>
      <c r="AG82" s="74">
        <f t="shared" ref="AG82" si="19">SUM(AG76:AG81)</f>
        <v>0</v>
      </c>
      <c r="AH82" s="54">
        <f t="shared" si="12"/>
        <v>410</v>
      </c>
      <c r="AI82" s="55">
        <f t="shared" si="13"/>
        <v>270</v>
      </c>
      <c r="AK82" s="56"/>
    </row>
    <row r="83" spans="1:88" s="1" customFormat="1" ht="15.75" thickBot="1" x14ac:dyDescent="0.3">
      <c r="A83" s="68" t="s">
        <v>89</v>
      </c>
      <c r="B83" s="69">
        <f>B68-B82</f>
        <v>-191.4</v>
      </c>
      <c r="C83" s="69">
        <f t="shared" ref="C83:AF83" si="20">C68-C82</f>
        <v>-262.60000000000002</v>
      </c>
      <c r="D83" s="69">
        <f t="shared" si="20"/>
        <v>-282.60000000000002</v>
      </c>
      <c r="E83" s="69">
        <f t="shared" si="20"/>
        <v>-295.39999999999998</v>
      </c>
      <c r="F83" s="69">
        <f t="shared" si="20"/>
        <v>-303.89999999999998</v>
      </c>
      <c r="G83" s="69">
        <f t="shared" si="20"/>
        <v>-294.5</v>
      </c>
      <c r="H83" s="69">
        <f t="shared" si="20"/>
        <v>-301.79999999999995</v>
      </c>
      <c r="I83" s="69">
        <f t="shared" si="20"/>
        <v>-290.60000000000002</v>
      </c>
      <c r="J83" s="69">
        <f t="shared" si="20"/>
        <v>-298.10000000000002</v>
      </c>
      <c r="K83" s="69">
        <f t="shared" si="20"/>
        <v>-294.8</v>
      </c>
      <c r="L83" s="69">
        <f t="shared" si="20"/>
        <v>-286.2</v>
      </c>
      <c r="M83" s="69">
        <f t="shared" si="20"/>
        <v>-270.8</v>
      </c>
      <c r="N83" s="69">
        <f t="shared" si="20"/>
        <v>-277.89999999999998</v>
      </c>
      <c r="O83" s="69">
        <f t="shared" si="20"/>
        <v>-290</v>
      </c>
      <c r="P83" s="69">
        <f t="shared" si="20"/>
        <v>-301.60000000000002</v>
      </c>
      <c r="Q83" s="69">
        <f t="shared" si="20"/>
        <v>-296.7</v>
      </c>
      <c r="R83" s="69">
        <f t="shared" si="20"/>
        <v>-256.8</v>
      </c>
      <c r="S83" s="69">
        <f t="shared" si="20"/>
        <v>-298</v>
      </c>
      <c r="T83" s="69">
        <f t="shared" si="20"/>
        <v>-268</v>
      </c>
      <c r="U83" s="69">
        <f t="shared" si="20"/>
        <v>-292</v>
      </c>
      <c r="V83" s="69">
        <f t="shared" si="20"/>
        <v>-255.8</v>
      </c>
      <c r="W83" s="69">
        <f t="shared" si="20"/>
        <v>-255.5</v>
      </c>
      <c r="X83" s="69">
        <f t="shared" si="20"/>
        <v>-261.5</v>
      </c>
      <c r="Y83" s="69">
        <f t="shared" si="20"/>
        <v>-257.5</v>
      </c>
      <c r="Z83" s="69">
        <f t="shared" si="20"/>
        <v>-167.8</v>
      </c>
      <c r="AA83" s="69">
        <f t="shared" si="20"/>
        <v>-156.5</v>
      </c>
      <c r="AB83" s="69">
        <f t="shared" si="20"/>
        <v>-149.69999999999999</v>
      </c>
      <c r="AC83" s="69">
        <f t="shared" si="20"/>
        <v>-239.60000000000002</v>
      </c>
      <c r="AD83" s="69">
        <f t="shared" si="20"/>
        <v>-291.89999999999998</v>
      </c>
      <c r="AE83" s="69">
        <f t="shared" si="20"/>
        <v>-323.59999999999997</v>
      </c>
      <c r="AF83" s="69">
        <f t="shared" si="20"/>
        <v>-370</v>
      </c>
      <c r="AG83" s="74">
        <f t="shared" ref="AG83" si="21">SUM(AG70:AG82)</f>
        <v>4360.08</v>
      </c>
      <c r="AH83" s="54">
        <f t="shared" si="12"/>
        <v>-149.69999999999999</v>
      </c>
      <c r="AI83" s="55">
        <f t="shared" si="13"/>
        <v>-370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50.029000000000003</v>
      </c>
      <c r="C84" s="90">
        <v>50.064999999999998</v>
      </c>
      <c r="D84" s="90">
        <v>50.030999999999999</v>
      </c>
      <c r="E84" s="90">
        <v>49.954999999999998</v>
      </c>
      <c r="F84" s="90">
        <v>49.991999999999997</v>
      </c>
      <c r="G84" s="90">
        <v>50.005000000000003</v>
      </c>
      <c r="H84" s="90">
        <v>49.984999999999999</v>
      </c>
      <c r="I84" s="90">
        <v>49.929000000000002</v>
      </c>
      <c r="J84" s="90">
        <v>49.83</v>
      </c>
      <c r="K84" s="90">
        <v>49.987000000000002</v>
      </c>
      <c r="L84" s="90">
        <v>49.917000000000002</v>
      </c>
      <c r="M84" s="90">
        <v>50.1</v>
      </c>
      <c r="N84" s="90">
        <v>50.024000000000001</v>
      </c>
      <c r="O84" s="90">
        <v>50.042999999999999</v>
      </c>
      <c r="P84" s="90">
        <v>49.872999999999998</v>
      </c>
      <c r="Q84" s="90">
        <v>49.798000000000002</v>
      </c>
      <c r="R84" s="90">
        <v>50.08</v>
      </c>
      <c r="S84" s="90">
        <v>50.08</v>
      </c>
      <c r="T84" s="90">
        <v>50.067</v>
      </c>
      <c r="U84" s="90">
        <v>49.97</v>
      </c>
      <c r="V84" s="90">
        <v>50.02</v>
      </c>
      <c r="W84" s="90">
        <v>50.02</v>
      </c>
      <c r="X84" s="90">
        <v>50.036999999999999</v>
      </c>
      <c r="Y84" s="90">
        <v>50.036999999999999</v>
      </c>
      <c r="Z84" s="90">
        <v>49.917999999999999</v>
      </c>
      <c r="AA84" s="90">
        <v>50.031999999999996</v>
      </c>
      <c r="AB84" s="90">
        <v>49.987000000000002</v>
      </c>
      <c r="AC84" s="90">
        <v>50.027000000000001</v>
      </c>
      <c r="AD84" s="90">
        <v>50.018000000000001</v>
      </c>
      <c r="AE84" s="90">
        <v>49.975999999999999</v>
      </c>
      <c r="AF84" s="90">
        <v>49.854999999999997</v>
      </c>
      <c r="AG84" s="91"/>
      <c r="AH84" s="54">
        <f t="shared" si="12"/>
        <v>50.1</v>
      </c>
      <c r="AI84" s="55">
        <f t="shared" si="13"/>
        <v>49.798000000000002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123.7</v>
      </c>
      <c r="C85" s="70">
        <v>123</v>
      </c>
      <c r="D85" s="70">
        <v>123.1</v>
      </c>
      <c r="E85" s="70">
        <v>123.8</v>
      </c>
      <c r="F85" s="70">
        <v>124</v>
      </c>
      <c r="G85" s="70">
        <v>123.6</v>
      </c>
      <c r="H85" s="70">
        <v>124.8</v>
      </c>
      <c r="I85" s="70">
        <v>124.4</v>
      </c>
      <c r="J85" s="70">
        <v>124.3</v>
      </c>
      <c r="K85" s="70">
        <v>123.9</v>
      </c>
      <c r="L85" s="70">
        <v>123.7</v>
      </c>
      <c r="M85" s="70">
        <v>122.9</v>
      </c>
      <c r="N85" s="70">
        <v>123.7</v>
      </c>
      <c r="O85" s="70">
        <v>124.6</v>
      </c>
      <c r="P85" s="70">
        <v>124.9</v>
      </c>
      <c r="Q85" s="70">
        <v>124</v>
      </c>
      <c r="R85" s="70">
        <v>123.9</v>
      </c>
      <c r="S85" s="70">
        <v>123.9</v>
      </c>
      <c r="T85" s="70">
        <v>126</v>
      </c>
      <c r="U85" s="70">
        <v>126</v>
      </c>
      <c r="V85" s="70">
        <v>125.3</v>
      </c>
      <c r="W85" s="70">
        <v>125.3</v>
      </c>
      <c r="X85" s="70">
        <v>124.5</v>
      </c>
      <c r="Y85" s="70">
        <v>124.5</v>
      </c>
      <c r="Z85" s="70">
        <v>124.1</v>
      </c>
      <c r="AA85" s="70">
        <v>124.1</v>
      </c>
      <c r="AB85" s="70">
        <v>123.7</v>
      </c>
      <c r="AC85" s="70">
        <v>124</v>
      </c>
      <c r="AD85" s="70">
        <v>124</v>
      </c>
      <c r="AE85" s="70">
        <v>124</v>
      </c>
      <c r="AF85" s="70">
        <v>125.5</v>
      </c>
      <c r="AG85" s="93"/>
      <c r="AH85" s="54">
        <f t="shared" si="12"/>
        <v>126</v>
      </c>
      <c r="AI85" s="55">
        <f t="shared" si="13"/>
        <v>122.9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128.5</v>
      </c>
      <c r="C86" s="70">
        <v>128.19999999999999</v>
      </c>
      <c r="D86" s="70">
        <v>128.5</v>
      </c>
      <c r="E86" s="70">
        <v>128.6</v>
      </c>
      <c r="F86" s="70">
        <v>129</v>
      </c>
      <c r="G86" s="70">
        <v>128.19999999999999</v>
      </c>
      <c r="H86" s="70">
        <v>128.4</v>
      </c>
      <c r="I86" s="70">
        <v>128.1</v>
      </c>
      <c r="J86" s="70">
        <v>127.7</v>
      </c>
      <c r="K86" s="70">
        <v>127.1</v>
      </c>
      <c r="L86" s="70">
        <v>127</v>
      </c>
      <c r="M86" s="70">
        <v>125.8</v>
      </c>
      <c r="N86" s="70">
        <v>126.6</v>
      </c>
      <c r="O86" s="70">
        <v>127.1</v>
      </c>
      <c r="P86" s="70">
        <v>128.1</v>
      </c>
      <c r="Q86" s="70">
        <v>126.7</v>
      </c>
      <c r="R86" s="70">
        <v>126.5</v>
      </c>
      <c r="S86" s="70">
        <v>126.5</v>
      </c>
      <c r="T86" s="70">
        <v>129</v>
      </c>
      <c r="U86" s="70">
        <v>129</v>
      </c>
      <c r="V86" s="70">
        <v>128</v>
      </c>
      <c r="W86" s="70">
        <v>128</v>
      </c>
      <c r="X86" s="70">
        <v>127.5</v>
      </c>
      <c r="Y86" s="70">
        <v>127.5</v>
      </c>
      <c r="Z86" s="70">
        <v>126.3</v>
      </c>
      <c r="AA86" s="70">
        <v>126.3</v>
      </c>
      <c r="AB86" s="70">
        <v>126</v>
      </c>
      <c r="AC86" s="70">
        <v>128.30000000000001</v>
      </c>
      <c r="AD86" s="70">
        <v>127.1</v>
      </c>
      <c r="AE86" s="70">
        <v>128.69999999999999</v>
      </c>
      <c r="AF86" s="70">
        <v>129.5</v>
      </c>
      <c r="AG86" s="93"/>
      <c r="AH86" s="54">
        <f t="shared" si="12"/>
        <v>129.5</v>
      </c>
      <c r="AI86" s="55">
        <f t="shared" si="13"/>
        <v>125.8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128.6</v>
      </c>
      <c r="C87" s="70">
        <v>128.4</v>
      </c>
      <c r="D87" s="70">
        <v>128.80000000000001</v>
      </c>
      <c r="E87" s="70">
        <v>128.69999999999999</v>
      </c>
      <c r="F87" s="70">
        <v>129.4</v>
      </c>
      <c r="G87" s="70">
        <v>129.6</v>
      </c>
      <c r="H87" s="70">
        <v>131.5</v>
      </c>
      <c r="I87" s="70">
        <v>127.8</v>
      </c>
      <c r="J87" s="70">
        <v>128.19999999999999</v>
      </c>
      <c r="K87" s="70">
        <v>128.30000000000001</v>
      </c>
      <c r="L87" s="70">
        <v>128.30000000000001</v>
      </c>
      <c r="M87" s="70">
        <v>128.30000000000001</v>
      </c>
      <c r="N87" s="70">
        <v>129</v>
      </c>
      <c r="O87" s="70">
        <v>126.6</v>
      </c>
      <c r="P87" s="70">
        <v>127.2</v>
      </c>
      <c r="Q87" s="70">
        <v>129.30000000000001</v>
      </c>
      <c r="R87" s="70">
        <v>128.30000000000001</v>
      </c>
      <c r="S87" s="70">
        <v>128.30000000000001</v>
      </c>
      <c r="T87" s="70">
        <v>128</v>
      </c>
      <c r="U87" s="70">
        <v>128</v>
      </c>
      <c r="V87" s="70">
        <v>126.9</v>
      </c>
      <c r="W87" s="70">
        <v>126.9</v>
      </c>
      <c r="X87" s="70">
        <v>128.69999999999999</v>
      </c>
      <c r="Y87" s="70">
        <v>128.69999999999999</v>
      </c>
      <c r="Z87" s="70">
        <v>124.6</v>
      </c>
      <c r="AA87" s="70">
        <v>124.6</v>
      </c>
      <c r="AB87" s="70">
        <v>128.5</v>
      </c>
      <c r="AC87" s="70">
        <v>125.5</v>
      </c>
      <c r="AD87" s="70">
        <v>132.19999999999999</v>
      </c>
      <c r="AE87" s="70">
        <v>127.6</v>
      </c>
      <c r="AF87" s="70">
        <v>125.6</v>
      </c>
      <c r="AG87" s="93"/>
      <c r="AH87" s="54">
        <f t="shared" si="12"/>
        <v>132.19999999999999</v>
      </c>
      <c r="AI87" s="55">
        <f t="shared" si="13"/>
        <v>124.6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131.4</v>
      </c>
      <c r="C88" s="70">
        <v>131.6</v>
      </c>
      <c r="D88" s="70">
        <v>132.1</v>
      </c>
      <c r="E88" s="70">
        <v>132.30000000000001</v>
      </c>
      <c r="F88" s="70">
        <v>132.9</v>
      </c>
      <c r="G88" s="70">
        <v>133.5</v>
      </c>
      <c r="H88" s="70">
        <v>134.6</v>
      </c>
      <c r="I88" s="70">
        <v>131.69999999999999</v>
      </c>
      <c r="J88" s="70">
        <v>131.1</v>
      </c>
      <c r="K88" s="70">
        <v>131.4</v>
      </c>
      <c r="L88" s="70">
        <v>130.9</v>
      </c>
      <c r="M88" s="70">
        <v>131.1</v>
      </c>
      <c r="N88" s="70">
        <v>133.1</v>
      </c>
      <c r="O88" s="70">
        <v>131.6</v>
      </c>
      <c r="P88" s="70">
        <v>131.6</v>
      </c>
      <c r="Q88" s="70">
        <v>133.80000000000001</v>
      </c>
      <c r="R88" s="70">
        <v>133.4</v>
      </c>
      <c r="S88" s="70">
        <v>133.4</v>
      </c>
      <c r="T88" s="70">
        <v>132</v>
      </c>
      <c r="U88" s="70">
        <v>132</v>
      </c>
      <c r="V88" s="70">
        <v>132.1</v>
      </c>
      <c r="W88" s="70">
        <v>132.1</v>
      </c>
      <c r="X88" s="70">
        <v>132.9</v>
      </c>
      <c r="Y88" s="70">
        <v>132.9</v>
      </c>
      <c r="Z88" s="70">
        <v>131.1</v>
      </c>
      <c r="AA88" s="70">
        <v>131.1</v>
      </c>
      <c r="AB88" s="70">
        <v>134.1</v>
      </c>
      <c r="AC88" s="70">
        <v>130.9</v>
      </c>
      <c r="AD88" s="70">
        <v>130.9</v>
      </c>
      <c r="AE88" s="70">
        <v>132.69999999999999</v>
      </c>
      <c r="AF88" s="70">
        <v>129</v>
      </c>
      <c r="AG88" s="93"/>
      <c r="AH88" s="54">
        <f t="shared" si="12"/>
        <v>134.6</v>
      </c>
      <c r="AI88" s="55">
        <f t="shared" si="13"/>
        <v>129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127</v>
      </c>
      <c r="C89" s="95">
        <v>129.69999999999999</v>
      </c>
      <c r="D89" s="95">
        <v>134.1</v>
      </c>
      <c r="E89" s="95">
        <v>130.30000000000001</v>
      </c>
      <c r="F89" s="95">
        <v>133.4</v>
      </c>
      <c r="G89" s="95">
        <v>129.80000000000001</v>
      </c>
      <c r="H89" s="95">
        <v>131.4</v>
      </c>
      <c r="I89" s="95">
        <v>133.4</v>
      </c>
      <c r="J89" s="95">
        <v>131.19999999999999</v>
      </c>
      <c r="K89" s="95">
        <v>135</v>
      </c>
      <c r="L89" s="95">
        <v>131.9</v>
      </c>
      <c r="M89" s="95">
        <v>132</v>
      </c>
      <c r="N89" s="95">
        <v>133.6</v>
      </c>
      <c r="O89" s="95">
        <v>132.30000000000001</v>
      </c>
      <c r="P89" s="95">
        <v>134.69999999999999</v>
      </c>
      <c r="Q89" s="95">
        <v>133.9</v>
      </c>
      <c r="R89" s="95">
        <v>133.9</v>
      </c>
      <c r="S89" s="95">
        <v>133.9</v>
      </c>
      <c r="T89" s="95">
        <v>131</v>
      </c>
      <c r="U89" s="95">
        <v>131</v>
      </c>
      <c r="V89" s="95">
        <v>136.4</v>
      </c>
      <c r="W89" s="95">
        <v>136.4</v>
      </c>
      <c r="X89" s="95">
        <v>131</v>
      </c>
      <c r="Y89" s="95">
        <v>131</v>
      </c>
      <c r="Z89" s="95">
        <v>134</v>
      </c>
      <c r="AA89" s="95">
        <v>134</v>
      </c>
      <c r="AB89" s="95">
        <v>133.69999999999999</v>
      </c>
      <c r="AC89" s="95">
        <v>133.80000000000001</v>
      </c>
      <c r="AD89" s="95">
        <v>133.80000000000001</v>
      </c>
      <c r="AE89" s="95">
        <v>126.6</v>
      </c>
      <c r="AF89" s="95">
        <v>131.4</v>
      </c>
      <c r="AG89" s="96"/>
      <c r="AH89" s="54">
        <f t="shared" si="12"/>
        <v>136.4</v>
      </c>
      <c r="AI89" s="55">
        <f t="shared" si="13"/>
        <v>126.6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116</v>
      </c>
      <c r="C90" s="70">
        <v>121.6</v>
      </c>
      <c r="D90" s="70">
        <v>125.6</v>
      </c>
      <c r="E90" s="70">
        <v>121.9</v>
      </c>
      <c r="F90" s="70">
        <v>123.5</v>
      </c>
      <c r="G90" s="70">
        <v>117.7</v>
      </c>
      <c r="H90" s="70">
        <v>119.5</v>
      </c>
      <c r="I90" s="70">
        <v>123.4</v>
      </c>
      <c r="J90" s="70">
        <v>119.5</v>
      </c>
      <c r="K90" s="70">
        <v>129</v>
      </c>
      <c r="L90" s="70">
        <v>125.1</v>
      </c>
      <c r="M90" s="70">
        <v>126.9</v>
      </c>
      <c r="N90" s="70">
        <v>126.8</v>
      </c>
      <c r="O90" s="70">
        <v>125.3</v>
      </c>
      <c r="P90" s="70">
        <v>124.9</v>
      </c>
      <c r="Q90" s="70">
        <v>125.5</v>
      </c>
      <c r="R90" s="70">
        <v>124.8</v>
      </c>
      <c r="S90" s="70">
        <v>124.8</v>
      </c>
      <c r="T90" s="70">
        <v>120</v>
      </c>
      <c r="U90" s="70">
        <v>120</v>
      </c>
      <c r="V90" s="70">
        <v>123.3</v>
      </c>
      <c r="W90" s="70">
        <v>123.3</v>
      </c>
      <c r="X90" s="70">
        <v>136</v>
      </c>
      <c r="Y90" s="70">
        <v>136</v>
      </c>
      <c r="Z90" s="70">
        <v>132.30000000000001</v>
      </c>
      <c r="AA90" s="70">
        <v>132.30000000000001</v>
      </c>
      <c r="AB90" s="70">
        <v>132</v>
      </c>
      <c r="AC90" s="70">
        <v>132.80000000000001</v>
      </c>
      <c r="AD90" s="70">
        <v>132.80000000000001</v>
      </c>
      <c r="AE90" s="70">
        <v>124.5</v>
      </c>
      <c r="AF90" s="70">
        <v>129.1</v>
      </c>
      <c r="AG90" s="93"/>
      <c r="AH90" s="54">
        <f t="shared" si="12"/>
        <v>136</v>
      </c>
      <c r="AI90" s="55">
        <f t="shared" si="13"/>
        <v>116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65.3</v>
      </c>
      <c r="C91" s="97">
        <v>65.2</v>
      </c>
      <c r="D91" s="97">
        <v>65.3</v>
      </c>
      <c r="E91" s="97">
        <v>65.2</v>
      </c>
      <c r="F91" s="97">
        <v>65.3</v>
      </c>
      <c r="G91" s="97">
        <v>65</v>
      </c>
      <c r="H91" s="97">
        <v>65.3</v>
      </c>
      <c r="I91" s="97">
        <v>65.099999999999994</v>
      </c>
      <c r="J91" s="97">
        <v>64.8</v>
      </c>
      <c r="K91" s="97">
        <v>64.599999999999994</v>
      </c>
      <c r="L91" s="97">
        <v>64.5</v>
      </c>
      <c r="M91" s="97">
        <v>63.9</v>
      </c>
      <c r="N91" s="97">
        <v>64.2</v>
      </c>
      <c r="O91" s="97">
        <v>64.400000000000006</v>
      </c>
      <c r="P91" s="97">
        <v>64.900000000000006</v>
      </c>
      <c r="Q91" s="97">
        <v>64.400000000000006</v>
      </c>
      <c r="R91" s="97">
        <v>64.400000000000006</v>
      </c>
      <c r="S91" s="97">
        <v>64.400000000000006</v>
      </c>
      <c r="T91" s="97">
        <v>65</v>
      </c>
      <c r="U91" s="97">
        <v>65</v>
      </c>
      <c r="V91" s="97">
        <v>65</v>
      </c>
      <c r="W91" s="97">
        <v>65</v>
      </c>
      <c r="X91" s="97">
        <v>65</v>
      </c>
      <c r="Y91" s="97">
        <v>65</v>
      </c>
      <c r="Z91" s="97">
        <v>64.2</v>
      </c>
      <c r="AA91" s="97">
        <v>64.2</v>
      </c>
      <c r="AB91" s="97">
        <v>64.2</v>
      </c>
      <c r="AC91" s="97">
        <v>65.400000000000006</v>
      </c>
      <c r="AD91" s="97">
        <v>65.400000000000006</v>
      </c>
      <c r="AE91" s="97">
        <v>65.400000000000006</v>
      </c>
      <c r="AF91" s="97">
        <v>65.400000000000006</v>
      </c>
      <c r="AG91" s="98"/>
      <c r="AH91" s="54">
        <f t="shared" si="12"/>
        <v>65.400000000000006</v>
      </c>
      <c r="AI91" s="55">
        <f t="shared" si="13"/>
        <v>63.9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22">SUM(B15,B18,B21:B22,B42,B44:B45,B47,B49,B94:B97,B104,B110,B116,B125,B127,B139,B146,B149:B150,B157,B159,B161,B165:B167,B169:B171,B176,B182:B183,B185:B187,B195,B200)</f>
        <v>90.54</v>
      </c>
      <c r="C93" s="103">
        <f t="shared" si="22"/>
        <v>143.13999999999999</v>
      </c>
      <c r="D93" s="103">
        <f t="shared" si="22"/>
        <v>141.33999999999995</v>
      </c>
      <c r="E93" s="103">
        <f t="shared" si="22"/>
        <v>147.33999999999997</v>
      </c>
      <c r="F93" s="103">
        <f t="shared" si="22"/>
        <v>149.53999999999996</v>
      </c>
      <c r="G93" s="103">
        <f t="shared" si="22"/>
        <v>161.53999999999996</v>
      </c>
      <c r="H93" s="103">
        <f t="shared" si="22"/>
        <v>186.44</v>
      </c>
      <c r="I93" s="103">
        <f t="shared" si="22"/>
        <v>199.93999999999997</v>
      </c>
      <c r="J93" s="103">
        <f t="shared" si="22"/>
        <v>217.43999999999997</v>
      </c>
      <c r="K93" s="103">
        <f t="shared" si="22"/>
        <v>235.64</v>
      </c>
      <c r="L93" s="103">
        <f t="shared" si="22"/>
        <v>257.74000000000007</v>
      </c>
      <c r="M93" s="103">
        <f t="shared" si="22"/>
        <v>280.14</v>
      </c>
      <c r="N93" s="103">
        <f t="shared" si="22"/>
        <v>293.44</v>
      </c>
      <c r="O93" s="103">
        <f t="shared" si="22"/>
        <v>286.94</v>
      </c>
      <c r="P93" s="103">
        <f t="shared" si="22"/>
        <v>268.14</v>
      </c>
      <c r="Q93" s="103">
        <f t="shared" si="22"/>
        <v>255.43999999999997</v>
      </c>
      <c r="R93" s="103">
        <f t="shared" si="22"/>
        <v>239.13999999999993</v>
      </c>
      <c r="S93" s="103">
        <f t="shared" si="22"/>
        <v>166.23999999999995</v>
      </c>
      <c r="T93" s="103">
        <f t="shared" si="22"/>
        <v>247.23999999999995</v>
      </c>
      <c r="U93" s="103">
        <f t="shared" si="22"/>
        <v>243.23999999999995</v>
      </c>
      <c r="V93" s="103">
        <f t="shared" si="22"/>
        <v>236.94</v>
      </c>
      <c r="W93" s="103">
        <f>SUM(W15,W18,W21:W22,W42,W44:W45,W47,W49,W94:W97,W104,W110,W116,W125,W127,W139,W146,W149:W150,W157,W159,W161,W165:W167,W169:W171,W176,W182:W183,W185:W187,W195,W200)</f>
        <v>256.24</v>
      </c>
      <c r="X93" s="103">
        <f>SUM(X15,X18,X21:X22,X42,X44:X45,X47,X49,X94:X97,X104,X110,X116,X125,X127,X139,X146,X149:X150,X157,X159,X161,X165:X167,X169:X171,X176,X182:X183,X185:X187,X195,X200)</f>
        <v>254.23999999999998</v>
      </c>
      <c r="Y93" s="103">
        <f t="shared" si="22"/>
        <v>267.24</v>
      </c>
      <c r="Z93" s="103">
        <f t="shared" si="22"/>
        <v>335.74000000000007</v>
      </c>
      <c r="AA93" s="103">
        <f t="shared" si="22"/>
        <v>348.54</v>
      </c>
      <c r="AB93" s="103">
        <f>SUM(AB15,AB18,AB21:AB22,AB42,AB44:AB45,AB47,AB49,AB94:AB97,AB104,AB110,AB116,AB125,AB127,AB139,AB146,AB149:AB150,AB157,AB159,AB161,AB165:AB167,AB169:AB171,AB176,AB182:AB183,AB185:AB187,AB195,AB200)</f>
        <v>340.44000000000005</v>
      </c>
      <c r="AC93" s="103">
        <f>SUM(AC15,AC18,AC21:AC22,AC42,AC44:AC45,AC47,AC49,AC94:AC97,AC104,AC110,AC116,AC125,AC127,AC139,AC146,AC149:AC150,AC157,AC159,AC161,AC165:AC167,AC169:AC171,AC176,AC182:AC183,AC185:AC187,AC195,AC200)</f>
        <v>224.73999999999998</v>
      </c>
      <c r="AD93" s="103">
        <f t="shared" si="22"/>
        <v>280.03999999999996</v>
      </c>
      <c r="AE93" s="103">
        <f t="shared" si="22"/>
        <v>191.03999999999996</v>
      </c>
      <c r="AF93" s="103">
        <f t="shared" si="22"/>
        <v>154.93999999999994</v>
      </c>
      <c r="AG93" s="104"/>
      <c r="AH93" s="54">
        <f>MAX(C93:AF93)</f>
        <v>348.54</v>
      </c>
      <c r="AI93" s="55">
        <f>MIN(C93:AF93)</f>
        <v>141.33999999999995</v>
      </c>
    </row>
    <row r="94" spans="1:88" x14ac:dyDescent="0.25">
      <c r="A94" s="105" t="s">
        <v>99</v>
      </c>
      <c r="B94" s="106">
        <v>41.9</v>
      </c>
      <c r="C94" s="106">
        <v>42.4</v>
      </c>
      <c r="D94" s="106">
        <v>43.8</v>
      </c>
      <c r="E94" s="106">
        <v>44.4</v>
      </c>
      <c r="F94" s="106">
        <v>38.799999999999997</v>
      </c>
      <c r="G94" s="106">
        <v>41.2</v>
      </c>
      <c r="H94" s="106">
        <v>50.3</v>
      </c>
      <c r="I94" s="106">
        <v>51.2</v>
      </c>
      <c r="J94" s="106">
        <v>50.2</v>
      </c>
      <c r="K94" s="106">
        <v>60.6</v>
      </c>
      <c r="L94" s="106">
        <v>56.4</v>
      </c>
      <c r="M94" s="106">
        <v>63.9</v>
      </c>
      <c r="N94" s="106">
        <v>61.6</v>
      </c>
      <c r="O94" s="106">
        <v>63.5</v>
      </c>
      <c r="P94" s="106">
        <v>64.400000000000006</v>
      </c>
      <c r="Q94" s="106">
        <v>64.8</v>
      </c>
      <c r="R94" s="106">
        <v>37.700000000000003</v>
      </c>
      <c r="S94" s="106"/>
      <c r="T94" s="106">
        <v>26</v>
      </c>
      <c r="U94" s="106">
        <v>27</v>
      </c>
      <c r="V94" s="106">
        <v>26.5</v>
      </c>
      <c r="W94" s="106">
        <v>55</v>
      </c>
      <c r="X94" s="106">
        <v>70</v>
      </c>
      <c r="Y94" s="106">
        <v>60</v>
      </c>
      <c r="Z94" s="106">
        <v>67</v>
      </c>
      <c r="AA94" s="106">
        <v>61.3</v>
      </c>
      <c r="AB94" s="106">
        <v>68.2</v>
      </c>
      <c r="AC94" s="106">
        <v>70.900000000000006</v>
      </c>
      <c r="AD94" s="106">
        <v>72.5</v>
      </c>
      <c r="AE94" s="106">
        <v>50.4</v>
      </c>
      <c r="AF94" s="106">
        <v>27.3</v>
      </c>
      <c r="AG94" s="107">
        <v>75</v>
      </c>
      <c r="AH94" s="54">
        <f t="shared" ref="AH94:AH101" si="23">IF(ABS(MAX(C94:AF94))&gt;ABS(MIN(C94:AF94)),MAX(C94:AF94),MIN(C94:AF94))</f>
        <v>72.5</v>
      </c>
      <c r="AI94" s="108">
        <f t="shared" ref="AI94:AI101" si="24">INDEX($C$9:$AF$9,1,MATCH(AH94,C94:AF94,0))</f>
        <v>0.875</v>
      </c>
    </row>
    <row r="95" spans="1:88" x14ac:dyDescent="0.25">
      <c r="A95" s="109" t="s">
        <v>100</v>
      </c>
      <c r="B95" s="110">
        <v>-135</v>
      </c>
      <c r="C95" s="110">
        <v>-130</v>
      </c>
      <c r="D95" s="110">
        <v>-132</v>
      </c>
      <c r="E95" s="110">
        <f>-59.5-67.8</f>
        <v>-127.3</v>
      </c>
      <c r="F95" s="110">
        <f>-58.8-66.5</f>
        <v>-125.3</v>
      </c>
      <c r="G95" s="110">
        <v>-112</v>
      </c>
      <c r="H95" s="110">
        <f>-46.4-52.3</f>
        <v>-98.699999999999989</v>
      </c>
      <c r="I95" s="110">
        <f>-40-46.7</f>
        <v>-86.7</v>
      </c>
      <c r="J95" s="110">
        <f>-34.3-39.6</f>
        <v>-73.900000000000006</v>
      </c>
      <c r="K95" s="110">
        <f>-33.1-42</f>
        <v>-75.099999999999994</v>
      </c>
      <c r="L95" s="110">
        <v>-77</v>
      </c>
      <c r="M95" s="110">
        <v>-74.8</v>
      </c>
      <c r="N95" s="110">
        <v>-63.8</v>
      </c>
      <c r="O95" s="110">
        <v>-64.2</v>
      </c>
      <c r="P95" s="110">
        <v>-71.599999999999994</v>
      </c>
      <c r="Q95" s="110">
        <v>-45.6</v>
      </c>
      <c r="R95" s="110">
        <v>-52.7</v>
      </c>
      <c r="S95" s="110"/>
      <c r="T95" s="110">
        <v>-33</v>
      </c>
      <c r="U95" s="110">
        <v>-34</v>
      </c>
      <c r="V95" s="110">
        <v>-36</v>
      </c>
      <c r="W95" s="110">
        <v>-38</v>
      </c>
      <c r="X95" s="110">
        <v>-38</v>
      </c>
      <c r="Y95" s="110">
        <v>-32</v>
      </c>
      <c r="Z95" s="110">
        <v>-11.1</v>
      </c>
      <c r="AA95" s="110">
        <v>-7</v>
      </c>
      <c r="AB95" s="110">
        <v>-10.5</v>
      </c>
      <c r="AC95" s="110">
        <v>-63.2</v>
      </c>
      <c r="AD95" s="110">
        <f>-28.8-41.3</f>
        <v>-70.099999999999994</v>
      </c>
      <c r="AE95" s="110">
        <v>-99.2</v>
      </c>
      <c r="AF95" s="110">
        <v>-109.8</v>
      </c>
      <c r="AG95" s="107">
        <v>240</v>
      </c>
      <c r="AH95" s="54">
        <f t="shared" si="23"/>
        <v>-132</v>
      </c>
      <c r="AI95" s="108">
        <f t="shared" si="24"/>
        <v>8.3333333333333301E-2</v>
      </c>
    </row>
    <row r="96" spans="1:88" x14ac:dyDescent="0.25">
      <c r="A96" s="109" t="s">
        <v>101</v>
      </c>
      <c r="B96" s="110">
        <v>12.9</v>
      </c>
      <c r="C96" s="110">
        <v>10.199999999999999</v>
      </c>
      <c r="D96" s="110">
        <v>5.6</v>
      </c>
      <c r="E96" s="110">
        <v>5.6</v>
      </c>
      <c r="F96" s="110">
        <v>11.4</v>
      </c>
      <c r="G96" s="110">
        <v>7.5</v>
      </c>
      <c r="H96" s="110">
        <v>10</v>
      </c>
      <c r="I96" s="110">
        <v>10.6</v>
      </c>
      <c r="J96" s="110">
        <v>16.3</v>
      </c>
      <c r="K96" s="110">
        <v>25.3</v>
      </c>
      <c r="L96" s="110">
        <v>26.5</v>
      </c>
      <c r="M96" s="110">
        <v>29.8</v>
      </c>
      <c r="N96" s="110">
        <v>34.200000000000003</v>
      </c>
      <c r="O96" s="110">
        <v>31.6</v>
      </c>
      <c r="P96" s="110">
        <v>27.2</v>
      </c>
      <c r="Q96" s="110">
        <v>45.4</v>
      </c>
      <c r="R96" s="110">
        <v>42.3</v>
      </c>
      <c r="S96" s="110"/>
      <c r="T96" s="110">
        <v>48</v>
      </c>
      <c r="U96" s="110">
        <v>50</v>
      </c>
      <c r="V96" s="110">
        <v>49.2</v>
      </c>
      <c r="W96" s="110">
        <v>50</v>
      </c>
      <c r="X96" s="110">
        <v>44</v>
      </c>
      <c r="Y96" s="110">
        <v>50</v>
      </c>
      <c r="Z96" s="110">
        <v>55.4</v>
      </c>
      <c r="AA96" s="110">
        <v>56</v>
      </c>
      <c r="AB96" s="110">
        <v>54.8</v>
      </c>
      <c r="AC96" s="110">
        <v>43.6</v>
      </c>
      <c r="AD96" s="110">
        <v>42.1</v>
      </c>
      <c r="AE96" s="110">
        <v>22.8</v>
      </c>
      <c r="AF96" s="110">
        <v>20.399999999999999</v>
      </c>
      <c r="AG96" s="107">
        <v>60</v>
      </c>
      <c r="AH96" s="54">
        <f t="shared" si="23"/>
        <v>56</v>
      </c>
      <c r="AI96" s="108">
        <f t="shared" si="24"/>
        <v>0.8125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27</v>
      </c>
      <c r="M97" s="112">
        <v>31.6</v>
      </c>
      <c r="N97" s="112">
        <v>31.8</v>
      </c>
      <c r="O97" s="112">
        <v>29.1</v>
      </c>
      <c r="P97" s="112">
        <v>19.8</v>
      </c>
      <c r="Q97" s="112">
        <v>24.6</v>
      </c>
      <c r="R97" s="112">
        <v>45.6</v>
      </c>
      <c r="S97" s="112"/>
      <c r="T97" s="112">
        <v>40</v>
      </c>
      <c r="U97" s="112">
        <v>34</v>
      </c>
      <c r="V97" s="112">
        <v>32</v>
      </c>
      <c r="W97" s="112">
        <v>24</v>
      </c>
      <c r="X97" s="112">
        <v>13</v>
      </c>
      <c r="Y97" s="112">
        <v>24</v>
      </c>
      <c r="Z97" s="112">
        <v>59.2</v>
      </c>
      <c r="AA97" s="112">
        <v>73</v>
      </c>
      <c r="AB97" s="112">
        <v>75.7</v>
      </c>
      <c r="AC97" s="112">
        <v>18.5</v>
      </c>
      <c r="AD97" s="112">
        <v>18.5</v>
      </c>
      <c r="AE97" s="112">
        <v>0</v>
      </c>
      <c r="AF97" s="112">
        <v>0</v>
      </c>
      <c r="AG97" s="113">
        <v>120</v>
      </c>
      <c r="AH97" s="54">
        <f t="shared" si="23"/>
        <v>75.7</v>
      </c>
      <c r="AI97" s="108">
        <f t="shared" si="24"/>
        <v>0.83333333333333337</v>
      </c>
    </row>
    <row r="98" spans="1:37" x14ac:dyDescent="0.25">
      <c r="A98" s="111" t="s">
        <v>103</v>
      </c>
      <c r="B98" s="112">
        <v>16.899999999999999</v>
      </c>
      <c r="C98" s="112">
        <v>14.1</v>
      </c>
      <c r="D98" s="112">
        <v>15.8</v>
      </c>
      <c r="E98" s="112">
        <v>22</v>
      </c>
      <c r="F98" s="112">
        <v>19.899999999999999</v>
      </c>
      <c r="G98" s="112">
        <v>29.1</v>
      </c>
      <c r="H98" s="112">
        <v>26.7</v>
      </c>
      <c r="I98" s="112">
        <v>39.5</v>
      </c>
      <c r="J98" s="112">
        <v>39.4</v>
      </c>
      <c r="K98" s="112">
        <v>25.4</v>
      </c>
      <c r="L98" s="112">
        <v>16.5</v>
      </c>
      <c r="M98" s="112">
        <v>26.6</v>
      </c>
      <c r="N98" s="112">
        <v>16.899999999999999</v>
      </c>
      <c r="O98" s="112">
        <v>6.9</v>
      </c>
      <c r="P98" s="112">
        <v>-1.2</v>
      </c>
      <c r="Q98" s="112">
        <v>5.3</v>
      </c>
      <c r="R98" s="112">
        <v>34.6</v>
      </c>
      <c r="S98" s="112"/>
      <c r="T98" s="112">
        <v>31</v>
      </c>
      <c r="U98" s="112">
        <v>24</v>
      </c>
      <c r="V98" s="112">
        <v>3.2</v>
      </c>
      <c r="W98" s="112">
        <v>2</v>
      </c>
      <c r="X98" s="112">
        <v>0</v>
      </c>
      <c r="Y98" s="112">
        <v>0</v>
      </c>
      <c r="Z98" s="112">
        <v>30.4</v>
      </c>
      <c r="AA98" s="112">
        <v>45</v>
      </c>
      <c r="AB98" s="112">
        <v>42.2</v>
      </c>
      <c r="AC98" s="112">
        <v>0.2</v>
      </c>
      <c r="AD98" s="112">
        <v>0.2</v>
      </c>
      <c r="AE98" s="112">
        <v>21.3</v>
      </c>
      <c r="AF98" s="112">
        <v>10.1</v>
      </c>
      <c r="AG98" s="113"/>
      <c r="AH98" s="54">
        <f t="shared" si="23"/>
        <v>45</v>
      </c>
      <c r="AI98" s="108">
        <f t="shared" si="24"/>
        <v>0.8125</v>
      </c>
    </row>
    <row r="99" spans="1:37" x14ac:dyDescent="0.25">
      <c r="A99" s="111" t="s">
        <v>104</v>
      </c>
      <c r="B99" s="112">
        <v>62.1</v>
      </c>
      <c r="C99" s="112">
        <v>58.7</v>
      </c>
      <c r="D99" s="112">
        <v>57.5</v>
      </c>
      <c r="E99" s="112">
        <v>54.4</v>
      </c>
      <c r="F99" s="112">
        <v>69.2</v>
      </c>
      <c r="G99" s="112">
        <v>62.9</v>
      </c>
      <c r="H99" s="112">
        <v>57.5</v>
      </c>
      <c r="I99" s="112">
        <v>55</v>
      </c>
      <c r="J99" s="112">
        <v>63.5</v>
      </c>
      <c r="K99" s="112">
        <v>29.9</v>
      </c>
      <c r="L99" s="112">
        <v>34.200000000000003</v>
      </c>
      <c r="M99" s="112">
        <v>8.4</v>
      </c>
      <c r="N99" s="112">
        <v>24.6</v>
      </c>
      <c r="O99" s="112">
        <v>18.100000000000001</v>
      </c>
      <c r="P99" s="112">
        <v>24.3</v>
      </c>
      <c r="Q99" s="112">
        <v>32.6</v>
      </c>
      <c r="R99" s="112">
        <v>62.8</v>
      </c>
      <c r="S99" s="112"/>
      <c r="T99" s="112">
        <v>82</v>
      </c>
      <c r="U99" s="112">
        <v>80</v>
      </c>
      <c r="V99" s="112">
        <v>65</v>
      </c>
      <c r="W99" s="112">
        <v>41</v>
      </c>
      <c r="X99" s="112">
        <v>23</v>
      </c>
      <c r="Y99" s="112">
        <v>23</v>
      </c>
      <c r="Z99" s="112">
        <v>24.1</v>
      </c>
      <c r="AA99" s="112">
        <v>31.5</v>
      </c>
      <c r="AB99" s="112">
        <v>23.6</v>
      </c>
      <c r="AC99" s="112">
        <v>19.399999999999999</v>
      </c>
      <c r="AD99" s="112">
        <v>19.399999999999999</v>
      </c>
      <c r="AE99" s="112">
        <v>28.9</v>
      </c>
      <c r="AF99" s="112">
        <v>62.5</v>
      </c>
      <c r="AG99" s="114"/>
      <c r="AH99" s="54">
        <f t="shared" si="23"/>
        <v>82</v>
      </c>
      <c r="AI99" s="108">
        <f t="shared" si="24"/>
        <v>0.625</v>
      </c>
    </row>
    <row r="100" spans="1:37" x14ac:dyDescent="0.25">
      <c r="A100" s="115" t="s">
        <v>105</v>
      </c>
      <c r="B100" s="95">
        <v>42.7</v>
      </c>
      <c r="C100" s="95">
        <v>41.7</v>
      </c>
      <c r="D100" s="95">
        <v>44.3</v>
      </c>
      <c r="E100" s="95">
        <v>40.700000000000003</v>
      </c>
      <c r="F100" s="95">
        <v>39.299999999999997</v>
      </c>
      <c r="G100" s="95">
        <v>36</v>
      </c>
      <c r="H100" s="95">
        <v>32.200000000000003</v>
      </c>
      <c r="I100" s="95">
        <v>32</v>
      </c>
      <c r="J100" s="95">
        <v>32.5</v>
      </c>
      <c r="K100" s="95">
        <v>34.6</v>
      </c>
      <c r="L100" s="95">
        <v>41.6</v>
      </c>
      <c r="M100" s="95">
        <v>39</v>
      </c>
      <c r="N100" s="95">
        <v>36.4</v>
      </c>
      <c r="O100" s="95">
        <v>42.3</v>
      </c>
      <c r="P100" s="95">
        <v>38</v>
      </c>
      <c r="Q100" s="95">
        <v>30.3</v>
      </c>
      <c r="R100" s="95">
        <v>25.5</v>
      </c>
      <c r="S100" s="95"/>
      <c r="T100" s="95">
        <v>28</v>
      </c>
      <c r="U100" s="95">
        <v>26</v>
      </c>
      <c r="V100" s="95">
        <v>25.8</v>
      </c>
      <c r="W100" s="95">
        <v>27</v>
      </c>
      <c r="X100" s="95">
        <v>16</v>
      </c>
      <c r="Y100" s="95">
        <v>16</v>
      </c>
      <c r="Z100" s="95">
        <v>36.9</v>
      </c>
      <c r="AA100" s="95">
        <v>45</v>
      </c>
      <c r="AB100" s="95">
        <v>36.4</v>
      </c>
      <c r="AC100" s="95">
        <v>33.1</v>
      </c>
      <c r="AD100" s="95">
        <v>33.1</v>
      </c>
      <c r="AE100" s="95">
        <v>37.9</v>
      </c>
      <c r="AF100" s="95">
        <v>31.6</v>
      </c>
      <c r="AG100" s="114"/>
      <c r="AH100" s="54">
        <f t="shared" si="23"/>
        <v>45</v>
      </c>
      <c r="AI100" s="108">
        <f t="shared" si="24"/>
        <v>0.8125</v>
      </c>
    </row>
    <row r="101" spans="1:37" ht="15.75" thickBot="1" x14ac:dyDescent="0.3">
      <c r="A101" s="115" t="s">
        <v>236</v>
      </c>
      <c r="B101" s="95">
        <v>75</v>
      </c>
      <c r="C101" s="95">
        <v>102</v>
      </c>
      <c r="D101" s="95">
        <v>104</v>
      </c>
      <c r="E101" s="95">
        <v>98</v>
      </c>
      <c r="F101" s="95">
        <v>97.9</v>
      </c>
      <c r="G101" s="95">
        <v>87.8</v>
      </c>
      <c r="H101" s="95">
        <v>75.5</v>
      </c>
      <c r="I101" s="95">
        <v>70.599999999999994</v>
      </c>
      <c r="J101" s="95">
        <v>60.8</v>
      </c>
      <c r="K101" s="95">
        <v>75.900000000000006</v>
      </c>
      <c r="L101" s="95">
        <v>75.400000000000006</v>
      </c>
      <c r="M101" s="95">
        <v>79.3</v>
      </c>
      <c r="N101" s="95">
        <v>76.400000000000006</v>
      </c>
      <c r="O101" s="95">
        <v>70.7</v>
      </c>
      <c r="P101" s="95">
        <v>74.900000000000006</v>
      </c>
      <c r="Q101" s="95">
        <v>72.2</v>
      </c>
      <c r="R101" s="95">
        <v>60.5</v>
      </c>
      <c r="S101" s="95"/>
      <c r="T101" s="95">
        <v>0</v>
      </c>
      <c r="U101" s="95">
        <v>0</v>
      </c>
      <c r="V101" s="95">
        <v>70.8</v>
      </c>
      <c r="W101" s="95">
        <v>69</v>
      </c>
      <c r="X101" s="95">
        <v>75</v>
      </c>
      <c r="Y101" s="95">
        <v>75</v>
      </c>
      <c r="Z101" s="95">
        <v>48.2</v>
      </c>
      <c r="AA101" s="95">
        <v>50.4</v>
      </c>
      <c r="AB101" s="95">
        <v>51.7</v>
      </c>
      <c r="AC101" s="95">
        <v>86.7</v>
      </c>
      <c r="AD101" s="95">
        <v>86.7</v>
      </c>
      <c r="AE101" s="95">
        <v>97.2</v>
      </c>
      <c r="AF101" s="95">
        <v>96.5</v>
      </c>
      <c r="AG101" s="114"/>
      <c r="AH101" s="54">
        <f t="shared" si="23"/>
        <v>104</v>
      </c>
      <c r="AI101" s="108">
        <f t="shared" si="24"/>
        <v>8.3333333333333301E-2</v>
      </c>
    </row>
    <row r="102" spans="1:37" ht="15.75" thickBot="1" x14ac:dyDescent="0.3">
      <c r="A102" s="116" t="s">
        <v>106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5"/>
      <c r="AK102" s="56"/>
    </row>
    <row r="103" spans="1:37" x14ac:dyDescent="0.25">
      <c r="A103" s="120" t="s">
        <v>107</v>
      </c>
      <c r="B103" s="121">
        <f t="shared" ref="B103:B108" si="25">AF103</f>
        <v>9.9</v>
      </c>
      <c r="C103" s="53">
        <v>9.9</v>
      </c>
      <c r="D103" s="121">
        <f t="shared" ref="D103:S108" si="26">C103</f>
        <v>9.9</v>
      </c>
      <c r="E103" s="121">
        <f t="shared" si="26"/>
        <v>9.9</v>
      </c>
      <c r="F103" s="121">
        <f t="shared" si="26"/>
        <v>9.9</v>
      </c>
      <c r="G103" s="121">
        <f t="shared" si="26"/>
        <v>9.9</v>
      </c>
      <c r="H103" s="121">
        <f t="shared" si="26"/>
        <v>9.9</v>
      </c>
      <c r="I103" s="121">
        <f t="shared" si="26"/>
        <v>9.9</v>
      </c>
      <c r="J103" s="121">
        <f t="shared" si="26"/>
        <v>9.9</v>
      </c>
      <c r="K103" s="121">
        <f t="shared" si="26"/>
        <v>9.9</v>
      </c>
      <c r="L103" s="121">
        <f t="shared" si="26"/>
        <v>9.9</v>
      </c>
      <c r="M103" s="121">
        <f t="shared" si="26"/>
        <v>9.9</v>
      </c>
      <c r="N103" s="121">
        <f t="shared" si="26"/>
        <v>9.9</v>
      </c>
      <c r="O103" s="121">
        <f t="shared" si="26"/>
        <v>9.9</v>
      </c>
      <c r="P103" s="121">
        <f t="shared" si="26"/>
        <v>9.9</v>
      </c>
      <c r="Q103" s="121">
        <f t="shared" si="26"/>
        <v>9.9</v>
      </c>
      <c r="R103" s="121">
        <f t="shared" si="26"/>
        <v>9.9</v>
      </c>
      <c r="S103" s="121">
        <f t="shared" si="26"/>
        <v>9.9</v>
      </c>
      <c r="T103" s="121">
        <f t="shared" ref="T103:AF108" si="27">S103</f>
        <v>9.9</v>
      </c>
      <c r="U103" s="121">
        <f t="shared" si="27"/>
        <v>9.9</v>
      </c>
      <c r="V103" s="121">
        <f t="shared" si="27"/>
        <v>9.9</v>
      </c>
      <c r="W103" s="121">
        <f t="shared" si="27"/>
        <v>9.9</v>
      </c>
      <c r="X103" s="121">
        <f t="shared" si="27"/>
        <v>9.9</v>
      </c>
      <c r="Y103" s="121">
        <f t="shared" si="27"/>
        <v>9.9</v>
      </c>
      <c r="Z103" s="121">
        <f t="shared" si="27"/>
        <v>9.9</v>
      </c>
      <c r="AA103" s="121">
        <f t="shared" si="27"/>
        <v>9.9</v>
      </c>
      <c r="AB103" s="121">
        <f t="shared" si="27"/>
        <v>9.9</v>
      </c>
      <c r="AC103" s="121">
        <f t="shared" si="27"/>
        <v>9.9</v>
      </c>
      <c r="AD103" s="121">
        <f t="shared" si="27"/>
        <v>9.9</v>
      </c>
      <c r="AE103" s="121">
        <f t="shared" si="27"/>
        <v>9.9</v>
      </c>
      <c r="AF103" s="121">
        <f t="shared" si="27"/>
        <v>9.9</v>
      </c>
      <c r="AG103" s="122">
        <v>9.94</v>
      </c>
      <c r="AH103" s="54"/>
      <c r="AI103" s="55"/>
      <c r="AK103" s="56"/>
    </row>
    <row r="104" spans="1:37" x14ac:dyDescent="0.25">
      <c r="A104" s="109" t="s">
        <v>108</v>
      </c>
      <c r="B104" s="123">
        <f t="shared" si="25"/>
        <v>9.6</v>
      </c>
      <c r="C104" s="124">
        <v>9.6</v>
      </c>
      <c r="D104" s="123">
        <f t="shared" si="26"/>
        <v>9.6</v>
      </c>
      <c r="E104" s="123">
        <f t="shared" si="26"/>
        <v>9.6</v>
      </c>
      <c r="F104" s="123">
        <f t="shared" si="26"/>
        <v>9.6</v>
      </c>
      <c r="G104" s="123">
        <f t="shared" si="26"/>
        <v>9.6</v>
      </c>
      <c r="H104" s="123">
        <f t="shared" si="26"/>
        <v>9.6</v>
      </c>
      <c r="I104" s="123">
        <f t="shared" si="26"/>
        <v>9.6</v>
      </c>
      <c r="J104" s="123">
        <f t="shared" si="26"/>
        <v>9.6</v>
      </c>
      <c r="K104" s="123">
        <f t="shared" si="26"/>
        <v>9.6</v>
      </c>
      <c r="L104" s="123">
        <f t="shared" si="26"/>
        <v>9.6</v>
      </c>
      <c r="M104" s="123">
        <f t="shared" si="26"/>
        <v>9.6</v>
      </c>
      <c r="N104" s="123">
        <f t="shared" si="26"/>
        <v>9.6</v>
      </c>
      <c r="O104" s="123">
        <f t="shared" si="26"/>
        <v>9.6</v>
      </c>
      <c r="P104" s="123">
        <f t="shared" si="26"/>
        <v>9.6</v>
      </c>
      <c r="Q104" s="123">
        <f t="shared" si="26"/>
        <v>9.6</v>
      </c>
      <c r="R104" s="123">
        <f t="shared" si="26"/>
        <v>9.6</v>
      </c>
      <c r="S104" s="123">
        <f t="shared" si="26"/>
        <v>9.6</v>
      </c>
      <c r="T104" s="123">
        <f t="shared" si="27"/>
        <v>9.6</v>
      </c>
      <c r="U104" s="123">
        <f t="shared" si="27"/>
        <v>9.6</v>
      </c>
      <c r="V104" s="123">
        <f t="shared" si="27"/>
        <v>9.6</v>
      </c>
      <c r="W104" s="123">
        <f t="shared" si="27"/>
        <v>9.6</v>
      </c>
      <c r="X104" s="123">
        <f t="shared" si="27"/>
        <v>9.6</v>
      </c>
      <c r="Y104" s="123">
        <f t="shared" si="27"/>
        <v>9.6</v>
      </c>
      <c r="Z104" s="123">
        <f t="shared" si="27"/>
        <v>9.6</v>
      </c>
      <c r="AA104" s="123">
        <f t="shared" si="27"/>
        <v>9.6</v>
      </c>
      <c r="AB104" s="123">
        <f t="shared" si="27"/>
        <v>9.6</v>
      </c>
      <c r="AC104" s="123">
        <f t="shared" si="27"/>
        <v>9.6</v>
      </c>
      <c r="AD104" s="123">
        <f t="shared" si="27"/>
        <v>9.6</v>
      </c>
      <c r="AE104" s="123">
        <f t="shared" si="27"/>
        <v>9.6</v>
      </c>
      <c r="AF104" s="123">
        <f t="shared" si="27"/>
        <v>9.6</v>
      </c>
      <c r="AG104" s="125">
        <v>9.9</v>
      </c>
      <c r="AH104" s="54"/>
      <c r="AI104" s="55"/>
      <c r="AK104" s="56"/>
    </row>
    <row r="105" spans="1:37" x14ac:dyDescent="0.25">
      <c r="A105" s="111" t="s">
        <v>109</v>
      </c>
      <c r="B105" s="123">
        <f t="shared" si="25"/>
        <v>9.98</v>
      </c>
      <c r="C105" s="124">
        <v>9.98</v>
      </c>
      <c r="D105" s="123">
        <f t="shared" si="26"/>
        <v>9.98</v>
      </c>
      <c r="E105" s="123">
        <f t="shared" si="26"/>
        <v>9.98</v>
      </c>
      <c r="F105" s="123">
        <f t="shared" si="26"/>
        <v>9.98</v>
      </c>
      <c r="G105" s="123">
        <f t="shared" si="26"/>
        <v>9.98</v>
      </c>
      <c r="H105" s="123">
        <f t="shared" si="26"/>
        <v>9.98</v>
      </c>
      <c r="I105" s="123">
        <f t="shared" si="26"/>
        <v>9.98</v>
      </c>
      <c r="J105" s="123">
        <f t="shared" si="26"/>
        <v>9.98</v>
      </c>
      <c r="K105" s="123">
        <f t="shared" si="26"/>
        <v>9.98</v>
      </c>
      <c r="L105" s="123">
        <f t="shared" si="26"/>
        <v>9.98</v>
      </c>
      <c r="M105" s="123">
        <f t="shared" si="26"/>
        <v>9.98</v>
      </c>
      <c r="N105" s="123">
        <f t="shared" si="26"/>
        <v>9.98</v>
      </c>
      <c r="O105" s="123">
        <f t="shared" si="26"/>
        <v>9.98</v>
      </c>
      <c r="P105" s="123">
        <f t="shared" si="26"/>
        <v>9.98</v>
      </c>
      <c r="Q105" s="123">
        <f t="shared" si="26"/>
        <v>9.98</v>
      </c>
      <c r="R105" s="123">
        <f t="shared" si="26"/>
        <v>9.98</v>
      </c>
      <c r="S105" s="123">
        <f t="shared" si="26"/>
        <v>9.98</v>
      </c>
      <c r="T105" s="123">
        <f t="shared" si="27"/>
        <v>9.98</v>
      </c>
      <c r="U105" s="123">
        <f t="shared" si="27"/>
        <v>9.98</v>
      </c>
      <c r="V105" s="123">
        <f t="shared" si="27"/>
        <v>9.98</v>
      </c>
      <c r="W105" s="123">
        <f t="shared" si="27"/>
        <v>9.98</v>
      </c>
      <c r="X105" s="123">
        <f t="shared" si="27"/>
        <v>9.98</v>
      </c>
      <c r="Y105" s="123">
        <f t="shared" si="27"/>
        <v>9.98</v>
      </c>
      <c r="Z105" s="123">
        <f t="shared" si="27"/>
        <v>9.98</v>
      </c>
      <c r="AA105" s="123">
        <f t="shared" si="27"/>
        <v>9.98</v>
      </c>
      <c r="AB105" s="123">
        <f t="shared" si="27"/>
        <v>9.98</v>
      </c>
      <c r="AC105" s="123">
        <f t="shared" si="27"/>
        <v>9.98</v>
      </c>
      <c r="AD105" s="123">
        <f t="shared" si="27"/>
        <v>9.98</v>
      </c>
      <c r="AE105" s="123">
        <f t="shared" si="27"/>
        <v>9.98</v>
      </c>
      <c r="AF105" s="123">
        <f t="shared" si="27"/>
        <v>9.98</v>
      </c>
      <c r="AG105" s="126">
        <v>9.6579999999999995</v>
      </c>
      <c r="AH105" s="54"/>
      <c r="AI105" s="55"/>
      <c r="AK105" s="56"/>
    </row>
    <row r="106" spans="1:37" x14ac:dyDescent="0.25">
      <c r="A106" s="111" t="s">
        <v>110</v>
      </c>
      <c r="B106" s="123">
        <f t="shared" si="25"/>
        <v>9.1</v>
      </c>
      <c r="C106" s="124">
        <v>9.1</v>
      </c>
      <c r="D106" s="123">
        <f t="shared" si="26"/>
        <v>9.1</v>
      </c>
      <c r="E106" s="123">
        <f t="shared" si="26"/>
        <v>9.1</v>
      </c>
      <c r="F106" s="123">
        <f t="shared" si="26"/>
        <v>9.1</v>
      </c>
      <c r="G106" s="123">
        <f t="shared" si="26"/>
        <v>9.1</v>
      </c>
      <c r="H106" s="123">
        <f t="shared" si="26"/>
        <v>9.1</v>
      </c>
      <c r="I106" s="123">
        <f t="shared" si="26"/>
        <v>9.1</v>
      </c>
      <c r="J106" s="123">
        <f t="shared" si="26"/>
        <v>9.1</v>
      </c>
      <c r="K106" s="123">
        <f t="shared" si="26"/>
        <v>9.1</v>
      </c>
      <c r="L106" s="123">
        <f t="shared" si="26"/>
        <v>9.1</v>
      </c>
      <c r="M106" s="123">
        <f t="shared" si="26"/>
        <v>9.1</v>
      </c>
      <c r="N106" s="123">
        <f t="shared" si="26"/>
        <v>9.1</v>
      </c>
      <c r="O106" s="123">
        <f t="shared" si="26"/>
        <v>9.1</v>
      </c>
      <c r="P106" s="123">
        <f t="shared" si="26"/>
        <v>9.1</v>
      </c>
      <c r="Q106" s="123">
        <f t="shared" si="26"/>
        <v>9.1</v>
      </c>
      <c r="R106" s="123">
        <f t="shared" si="26"/>
        <v>9.1</v>
      </c>
      <c r="S106" s="123">
        <f t="shared" si="26"/>
        <v>9.1</v>
      </c>
      <c r="T106" s="123">
        <f t="shared" si="27"/>
        <v>9.1</v>
      </c>
      <c r="U106" s="123">
        <f t="shared" si="27"/>
        <v>9.1</v>
      </c>
      <c r="V106" s="123">
        <f t="shared" si="27"/>
        <v>9.1</v>
      </c>
      <c r="W106" s="123">
        <f t="shared" si="27"/>
        <v>9.1</v>
      </c>
      <c r="X106" s="123">
        <f t="shared" si="27"/>
        <v>9.1</v>
      </c>
      <c r="Y106" s="123">
        <f t="shared" si="27"/>
        <v>9.1</v>
      </c>
      <c r="Z106" s="123">
        <f t="shared" si="27"/>
        <v>9.1</v>
      </c>
      <c r="AA106" s="123">
        <f t="shared" si="27"/>
        <v>9.1</v>
      </c>
      <c r="AB106" s="123">
        <f t="shared" si="27"/>
        <v>9.1</v>
      </c>
      <c r="AC106" s="123">
        <f t="shared" si="27"/>
        <v>9.1</v>
      </c>
      <c r="AD106" s="123">
        <f t="shared" si="27"/>
        <v>9.1</v>
      </c>
      <c r="AE106" s="123">
        <f t="shared" si="27"/>
        <v>9.1</v>
      </c>
      <c r="AF106" s="123">
        <f t="shared" si="27"/>
        <v>9.1</v>
      </c>
      <c r="AG106" s="126">
        <v>9.6</v>
      </c>
      <c r="AH106" s="54"/>
      <c r="AI106" s="55"/>
      <c r="AK106" s="56"/>
    </row>
    <row r="107" spans="1:37" x14ac:dyDescent="0.25">
      <c r="A107" s="111" t="s">
        <v>111</v>
      </c>
      <c r="B107" s="123">
        <f t="shared" si="25"/>
        <v>9.18</v>
      </c>
      <c r="C107" s="124">
        <v>9.18</v>
      </c>
      <c r="D107" s="123">
        <f t="shared" si="26"/>
        <v>9.18</v>
      </c>
      <c r="E107" s="123">
        <f t="shared" si="26"/>
        <v>9.18</v>
      </c>
      <c r="F107" s="123">
        <f t="shared" si="26"/>
        <v>9.18</v>
      </c>
      <c r="G107" s="123">
        <f t="shared" si="26"/>
        <v>9.18</v>
      </c>
      <c r="H107" s="123">
        <f t="shared" si="26"/>
        <v>9.18</v>
      </c>
      <c r="I107" s="123">
        <f t="shared" si="26"/>
        <v>9.18</v>
      </c>
      <c r="J107" s="123">
        <f t="shared" si="26"/>
        <v>9.18</v>
      </c>
      <c r="K107" s="123">
        <f t="shared" si="26"/>
        <v>9.18</v>
      </c>
      <c r="L107" s="123">
        <f t="shared" si="26"/>
        <v>9.18</v>
      </c>
      <c r="M107" s="123">
        <f t="shared" si="26"/>
        <v>9.18</v>
      </c>
      <c r="N107" s="123">
        <f t="shared" si="26"/>
        <v>9.18</v>
      </c>
      <c r="O107" s="123">
        <f t="shared" si="26"/>
        <v>9.18</v>
      </c>
      <c r="P107" s="123">
        <f t="shared" si="26"/>
        <v>9.18</v>
      </c>
      <c r="Q107" s="123">
        <f t="shared" si="26"/>
        <v>9.18</v>
      </c>
      <c r="R107" s="123">
        <f t="shared" si="26"/>
        <v>9.18</v>
      </c>
      <c r="S107" s="123">
        <f t="shared" si="26"/>
        <v>9.18</v>
      </c>
      <c r="T107" s="123">
        <f t="shared" si="27"/>
        <v>9.18</v>
      </c>
      <c r="U107" s="123">
        <f t="shared" si="27"/>
        <v>9.18</v>
      </c>
      <c r="V107" s="123">
        <f t="shared" si="27"/>
        <v>9.18</v>
      </c>
      <c r="W107" s="123">
        <f t="shared" si="27"/>
        <v>9.18</v>
      </c>
      <c r="X107" s="123">
        <f t="shared" si="27"/>
        <v>9.18</v>
      </c>
      <c r="Y107" s="123">
        <f t="shared" si="27"/>
        <v>9.18</v>
      </c>
      <c r="Z107" s="123">
        <f t="shared" si="27"/>
        <v>9.18</v>
      </c>
      <c r="AA107" s="123">
        <f t="shared" si="27"/>
        <v>9.18</v>
      </c>
      <c r="AB107" s="123">
        <f t="shared" si="27"/>
        <v>9.18</v>
      </c>
      <c r="AC107" s="123">
        <f t="shared" si="27"/>
        <v>9.18</v>
      </c>
      <c r="AD107" s="123">
        <f t="shared" si="27"/>
        <v>9.18</v>
      </c>
      <c r="AE107" s="123">
        <f t="shared" si="27"/>
        <v>9.18</v>
      </c>
      <c r="AF107" s="123">
        <f t="shared" si="27"/>
        <v>9.18</v>
      </c>
      <c r="AG107" s="126">
        <v>9.51</v>
      </c>
      <c r="AH107" s="54"/>
      <c r="AI107" s="55"/>
      <c r="AK107" s="56"/>
    </row>
    <row r="108" spans="1:37" x14ac:dyDescent="0.25">
      <c r="A108" s="111" t="s">
        <v>112</v>
      </c>
      <c r="B108" s="123">
        <f t="shared" si="25"/>
        <v>7</v>
      </c>
      <c r="C108" s="124">
        <v>7</v>
      </c>
      <c r="D108" s="123">
        <f t="shared" si="26"/>
        <v>7</v>
      </c>
      <c r="E108" s="123">
        <f t="shared" si="26"/>
        <v>7</v>
      </c>
      <c r="F108" s="123">
        <f t="shared" si="26"/>
        <v>7</v>
      </c>
      <c r="G108" s="123">
        <f t="shared" si="26"/>
        <v>7</v>
      </c>
      <c r="H108" s="123">
        <f t="shared" si="26"/>
        <v>7</v>
      </c>
      <c r="I108" s="123">
        <f t="shared" si="26"/>
        <v>7</v>
      </c>
      <c r="J108" s="123">
        <f t="shared" si="26"/>
        <v>7</v>
      </c>
      <c r="K108" s="123">
        <f t="shared" si="26"/>
        <v>7</v>
      </c>
      <c r="L108" s="123">
        <f t="shared" si="26"/>
        <v>7</v>
      </c>
      <c r="M108" s="123">
        <f t="shared" si="26"/>
        <v>7</v>
      </c>
      <c r="N108" s="123">
        <f t="shared" si="26"/>
        <v>7</v>
      </c>
      <c r="O108" s="123">
        <f t="shared" si="26"/>
        <v>7</v>
      </c>
      <c r="P108" s="123">
        <f t="shared" si="26"/>
        <v>7</v>
      </c>
      <c r="Q108" s="123">
        <f t="shared" si="26"/>
        <v>7</v>
      </c>
      <c r="R108" s="123">
        <f t="shared" si="26"/>
        <v>7</v>
      </c>
      <c r="S108" s="123">
        <f t="shared" si="26"/>
        <v>7</v>
      </c>
      <c r="T108" s="123">
        <f t="shared" si="27"/>
        <v>7</v>
      </c>
      <c r="U108" s="123">
        <f t="shared" si="27"/>
        <v>7</v>
      </c>
      <c r="V108" s="123">
        <f t="shared" si="27"/>
        <v>7</v>
      </c>
      <c r="W108" s="123">
        <f t="shared" si="27"/>
        <v>7</v>
      </c>
      <c r="X108" s="123">
        <f t="shared" si="27"/>
        <v>7</v>
      </c>
      <c r="Y108" s="123">
        <f t="shared" si="27"/>
        <v>7</v>
      </c>
      <c r="Z108" s="123">
        <f t="shared" si="27"/>
        <v>7</v>
      </c>
      <c r="AA108" s="123">
        <f t="shared" si="27"/>
        <v>7</v>
      </c>
      <c r="AB108" s="123">
        <f t="shared" si="27"/>
        <v>7</v>
      </c>
      <c r="AC108" s="123">
        <f t="shared" si="27"/>
        <v>7</v>
      </c>
      <c r="AD108" s="123">
        <f t="shared" si="27"/>
        <v>7</v>
      </c>
      <c r="AE108" s="123">
        <f t="shared" si="27"/>
        <v>7</v>
      </c>
      <c r="AF108" s="123">
        <f t="shared" si="27"/>
        <v>7</v>
      </c>
      <c r="AG108" s="126">
        <v>9.4</v>
      </c>
      <c r="AH108" s="54"/>
      <c r="AI108" s="55"/>
      <c r="AK108" s="56"/>
    </row>
    <row r="109" spans="1:37" x14ac:dyDescent="0.25">
      <c r="A109" s="111" t="s">
        <v>113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4"/>
      <c r="AI109" s="55"/>
      <c r="AK109" s="56"/>
    </row>
    <row r="110" spans="1:37" x14ac:dyDescent="0.25">
      <c r="A110" s="111" t="s">
        <v>114</v>
      </c>
      <c r="B110" s="123">
        <f>AF110</f>
        <v>2.25</v>
      </c>
      <c r="C110" s="124">
        <v>2.25</v>
      </c>
      <c r="D110" s="123">
        <f t="shared" ref="D110:S111" si="28">C110</f>
        <v>2.25</v>
      </c>
      <c r="E110" s="123">
        <f t="shared" si="28"/>
        <v>2.25</v>
      </c>
      <c r="F110" s="123">
        <f t="shared" si="28"/>
        <v>2.25</v>
      </c>
      <c r="G110" s="123">
        <f t="shared" si="28"/>
        <v>2.25</v>
      </c>
      <c r="H110" s="123">
        <f t="shared" si="28"/>
        <v>2.25</v>
      </c>
      <c r="I110" s="123">
        <f t="shared" si="28"/>
        <v>2.25</v>
      </c>
      <c r="J110" s="123">
        <f t="shared" si="28"/>
        <v>2.25</v>
      </c>
      <c r="K110" s="123">
        <f t="shared" si="28"/>
        <v>2.25</v>
      </c>
      <c r="L110" s="123">
        <f t="shared" si="28"/>
        <v>2.25</v>
      </c>
      <c r="M110" s="123">
        <f t="shared" si="28"/>
        <v>2.25</v>
      </c>
      <c r="N110" s="123">
        <f t="shared" si="28"/>
        <v>2.25</v>
      </c>
      <c r="O110" s="123">
        <f t="shared" si="28"/>
        <v>2.25</v>
      </c>
      <c r="P110" s="123">
        <f t="shared" si="28"/>
        <v>2.25</v>
      </c>
      <c r="Q110" s="123">
        <f t="shared" si="28"/>
        <v>2.25</v>
      </c>
      <c r="R110" s="123">
        <f t="shared" si="28"/>
        <v>2.25</v>
      </c>
      <c r="S110" s="123">
        <f t="shared" si="28"/>
        <v>2.25</v>
      </c>
      <c r="T110" s="123">
        <f t="shared" ref="T110:AF111" si="29">S110</f>
        <v>2.25</v>
      </c>
      <c r="U110" s="123">
        <f t="shared" si="29"/>
        <v>2.25</v>
      </c>
      <c r="V110" s="123">
        <f t="shared" si="29"/>
        <v>2.25</v>
      </c>
      <c r="W110" s="123">
        <f t="shared" si="29"/>
        <v>2.25</v>
      </c>
      <c r="X110" s="123">
        <f t="shared" si="29"/>
        <v>2.25</v>
      </c>
      <c r="Y110" s="123">
        <f t="shared" si="29"/>
        <v>2.25</v>
      </c>
      <c r="Z110" s="123">
        <f t="shared" si="29"/>
        <v>2.25</v>
      </c>
      <c r="AA110" s="123">
        <f t="shared" si="29"/>
        <v>2.25</v>
      </c>
      <c r="AB110" s="123">
        <f t="shared" si="29"/>
        <v>2.25</v>
      </c>
      <c r="AC110" s="123">
        <f t="shared" si="29"/>
        <v>2.25</v>
      </c>
      <c r="AD110" s="123">
        <f t="shared" si="29"/>
        <v>2.25</v>
      </c>
      <c r="AE110" s="123">
        <f t="shared" si="29"/>
        <v>2.25</v>
      </c>
      <c r="AF110" s="123">
        <f t="shared" si="29"/>
        <v>2.25</v>
      </c>
      <c r="AG110" s="126">
        <v>8.5</v>
      </c>
      <c r="AH110" s="54"/>
      <c r="AI110" s="55"/>
      <c r="AK110" s="56"/>
    </row>
    <row r="111" spans="1:37" x14ac:dyDescent="0.25">
      <c r="A111" s="111" t="s">
        <v>115</v>
      </c>
      <c r="B111" s="123">
        <f>AF111</f>
        <v>1.64</v>
      </c>
      <c r="C111" s="124">
        <v>1.64</v>
      </c>
      <c r="D111" s="123">
        <f t="shared" si="28"/>
        <v>1.64</v>
      </c>
      <c r="E111" s="123">
        <f t="shared" si="28"/>
        <v>1.64</v>
      </c>
      <c r="F111" s="123">
        <f t="shared" si="28"/>
        <v>1.64</v>
      </c>
      <c r="G111" s="123">
        <f t="shared" si="28"/>
        <v>1.64</v>
      </c>
      <c r="H111" s="123">
        <f t="shared" si="28"/>
        <v>1.64</v>
      </c>
      <c r="I111" s="123">
        <f t="shared" si="28"/>
        <v>1.64</v>
      </c>
      <c r="J111" s="123">
        <f t="shared" si="28"/>
        <v>1.64</v>
      </c>
      <c r="K111" s="123">
        <f t="shared" si="28"/>
        <v>1.64</v>
      </c>
      <c r="L111" s="123">
        <f t="shared" si="28"/>
        <v>1.64</v>
      </c>
      <c r="M111" s="123">
        <f t="shared" si="28"/>
        <v>1.64</v>
      </c>
      <c r="N111" s="123">
        <f t="shared" si="28"/>
        <v>1.64</v>
      </c>
      <c r="O111" s="123">
        <f t="shared" si="28"/>
        <v>1.64</v>
      </c>
      <c r="P111" s="123">
        <f t="shared" si="28"/>
        <v>1.64</v>
      </c>
      <c r="Q111" s="123">
        <f t="shared" si="28"/>
        <v>1.64</v>
      </c>
      <c r="R111" s="123">
        <f t="shared" si="28"/>
        <v>1.64</v>
      </c>
      <c r="S111" s="123">
        <f t="shared" si="28"/>
        <v>1.64</v>
      </c>
      <c r="T111" s="123">
        <f t="shared" si="29"/>
        <v>1.64</v>
      </c>
      <c r="U111" s="123">
        <f t="shared" si="29"/>
        <v>1.64</v>
      </c>
      <c r="V111" s="123">
        <f t="shared" si="29"/>
        <v>1.64</v>
      </c>
      <c r="W111" s="123">
        <f t="shared" si="29"/>
        <v>1.64</v>
      </c>
      <c r="X111" s="123">
        <f t="shared" si="29"/>
        <v>1.64</v>
      </c>
      <c r="Y111" s="123">
        <f t="shared" si="29"/>
        <v>1.64</v>
      </c>
      <c r="Z111" s="123">
        <f t="shared" si="29"/>
        <v>1.64</v>
      </c>
      <c r="AA111" s="123">
        <f t="shared" si="29"/>
        <v>1.64</v>
      </c>
      <c r="AB111" s="123">
        <f t="shared" si="29"/>
        <v>1.64</v>
      </c>
      <c r="AC111" s="123">
        <f t="shared" si="29"/>
        <v>1.64</v>
      </c>
      <c r="AD111" s="123">
        <f t="shared" si="29"/>
        <v>1.64</v>
      </c>
      <c r="AE111" s="123">
        <f t="shared" si="29"/>
        <v>1.64</v>
      </c>
      <c r="AF111" s="123">
        <f t="shared" si="29"/>
        <v>1.64</v>
      </c>
      <c r="AG111" s="126">
        <v>8.5</v>
      </c>
      <c r="AH111" s="54"/>
      <c r="AI111" s="55"/>
      <c r="AK111" s="56"/>
    </row>
    <row r="112" spans="1:37" x14ac:dyDescent="0.25">
      <c r="A112" s="111" t="s">
        <v>116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4"/>
      <c r="AI112" s="55"/>
      <c r="AK112" s="56"/>
    </row>
    <row r="113" spans="1:37" ht="13.5" customHeight="1" x14ac:dyDescent="0.25">
      <c r="A113" s="111" t="s">
        <v>117</v>
      </c>
      <c r="B113" s="123">
        <f t="shared" ref="B113:B130" si="30">AF113</f>
        <v>1.62</v>
      </c>
      <c r="C113" s="124">
        <v>1.62</v>
      </c>
      <c r="D113" s="123">
        <f t="shared" ref="D113:S120" si="31">C113</f>
        <v>1.62</v>
      </c>
      <c r="E113" s="123">
        <f t="shared" si="31"/>
        <v>1.62</v>
      </c>
      <c r="F113" s="123">
        <f t="shared" si="31"/>
        <v>1.62</v>
      </c>
      <c r="G113" s="123">
        <f t="shared" si="31"/>
        <v>1.62</v>
      </c>
      <c r="H113" s="123">
        <f t="shared" si="31"/>
        <v>1.62</v>
      </c>
      <c r="I113" s="123">
        <f t="shared" si="31"/>
        <v>1.62</v>
      </c>
      <c r="J113" s="123">
        <f t="shared" si="31"/>
        <v>1.62</v>
      </c>
      <c r="K113" s="123">
        <f t="shared" si="31"/>
        <v>1.62</v>
      </c>
      <c r="L113" s="123">
        <f t="shared" si="31"/>
        <v>1.62</v>
      </c>
      <c r="M113" s="123">
        <f t="shared" si="31"/>
        <v>1.62</v>
      </c>
      <c r="N113" s="123">
        <f t="shared" si="31"/>
        <v>1.62</v>
      </c>
      <c r="O113" s="123">
        <f t="shared" si="31"/>
        <v>1.62</v>
      </c>
      <c r="P113" s="123">
        <f t="shared" si="31"/>
        <v>1.62</v>
      </c>
      <c r="Q113" s="123">
        <f t="shared" si="31"/>
        <v>1.62</v>
      </c>
      <c r="R113" s="123">
        <f t="shared" si="31"/>
        <v>1.62</v>
      </c>
      <c r="S113" s="123">
        <f t="shared" si="31"/>
        <v>1.62</v>
      </c>
      <c r="T113" s="123">
        <f t="shared" ref="T113:AF128" si="32">S113</f>
        <v>1.62</v>
      </c>
      <c r="U113" s="123">
        <f t="shared" si="32"/>
        <v>1.62</v>
      </c>
      <c r="V113" s="123">
        <f t="shared" si="32"/>
        <v>1.62</v>
      </c>
      <c r="W113" s="123">
        <f t="shared" si="32"/>
        <v>1.62</v>
      </c>
      <c r="X113" s="123">
        <f t="shared" si="32"/>
        <v>1.62</v>
      </c>
      <c r="Y113" s="123">
        <f t="shared" si="32"/>
        <v>1.62</v>
      </c>
      <c r="Z113" s="123">
        <f t="shared" si="32"/>
        <v>1.62</v>
      </c>
      <c r="AA113" s="123">
        <f t="shared" si="32"/>
        <v>1.62</v>
      </c>
      <c r="AB113" s="123">
        <f t="shared" si="32"/>
        <v>1.62</v>
      </c>
      <c r="AC113" s="123">
        <f t="shared" si="32"/>
        <v>1.62</v>
      </c>
      <c r="AD113" s="123">
        <f t="shared" si="32"/>
        <v>1.62</v>
      </c>
      <c r="AE113" s="123">
        <f t="shared" si="32"/>
        <v>1.62</v>
      </c>
      <c r="AF113" s="123">
        <f t="shared" si="32"/>
        <v>1.62</v>
      </c>
      <c r="AG113" s="126">
        <v>8</v>
      </c>
      <c r="AH113" s="54"/>
      <c r="AI113" s="55"/>
      <c r="AK113" s="56"/>
    </row>
    <row r="114" spans="1:37" x14ac:dyDescent="0.25">
      <c r="A114" s="111" t="s">
        <v>118</v>
      </c>
      <c r="B114" s="123">
        <f t="shared" si="30"/>
        <v>8.36</v>
      </c>
      <c r="C114" s="124">
        <v>8.36</v>
      </c>
      <c r="D114" s="123">
        <f t="shared" si="31"/>
        <v>8.36</v>
      </c>
      <c r="E114" s="123">
        <f t="shared" si="31"/>
        <v>8.36</v>
      </c>
      <c r="F114" s="123">
        <f t="shared" si="31"/>
        <v>8.36</v>
      </c>
      <c r="G114" s="123">
        <f t="shared" si="31"/>
        <v>8.36</v>
      </c>
      <c r="H114" s="123">
        <f t="shared" si="31"/>
        <v>8.36</v>
      </c>
      <c r="I114" s="123">
        <f t="shared" si="31"/>
        <v>8.36</v>
      </c>
      <c r="J114" s="123">
        <f t="shared" si="31"/>
        <v>8.36</v>
      </c>
      <c r="K114" s="123">
        <f t="shared" si="31"/>
        <v>8.36</v>
      </c>
      <c r="L114" s="123">
        <f t="shared" si="31"/>
        <v>8.36</v>
      </c>
      <c r="M114" s="123">
        <f t="shared" si="31"/>
        <v>8.36</v>
      </c>
      <c r="N114" s="123">
        <f t="shared" si="31"/>
        <v>8.36</v>
      </c>
      <c r="O114" s="123">
        <f t="shared" si="31"/>
        <v>8.36</v>
      </c>
      <c r="P114" s="123">
        <f t="shared" si="31"/>
        <v>8.36</v>
      </c>
      <c r="Q114" s="123">
        <f t="shared" si="31"/>
        <v>8.36</v>
      </c>
      <c r="R114" s="123">
        <f t="shared" si="31"/>
        <v>8.36</v>
      </c>
      <c r="S114" s="123">
        <f t="shared" si="31"/>
        <v>8.36</v>
      </c>
      <c r="T114" s="123">
        <f t="shared" si="32"/>
        <v>8.36</v>
      </c>
      <c r="U114" s="123">
        <f t="shared" si="32"/>
        <v>8.36</v>
      </c>
      <c r="V114" s="123">
        <f t="shared" si="32"/>
        <v>8.36</v>
      </c>
      <c r="W114" s="123">
        <f t="shared" si="32"/>
        <v>8.36</v>
      </c>
      <c r="X114" s="123">
        <f t="shared" si="32"/>
        <v>8.36</v>
      </c>
      <c r="Y114" s="123">
        <f t="shared" si="32"/>
        <v>8.36</v>
      </c>
      <c r="Z114" s="123">
        <f t="shared" si="32"/>
        <v>8.36</v>
      </c>
      <c r="AA114" s="123">
        <f t="shared" si="32"/>
        <v>8.36</v>
      </c>
      <c r="AB114" s="123">
        <f t="shared" si="32"/>
        <v>8.36</v>
      </c>
      <c r="AC114" s="123">
        <f t="shared" si="32"/>
        <v>8.36</v>
      </c>
      <c r="AD114" s="123">
        <f t="shared" si="32"/>
        <v>8.36</v>
      </c>
      <c r="AE114" s="123">
        <f t="shared" si="32"/>
        <v>8.36</v>
      </c>
      <c r="AF114" s="123">
        <f t="shared" si="32"/>
        <v>8.36</v>
      </c>
      <c r="AG114" s="126">
        <v>8</v>
      </c>
      <c r="AH114" s="54"/>
      <c r="AI114" s="55"/>
      <c r="AK114" s="56"/>
    </row>
    <row r="115" spans="1:37" x14ac:dyDescent="0.25">
      <c r="A115" s="111" t="s">
        <v>119</v>
      </c>
      <c r="B115" s="123">
        <f t="shared" si="30"/>
        <v>5.4</v>
      </c>
      <c r="C115" s="124">
        <v>8</v>
      </c>
      <c r="D115" s="123">
        <f t="shared" si="31"/>
        <v>8</v>
      </c>
      <c r="E115" s="123">
        <f t="shared" si="31"/>
        <v>8</v>
      </c>
      <c r="F115" s="123">
        <f t="shared" si="31"/>
        <v>8</v>
      </c>
      <c r="G115" s="123">
        <f t="shared" si="31"/>
        <v>8</v>
      </c>
      <c r="H115" s="123">
        <f t="shared" si="31"/>
        <v>8</v>
      </c>
      <c r="I115" s="123">
        <f t="shared" si="31"/>
        <v>8</v>
      </c>
      <c r="J115" s="123">
        <v>5.4</v>
      </c>
      <c r="K115" s="123">
        <f t="shared" si="31"/>
        <v>5.4</v>
      </c>
      <c r="L115" s="123">
        <f t="shared" si="31"/>
        <v>5.4</v>
      </c>
      <c r="M115" s="123">
        <f t="shared" si="31"/>
        <v>5.4</v>
      </c>
      <c r="N115" s="123">
        <f t="shared" si="31"/>
        <v>5.4</v>
      </c>
      <c r="O115" s="123">
        <f t="shared" si="31"/>
        <v>5.4</v>
      </c>
      <c r="P115" s="123">
        <f t="shared" si="31"/>
        <v>5.4</v>
      </c>
      <c r="Q115" s="123">
        <f t="shared" si="31"/>
        <v>5.4</v>
      </c>
      <c r="R115" s="123">
        <f t="shared" si="31"/>
        <v>5.4</v>
      </c>
      <c r="S115" s="123">
        <f t="shared" si="31"/>
        <v>5.4</v>
      </c>
      <c r="T115" s="123">
        <f t="shared" si="32"/>
        <v>5.4</v>
      </c>
      <c r="U115" s="123">
        <f t="shared" si="32"/>
        <v>5.4</v>
      </c>
      <c r="V115" s="123">
        <f t="shared" si="32"/>
        <v>5.4</v>
      </c>
      <c r="W115" s="123">
        <f t="shared" si="32"/>
        <v>5.4</v>
      </c>
      <c r="X115" s="123">
        <f t="shared" si="32"/>
        <v>5.4</v>
      </c>
      <c r="Y115" s="123">
        <f t="shared" si="32"/>
        <v>5.4</v>
      </c>
      <c r="Z115" s="123">
        <f t="shared" si="32"/>
        <v>5.4</v>
      </c>
      <c r="AA115" s="123">
        <f t="shared" si="32"/>
        <v>5.4</v>
      </c>
      <c r="AB115" s="123">
        <f t="shared" si="32"/>
        <v>5.4</v>
      </c>
      <c r="AC115" s="123">
        <f t="shared" si="32"/>
        <v>5.4</v>
      </c>
      <c r="AD115" s="123">
        <f t="shared" si="32"/>
        <v>5.4</v>
      </c>
      <c r="AE115" s="123">
        <f t="shared" si="32"/>
        <v>5.4</v>
      </c>
      <c r="AF115" s="123">
        <f t="shared" si="32"/>
        <v>5.4</v>
      </c>
      <c r="AG115" s="126">
        <v>8</v>
      </c>
      <c r="AH115" s="54"/>
      <c r="AI115" s="55"/>
      <c r="AK115" s="56"/>
    </row>
    <row r="116" spans="1:37" x14ac:dyDescent="0.25">
      <c r="A116" s="111" t="s">
        <v>120</v>
      </c>
      <c r="B116" s="123">
        <f t="shared" si="30"/>
        <v>6.57</v>
      </c>
      <c r="C116" s="124">
        <v>6.57</v>
      </c>
      <c r="D116" s="123">
        <f t="shared" si="31"/>
        <v>6.57</v>
      </c>
      <c r="E116" s="123">
        <f t="shared" si="31"/>
        <v>6.57</v>
      </c>
      <c r="F116" s="123">
        <f t="shared" si="31"/>
        <v>6.57</v>
      </c>
      <c r="G116" s="123">
        <f t="shared" si="31"/>
        <v>6.57</v>
      </c>
      <c r="H116" s="123">
        <f t="shared" si="31"/>
        <v>6.57</v>
      </c>
      <c r="I116" s="123">
        <f t="shared" si="31"/>
        <v>6.57</v>
      </c>
      <c r="J116" s="123">
        <f t="shared" si="31"/>
        <v>6.57</v>
      </c>
      <c r="K116" s="123">
        <f t="shared" si="31"/>
        <v>6.57</v>
      </c>
      <c r="L116" s="123">
        <f t="shared" si="31"/>
        <v>6.57</v>
      </c>
      <c r="M116" s="123">
        <f t="shared" si="31"/>
        <v>6.57</v>
      </c>
      <c r="N116" s="123">
        <f t="shared" si="31"/>
        <v>6.57</v>
      </c>
      <c r="O116" s="123">
        <f t="shared" si="31"/>
        <v>6.57</v>
      </c>
      <c r="P116" s="123">
        <f t="shared" si="31"/>
        <v>6.57</v>
      </c>
      <c r="Q116" s="123">
        <f t="shared" si="31"/>
        <v>6.57</v>
      </c>
      <c r="R116" s="123">
        <f t="shared" si="31"/>
        <v>6.57</v>
      </c>
      <c r="S116" s="123">
        <f t="shared" si="31"/>
        <v>6.57</v>
      </c>
      <c r="T116" s="123">
        <f t="shared" si="32"/>
        <v>6.57</v>
      </c>
      <c r="U116" s="123">
        <f t="shared" si="32"/>
        <v>6.57</v>
      </c>
      <c r="V116" s="123">
        <f t="shared" si="32"/>
        <v>6.57</v>
      </c>
      <c r="W116" s="123">
        <f t="shared" si="32"/>
        <v>6.57</v>
      </c>
      <c r="X116" s="123">
        <f t="shared" si="32"/>
        <v>6.57</v>
      </c>
      <c r="Y116" s="123">
        <f t="shared" si="32"/>
        <v>6.57</v>
      </c>
      <c r="Z116" s="123">
        <f t="shared" si="32"/>
        <v>6.57</v>
      </c>
      <c r="AA116" s="123">
        <f t="shared" si="32"/>
        <v>6.57</v>
      </c>
      <c r="AB116" s="123">
        <f t="shared" si="32"/>
        <v>6.57</v>
      </c>
      <c r="AC116" s="123">
        <f t="shared" si="32"/>
        <v>6.57</v>
      </c>
      <c r="AD116" s="123">
        <f t="shared" si="32"/>
        <v>6.57</v>
      </c>
      <c r="AE116" s="123">
        <f t="shared" si="32"/>
        <v>6.57</v>
      </c>
      <c r="AF116" s="123">
        <f t="shared" si="32"/>
        <v>6.57</v>
      </c>
      <c r="AG116" s="126">
        <v>7.8</v>
      </c>
      <c r="AH116" s="54"/>
      <c r="AI116" s="55"/>
      <c r="AK116" s="56"/>
    </row>
    <row r="117" spans="1:37" x14ac:dyDescent="0.25">
      <c r="A117" s="111" t="s">
        <v>121</v>
      </c>
      <c r="B117" s="123">
        <f t="shared" si="30"/>
        <v>3.43</v>
      </c>
      <c r="C117" s="124">
        <v>3.43</v>
      </c>
      <c r="D117" s="123">
        <f t="shared" si="31"/>
        <v>3.43</v>
      </c>
      <c r="E117" s="123">
        <f t="shared" si="31"/>
        <v>3.43</v>
      </c>
      <c r="F117" s="123">
        <f t="shared" si="31"/>
        <v>3.43</v>
      </c>
      <c r="G117" s="123">
        <f t="shared" si="31"/>
        <v>3.43</v>
      </c>
      <c r="H117" s="123">
        <f t="shared" si="31"/>
        <v>3.43</v>
      </c>
      <c r="I117" s="123">
        <f t="shared" si="31"/>
        <v>3.43</v>
      </c>
      <c r="J117" s="123">
        <f t="shared" si="31"/>
        <v>3.43</v>
      </c>
      <c r="K117" s="123">
        <f t="shared" si="31"/>
        <v>3.43</v>
      </c>
      <c r="L117" s="123">
        <f t="shared" si="31"/>
        <v>3.43</v>
      </c>
      <c r="M117" s="123">
        <f t="shared" si="31"/>
        <v>3.43</v>
      </c>
      <c r="N117" s="123">
        <f t="shared" si="31"/>
        <v>3.43</v>
      </c>
      <c r="O117" s="123">
        <f t="shared" si="31"/>
        <v>3.43</v>
      </c>
      <c r="P117" s="123">
        <f t="shared" si="31"/>
        <v>3.43</v>
      </c>
      <c r="Q117" s="123">
        <f t="shared" si="31"/>
        <v>3.43</v>
      </c>
      <c r="R117" s="123">
        <f t="shared" si="31"/>
        <v>3.43</v>
      </c>
      <c r="S117" s="123">
        <f t="shared" si="31"/>
        <v>3.43</v>
      </c>
      <c r="T117" s="123">
        <f t="shared" si="32"/>
        <v>3.43</v>
      </c>
      <c r="U117" s="123">
        <f t="shared" si="32"/>
        <v>3.43</v>
      </c>
      <c r="V117" s="123">
        <f t="shared" si="32"/>
        <v>3.43</v>
      </c>
      <c r="W117" s="123">
        <f t="shared" si="32"/>
        <v>3.43</v>
      </c>
      <c r="X117" s="123">
        <f t="shared" si="32"/>
        <v>3.43</v>
      </c>
      <c r="Y117" s="123">
        <f t="shared" si="32"/>
        <v>3.43</v>
      </c>
      <c r="Z117" s="123">
        <f t="shared" si="32"/>
        <v>3.43</v>
      </c>
      <c r="AA117" s="123">
        <f t="shared" si="32"/>
        <v>3.43</v>
      </c>
      <c r="AB117" s="123">
        <f t="shared" si="32"/>
        <v>3.43</v>
      </c>
      <c r="AC117" s="123">
        <f t="shared" si="32"/>
        <v>3.43</v>
      </c>
      <c r="AD117" s="123">
        <f t="shared" si="32"/>
        <v>3.43</v>
      </c>
      <c r="AE117" s="123">
        <f t="shared" si="32"/>
        <v>3.43</v>
      </c>
      <c r="AF117" s="123">
        <f t="shared" si="32"/>
        <v>3.43</v>
      </c>
      <c r="AG117" s="126">
        <v>7.6</v>
      </c>
      <c r="AH117" s="54"/>
      <c r="AI117" s="55"/>
      <c r="AK117" s="56"/>
    </row>
    <row r="118" spans="1:37" x14ac:dyDescent="0.25">
      <c r="A118" s="111" t="s">
        <v>122</v>
      </c>
      <c r="B118" s="123">
        <f t="shared" si="30"/>
        <v>2.96</v>
      </c>
      <c r="C118" s="124">
        <v>2.96</v>
      </c>
      <c r="D118" s="123">
        <f t="shared" si="31"/>
        <v>2.96</v>
      </c>
      <c r="E118" s="123">
        <f t="shared" si="31"/>
        <v>2.96</v>
      </c>
      <c r="F118" s="123">
        <f t="shared" si="31"/>
        <v>2.96</v>
      </c>
      <c r="G118" s="123">
        <f t="shared" si="31"/>
        <v>2.96</v>
      </c>
      <c r="H118" s="123">
        <f t="shared" si="31"/>
        <v>2.96</v>
      </c>
      <c r="I118" s="123">
        <f t="shared" si="31"/>
        <v>2.96</v>
      </c>
      <c r="J118" s="123">
        <f t="shared" si="31"/>
        <v>2.96</v>
      </c>
      <c r="K118" s="123">
        <f t="shared" si="31"/>
        <v>2.96</v>
      </c>
      <c r="L118" s="123">
        <f t="shared" si="31"/>
        <v>2.96</v>
      </c>
      <c r="M118" s="123">
        <f t="shared" si="31"/>
        <v>2.96</v>
      </c>
      <c r="N118" s="123">
        <f t="shared" si="31"/>
        <v>2.96</v>
      </c>
      <c r="O118" s="123">
        <f t="shared" si="31"/>
        <v>2.96</v>
      </c>
      <c r="P118" s="123">
        <f t="shared" si="31"/>
        <v>2.96</v>
      </c>
      <c r="Q118" s="123">
        <f t="shared" si="31"/>
        <v>2.96</v>
      </c>
      <c r="R118" s="123">
        <f t="shared" si="31"/>
        <v>2.96</v>
      </c>
      <c r="S118" s="123">
        <f t="shared" si="31"/>
        <v>2.96</v>
      </c>
      <c r="T118" s="123">
        <f t="shared" si="32"/>
        <v>2.96</v>
      </c>
      <c r="U118" s="123">
        <f t="shared" si="32"/>
        <v>2.96</v>
      </c>
      <c r="V118" s="123">
        <f t="shared" si="32"/>
        <v>2.96</v>
      </c>
      <c r="W118" s="123">
        <f t="shared" si="32"/>
        <v>2.96</v>
      </c>
      <c r="X118" s="123">
        <f t="shared" si="32"/>
        <v>2.96</v>
      </c>
      <c r="Y118" s="123">
        <f t="shared" si="32"/>
        <v>2.96</v>
      </c>
      <c r="Z118" s="123">
        <f t="shared" si="32"/>
        <v>2.96</v>
      </c>
      <c r="AA118" s="123">
        <f t="shared" si="32"/>
        <v>2.96</v>
      </c>
      <c r="AB118" s="123">
        <f t="shared" si="32"/>
        <v>2.96</v>
      </c>
      <c r="AC118" s="123">
        <f t="shared" si="32"/>
        <v>2.96</v>
      </c>
      <c r="AD118" s="123">
        <f t="shared" si="32"/>
        <v>2.96</v>
      </c>
      <c r="AE118" s="123">
        <f t="shared" si="32"/>
        <v>2.96</v>
      </c>
      <c r="AF118" s="123">
        <f t="shared" si="32"/>
        <v>2.96</v>
      </c>
      <c r="AG118" s="126">
        <v>7.5</v>
      </c>
      <c r="AH118" s="54"/>
      <c r="AI118" s="55"/>
      <c r="AK118" s="56"/>
    </row>
    <row r="119" spans="1:37" x14ac:dyDescent="0.25">
      <c r="A119" s="111" t="s">
        <v>123</v>
      </c>
      <c r="B119" s="123">
        <f t="shared" si="30"/>
        <v>8</v>
      </c>
      <c r="C119" s="124">
        <v>8</v>
      </c>
      <c r="D119" s="123">
        <f t="shared" si="31"/>
        <v>8</v>
      </c>
      <c r="E119" s="123">
        <f t="shared" si="31"/>
        <v>8</v>
      </c>
      <c r="F119" s="123">
        <f t="shared" si="31"/>
        <v>8</v>
      </c>
      <c r="G119" s="123">
        <f t="shared" si="31"/>
        <v>8</v>
      </c>
      <c r="H119" s="123">
        <f t="shared" si="31"/>
        <v>8</v>
      </c>
      <c r="I119" s="123">
        <f t="shared" si="31"/>
        <v>8</v>
      </c>
      <c r="J119" s="123">
        <f t="shared" si="31"/>
        <v>8</v>
      </c>
      <c r="K119" s="123">
        <f t="shared" si="31"/>
        <v>8</v>
      </c>
      <c r="L119" s="123">
        <f t="shared" si="31"/>
        <v>8</v>
      </c>
      <c r="M119" s="123">
        <f t="shared" si="31"/>
        <v>8</v>
      </c>
      <c r="N119" s="123">
        <f t="shared" si="31"/>
        <v>8</v>
      </c>
      <c r="O119" s="123">
        <f t="shared" si="31"/>
        <v>8</v>
      </c>
      <c r="P119" s="123">
        <f t="shared" si="31"/>
        <v>8</v>
      </c>
      <c r="Q119" s="123">
        <f t="shared" si="31"/>
        <v>8</v>
      </c>
      <c r="R119" s="123">
        <f t="shared" si="31"/>
        <v>8</v>
      </c>
      <c r="S119" s="123">
        <f t="shared" si="31"/>
        <v>8</v>
      </c>
      <c r="T119" s="123">
        <f t="shared" si="32"/>
        <v>8</v>
      </c>
      <c r="U119" s="123">
        <f t="shared" si="32"/>
        <v>8</v>
      </c>
      <c r="V119" s="123">
        <f t="shared" si="32"/>
        <v>8</v>
      </c>
      <c r="W119" s="123">
        <f t="shared" si="32"/>
        <v>8</v>
      </c>
      <c r="X119" s="123">
        <f t="shared" si="32"/>
        <v>8</v>
      </c>
      <c r="Y119" s="123">
        <f t="shared" si="32"/>
        <v>8</v>
      </c>
      <c r="Z119" s="123">
        <f t="shared" si="32"/>
        <v>8</v>
      </c>
      <c r="AA119" s="123">
        <f t="shared" si="32"/>
        <v>8</v>
      </c>
      <c r="AB119" s="123">
        <f t="shared" si="32"/>
        <v>8</v>
      </c>
      <c r="AC119" s="123">
        <f t="shared" si="32"/>
        <v>8</v>
      </c>
      <c r="AD119" s="123">
        <f t="shared" si="32"/>
        <v>8</v>
      </c>
      <c r="AE119" s="123">
        <f t="shared" si="32"/>
        <v>8</v>
      </c>
      <c r="AF119" s="123">
        <f t="shared" si="32"/>
        <v>8</v>
      </c>
      <c r="AG119" s="126">
        <v>7.5</v>
      </c>
      <c r="AH119" s="54"/>
      <c r="AI119" s="55"/>
      <c r="AK119" s="56"/>
    </row>
    <row r="120" spans="1:37" x14ac:dyDescent="0.25">
      <c r="A120" s="111" t="s">
        <v>124</v>
      </c>
      <c r="B120" s="123">
        <f t="shared" si="30"/>
        <v>7</v>
      </c>
      <c r="C120" s="124">
        <v>7</v>
      </c>
      <c r="D120" s="123">
        <f>C120</f>
        <v>7</v>
      </c>
      <c r="E120" s="123">
        <f t="shared" si="31"/>
        <v>7</v>
      </c>
      <c r="F120" s="123">
        <f t="shared" si="31"/>
        <v>7</v>
      </c>
      <c r="G120" s="123">
        <f t="shared" si="31"/>
        <v>7</v>
      </c>
      <c r="H120" s="123">
        <f t="shared" si="31"/>
        <v>7</v>
      </c>
      <c r="I120" s="123">
        <f t="shared" si="31"/>
        <v>7</v>
      </c>
      <c r="J120" s="123">
        <f t="shared" si="31"/>
        <v>7</v>
      </c>
      <c r="K120" s="123">
        <f t="shared" si="31"/>
        <v>7</v>
      </c>
      <c r="L120" s="123">
        <f t="shared" si="31"/>
        <v>7</v>
      </c>
      <c r="M120" s="123">
        <f t="shared" si="31"/>
        <v>7</v>
      </c>
      <c r="N120" s="123">
        <f t="shared" si="31"/>
        <v>7</v>
      </c>
      <c r="O120" s="123">
        <f t="shared" si="31"/>
        <v>7</v>
      </c>
      <c r="P120" s="123">
        <f t="shared" si="31"/>
        <v>7</v>
      </c>
      <c r="Q120" s="123">
        <f t="shared" si="31"/>
        <v>7</v>
      </c>
      <c r="R120" s="123">
        <f t="shared" si="31"/>
        <v>7</v>
      </c>
      <c r="S120" s="123">
        <f t="shared" si="31"/>
        <v>7</v>
      </c>
      <c r="T120" s="123">
        <f t="shared" si="32"/>
        <v>7</v>
      </c>
      <c r="U120" s="123">
        <f t="shared" si="32"/>
        <v>7</v>
      </c>
      <c r="V120" s="123">
        <f t="shared" si="32"/>
        <v>7</v>
      </c>
      <c r="W120" s="123">
        <f t="shared" si="32"/>
        <v>7</v>
      </c>
      <c r="X120" s="123">
        <f t="shared" si="32"/>
        <v>7</v>
      </c>
      <c r="Y120" s="123">
        <f t="shared" si="32"/>
        <v>7</v>
      </c>
      <c r="Z120" s="123">
        <f t="shared" si="32"/>
        <v>7</v>
      </c>
      <c r="AA120" s="123">
        <f t="shared" si="32"/>
        <v>7</v>
      </c>
      <c r="AB120" s="123">
        <f t="shared" si="32"/>
        <v>7</v>
      </c>
      <c r="AC120" s="123">
        <f t="shared" si="32"/>
        <v>7</v>
      </c>
      <c r="AD120" s="123">
        <f t="shared" si="32"/>
        <v>7</v>
      </c>
      <c r="AE120" s="123">
        <f t="shared" si="32"/>
        <v>7</v>
      </c>
      <c r="AF120" s="123">
        <f t="shared" si="32"/>
        <v>7</v>
      </c>
      <c r="AG120" s="126">
        <v>7</v>
      </c>
      <c r="AH120" s="54"/>
      <c r="AI120" s="55"/>
      <c r="AK120" s="56"/>
    </row>
    <row r="121" spans="1:37" x14ac:dyDescent="0.25">
      <c r="A121" s="111" t="s">
        <v>125</v>
      </c>
      <c r="B121" s="123">
        <f t="shared" si="30"/>
        <v>3.47</v>
      </c>
      <c r="C121" s="124">
        <v>3.47</v>
      </c>
      <c r="D121" s="123">
        <f t="shared" ref="D121:S130" si="33">C121</f>
        <v>3.47</v>
      </c>
      <c r="E121" s="123">
        <f t="shared" si="33"/>
        <v>3.47</v>
      </c>
      <c r="F121" s="123">
        <f t="shared" si="33"/>
        <v>3.47</v>
      </c>
      <c r="G121" s="123">
        <f t="shared" si="33"/>
        <v>3.47</v>
      </c>
      <c r="H121" s="123">
        <f t="shared" si="33"/>
        <v>3.47</v>
      </c>
      <c r="I121" s="123">
        <f t="shared" si="33"/>
        <v>3.47</v>
      </c>
      <c r="J121" s="123">
        <f t="shared" si="33"/>
        <v>3.47</v>
      </c>
      <c r="K121" s="123">
        <f t="shared" si="33"/>
        <v>3.47</v>
      </c>
      <c r="L121" s="123">
        <f t="shared" si="33"/>
        <v>3.47</v>
      </c>
      <c r="M121" s="123">
        <f t="shared" si="33"/>
        <v>3.47</v>
      </c>
      <c r="N121" s="123">
        <f t="shared" si="33"/>
        <v>3.47</v>
      </c>
      <c r="O121" s="123">
        <f t="shared" si="33"/>
        <v>3.47</v>
      </c>
      <c r="P121" s="123">
        <f t="shared" si="33"/>
        <v>3.47</v>
      </c>
      <c r="Q121" s="123">
        <f t="shared" si="33"/>
        <v>3.47</v>
      </c>
      <c r="R121" s="123">
        <f t="shared" si="33"/>
        <v>3.47</v>
      </c>
      <c r="S121" s="123">
        <f t="shared" si="33"/>
        <v>3.47</v>
      </c>
      <c r="T121" s="123">
        <f t="shared" si="32"/>
        <v>3.47</v>
      </c>
      <c r="U121" s="123">
        <f t="shared" si="32"/>
        <v>3.47</v>
      </c>
      <c r="V121" s="123">
        <f t="shared" si="32"/>
        <v>3.47</v>
      </c>
      <c r="W121" s="123">
        <f t="shared" si="32"/>
        <v>3.47</v>
      </c>
      <c r="X121" s="123">
        <f t="shared" si="32"/>
        <v>3.47</v>
      </c>
      <c r="Y121" s="123">
        <f t="shared" si="32"/>
        <v>3.47</v>
      </c>
      <c r="Z121" s="123">
        <f t="shared" si="32"/>
        <v>3.47</v>
      </c>
      <c r="AA121" s="123">
        <f t="shared" si="32"/>
        <v>3.47</v>
      </c>
      <c r="AB121" s="123">
        <f t="shared" si="32"/>
        <v>3.47</v>
      </c>
      <c r="AC121" s="123">
        <f t="shared" si="32"/>
        <v>3.47</v>
      </c>
      <c r="AD121" s="123">
        <f t="shared" si="32"/>
        <v>3.47</v>
      </c>
      <c r="AE121" s="123">
        <f t="shared" si="32"/>
        <v>3.47</v>
      </c>
      <c r="AF121" s="123">
        <f t="shared" si="32"/>
        <v>3.47</v>
      </c>
      <c r="AG121" s="126">
        <v>7</v>
      </c>
      <c r="AH121" s="54"/>
      <c r="AI121" s="55"/>
      <c r="AK121" s="56"/>
    </row>
    <row r="122" spans="1:37" x14ac:dyDescent="0.25">
      <c r="A122" s="111" t="s">
        <v>126</v>
      </c>
      <c r="B122" s="123">
        <f t="shared" si="30"/>
        <v>2.1</v>
      </c>
      <c r="C122" s="124">
        <v>2.1</v>
      </c>
      <c r="D122" s="123">
        <f t="shared" si="33"/>
        <v>2.1</v>
      </c>
      <c r="E122" s="123">
        <f t="shared" si="33"/>
        <v>2.1</v>
      </c>
      <c r="F122" s="123">
        <f t="shared" si="33"/>
        <v>2.1</v>
      </c>
      <c r="G122" s="123">
        <f t="shared" si="33"/>
        <v>2.1</v>
      </c>
      <c r="H122" s="123">
        <f t="shared" si="33"/>
        <v>2.1</v>
      </c>
      <c r="I122" s="123">
        <f t="shared" si="33"/>
        <v>2.1</v>
      </c>
      <c r="J122" s="123">
        <f t="shared" si="33"/>
        <v>2.1</v>
      </c>
      <c r="K122" s="123">
        <f t="shared" si="33"/>
        <v>2.1</v>
      </c>
      <c r="L122" s="123">
        <f t="shared" si="33"/>
        <v>2.1</v>
      </c>
      <c r="M122" s="123">
        <f t="shared" si="33"/>
        <v>2.1</v>
      </c>
      <c r="N122" s="123">
        <f t="shared" si="33"/>
        <v>2.1</v>
      </c>
      <c r="O122" s="123">
        <f t="shared" si="33"/>
        <v>2.1</v>
      </c>
      <c r="P122" s="123">
        <f t="shared" si="33"/>
        <v>2.1</v>
      </c>
      <c r="Q122" s="123">
        <f t="shared" si="33"/>
        <v>2.1</v>
      </c>
      <c r="R122" s="123">
        <f t="shared" si="33"/>
        <v>2.1</v>
      </c>
      <c r="S122" s="123">
        <f t="shared" si="33"/>
        <v>2.1</v>
      </c>
      <c r="T122" s="123">
        <f t="shared" si="32"/>
        <v>2.1</v>
      </c>
      <c r="U122" s="123">
        <f t="shared" si="32"/>
        <v>2.1</v>
      </c>
      <c r="V122" s="123">
        <f t="shared" si="32"/>
        <v>2.1</v>
      </c>
      <c r="W122" s="123">
        <f t="shared" si="32"/>
        <v>2.1</v>
      </c>
      <c r="X122" s="123">
        <f t="shared" si="32"/>
        <v>2.1</v>
      </c>
      <c r="Y122" s="123">
        <f t="shared" si="32"/>
        <v>2.1</v>
      </c>
      <c r="Z122" s="123">
        <f t="shared" si="32"/>
        <v>2.1</v>
      </c>
      <c r="AA122" s="123">
        <f t="shared" si="32"/>
        <v>2.1</v>
      </c>
      <c r="AB122" s="123">
        <f t="shared" si="32"/>
        <v>2.1</v>
      </c>
      <c r="AC122" s="123">
        <f t="shared" si="32"/>
        <v>2.1</v>
      </c>
      <c r="AD122" s="123">
        <f t="shared" si="32"/>
        <v>2.1</v>
      </c>
      <c r="AE122" s="123">
        <f t="shared" si="32"/>
        <v>2.1</v>
      </c>
      <c r="AF122" s="123">
        <f t="shared" si="32"/>
        <v>2.1</v>
      </c>
      <c r="AG122" s="126">
        <v>7</v>
      </c>
      <c r="AH122" s="54"/>
      <c r="AI122" s="55"/>
      <c r="AK122" s="56"/>
    </row>
    <row r="123" spans="1:37" x14ac:dyDescent="0.25">
      <c r="A123" s="111" t="s">
        <v>127</v>
      </c>
      <c r="B123" s="123">
        <f t="shared" si="30"/>
        <v>9.3000000000000007</v>
      </c>
      <c r="C123" s="124">
        <v>9.3000000000000007</v>
      </c>
      <c r="D123" s="123">
        <f t="shared" si="33"/>
        <v>9.3000000000000007</v>
      </c>
      <c r="E123" s="123">
        <f t="shared" si="33"/>
        <v>9.3000000000000007</v>
      </c>
      <c r="F123" s="123">
        <f t="shared" si="33"/>
        <v>9.3000000000000007</v>
      </c>
      <c r="G123" s="123">
        <f t="shared" si="33"/>
        <v>9.3000000000000007</v>
      </c>
      <c r="H123" s="123">
        <f t="shared" si="33"/>
        <v>9.3000000000000007</v>
      </c>
      <c r="I123" s="123">
        <f t="shared" si="33"/>
        <v>9.3000000000000007</v>
      </c>
      <c r="J123" s="123">
        <f t="shared" si="33"/>
        <v>9.3000000000000007</v>
      </c>
      <c r="K123" s="123">
        <f t="shared" si="33"/>
        <v>9.3000000000000007</v>
      </c>
      <c r="L123" s="123">
        <f t="shared" si="33"/>
        <v>9.3000000000000007</v>
      </c>
      <c r="M123" s="123">
        <f t="shared" si="33"/>
        <v>9.3000000000000007</v>
      </c>
      <c r="N123" s="123">
        <f t="shared" si="33"/>
        <v>9.3000000000000007</v>
      </c>
      <c r="O123" s="123">
        <f t="shared" si="33"/>
        <v>9.3000000000000007</v>
      </c>
      <c r="P123" s="123">
        <f t="shared" si="33"/>
        <v>9.3000000000000007</v>
      </c>
      <c r="Q123" s="123">
        <f t="shared" si="33"/>
        <v>9.3000000000000007</v>
      </c>
      <c r="R123" s="123">
        <f t="shared" si="33"/>
        <v>9.3000000000000007</v>
      </c>
      <c r="S123" s="123">
        <f t="shared" si="33"/>
        <v>9.3000000000000007</v>
      </c>
      <c r="T123" s="123">
        <f t="shared" si="32"/>
        <v>9.3000000000000007</v>
      </c>
      <c r="U123" s="123">
        <f t="shared" si="32"/>
        <v>9.3000000000000007</v>
      </c>
      <c r="V123" s="123">
        <f t="shared" si="32"/>
        <v>9.3000000000000007</v>
      </c>
      <c r="W123" s="123">
        <f t="shared" si="32"/>
        <v>9.3000000000000007</v>
      </c>
      <c r="X123" s="123">
        <f t="shared" si="32"/>
        <v>9.3000000000000007</v>
      </c>
      <c r="Y123" s="123">
        <f t="shared" si="32"/>
        <v>9.3000000000000007</v>
      </c>
      <c r="Z123" s="123">
        <f t="shared" si="32"/>
        <v>9.3000000000000007</v>
      </c>
      <c r="AA123" s="123">
        <f t="shared" si="32"/>
        <v>9.3000000000000007</v>
      </c>
      <c r="AB123" s="123">
        <f t="shared" si="32"/>
        <v>9.3000000000000007</v>
      </c>
      <c r="AC123" s="123">
        <f t="shared" si="32"/>
        <v>9.3000000000000007</v>
      </c>
      <c r="AD123" s="123">
        <f t="shared" si="32"/>
        <v>9.3000000000000007</v>
      </c>
      <c r="AE123" s="123">
        <f t="shared" si="32"/>
        <v>9.3000000000000007</v>
      </c>
      <c r="AF123" s="123">
        <f t="shared" si="32"/>
        <v>9.3000000000000007</v>
      </c>
      <c r="AG123" s="126">
        <v>7</v>
      </c>
      <c r="AH123" s="54"/>
      <c r="AI123" s="55"/>
      <c r="AK123" s="56"/>
    </row>
    <row r="124" spans="1:37" x14ac:dyDescent="0.25">
      <c r="A124" s="111" t="s">
        <v>128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129</v>
      </c>
      <c r="B125" s="123">
        <f t="shared" si="30"/>
        <v>0</v>
      </c>
      <c r="C125" s="124">
        <v>0</v>
      </c>
      <c r="D125" s="123">
        <f t="shared" si="33"/>
        <v>0</v>
      </c>
      <c r="E125" s="123">
        <f t="shared" si="33"/>
        <v>0</v>
      </c>
      <c r="F125" s="123">
        <f t="shared" si="33"/>
        <v>0</v>
      </c>
      <c r="G125" s="123">
        <f t="shared" si="33"/>
        <v>0</v>
      </c>
      <c r="H125" s="123">
        <f t="shared" si="33"/>
        <v>0</v>
      </c>
      <c r="I125" s="123">
        <f t="shared" si="33"/>
        <v>0</v>
      </c>
      <c r="J125" s="123">
        <f t="shared" si="33"/>
        <v>0</v>
      </c>
      <c r="K125" s="123">
        <f t="shared" si="33"/>
        <v>0</v>
      </c>
      <c r="L125" s="123">
        <f t="shared" si="33"/>
        <v>0</v>
      </c>
      <c r="M125" s="123">
        <f t="shared" si="33"/>
        <v>0</v>
      </c>
      <c r="N125" s="123">
        <f t="shared" si="33"/>
        <v>0</v>
      </c>
      <c r="O125" s="123">
        <f t="shared" si="33"/>
        <v>0</v>
      </c>
      <c r="P125" s="123">
        <f t="shared" si="33"/>
        <v>0</v>
      </c>
      <c r="Q125" s="123">
        <f t="shared" si="33"/>
        <v>0</v>
      </c>
      <c r="R125" s="123">
        <f t="shared" si="33"/>
        <v>0</v>
      </c>
      <c r="S125" s="123">
        <f t="shared" si="33"/>
        <v>0</v>
      </c>
      <c r="T125" s="123">
        <f t="shared" si="32"/>
        <v>0</v>
      </c>
      <c r="U125" s="123">
        <f t="shared" si="32"/>
        <v>0</v>
      </c>
      <c r="V125" s="123">
        <f t="shared" si="32"/>
        <v>0</v>
      </c>
      <c r="W125" s="123">
        <f t="shared" si="32"/>
        <v>0</v>
      </c>
      <c r="X125" s="123">
        <f t="shared" si="32"/>
        <v>0</v>
      </c>
      <c r="Y125" s="123">
        <f t="shared" si="32"/>
        <v>0</v>
      </c>
      <c r="Z125" s="123">
        <f t="shared" si="32"/>
        <v>0</v>
      </c>
      <c r="AA125" s="123">
        <f t="shared" si="32"/>
        <v>0</v>
      </c>
      <c r="AB125" s="123">
        <f t="shared" si="32"/>
        <v>0</v>
      </c>
      <c r="AC125" s="123">
        <f t="shared" si="32"/>
        <v>0</v>
      </c>
      <c r="AD125" s="123">
        <f t="shared" si="32"/>
        <v>0</v>
      </c>
      <c r="AE125" s="123">
        <f t="shared" si="32"/>
        <v>0</v>
      </c>
      <c r="AF125" s="123">
        <f t="shared" si="32"/>
        <v>0</v>
      </c>
      <c r="AG125" s="126">
        <v>6.6</v>
      </c>
      <c r="AH125" s="54"/>
      <c r="AI125" s="55"/>
      <c r="AK125" s="56"/>
    </row>
    <row r="126" spans="1:37" x14ac:dyDescent="0.25">
      <c r="A126" s="111" t="s">
        <v>130</v>
      </c>
      <c r="B126" s="123" t="str">
        <f t="shared" si="30"/>
        <v>;/</v>
      </c>
      <c r="C126" s="124">
        <v>5</v>
      </c>
      <c r="D126" s="123">
        <f t="shared" si="33"/>
        <v>5</v>
      </c>
      <c r="E126" s="123">
        <f t="shared" si="33"/>
        <v>5</v>
      </c>
      <c r="F126" s="123">
        <f t="shared" si="33"/>
        <v>5</v>
      </c>
      <c r="G126" s="123">
        <f t="shared" si="33"/>
        <v>5</v>
      </c>
      <c r="H126" s="123">
        <f t="shared" si="33"/>
        <v>5</v>
      </c>
      <c r="I126" s="123" t="s">
        <v>131</v>
      </c>
      <c r="J126" s="123" t="str">
        <f t="shared" si="33"/>
        <v>;/</v>
      </c>
      <c r="K126" s="123" t="str">
        <f t="shared" si="33"/>
        <v>;/</v>
      </c>
      <c r="L126" s="123" t="str">
        <f t="shared" si="33"/>
        <v>;/</v>
      </c>
      <c r="M126" s="123" t="str">
        <f t="shared" si="33"/>
        <v>;/</v>
      </c>
      <c r="N126" s="123" t="str">
        <f t="shared" si="33"/>
        <v>;/</v>
      </c>
      <c r="O126" s="123" t="str">
        <f t="shared" si="33"/>
        <v>;/</v>
      </c>
      <c r="P126" s="123" t="str">
        <f t="shared" si="33"/>
        <v>;/</v>
      </c>
      <c r="Q126" s="123" t="str">
        <f t="shared" si="33"/>
        <v>;/</v>
      </c>
      <c r="R126" s="123" t="str">
        <f t="shared" si="33"/>
        <v>;/</v>
      </c>
      <c r="S126" s="123" t="str">
        <f t="shared" si="33"/>
        <v>;/</v>
      </c>
      <c r="T126" s="123" t="str">
        <f t="shared" si="32"/>
        <v>;/</v>
      </c>
      <c r="U126" s="123" t="str">
        <f t="shared" si="32"/>
        <v>;/</v>
      </c>
      <c r="V126" s="123" t="str">
        <f t="shared" si="32"/>
        <v>;/</v>
      </c>
      <c r="W126" s="123" t="str">
        <f t="shared" si="32"/>
        <v>;/</v>
      </c>
      <c r="X126" s="123" t="str">
        <f t="shared" si="32"/>
        <v>;/</v>
      </c>
      <c r="Y126" s="123" t="str">
        <f t="shared" si="32"/>
        <v>;/</v>
      </c>
      <c r="Z126" s="123" t="str">
        <f t="shared" si="32"/>
        <v>;/</v>
      </c>
      <c r="AA126" s="123" t="str">
        <f t="shared" si="32"/>
        <v>;/</v>
      </c>
      <c r="AB126" s="123" t="str">
        <f t="shared" si="32"/>
        <v>;/</v>
      </c>
      <c r="AC126" s="123" t="str">
        <f t="shared" si="32"/>
        <v>;/</v>
      </c>
      <c r="AD126" s="123" t="str">
        <f t="shared" si="32"/>
        <v>;/</v>
      </c>
      <c r="AE126" s="123" t="str">
        <f t="shared" si="32"/>
        <v>;/</v>
      </c>
      <c r="AF126" s="123" t="str">
        <f t="shared" si="32"/>
        <v>;/</v>
      </c>
      <c r="AG126" s="126">
        <v>6.4</v>
      </c>
      <c r="AH126" s="54"/>
      <c r="AI126" s="55"/>
      <c r="AK126" s="56"/>
    </row>
    <row r="127" spans="1:37" x14ac:dyDescent="0.25">
      <c r="A127" s="111" t="s">
        <v>132</v>
      </c>
      <c r="B127" s="123">
        <f t="shared" si="30"/>
        <v>1</v>
      </c>
      <c r="C127" s="124">
        <v>1</v>
      </c>
      <c r="D127" s="123">
        <f t="shared" si="33"/>
        <v>1</v>
      </c>
      <c r="E127" s="123">
        <f t="shared" si="33"/>
        <v>1</v>
      </c>
      <c r="F127" s="123">
        <f t="shared" si="33"/>
        <v>1</v>
      </c>
      <c r="G127" s="123">
        <f t="shared" si="33"/>
        <v>1</v>
      </c>
      <c r="H127" s="123">
        <f t="shared" si="33"/>
        <v>1</v>
      </c>
      <c r="I127" s="123">
        <f t="shared" si="33"/>
        <v>1</v>
      </c>
      <c r="J127" s="123">
        <f t="shared" si="33"/>
        <v>1</v>
      </c>
      <c r="K127" s="123">
        <f t="shared" si="33"/>
        <v>1</v>
      </c>
      <c r="L127" s="123">
        <f t="shared" si="33"/>
        <v>1</v>
      </c>
      <c r="M127" s="123">
        <f t="shared" si="33"/>
        <v>1</v>
      </c>
      <c r="N127" s="123">
        <f t="shared" si="33"/>
        <v>1</v>
      </c>
      <c r="O127" s="123">
        <f t="shared" si="33"/>
        <v>1</v>
      </c>
      <c r="P127" s="123">
        <f t="shared" si="33"/>
        <v>1</v>
      </c>
      <c r="Q127" s="123">
        <f t="shared" si="33"/>
        <v>1</v>
      </c>
      <c r="R127" s="123">
        <f t="shared" si="33"/>
        <v>1</v>
      </c>
      <c r="S127" s="123">
        <f t="shared" si="33"/>
        <v>1</v>
      </c>
      <c r="T127" s="123">
        <f t="shared" si="32"/>
        <v>1</v>
      </c>
      <c r="U127" s="123">
        <f t="shared" si="32"/>
        <v>1</v>
      </c>
      <c r="V127" s="123">
        <f t="shared" si="32"/>
        <v>1</v>
      </c>
      <c r="W127" s="123">
        <f t="shared" si="32"/>
        <v>1</v>
      </c>
      <c r="X127" s="123">
        <f t="shared" si="32"/>
        <v>1</v>
      </c>
      <c r="Y127" s="123">
        <f t="shared" si="32"/>
        <v>1</v>
      </c>
      <c r="Z127" s="123">
        <f t="shared" si="32"/>
        <v>1</v>
      </c>
      <c r="AA127" s="123">
        <f t="shared" si="32"/>
        <v>1</v>
      </c>
      <c r="AB127" s="123">
        <f t="shared" si="32"/>
        <v>1</v>
      </c>
      <c r="AC127" s="123">
        <f t="shared" si="32"/>
        <v>1</v>
      </c>
      <c r="AD127" s="123">
        <f t="shared" si="32"/>
        <v>1</v>
      </c>
      <c r="AE127" s="123">
        <f t="shared" si="32"/>
        <v>1</v>
      </c>
      <c r="AF127" s="123">
        <f t="shared" si="32"/>
        <v>1</v>
      </c>
      <c r="AG127" s="126">
        <v>6</v>
      </c>
      <c r="AH127" s="54"/>
      <c r="AI127" s="55"/>
      <c r="AK127" s="56"/>
    </row>
    <row r="128" spans="1:37" x14ac:dyDescent="0.25">
      <c r="A128" s="111" t="s">
        <v>133</v>
      </c>
      <c r="B128" s="123">
        <f t="shared" si="30"/>
        <v>1.58</v>
      </c>
      <c r="C128" s="124">
        <v>1.58</v>
      </c>
      <c r="D128" s="123">
        <f t="shared" si="33"/>
        <v>1.58</v>
      </c>
      <c r="E128" s="123">
        <f t="shared" si="33"/>
        <v>1.58</v>
      </c>
      <c r="F128" s="123">
        <f t="shared" si="33"/>
        <v>1.58</v>
      </c>
      <c r="G128" s="123">
        <f t="shared" si="33"/>
        <v>1.58</v>
      </c>
      <c r="H128" s="123">
        <f t="shared" si="33"/>
        <v>1.58</v>
      </c>
      <c r="I128" s="123">
        <f t="shared" si="33"/>
        <v>1.58</v>
      </c>
      <c r="J128" s="123">
        <f t="shared" si="33"/>
        <v>1.58</v>
      </c>
      <c r="K128" s="123">
        <f t="shared" si="33"/>
        <v>1.58</v>
      </c>
      <c r="L128" s="123">
        <f t="shared" si="33"/>
        <v>1.58</v>
      </c>
      <c r="M128" s="123">
        <f t="shared" si="33"/>
        <v>1.58</v>
      </c>
      <c r="N128" s="123">
        <f t="shared" si="33"/>
        <v>1.58</v>
      </c>
      <c r="O128" s="123">
        <f t="shared" si="33"/>
        <v>1.58</v>
      </c>
      <c r="P128" s="123">
        <f t="shared" si="33"/>
        <v>1.58</v>
      </c>
      <c r="Q128" s="123">
        <f t="shared" si="33"/>
        <v>1.58</v>
      </c>
      <c r="R128" s="123">
        <f t="shared" si="33"/>
        <v>1.58</v>
      </c>
      <c r="S128" s="123">
        <f t="shared" si="33"/>
        <v>1.58</v>
      </c>
      <c r="T128" s="123">
        <f t="shared" si="32"/>
        <v>1.58</v>
      </c>
      <c r="U128" s="123">
        <f t="shared" si="32"/>
        <v>1.58</v>
      </c>
      <c r="V128" s="123">
        <f t="shared" si="32"/>
        <v>1.58</v>
      </c>
      <c r="W128" s="123">
        <f t="shared" si="32"/>
        <v>1.58</v>
      </c>
      <c r="X128" s="123">
        <f t="shared" si="32"/>
        <v>1.58</v>
      </c>
      <c r="Y128" s="123">
        <f t="shared" si="32"/>
        <v>1.58</v>
      </c>
      <c r="Z128" s="123">
        <f t="shared" si="32"/>
        <v>1.58</v>
      </c>
      <c r="AA128" s="123">
        <f t="shared" si="32"/>
        <v>1.58</v>
      </c>
      <c r="AB128" s="123">
        <f t="shared" si="32"/>
        <v>1.58</v>
      </c>
      <c r="AC128" s="123">
        <f t="shared" si="32"/>
        <v>1.58</v>
      </c>
      <c r="AD128" s="123">
        <f t="shared" si="32"/>
        <v>1.58</v>
      </c>
      <c r="AE128" s="123">
        <f t="shared" si="32"/>
        <v>1.58</v>
      </c>
      <c r="AF128" s="123">
        <f t="shared" si="32"/>
        <v>1.58</v>
      </c>
      <c r="AG128" s="126">
        <v>5.0999999999999996</v>
      </c>
      <c r="AH128" s="54"/>
      <c r="AI128" s="55"/>
      <c r="AK128" s="56"/>
    </row>
    <row r="129" spans="1:37" x14ac:dyDescent="0.25">
      <c r="A129" s="111" t="s">
        <v>134</v>
      </c>
      <c r="B129" s="123">
        <f t="shared" si="30"/>
        <v>1.46</v>
      </c>
      <c r="C129" s="124">
        <v>1.46</v>
      </c>
      <c r="D129" s="123">
        <f t="shared" si="33"/>
        <v>1.46</v>
      </c>
      <c r="E129" s="123">
        <f t="shared" si="33"/>
        <v>1.46</v>
      </c>
      <c r="F129" s="123">
        <f t="shared" si="33"/>
        <v>1.46</v>
      </c>
      <c r="G129" s="123">
        <f t="shared" si="33"/>
        <v>1.46</v>
      </c>
      <c r="H129" s="123">
        <f t="shared" si="33"/>
        <v>1.46</v>
      </c>
      <c r="I129" s="123">
        <f t="shared" si="33"/>
        <v>1.46</v>
      </c>
      <c r="J129" s="123">
        <f t="shared" si="33"/>
        <v>1.46</v>
      </c>
      <c r="K129" s="123">
        <f t="shared" si="33"/>
        <v>1.46</v>
      </c>
      <c r="L129" s="123">
        <f t="shared" si="33"/>
        <v>1.46</v>
      </c>
      <c r="M129" s="123">
        <f t="shared" si="33"/>
        <v>1.46</v>
      </c>
      <c r="N129" s="123">
        <f t="shared" si="33"/>
        <v>1.46</v>
      </c>
      <c r="O129" s="123">
        <f t="shared" si="33"/>
        <v>1.46</v>
      </c>
      <c r="P129" s="123">
        <f t="shared" si="33"/>
        <v>1.46</v>
      </c>
      <c r="Q129" s="123">
        <f t="shared" si="33"/>
        <v>1.46</v>
      </c>
      <c r="R129" s="123">
        <f t="shared" si="33"/>
        <v>1.46</v>
      </c>
      <c r="S129" s="123">
        <f t="shared" si="33"/>
        <v>1.46</v>
      </c>
      <c r="T129" s="123">
        <f t="shared" ref="T129:AF130" si="34">S129</f>
        <v>1.46</v>
      </c>
      <c r="U129" s="123">
        <f t="shared" si="34"/>
        <v>1.46</v>
      </c>
      <c r="V129" s="123">
        <f t="shared" si="34"/>
        <v>1.46</v>
      </c>
      <c r="W129" s="123">
        <f t="shared" si="34"/>
        <v>1.46</v>
      </c>
      <c r="X129" s="123">
        <f t="shared" si="34"/>
        <v>1.46</v>
      </c>
      <c r="Y129" s="123">
        <f t="shared" si="34"/>
        <v>1.46</v>
      </c>
      <c r="Z129" s="123">
        <f t="shared" si="34"/>
        <v>1.46</v>
      </c>
      <c r="AA129" s="123">
        <f t="shared" si="34"/>
        <v>1.46</v>
      </c>
      <c r="AB129" s="123">
        <f t="shared" si="34"/>
        <v>1.46</v>
      </c>
      <c r="AC129" s="123">
        <f t="shared" si="34"/>
        <v>1.46</v>
      </c>
      <c r="AD129" s="123">
        <f t="shared" si="34"/>
        <v>1.46</v>
      </c>
      <c r="AE129" s="123">
        <f t="shared" si="34"/>
        <v>1.46</v>
      </c>
      <c r="AF129" s="123">
        <f t="shared" si="34"/>
        <v>1.46</v>
      </c>
      <c r="AG129" s="126">
        <v>5</v>
      </c>
      <c r="AH129" s="54"/>
      <c r="AI129" s="55"/>
      <c r="AK129" s="56"/>
    </row>
    <row r="130" spans="1:37" x14ac:dyDescent="0.25">
      <c r="A130" s="109" t="s">
        <v>135</v>
      </c>
      <c r="B130" s="123">
        <f t="shared" si="30"/>
        <v>1.48</v>
      </c>
      <c r="C130" s="124">
        <v>1.48</v>
      </c>
      <c r="D130" s="123">
        <f t="shared" si="33"/>
        <v>1.48</v>
      </c>
      <c r="E130" s="123">
        <f t="shared" si="33"/>
        <v>1.48</v>
      </c>
      <c r="F130" s="123">
        <f t="shared" si="33"/>
        <v>1.48</v>
      </c>
      <c r="G130" s="123">
        <f t="shared" si="33"/>
        <v>1.48</v>
      </c>
      <c r="H130" s="123">
        <f t="shared" si="33"/>
        <v>1.48</v>
      </c>
      <c r="I130" s="123">
        <f t="shared" si="33"/>
        <v>1.48</v>
      </c>
      <c r="J130" s="123">
        <f t="shared" si="33"/>
        <v>1.48</v>
      </c>
      <c r="K130" s="123">
        <f t="shared" si="33"/>
        <v>1.48</v>
      </c>
      <c r="L130" s="123">
        <f t="shared" si="33"/>
        <v>1.48</v>
      </c>
      <c r="M130" s="123">
        <f t="shared" si="33"/>
        <v>1.48</v>
      </c>
      <c r="N130" s="123">
        <f t="shared" si="33"/>
        <v>1.48</v>
      </c>
      <c r="O130" s="123">
        <f t="shared" si="33"/>
        <v>1.48</v>
      </c>
      <c r="P130" s="123">
        <f t="shared" si="33"/>
        <v>1.48</v>
      </c>
      <c r="Q130" s="123">
        <f t="shared" si="33"/>
        <v>1.48</v>
      </c>
      <c r="R130" s="123">
        <f t="shared" si="33"/>
        <v>1.48</v>
      </c>
      <c r="S130" s="123">
        <f t="shared" si="33"/>
        <v>1.48</v>
      </c>
      <c r="T130" s="123">
        <f t="shared" si="34"/>
        <v>1.48</v>
      </c>
      <c r="U130" s="123">
        <f t="shared" si="34"/>
        <v>1.48</v>
      </c>
      <c r="V130" s="123">
        <f t="shared" si="34"/>
        <v>1.48</v>
      </c>
      <c r="W130" s="123">
        <f t="shared" si="34"/>
        <v>1.48</v>
      </c>
      <c r="X130" s="123">
        <f t="shared" si="34"/>
        <v>1.48</v>
      </c>
      <c r="Y130" s="123">
        <f t="shared" si="34"/>
        <v>1.48</v>
      </c>
      <c r="Z130" s="123">
        <f t="shared" si="34"/>
        <v>1.48</v>
      </c>
      <c r="AA130" s="123">
        <f t="shared" si="34"/>
        <v>1.48</v>
      </c>
      <c r="AB130" s="123">
        <f t="shared" si="34"/>
        <v>1.48</v>
      </c>
      <c r="AC130" s="123">
        <f t="shared" si="34"/>
        <v>1.48</v>
      </c>
      <c r="AD130" s="123">
        <f t="shared" si="34"/>
        <v>1.48</v>
      </c>
      <c r="AE130" s="123">
        <f t="shared" si="34"/>
        <v>1.48</v>
      </c>
      <c r="AF130" s="123">
        <f t="shared" si="34"/>
        <v>1.48</v>
      </c>
      <c r="AG130" s="125">
        <v>5</v>
      </c>
      <c r="AH130" s="54"/>
      <c r="AI130" s="55"/>
      <c r="AK130" s="56"/>
    </row>
    <row r="131" spans="1:37" x14ac:dyDescent="0.25">
      <c r="A131" s="111" t="s">
        <v>136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4"/>
      <c r="AI131" s="55"/>
      <c r="AK131" s="56"/>
    </row>
    <row r="132" spans="1:37" x14ac:dyDescent="0.25">
      <c r="A132" s="111" t="s">
        <v>137</v>
      </c>
      <c r="B132" s="123">
        <f t="shared" ref="B132:B139" si="35">AF132</f>
        <v>2.2000000000000002</v>
      </c>
      <c r="C132" s="124">
        <v>2.2000000000000002</v>
      </c>
      <c r="D132" s="123">
        <f t="shared" ref="D132:S139" si="36">C132</f>
        <v>2.2000000000000002</v>
      </c>
      <c r="E132" s="123">
        <f t="shared" si="36"/>
        <v>2.2000000000000002</v>
      </c>
      <c r="F132" s="123">
        <f t="shared" si="36"/>
        <v>2.2000000000000002</v>
      </c>
      <c r="G132" s="123">
        <f t="shared" si="36"/>
        <v>2.2000000000000002</v>
      </c>
      <c r="H132" s="123">
        <f t="shared" si="36"/>
        <v>2.2000000000000002</v>
      </c>
      <c r="I132" s="123">
        <f t="shared" si="36"/>
        <v>2.2000000000000002</v>
      </c>
      <c r="J132" s="123">
        <f t="shared" si="36"/>
        <v>2.2000000000000002</v>
      </c>
      <c r="K132" s="123">
        <f t="shared" si="36"/>
        <v>2.2000000000000002</v>
      </c>
      <c r="L132" s="123">
        <f t="shared" si="36"/>
        <v>2.2000000000000002</v>
      </c>
      <c r="M132" s="123">
        <f t="shared" si="36"/>
        <v>2.2000000000000002</v>
      </c>
      <c r="N132" s="123">
        <f t="shared" si="36"/>
        <v>2.2000000000000002</v>
      </c>
      <c r="O132" s="123">
        <f t="shared" si="36"/>
        <v>2.2000000000000002</v>
      </c>
      <c r="P132" s="123">
        <f t="shared" si="36"/>
        <v>2.2000000000000002</v>
      </c>
      <c r="Q132" s="123">
        <f t="shared" si="36"/>
        <v>2.2000000000000002</v>
      </c>
      <c r="R132" s="123">
        <f t="shared" si="36"/>
        <v>2.2000000000000002</v>
      </c>
      <c r="S132" s="123">
        <f t="shared" si="36"/>
        <v>2.2000000000000002</v>
      </c>
      <c r="T132" s="123">
        <f t="shared" ref="T132:AF139" si="37">S132</f>
        <v>2.2000000000000002</v>
      </c>
      <c r="U132" s="123">
        <f t="shared" si="37"/>
        <v>2.2000000000000002</v>
      </c>
      <c r="V132" s="123">
        <f t="shared" si="37"/>
        <v>2.2000000000000002</v>
      </c>
      <c r="W132" s="123">
        <f t="shared" si="37"/>
        <v>2.2000000000000002</v>
      </c>
      <c r="X132" s="123">
        <f t="shared" si="37"/>
        <v>2.2000000000000002</v>
      </c>
      <c r="Y132" s="123">
        <f t="shared" si="37"/>
        <v>2.2000000000000002</v>
      </c>
      <c r="Z132" s="123">
        <f t="shared" si="37"/>
        <v>2.2000000000000002</v>
      </c>
      <c r="AA132" s="123">
        <f t="shared" si="37"/>
        <v>2.2000000000000002</v>
      </c>
      <c r="AB132" s="123">
        <f t="shared" si="37"/>
        <v>2.2000000000000002</v>
      </c>
      <c r="AC132" s="123">
        <f t="shared" si="37"/>
        <v>2.2000000000000002</v>
      </c>
      <c r="AD132" s="123">
        <f t="shared" si="37"/>
        <v>2.2000000000000002</v>
      </c>
      <c r="AE132" s="123">
        <f t="shared" si="37"/>
        <v>2.2000000000000002</v>
      </c>
      <c r="AF132" s="123">
        <f t="shared" si="37"/>
        <v>2.2000000000000002</v>
      </c>
      <c r="AG132" s="126">
        <v>5</v>
      </c>
      <c r="AH132" s="54"/>
      <c r="AI132" s="55"/>
      <c r="AK132" s="56"/>
    </row>
    <row r="133" spans="1:37" x14ac:dyDescent="0.25">
      <c r="A133" s="111" t="s">
        <v>138</v>
      </c>
      <c r="B133" s="123">
        <f t="shared" si="35"/>
        <v>2</v>
      </c>
      <c r="C133" s="124">
        <v>2</v>
      </c>
      <c r="D133" s="123">
        <f t="shared" si="36"/>
        <v>2</v>
      </c>
      <c r="E133" s="123">
        <f t="shared" si="36"/>
        <v>2</v>
      </c>
      <c r="F133" s="123">
        <f t="shared" si="36"/>
        <v>2</v>
      </c>
      <c r="G133" s="123">
        <f t="shared" si="36"/>
        <v>2</v>
      </c>
      <c r="H133" s="123">
        <f t="shared" si="36"/>
        <v>2</v>
      </c>
      <c r="I133" s="123">
        <f t="shared" si="36"/>
        <v>2</v>
      </c>
      <c r="J133" s="123">
        <f t="shared" si="36"/>
        <v>2</v>
      </c>
      <c r="K133" s="123">
        <f t="shared" si="36"/>
        <v>2</v>
      </c>
      <c r="L133" s="123">
        <f t="shared" si="36"/>
        <v>2</v>
      </c>
      <c r="M133" s="123">
        <f t="shared" si="36"/>
        <v>2</v>
      </c>
      <c r="N133" s="123">
        <f t="shared" si="36"/>
        <v>2</v>
      </c>
      <c r="O133" s="123">
        <f t="shared" si="36"/>
        <v>2</v>
      </c>
      <c r="P133" s="123">
        <f t="shared" si="36"/>
        <v>2</v>
      </c>
      <c r="Q133" s="123">
        <f t="shared" si="36"/>
        <v>2</v>
      </c>
      <c r="R133" s="123">
        <f t="shared" si="36"/>
        <v>2</v>
      </c>
      <c r="S133" s="123">
        <f t="shared" si="36"/>
        <v>2</v>
      </c>
      <c r="T133" s="123">
        <f t="shared" si="37"/>
        <v>2</v>
      </c>
      <c r="U133" s="123">
        <f t="shared" si="37"/>
        <v>2</v>
      </c>
      <c r="V133" s="123">
        <f t="shared" si="37"/>
        <v>2</v>
      </c>
      <c r="W133" s="123">
        <f t="shared" si="37"/>
        <v>2</v>
      </c>
      <c r="X133" s="123">
        <f t="shared" si="37"/>
        <v>2</v>
      </c>
      <c r="Y133" s="123">
        <f t="shared" si="37"/>
        <v>2</v>
      </c>
      <c r="Z133" s="123">
        <f t="shared" si="37"/>
        <v>2</v>
      </c>
      <c r="AA133" s="123">
        <f t="shared" si="37"/>
        <v>2</v>
      </c>
      <c r="AB133" s="123">
        <f t="shared" si="37"/>
        <v>2</v>
      </c>
      <c r="AC133" s="123">
        <f t="shared" si="37"/>
        <v>2</v>
      </c>
      <c r="AD133" s="123">
        <f t="shared" si="37"/>
        <v>2</v>
      </c>
      <c r="AE133" s="123">
        <f t="shared" si="37"/>
        <v>2</v>
      </c>
      <c r="AF133" s="123">
        <f t="shared" si="37"/>
        <v>2</v>
      </c>
      <c r="AG133" s="126">
        <v>5</v>
      </c>
      <c r="AH133" s="54"/>
      <c r="AI133" s="55"/>
      <c r="AK133" s="56"/>
    </row>
    <row r="134" spans="1:37" x14ac:dyDescent="0.25">
      <c r="A134" s="111" t="s">
        <v>139</v>
      </c>
      <c r="B134" s="123">
        <f t="shared" si="35"/>
        <v>1.25</v>
      </c>
      <c r="C134" s="124">
        <v>1.25</v>
      </c>
      <c r="D134" s="123">
        <f t="shared" si="36"/>
        <v>1.25</v>
      </c>
      <c r="E134" s="123">
        <f t="shared" si="36"/>
        <v>1.25</v>
      </c>
      <c r="F134" s="123">
        <f t="shared" si="36"/>
        <v>1.25</v>
      </c>
      <c r="G134" s="123">
        <f t="shared" si="36"/>
        <v>1.25</v>
      </c>
      <c r="H134" s="123">
        <f t="shared" si="36"/>
        <v>1.25</v>
      </c>
      <c r="I134" s="123">
        <f t="shared" si="36"/>
        <v>1.25</v>
      </c>
      <c r="J134" s="123">
        <f t="shared" si="36"/>
        <v>1.25</v>
      </c>
      <c r="K134" s="123">
        <f t="shared" si="36"/>
        <v>1.25</v>
      </c>
      <c r="L134" s="123">
        <f t="shared" si="36"/>
        <v>1.25</v>
      </c>
      <c r="M134" s="123">
        <f t="shared" si="36"/>
        <v>1.25</v>
      </c>
      <c r="N134" s="123">
        <f t="shared" si="36"/>
        <v>1.25</v>
      </c>
      <c r="O134" s="123">
        <f t="shared" si="36"/>
        <v>1.25</v>
      </c>
      <c r="P134" s="123">
        <f t="shared" si="36"/>
        <v>1.25</v>
      </c>
      <c r="Q134" s="123">
        <f t="shared" si="36"/>
        <v>1.25</v>
      </c>
      <c r="R134" s="123">
        <f t="shared" si="36"/>
        <v>1.25</v>
      </c>
      <c r="S134" s="123">
        <f t="shared" si="36"/>
        <v>1.25</v>
      </c>
      <c r="T134" s="123">
        <f t="shared" si="37"/>
        <v>1.25</v>
      </c>
      <c r="U134" s="123">
        <f t="shared" si="37"/>
        <v>1.25</v>
      </c>
      <c r="V134" s="123">
        <f t="shared" si="37"/>
        <v>1.25</v>
      </c>
      <c r="W134" s="123">
        <f t="shared" si="37"/>
        <v>1.25</v>
      </c>
      <c r="X134" s="123">
        <f t="shared" si="37"/>
        <v>1.25</v>
      </c>
      <c r="Y134" s="123">
        <f t="shared" si="37"/>
        <v>1.25</v>
      </c>
      <c r="Z134" s="123">
        <f t="shared" si="37"/>
        <v>1.25</v>
      </c>
      <c r="AA134" s="123">
        <f t="shared" si="37"/>
        <v>1.25</v>
      </c>
      <c r="AB134" s="123">
        <f t="shared" si="37"/>
        <v>1.25</v>
      </c>
      <c r="AC134" s="123">
        <f t="shared" si="37"/>
        <v>1.25</v>
      </c>
      <c r="AD134" s="123">
        <f t="shared" si="37"/>
        <v>1.25</v>
      </c>
      <c r="AE134" s="123">
        <f t="shared" si="37"/>
        <v>1.25</v>
      </c>
      <c r="AF134" s="123">
        <f t="shared" si="37"/>
        <v>1.25</v>
      </c>
      <c r="AG134" s="126">
        <v>5</v>
      </c>
      <c r="AH134" s="54"/>
      <c r="AI134" s="55"/>
      <c r="AK134" s="56"/>
    </row>
    <row r="135" spans="1:37" x14ac:dyDescent="0.25">
      <c r="A135" s="111" t="s">
        <v>140</v>
      </c>
      <c r="B135" s="123">
        <f t="shared" si="35"/>
        <v>1.1499999999999999</v>
      </c>
      <c r="C135" s="124">
        <v>1.1499999999999999</v>
      </c>
      <c r="D135" s="123">
        <f t="shared" si="36"/>
        <v>1.1499999999999999</v>
      </c>
      <c r="E135" s="123">
        <f t="shared" si="36"/>
        <v>1.1499999999999999</v>
      </c>
      <c r="F135" s="123">
        <f t="shared" si="36"/>
        <v>1.1499999999999999</v>
      </c>
      <c r="G135" s="123">
        <f t="shared" si="36"/>
        <v>1.1499999999999999</v>
      </c>
      <c r="H135" s="123">
        <f t="shared" si="36"/>
        <v>1.1499999999999999</v>
      </c>
      <c r="I135" s="123">
        <f t="shared" si="36"/>
        <v>1.1499999999999999</v>
      </c>
      <c r="J135" s="123">
        <f t="shared" si="36"/>
        <v>1.1499999999999999</v>
      </c>
      <c r="K135" s="123">
        <f t="shared" si="36"/>
        <v>1.1499999999999999</v>
      </c>
      <c r="L135" s="123">
        <f t="shared" si="36"/>
        <v>1.1499999999999999</v>
      </c>
      <c r="M135" s="123">
        <f t="shared" si="36"/>
        <v>1.1499999999999999</v>
      </c>
      <c r="N135" s="123">
        <f t="shared" si="36"/>
        <v>1.1499999999999999</v>
      </c>
      <c r="O135" s="123">
        <f t="shared" si="36"/>
        <v>1.1499999999999999</v>
      </c>
      <c r="P135" s="123">
        <f t="shared" si="36"/>
        <v>1.1499999999999999</v>
      </c>
      <c r="Q135" s="123">
        <f t="shared" si="36"/>
        <v>1.1499999999999999</v>
      </c>
      <c r="R135" s="123">
        <f t="shared" si="36"/>
        <v>1.1499999999999999</v>
      </c>
      <c r="S135" s="123">
        <f t="shared" si="36"/>
        <v>1.1499999999999999</v>
      </c>
      <c r="T135" s="123">
        <f t="shared" si="37"/>
        <v>1.1499999999999999</v>
      </c>
      <c r="U135" s="123">
        <f t="shared" si="37"/>
        <v>1.1499999999999999</v>
      </c>
      <c r="V135" s="123">
        <f t="shared" si="37"/>
        <v>1.1499999999999999</v>
      </c>
      <c r="W135" s="123">
        <f t="shared" si="37"/>
        <v>1.1499999999999999</v>
      </c>
      <c r="X135" s="123">
        <f t="shared" si="37"/>
        <v>1.1499999999999999</v>
      </c>
      <c r="Y135" s="123">
        <f t="shared" si="37"/>
        <v>1.1499999999999999</v>
      </c>
      <c r="Z135" s="123">
        <f t="shared" si="37"/>
        <v>1.1499999999999999</v>
      </c>
      <c r="AA135" s="123">
        <f t="shared" si="37"/>
        <v>1.1499999999999999</v>
      </c>
      <c r="AB135" s="123">
        <f t="shared" si="37"/>
        <v>1.1499999999999999</v>
      </c>
      <c r="AC135" s="123">
        <f t="shared" si="37"/>
        <v>1.1499999999999999</v>
      </c>
      <c r="AD135" s="123">
        <f t="shared" si="37"/>
        <v>1.1499999999999999</v>
      </c>
      <c r="AE135" s="123">
        <f t="shared" si="37"/>
        <v>1.1499999999999999</v>
      </c>
      <c r="AF135" s="123">
        <f t="shared" si="37"/>
        <v>1.1499999999999999</v>
      </c>
      <c r="AG135" s="126">
        <v>5</v>
      </c>
      <c r="AH135" s="54"/>
      <c r="AI135" s="55"/>
      <c r="AK135" s="56"/>
    </row>
    <row r="136" spans="1:37" x14ac:dyDescent="0.25">
      <c r="A136" s="111" t="s">
        <v>141</v>
      </c>
      <c r="B136" s="123">
        <f t="shared" si="35"/>
        <v>2.133</v>
      </c>
      <c r="C136" s="124">
        <v>2.133</v>
      </c>
      <c r="D136" s="123">
        <f t="shared" si="36"/>
        <v>2.133</v>
      </c>
      <c r="E136" s="123">
        <f t="shared" si="36"/>
        <v>2.133</v>
      </c>
      <c r="F136" s="123">
        <f t="shared" si="36"/>
        <v>2.133</v>
      </c>
      <c r="G136" s="123">
        <f t="shared" si="36"/>
        <v>2.133</v>
      </c>
      <c r="H136" s="123">
        <f t="shared" si="36"/>
        <v>2.133</v>
      </c>
      <c r="I136" s="123">
        <f t="shared" si="36"/>
        <v>2.133</v>
      </c>
      <c r="J136" s="123">
        <f t="shared" si="36"/>
        <v>2.133</v>
      </c>
      <c r="K136" s="123">
        <f t="shared" si="36"/>
        <v>2.133</v>
      </c>
      <c r="L136" s="123">
        <f t="shared" si="36"/>
        <v>2.133</v>
      </c>
      <c r="M136" s="123">
        <f t="shared" si="36"/>
        <v>2.133</v>
      </c>
      <c r="N136" s="123">
        <f t="shared" si="36"/>
        <v>2.133</v>
      </c>
      <c r="O136" s="123">
        <f t="shared" si="36"/>
        <v>2.133</v>
      </c>
      <c r="P136" s="123">
        <f t="shared" si="36"/>
        <v>2.133</v>
      </c>
      <c r="Q136" s="123">
        <f t="shared" si="36"/>
        <v>2.133</v>
      </c>
      <c r="R136" s="123">
        <f t="shared" si="36"/>
        <v>2.133</v>
      </c>
      <c r="S136" s="123">
        <f t="shared" si="36"/>
        <v>2.133</v>
      </c>
      <c r="T136" s="123">
        <f t="shared" si="37"/>
        <v>2.133</v>
      </c>
      <c r="U136" s="123">
        <f t="shared" si="37"/>
        <v>2.133</v>
      </c>
      <c r="V136" s="123">
        <f t="shared" si="37"/>
        <v>2.133</v>
      </c>
      <c r="W136" s="123">
        <f t="shared" si="37"/>
        <v>2.133</v>
      </c>
      <c r="X136" s="123">
        <f t="shared" si="37"/>
        <v>2.133</v>
      </c>
      <c r="Y136" s="123">
        <f t="shared" si="37"/>
        <v>2.133</v>
      </c>
      <c r="Z136" s="123">
        <f t="shared" si="37"/>
        <v>2.133</v>
      </c>
      <c r="AA136" s="123">
        <f t="shared" si="37"/>
        <v>2.133</v>
      </c>
      <c r="AB136" s="123">
        <f t="shared" si="37"/>
        <v>2.133</v>
      </c>
      <c r="AC136" s="123">
        <f t="shared" si="37"/>
        <v>2.133</v>
      </c>
      <c r="AD136" s="123">
        <f t="shared" si="37"/>
        <v>2.133</v>
      </c>
      <c r="AE136" s="123">
        <f t="shared" si="37"/>
        <v>2.133</v>
      </c>
      <c r="AF136" s="123">
        <f t="shared" si="37"/>
        <v>2.133</v>
      </c>
      <c r="AG136" s="126">
        <v>4.9930000000000003</v>
      </c>
      <c r="AH136" s="54"/>
      <c r="AI136" s="55"/>
      <c r="AK136" s="56"/>
    </row>
    <row r="137" spans="1:37" x14ac:dyDescent="0.25">
      <c r="A137" s="111" t="s">
        <v>142</v>
      </c>
      <c r="B137" s="123">
        <f t="shared" si="35"/>
        <v>2.09</v>
      </c>
      <c r="C137" s="124">
        <v>2.09</v>
      </c>
      <c r="D137" s="123">
        <f t="shared" si="36"/>
        <v>2.09</v>
      </c>
      <c r="E137" s="123">
        <f t="shared" si="36"/>
        <v>2.09</v>
      </c>
      <c r="F137" s="123">
        <f t="shared" si="36"/>
        <v>2.09</v>
      </c>
      <c r="G137" s="123">
        <f t="shared" si="36"/>
        <v>2.09</v>
      </c>
      <c r="H137" s="123">
        <f t="shared" si="36"/>
        <v>2.09</v>
      </c>
      <c r="I137" s="123">
        <f t="shared" si="36"/>
        <v>2.09</v>
      </c>
      <c r="J137" s="123">
        <f t="shared" si="36"/>
        <v>2.09</v>
      </c>
      <c r="K137" s="123">
        <f t="shared" si="36"/>
        <v>2.09</v>
      </c>
      <c r="L137" s="123">
        <f t="shared" si="36"/>
        <v>2.09</v>
      </c>
      <c r="M137" s="123">
        <f t="shared" si="36"/>
        <v>2.09</v>
      </c>
      <c r="N137" s="123">
        <f t="shared" si="36"/>
        <v>2.09</v>
      </c>
      <c r="O137" s="123">
        <f t="shared" si="36"/>
        <v>2.09</v>
      </c>
      <c r="P137" s="123">
        <f t="shared" si="36"/>
        <v>2.09</v>
      </c>
      <c r="Q137" s="123">
        <f t="shared" si="36"/>
        <v>2.09</v>
      </c>
      <c r="R137" s="123">
        <f t="shared" si="36"/>
        <v>2.09</v>
      </c>
      <c r="S137" s="123">
        <f t="shared" si="36"/>
        <v>2.09</v>
      </c>
      <c r="T137" s="123">
        <f t="shared" si="37"/>
        <v>2.09</v>
      </c>
      <c r="U137" s="123">
        <f t="shared" si="37"/>
        <v>2.09</v>
      </c>
      <c r="V137" s="123">
        <f t="shared" si="37"/>
        <v>2.09</v>
      </c>
      <c r="W137" s="123">
        <f t="shared" si="37"/>
        <v>2.09</v>
      </c>
      <c r="X137" s="123">
        <f t="shared" si="37"/>
        <v>2.09</v>
      </c>
      <c r="Y137" s="123">
        <f t="shared" si="37"/>
        <v>2.09</v>
      </c>
      <c r="Z137" s="123">
        <f t="shared" si="37"/>
        <v>2.09</v>
      </c>
      <c r="AA137" s="123">
        <f t="shared" si="37"/>
        <v>2.09</v>
      </c>
      <c r="AB137" s="123">
        <f t="shared" si="37"/>
        <v>2.09</v>
      </c>
      <c r="AC137" s="123">
        <f t="shared" si="37"/>
        <v>2.09</v>
      </c>
      <c r="AD137" s="123">
        <f t="shared" si="37"/>
        <v>2.09</v>
      </c>
      <c r="AE137" s="123">
        <f t="shared" si="37"/>
        <v>2.09</v>
      </c>
      <c r="AF137" s="123">
        <f t="shared" si="37"/>
        <v>2.09</v>
      </c>
      <c r="AG137" s="126">
        <v>4.9800000000000004</v>
      </c>
      <c r="AH137" s="54"/>
      <c r="AI137" s="55"/>
      <c r="AK137" s="56"/>
    </row>
    <row r="138" spans="1:37" x14ac:dyDescent="0.25">
      <c r="A138" s="111" t="s">
        <v>143</v>
      </c>
      <c r="B138" s="123">
        <f t="shared" si="35"/>
        <v>1.1399999999999999</v>
      </c>
      <c r="C138" s="124">
        <v>1.1399999999999999</v>
      </c>
      <c r="D138" s="123">
        <f t="shared" si="36"/>
        <v>1.1399999999999999</v>
      </c>
      <c r="E138" s="123">
        <f t="shared" si="36"/>
        <v>1.1399999999999999</v>
      </c>
      <c r="F138" s="123">
        <f t="shared" si="36"/>
        <v>1.1399999999999999</v>
      </c>
      <c r="G138" s="123">
        <f t="shared" si="36"/>
        <v>1.1399999999999999</v>
      </c>
      <c r="H138" s="123">
        <f t="shared" si="36"/>
        <v>1.1399999999999999</v>
      </c>
      <c r="I138" s="123">
        <f t="shared" si="36"/>
        <v>1.1399999999999999</v>
      </c>
      <c r="J138" s="123">
        <f t="shared" si="36"/>
        <v>1.1399999999999999</v>
      </c>
      <c r="K138" s="123">
        <f t="shared" si="36"/>
        <v>1.1399999999999999</v>
      </c>
      <c r="L138" s="123">
        <f t="shared" si="36"/>
        <v>1.1399999999999999</v>
      </c>
      <c r="M138" s="123">
        <f t="shared" si="36"/>
        <v>1.1399999999999999</v>
      </c>
      <c r="N138" s="123">
        <f t="shared" si="36"/>
        <v>1.1399999999999999</v>
      </c>
      <c r="O138" s="123">
        <f t="shared" si="36"/>
        <v>1.1399999999999999</v>
      </c>
      <c r="P138" s="123">
        <f t="shared" si="36"/>
        <v>1.1399999999999999</v>
      </c>
      <c r="Q138" s="123">
        <f t="shared" si="36"/>
        <v>1.1399999999999999</v>
      </c>
      <c r="R138" s="123">
        <f t="shared" si="36"/>
        <v>1.1399999999999999</v>
      </c>
      <c r="S138" s="123">
        <f t="shared" si="36"/>
        <v>1.1399999999999999</v>
      </c>
      <c r="T138" s="123">
        <f t="shared" si="37"/>
        <v>1.1399999999999999</v>
      </c>
      <c r="U138" s="123">
        <f t="shared" si="37"/>
        <v>1.1399999999999999</v>
      </c>
      <c r="V138" s="123">
        <f t="shared" si="37"/>
        <v>1.1399999999999999</v>
      </c>
      <c r="W138" s="123">
        <f t="shared" si="37"/>
        <v>1.1399999999999999</v>
      </c>
      <c r="X138" s="123">
        <f t="shared" si="37"/>
        <v>1.1399999999999999</v>
      </c>
      <c r="Y138" s="123">
        <f t="shared" si="37"/>
        <v>1.1399999999999999</v>
      </c>
      <c r="Z138" s="123">
        <f t="shared" si="37"/>
        <v>1.1399999999999999</v>
      </c>
      <c r="AA138" s="123">
        <f t="shared" si="37"/>
        <v>1.1399999999999999</v>
      </c>
      <c r="AB138" s="123">
        <f t="shared" si="37"/>
        <v>1.1399999999999999</v>
      </c>
      <c r="AC138" s="123">
        <f t="shared" si="37"/>
        <v>1.1399999999999999</v>
      </c>
      <c r="AD138" s="123">
        <f t="shared" si="37"/>
        <v>1.1399999999999999</v>
      </c>
      <c r="AE138" s="123">
        <f t="shared" si="37"/>
        <v>1.1399999999999999</v>
      </c>
      <c r="AF138" s="123">
        <f t="shared" si="37"/>
        <v>1.1399999999999999</v>
      </c>
      <c r="AG138" s="126">
        <v>4.95</v>
      </c>
      <c r="AH138" s="54"/>
      <c r="AI138" s="55"/>
      <c r="AK138" s="56"/>
    </row>
    <row r="139" spans="1:37" x14ac:dyDescent="0.25">
      <c r="A139" s="111" t="s">
        <v>144</v>
      </c>
      <c r="B139" s="123">
        <f t="shared" si="35"/>
        <v>0.82</v>
      </c>
      <c r="C139" s="124">
        <v>0.82</v>
      </c>
      <c r="D139" s="123">
        <f t="shared" si="36"/>
        <v>0.82</v>
      </c>
      <c r="E139" s="123">
        <f t="shared" si="36"/>
        <v>0.82</v>
      </c>
      <c r="F139" s="123">
        <f t="shared" si="36"/>
        <v>0.82</v>
      </c>
      <c r="G139" s="123">
        <f t="shared" si="36"/>
        <v>0.82</v>
      </c>
      <c r="H139" s="123">
        <f t="shared" si="36"/>
        <v>0.82</v>
      </c>
      <c r="I139" s="123">
        <f t="shared" si="36"/>
        <v>0.82</v>
      </c>
      <c r="J139" s="123">
        <f t="shared" si="36"/>
        <v>0.82</v>
      </c>
      <c r="K139" s="123">
        <f t="shared" si="36"/>
        <v>0.82</v>
      </c>
      <c r="L139" s="123">
        <f t="shared" si="36"/>
        <v>0.82</v>
      </c>
      <c r="M139" s="123">
        <f t="shared" si="36"/>
        <v>0.82</v>
      </c>
      <c r="N139" s="123">
        <f t="shared" si="36"/>
        <v>0.82</v>
      </c>
      <c r="O139" s="123">
        <f t="shared" si="36"/>
        <v>0.82</v>
      </c>
      <c r="P139" s="123">
        <f t="shared" si="36"/>
        <v>0.82</v>
      </c>
      <c r="Q139" s="123">
        <f t="shared" si="36"/>
        <v>0.82</v>
      </c>
      <c r="R139" s="123">
        <f t="shared" si="36"/>
        <v>0.82</v>
      </c>
      <c r="S139" s="123">
        <f t="shared" si="36"/>
        <v>0.82</v>
      </c>
      <c r="T139" s="123">
        <f t="shared" si="37"/>
        <v>0.82</v>
      </c>
      <c r="U139" s="123">
        <f t="shared" si="37"/>
        <v>0.82</v>
      </c>
      <c r="V139" s="123">
        <f t="shared" si="37"/>
        <v>0.82</v>
      </c>
      <c r="W139" s="123">
        <f t="shared" si="37"/>
        <v>0.82</v>
      </c>
      <c r="X139" s="123">
        <f t="shared" si="37"/>
        <v>0.82</v>
      </c>
      <c r="Y139" s="123">
        <f t="shared" si="37"/>
        <v>0.82</v>
      </c>
      <c r="Z139" s="123">
        <f t="shared" si="37"/>
        <v>0.82</v>
      </c>
      <c r="AA139" s="123">
        <f t="shared" si="37"/>
        <v>0.82</v>
      </c>
      <c r="AB139" s="123">
        <f t="shared" si="37"/>
        <v>0.82</v>
      </c>
      <c r="AC139" s="123">
        <f t="shared" si="37"/>
        <v>0.82</v>
      </c>
      <c r="AD139" s="123">
        <f t="shared" si="37"/>
        <v>0.82</v>
      </c>
      <c r="AE139" s="123">
        <f t="shared" si="37"/>
        <v>0.82</v>
      </c>
      <c r="AF139" s="123">
        <f t="shared" si="37"/>
        <v>0.82</v>
      </c>
      <c r="AG139" s="126">
        <v>4.95</v>
      </c>
      <c r="AH139" s="54"/>
      <c r="AI139" s="55"/>
      <c r="AK139" s="56"/>
    </row>
    <row r="140" spans="1:37" x14ac:dyDescent="0.25">
      <c r="A140" s="111" t="s">
        <v>145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4"/>
      <c r="AI140" s="55"/>
      <c r="AK140" s="56"/>
    </row>
    <row r="141" spans="1:37" x14ac:dyDescent="0.25">
      <c r="A141" s="111" t="s">
        <v>146</v>
      </c>
      <c r="B141" s="123">
        <f t="shared" ref="B141:B147" si="38">AF141</f>
        <v>2</v>
      </c>
      <c r="C141" s="124">
        <v>2</v>
      </c>
      <c r="D141" s="123">
        <f t="shared" ref="D141:S147" si="39">C141</f>
        <v>2</v>
      </c>
      <c r="E141" s="123">
        <f t="shared" si="39"/>
        <v>2</v>
      </c>
      <c r="F141" s="123">
        <f t="shared" si="39"/>
        <v>2</v>
      </c>
      <c r="G141" s="123">
        <f t="shared" si="39"/>
        <v>2</v>
      </c>
      <c r="H141" s="123">
        <f t="shared" si="39"/>
        <v>2</v>
      </c>
      <c r="I141" s="123">
        <f t="shared" si="39"/>
        <v>2</v>
      </c>
      <c r="J141" s="123">
        <f t="shared" si="39"/>
        <v>2</v>
      </c>
      <c r="K141" s="123">
        <f t="shared" si="39"/>
        <v>2</v>
      </c>
      <c r="L141" s="123">
        <f t="shared" si="39"/>
        <v>2</v>
      </c>
      <c r="M141" s="123">
        <f t="shared" si="39"/>
        <v>2</v>
      </c>
      <c r="N141" s="123">
        <f t="shared" si="39"/>
        <v>2</v>
      </c>
      <c r="O141" s="123">
        <f t="shared" si="39"/>
        <v>2</v>
      </c>
      <c r="P141" s="123">
        <f t="shared" si="39"/>
        <v>2</v>
      </c>
      <c r="Q141" s="123">
        <f t="shared" si="39"/>
        <v>2</v>
      </c>
      <c r="R141" s="123">
        <f t="shared" si="39"/>
        <v>2</v>
      </c>
      <c r="S141" s="123">
        <f t="shared" si="39"/>
        <v>2</v>
      </c>
      <c r="T141" s="123">
        <f t="shared" ref="T141:AF147" si="40">S141</f>
        <v>2</v>
      </c>
      <c r="U141" s="123">
        <f t="shared" si="40"/>
        <v>2</v>
      </c>
      <c r="V141" s="123">
        <f t="shared" si="40"/>
        <v>2</v>
      </c>
      <c r="W141" s="123">
        <f t="shared" si="40"/>
        <v>2</v>
      </c>
      <c r="X141" s="123">
        <f t="shared" si="40"/>
        <v>2</v>
      </c>
      <c r="Y141" s="123">
        <f t="shared" si="40"/>
        <v>2</v>
      </c>
      <c r="Z141" s="123">
        <f t="shared" si="40"/>
        <v>2</v>
      </c>
      <c r="AA141" s="123">
        <f t="shared" si="40"/>
        <v>2</v>
      </c>
      <c r="AB141" s="123">
        <f t="shared" si="40"/>
        <v>2</v>
      </c>
      <c r="AC141" s="123">
        <f t="shared" si="40"/>
        <v>2</v>
      </c>
      <c r="AD141" s="123">
        <f t="shared" si="40"/>
        <v>2</v>
      </c>
      <c r="AE141" s="123">
        <f t="shared" si="40"/>
        <v>2</v>
      </c>
      <c r="AF141" s="123">
        <f t="shared" si="40"/>
        <v>2</v>
      </c>
      <c r="AG141" s="126">
        <v>4.8</v>
      </c>
      <c r="AH141" s="54"/>
      <c r="AI141" s="55"/>
      <c r="AK141" s="56"/>
    </row>
    <row r="142" spans="1:37" x14ac:dyDescent="0.25">
      <c r="A142" s="111" t="s">
        <v>147</v>
      </c>
      <c r="B142" s="123">
        <f t="shared" si="38"/>
        <v>5.61</v>
      </c>
      <c r="C142" s="124">
        <v>5.61</v>
      </c>
      <c r="D142" s="123">
        <f t="shared" si="39"/>
        <v>5.61</v>
      </c>
      <c r="E142" s="123">
        <f t="shared" si="39"/>
        <v>5.61</v>
      </c>
      <c r="F142" s="123">
        <f t="shared" si="39"/>
        <v>5.61</v>
      </c>
      <c r="G142" s="123">
        <f t="shared" si="39"/>
        <v>5.61</v>
      </c>
      <c r="H142" s="123">
        <f t="shared" si="39"/>
        <v>5.61</v>
      </c>
      <c r="I142" s="123">
        <f t="shared" si="39"/>
        <v>5.61</v>
      </c>
      <c r="J142" s="123">
        <f t="shared" si="39"/>
        <v>5.61</v>
      </c>
      <c r="K142" s="123">
        <f t="shared" si="39"/>
        <v>5.61</v>
      </c>
      <c r="L142" s="123">
        <f t="shared" si="39"/>
        <v>5.61</v>
      </c>
      <c r="M142" s="123">
        <f t="shared" si="39"/>
        <v>5.61</v>
      </c>
      <c r="N142" s="123">
        <f t="shared" si="39"/>
        <v>5.61</v>
      </c>
      <c r="O142" s="123">
        <f t="shared" si="39"/>
        <v>5.61</v>
      </c>
      <c r="P142" s="123">
        <f t="shared" si="39"/>
        <v>5.61</v>
      </c>
      <c r="Q142" s="123">
        <f t="shared" si="39"/>
        <v>5.61</v>
      </c>
      <c r="R142" s="123">
        <f t="shared" si="39"/>
        <v>5.61</v>
      </c>
      <c r="S142" s="123">
        <f t="shared" si="39"/>
        <v>5.61</v>
      </c>
      <c r="T142" s="123">
        <f t="shared" si="40"/>
        <v>5.61</v>
      </c>
      <c r="U142" s="123">
        <f t="shared" si="40"/>
        <v>5.61</v>
      </c>
      <c r="V142" s="123">
        <f t="shared" si="40"/>
        <v>5.61</v>
      </c>
      <c r="W142" s="123">
        <f t="shared" si="40"/>
        <v>5.61</v>
      </c>
      <c r="X142" s="123">
        <f t="shared" si="40"/>
        <v>5.61</v>
      </c>
      <c r="Y142" s="123">
        <f t="shared" si="40"/>
        <v>5.61</v>
      </c>
      <c r="Z142" s="123">
        <f t="shared" si="40"/>
        <v>5.61</v>
      </c>
      <c r="AA142" s="123">
        <f t="shared" si="40"/>
        <v>5.61</v>
      </c>
      <c r="AB142" s="123">
        <f t="shared" si="40"/>
        <v>5.61</v>
      </c>
      <c r="AC142" s="123">
        <f t="shared" si="40"/>
        <v>5.61</v>
      </c>
      <c r="AD142" s="123">
        <f t="shared" si="40"/>
        <v>5.61</v>
      </c>
      <c r="AE142" s="123">
        <f t="shared" si="40"/>
        <v>5.61</v>
      </c>
      <c r="AF142" s="123">
        <f t="shared" si="40"/>
        <v>5.61</v>
      </c>
      <c r="AG142" s="126">
        <v>4.8</v>
      </c>
      <c r="AH142" s="54"/>
      <c r="AI142" s="55"/>
      <c r="AK142" s="56"/>
    </row>
    <row r="143" spans="1:37" x14ac:dyDescent="0.25">
      <c r="A143" s="111" t="s">
        <v>148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149</v>
      </c>
      <c r="B144" s="123">
        <f t="shared" si="38"/>
        <v>1.25</v>
      </c>
      <c r="C144" s="124">
        <v>1.25</v>
      </c>
      <c r="D144" s="123">
        <f t="shared" si="39"/>
        <v>1.25</v>
      </c>
      <c r="E144" s="123">
        <f t="shared" si="39"/>
        <v>1.25</v>
      </c>
      <c r="F144" s="123">
        <f t="shared" si="39"/>
        <v>1.25</v>
      </c>
      <c r="G144" s="123">
        <f t="shared" si="39"/>
        <v>1.25</v>
      </c>
      <c r="H144" s="123">
        <f t="shared" si="39"/>
        <v>1.25</v>
      </c>
      <c r="I144" s="123">
        <f t="shared" si="39"/>
        <v>1.25</v>
      </c>
      <c r="J144" s="123">
        <f t="shared" si="39"/>
        <v>1.25</v>
      </c>
      <c r="K144" s="123">
        <f t="shared" si="39"/>
        <v>1.25</v>
      </c>
      <c r="L144" s="123">
        <f t="shared" si="39"/>
        <v>1.25</v>
      </c>
      <c r="M144" s="123">
        <f t="shared" si="39"/>
        <v>1.25</v>
      </c>
      <c r="N144" s="123">
        <f t="shared" si="39"/>
        <v>1.25</v>
      </c>
      <c r="O144" s="123">
        <f t="shared" si="39"/>
        <v>1.25</v>
      </c>
      <c r="P144" s="123">
        <f t="shared" si="39"/>
        <v>1.25</v>
      </c>
      <c r="Q144" s="123">
        <f t="shared" si="39"/>
        <v>1.25</v>
      </c>
      <c r="R144" s="123">
        <f t="shared" si="39"/>
        <v>1.25</v>
      </c>
      <c r="S144" s="123">
        <f t="shared" si="39"/>
        <v>1.25</v>
      </c>
      <c r="T144" s="123">
        <f t="shared" si="40"/>
        <v>1.25</v>
      </c>
      <c r="U144" s="123">
        <f t="shared" si="40"/>
        <v>1.25</v>
      </c>
      <c r="V144" s="123">
        <f t="shared" si="40"/>
        <v>1.25</v>
      </c>
      <c r="W144" s="123">
        <f t="shared" si="40"/>
        <v>1.25</v>
      </c>
      <c r="X144" s="123">
        <f t="shared" si="40"/>
        <v>1.25</v>
      </c>
      <c r="Y144" s="123">
        <f t="shared" si="40"/>
        <v>1.25</v>
      </c>
      <c r="Z144" s="123">
        <f t="shared" si="40"/>
        <v>1.25</v>
      </c>
      <c r="AA144" s="123">
        <f t="shared" si="40"/>
        <v>1.25</v>
      </c>
      <c r="AB144" s="123">
        <f t="shared" si="40"/>
        <v>1.25</v>
      </c>
      <c r="AC144" s="123">
        <f t="shared" si="40"/>
        <v>1.25</v>
      </c>
      <c r="AD144" s="123">
        <f t="shared" si="40"/>
        <v>1.25</v>
      </c>
      <c r="AE144" s="123">
        <f t="shared" si="40"/>
        <v>1.25</v>
      </c>
      <c r="AF144" s="123">
        <f t="shared" si="40"/>
        <v>1.25</v>
      </c>
      <c r="AG144" s="126">
        <v>4.5</v>
      </c>
      <c r="AH144" s="54"/>
      <c r="AI144" s="55"/>
      <c r="AK144" s="56"/>
    </row>
    <row r="145" spans="1:37" x14ac:dyDescent="0.25">
      <c r="A145" s="111" t="s">
        <v>150</v>
      </c>
      <c r="B145" s="123">
        <f t="shared" si="38"/>
        <v>1.46</v>
      </c>
      <c r="C145" s="124">
        <v>1.46</v>
      </c>
      <c r="D145" s="123">
        <f t="shared" si="39"/>
        <v>1.46</v>
      </c>
      <c r="E145" s="123">
        <f t="shared" si="39"/>
        <v>1.46</v>
      </c>
      <c r="F145" s="123">
        <f t="shared" si="39"/>
        <v>1.46</v>
      </c>
      <c r="G145" s="123">
        <f t="shared" si="39"/>
        <v>1.46</v>
      </c>
      <c r="H145" s="123">
        <f t="shared" si="39"/>
        <v>1.46</v>
      </c>
      <c r="I145" s="123">
        <f t="shared" si="39"/>
        <v>1.46</v>
      </c>
      <c r="J145" s="123">
        <f t="shared" si="39"/>
        <v>1.46</v>
      </c>
      <c r="K145" s="123">
        <f t="shared" si="39"/>
        <v>1.46</v>
      </c>
      <c r="L145" s="123">
        <f t="shared" si="39"/>
        <v>1.46</v>
      </c>
      <c r="M145" s="123">
        <f t="shared" si="39"/>
        <v>1.46</v>
      </c>
      <c r="N145" s="123">
        <f t="shared" si="39"/>
        <v>1.46</v>
      </c>
      <c r="O145" s="123">
        <f t="shared" si="39"/>
        <v>1.46</v>
      </c>
      <c r="P145" s="123">
        <f t="shared" si="39"/>
        <v>1.46</v>
      </c>
      <c r="Q145" s="123">
        <f t="shared" si="39"/>
        <v>1.46</v>
      </c>
      <c r="R145" s="123">
        <f t="shared" si="39"/>
        <v>1.46</v>
      </c>
      <c r="S145" s="123">
        <f t="shared" si="39"/>
        <v>1.46</v>
      </c>
      <c r="T145" s="123">
        <f t="shared" si="40"/>
        <v>1.46</v>
      </c>
      <c r="U145" s="123">
        <f t="shared" si="40"/>
        <v>1.46</v>
      </c>
      <c r="V145" s="123">
        <f t="shared" si="40"/>
        <v>1.46</v>
      </c>
      <c r="W145" s="123">
        <f t="shared" si="40"/>
        <v>1.46</v>
      </c>
      <c r="X145" s="123">
        <f t="shared" si="40"/>
        <v>1.46</v>
      </c>
      <c r="Y145" s="123">
        <f t="shared" si="40"/>
        <v>1.46</v>
      </c>
      <c r="Z145" s="123">
        <f t="shared" si="40"/>
        <v>1.46</v>
      </c>
      <c r="AA145" s="123">
        <f t="shared" si="40"/>
        <v>1.46</v>
      </c>
      <c r="AB145" s="123">
        <f t="shared" si="40"/>
        <v>1.46</v>
      </c>
      <c r="AC145" s="123">
        <f t="shared" si="40"/>
        <v>1.46</v>
      </c>
      <c r="AD145" s="123">
        <f t="shared" si="40"/>
        <v>1.46</v>
      </c>
      <c r="AE145" s="123">
        <f t="shared" si="40"/>
        <v>1.46</v>
      </c>
      <c r="AF145" s="123">
        <f t="shared" si="40"/>
        <v>1.46</v>
      </c>
      <c r="AG145" s="126">
        <v>4.4550000000000001</v>
      </c>
      <c r="AH145" s="54"/>
      <c r="AI145" s="55"/>
      <c r="AK145" s="56"/>
    </row>
    <row r="146" spans="1:37" x14ac:dyDescent="0.25">
      <c r="A146" s="111" t="s">
        <v>151</v>
      </c>
      <c r="B146" s="123">
        <f t="shared" si="38"/>
        <v>3</v>
      </c>
      <c r="C146" s="124">
        <v>3</v>
      </c>
      <c r="D146" s="123">
        <f t="shared" si="39"/>
        <v>3</v>
      </c>
      <c r="E146" s="123">
        <f t="shared" si="39"/>
        <v>3</v>
      </c>
      <c r="F146" s="123">
        <f t="shared" si="39"/>
        <v>3</v>
      </c>
      <c r="G146" s="123">
        <f t="shared" si="39"/>
        <v>3</v>
      </c>
      <c r="H146" s="123">
        <f t="shared" si="39"/>
        <v>3</v>
      </c>
      <c r="I146" s="123">
        <f t="shared" si="39"/>
        <v>3</v>
      </c>
      <c r="J146" s="123">
        <f t="shared" si="39"/>
        <v>3</v>
      </c>
      <c r="K146" s="123">
        <f t="shared" si="39"/>
        <v>3</v>
      </c>
      <c r="L146" s="123">
        <f t="shared" si="39"/>
        <v>3</v>
      </c>
      <c r="M146" s="123">
        <f t="shared" si="39"/>
        <v>3</v>
      </c>
      <c r="N146" s="123">
        <f t="shared" si="39"/>
        <v>3</v>
      </c>
      <c r="O146" s="123">
        <f t="shared" si="39"/>
        <v>3</v>
      </c>
      <c r="P146" s="123">
        <f t="shared" si="39"/>
        <v>3</v>
      </c>
      <c r="Q146" s="123">
        <f t="shared" si="39"/>
        <v>3</v>
      </c>
      <c r="R146" s="123">
        <f t="shared" si="39"/>
        <v>3</v>
      </c>
      <c r="S146" s="123">
        <f t="shared" si="39"/>
        <v>3</v>
      </c>
      <c r="T146" s="123">
        <f t="shared" si="40"/>
        <v>3</v>
      </c>
      <c r="U146" s="123">
        <f t="shared" si="40"/>
        <v>3</v>
      </c>
      <c r="V146" s="123">
        <f t="shared" si="40"/>
        <v>3</v>
      </c>
      <c r="W146" s="123">
        <f t="shared" si="40"/>
        <v>3</v>
      </c>
      <c r="X146" s="123">
        <f t="shared" si="40"/>
        <v>3</v>
      </c>
      <c r="Y146" s="123">
        <f t="shared" si="40"/>
        <v>3</v>
      </c>
      <c r="Z146" s="123">
        <f t="shared" si="40"/>
        <v>3</v>
      </c>
      <c r="AA146" s="123">
        <f t="shared" si="40"/>
        <v>3</v>
      </c>
      <c r="AB146" s="123">
        <f t="shared" si="40"/>
        <v>3</v>
      </c>
      <c r="AC146" s="123">
        <f t="shared" si="40"/>
        <v>3</v>
      </c>
      <c r="AD146" s="123">
        <f t="shared" si="40"/>
        <v>3</v>
      </c>
      <c r="AE146" s="123">
        <f t="shared" si="40"/>
        <v>3</v>
      </c>
      <c r="AF146" s="123">
        <f t="shared" si="40"/>
        <v>3</v>
      </c>
      <c r="AG146" s="126">
        <v>4.41</v>
      </c>
      <c r="AH146" s="54"/>
      <c r="AI146" s="55"/>
      <c r="AK146" s="56"/>
    </row>
    <row r="147" spans="1:37" x14ac:dyDescent="0.25">
      <c r="A147" s="111" t="s">
        <v>152</v>
      </c>
      <c r="B147" s="123">
        <f t="shared" si="38"/>
        <v>3.3</v>
      </c>
      <c r="C147" s="124">
        <v>3.3</v>
      </c>
      <c r="D147" s="123">
        <f t="shared" si="39"/>
        <v>3.3</v>
      </c>
      <c r="E147" s="123">
        <f t="shared" si="39"/>
        <v>3.3</v>
      </c>
      <c r="F147" s="123">
        <f t="shared" si="39"/>
        <v>3.3</v>
      </c>
      <c r="G147" s="123">
        <f t="shared" si="39"/>
        <v>3.3</v>
      </c>
      <c r="H147" s="123">
        <f t="shared" si="39"/>
        <v>3.3</v>
      </c>
      <c r="I147" s="123">
        <f t="shared" si="39"/>
        <v>3.3</v>
      </c>
      <c r="J147" s="123">
        <f t="shared" si="39"/>
        <v>3.3</v>
      </c>
      <c r="K147" s="123">
        <f t="shared" si="39"/>
        <v>3.3</v>
      </c>
      <c r="L147" s="123">
        <f t="shared" si="39"/>
        <v>3.3</v>
      </c>
      <c r="M147" s="123">
        <f t="shared" si="39"/>
        <v>3.3</v>
      </c>
      <c r="N147" s="123">
        <f t="shared" si="39"/>
        <v>3.3</v>
      </c>
      <c r="O147" s="123">
        <f t="shared" si="39"/>
        <v>3.3</v>
      </c>
      <c r="P147" s="123">
        <f t="shared" si="39"/>
        <v>3.3</v>
      </c>
      <c r="Q147" s="123">
        <f t="shared" si="39"/>
        <v>3.3</v>
      </c>
      <c r="R147" s="123">
        <f t="shared" si="39"/>
        <v>3.3</v>
      </c>
      <c r="S147" s="123">
        <f t="shared" si="39"/>
        <v>3.3</v>
      </c>
      <c r="T147" s="123">
        <f t="shared" si="40"/>
        <v>3.3</v>
      </c>
      <c r="U147" s="123">
        <f t="shared" si="40"/>
        <v>3.3</v>
      </c>
      <c r="V147" s="123">
        <f t="shared" si="40"/>
        <v>3.3</v>
      </c>
      <c r="W147" s="123">
        <f t="shared" si="40"/>
        <v>3.3</v>
      </c>
      <c r="X147" s="123">
        <f t="shared" si="40"/>
        <v>3.3</v>
      </c>
      <c r="Y147" s="123">
        <f t="shared" si="40"/>
        <v>3.3</v>
      </c>
      <c r="Z147" s="123">
        <f t="shared" si="40"/>
        <v>3.3</v>
      </c>
      <c r="AA147" s="123">
        <f t="shared" si="40"/>
        <v>3.3</v>
      </c>
      <c r="AB147" s="123">
        <f t="shared" si="40"/>
        <v>3.3</v>
      </c>
      <c r="AC147" s="123">
        <f t="shared" si="40"/>
        <v>3.3</v>
      </c>
      <c r="AD147" s="123">
        <f t="shared" si="40"/>
        <v>3.3</v>
      </c>
      <c r="AE147" s="123">
        <f t="shared" si="40"/>
        <v>3.3</v>
      </c>
      <c r="AF147" s="123">
        <f t="shared" si="40"/>
        <v>3.3</v>
      </c>
      <c r="AG147" s="126">
        <v>4.4000000000000004</v>
      </c>
      <c r="AH147" s="54"/>
      <c r="AI147" s="55"/>
      <c r="AK147" s="56"/>
    </row>
    <row r="148" spans="1:37" x14ac:dyDescent="0.25">
      <c r="A148" s="111" t="s">
        <v>153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4"/>
      <c r="AI148" s="55"/>
      <c r="AK148" s="56"/>
    </row>
    <row r="149" spans="1:37" x14ac:dyDescent="0.25">
      <c r="A149" s="111" t="s">
        <v>154</v>
      </c>
      <c r="B149" s="123">
        <f>AF149</f>
        <v>1.76</v>
      </c>
      <c r="C149" s="124">
        <v>1.76</v>
      </c>
      <c r="D149" s="123">
        <f t="shared" ref="D149:S150" si="41">C149</f>
        <v>1.76</v>
      </c>
      <c r="E149" s="123">
        <f t="shared" si="41"/>
        <v>1.76</v>
      </c>
      <c r="F149" s="123">
        <f t="shared" si="41"/>
        <v>1.76</v>
      </c>
      <c r="G149" s="123">
        <f t="shared" si="41"/>
        <v>1.76</v>
      </c>
      <c r="H149" s="123">
        <f t="shared" si="41"/>
        <v>1.76</v>
      </c>
      <c r="I149" s="123">
        <f t="shared" si="41"/>
        <v>1.76</v>
      </c>
      <c r="J149" s="123">
        <f t="shared" si="41"/>
        <v>1.76</v>
      </c>
      <c r="K149" s="123">
        <f t="shared" si="41"/>
        <v>1.76</v>
      </c>
      <c r="L149" s="123">
        <f t="shared" si="41"/>
        <v>1.76</v>
      </c>
      <c r="M149" s="123">
        <f t="shared" si="41"/>
        <v>1.76</v>
      </c>
      <c r="N149" s="123">
        <f t="shared" si="41"/>
        <v>1.76</v>
      </c>
      <c r="O149" s="123">
        <f t="shared" si="41"/>
        <v>1.76</v>
      </c>
      <c r="P149" s="123">
        <f t="shared" si="41"/>
        <v>1.76</v>
      </c>
      <c r="Q149" s="123">
        <f t="shared" si="41"/>
        <v>1.76</v>
      </c>
      <c r="R149" s="123">
        <f t="shared" si="41"/>
        <v>1.76</v>
      </c>
      <c r="S149" s="123">
        <f t="shared" si="41"/>
        <v>1.76</v>
      </c>
      <c r="T149" s="123">
        <f t="shared" ref="T149:AF150" si="42">S149</f>
        <v>1.76</v>
      </c>
      <c r="U149" s="123">
        <f t="shared" si="42"/>
        <v>1.76</v>
      </c>
      <c r="V149" s="123">
        <f t="shared" si="42"/>
        <v>1.76</v>
      </c>
      <c r="W149" s="123">
        <f t="shared" si="42"/>
        <v>1.76</v>
      </c>
      <c r="X149" s="123">
        <f t="shared" si="42"/>
        <v>1.76</v>
      </c>
      <c r="Y149" s="123">
        <f t="shared" si="42"/>
        <v>1.76</v>
      </c>
      <c r="Z149" s="123">
        <f t="shared" si="42"/>
        <v>1.76</v>
      </c>
      <c r="AA149" s="123">
        <f t="shared" si="42"/>
        <v>1.76</v>
      </c>
      <c r="AB149" s="123">
        <f t="shared" si="42"/>
        <v>1.76</v>
      </c>
      <c r="AC149" s="123">
        <f t="shared" si="42"/>
        <v>1.76</v>
      </c>
      <c r="AD149" s="123">
        <f t="shared" si="42"/>
        <v>1.76</v>
      </c>
      <c r="AE149" s="123">
        <f t="shared" si="42"/>
        <v>1.76</v>
      </c>
      <c r="AF149" s="123">
        <f t="shared" si="42"/>
        <v>1.76</v>
      </c>
      <c r="AG149" s="126">
        <v>4.2</v>
      </c>
      <c r="AH149" s="54"/>
      <c r="AI149" s="55"/>
      <c r="AK149" s="56"/>
    </row>
    <row r="150" spans="1:37" x14ac:dyDescent="0.25">
      <c r="A150" s="111" t="s">
        <v>155</v>
      </c>
      <c r="B150" s="123">
        <f>AF150</f>
        <v>0</v>
      </c>
      <c r="C150" s="124">
        <v>0</v>
      </c>
      <c r="D150" s="123">
        <f t="shared" si="41"/>
        <v>0</v>
      </c>
      <c r="E150" s="123">
        <f t="shared" si="41"/>
        <v>0</v>
      </c>
      <c r="F150" s="123">
        <f t="shared" si="41"/>
        <v>0</v>
      </c>
      <c r="G150" s="123">
        <f t="shared" si="41"/>
        <v>0</v>
      </c>
      <c r="H150" s="123">
        <f t="shared" si="41"/>
        <v>0</v>
      </c>
      <c r="I150" s="123">
        <f t="shared" si="41"/>
        <v>0</v>
      </c>
      <c r="J150" s="123">
        <f t="shared" si="41"/>
        <v>0</v>
      </c>
      <c r="K150" s="123">
        <f t="shared" si="41"/>
        <v>0</v>
      </c>
      <c r="L150" s="123">
        <f t="shared" si="41"/>
        <v>0</v>
      </c>
      <c r="M150" s="123">
        <f t="shared" si="41"/>
        <v>0</v>
      </c>
      <c r="N150" s="123">
        <f t="shared" si="41"/>
        <v>0</v>
      </c>
      <c r="O150" s="123">
        <f t="shared" si="41"/>
        <v>0</v>
      </c>
      <c r="P150" s="123">
        <f t="shared" si="41"/>
        <v>0</v>
      </c>
      <c r="Q150" s="123">
        <f t="shared" si="41"/>
        <v>0</v>
      </c>
      <c r="R150" s="123">
        <f t="shared" si="41"/>
        <v>0</v>
      </c>
      <c r="S150" s="123">
        <f t="shared" si="41"/>
        <v>0</v>
      </c>
      <c r="T150" s="123">
        <f t="shared" si="42"/>
        <v>0</v>
      </c>
      <c r="U150" s="123">
        <f t="shared" si="42"/>
        <v>0</v>
      </c>
      <c r="V150" s="123">
        <f t="shared" si="42"/>
        <v>0</v>
      </c>
      <c r="W150" s="123">
        <f t="shared" si="42"/>
        <v>0</v>
      </c>
      <c r="X150" s="123">
        <f t="shared" si="42"/>
        <v>0</v>
      </c>
      <c r="Y150" s="123">
        <f t="shared" si="42"/>
        <v>0</v>
      </c>
      <c r="Z150" s="123">
        <f t="shared" si="42"/>
        <v>0</v>
      </c>
      <c r="AA150" s="123">
        <f t="shared" si="42"/>
        <v>0</v>
      </c>
      <c r="AB150" s="123">
        <f t="shared" si="42"/>
        <v>0</v>
      </c>
      <c r="AC150" s="123">
        <f t="shared" si="42"/>
        <v>0</v>
      </c>
      <c r="AD150" s="123">
        <f t="shared" si="42"/>
        <v>0</v>
      </c>
      <c r="AE150" s="123">
        <f t="shared" si="42"/>
        <v>0</v>
      </c>
      <c r="AF150" s="123">
        <f t="shared" si="42"/>
        <v>0</v>
      </c>
      <c r="AG150" s="126">
        <v>4</v>
      </c>
      <c r="AH150" s="54"/>
      <c r="AI150" s="55"/>
      <c r="AK150" s="56"/>
    </row>
    <row r="151" spans="1:37" x14ac:dyDescent="0.25">
      <c r="A151" s="111" t="s">
        <v>156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4"/>
      <c r="AI151" s="55"/>
      <c r="AK151" s="56"/>
    </row>
    <row r="152" spans="1:37" x14ac:dyDescent="0.25">
      <c r="A152" s="111" t="s">
        <v>157</v>
      </c>
      <c r="B152" s="123">
        <f>AF152</f>
        <v>0.1</v>
      </c>
      <c r="C152" s="124">
        <v>0.1</v>
      </c>
      <c r="D152" s="123">
        <f t="shared" ref="D152:S155" si="43">C152</f>
        <v>0.1</v>
      </c>
      <c r="E152" s="123">
        <f t="shared" si="43"/>
        <v>0.1</v>
      </c>
      <c r="F152" s="123">
        <f t="shared" si="43"/>
        <v>0.1</v>
      </c>
      <c r="G152" s="123">
        <f t="shared" si="43"/>
        <v>0.1</v>
      </c>
      <c r="H152" s="123">
        <f t="shared" si="43"/>
        <v>0.1</v>
      </c>
      <c r="I152" s="123">
        <f t="shared" si="43"/>
        <v>0.1</v>
      </c>
      <c r="J152" s="123">
        <f t="shared" si="43"/>
        <v>0.1</v>
      </c>
      <c r="K152" s="123">
        <f t="shared" si="43"/>
        <v>0.1</v>
      </c>
      <c r="L152" s="123">
        <f t="shared" si="43"/>
        <v>0.1</v>
      </c>
      <c r="M152" s="123">
        <f t="shared" si="43"/>
        <v>0.1</v>
      </c>
      <c r="N152" s="123">
        <f t="shared" si="43"/>
        <v>0.1</v>
      </c>
      <c r="O152" s="123">
        <f t="shared" si="43"/>
        <v>0.1</v>
      </c>
      <c r="P152" s="123">
        <f t="shared" si="43"/>
        <v>0.1</v>
      </c>
      <c r="Q152" s="123">
        <f t="shared" si="43"/>
        <v>0.1</v>
      </c>
      <c r="R152" s="123">
        <f t="shared" si="43"/>
        <v>0.1</v>
      </c>
      <c r="S152" s="123">
        <f t="shared" si="43"/>
        <v>0.1</v>
      </c>
      <c r="T152" s="123">
        <f t="shared" ref="T152:AF155" si="44">S152</f>
        <v>0.1</v>
      </c>
      <c r="U152" s="123">
        <f t="shared" si="44"/>
        <v>0.1</v>
      </c>
      <c r="V152" s="123">
        <f t="shared" si="44"/>
        <v>0.1</v>
      </c>
      <c r="W152" s="123">
        <f t="shared" si="44"/>
        <v>0.1</v>
      </c>
      <c r="X152" s="123">
        <f t="shared" si="44"/>
        <v>0.1</v>
      </c>
      <c r="Y152" s="123">
        <f t="shared" si="44"/>
        <v>0.1</v>
      </c>
      <c r="Z152" s="123">
        <f t="shared" si="44"/>
        <v>0.1</v>
      </c>
      <c r="AA152" s="123">
        <f t="shared" si="44"/>
        <v>0.1</v>
      </c>
      <c r="AB152" s="123">
        <f t="shared" si="44"/>
        <v>0.1</v>
      </c>
      <c r="AC152" s="123">
        <f t="shared" si="44"/>
        <v>0.1</v>
      </c>
      <c r="AD152" s="123">
        <f t="shared" si="44"/>
        <v>0.1</v>
      </c>
      <c r="AE152" s="123">
        <f t="shared" si="44"/>
        <v>0.1</v>
      </c>
      <c r="AF152" s="123">
        <f t="shared" si="44"/>
        <v>0.1</v>
      </c>
      <c r="AG152" s="126">
        <v>4</v>
      </c>
      <c r="AH152" s="54"/>
      <c r="AI152" s="55"/>
      <c r="AK152" s="56"/>
    </row>
    <row r="153" spans="1:37" x14ac:dyDescent="0.25">
      <c r="A153" s="111" t="s">
        <v>158</v>
      </c>
      <c r="B153" s="123">
        <f>AF153</f>
        <v>2.0499999999999998</v>
      </c>
      <c r="C153" s="124">
        <v>2.0499999999999998</v>
      </c>
      <c r="D153" s="123">
        <f t="shared" si="43"/>
        <v>2.0499999999999998</v>
      </c>
      <c r="E153" s="123">
        <f t="shared" si="43"/>
        <v>2.0499999999999998</v>
      </c>
      <c r="F153" s="123">
        <f t="shared" si="43"/>
        <v>2.0499999999999998</v>
      </c>
      <c r="G153" s="123">
        <f t="shared" si="43"/>
        <v>2.0499999999999998</v>
      </c>
      <c r="H153" s="123">
        <f t="shared" si="43"/>
        <v>2.0499999999999998</v>
      </c>
      <c r="I153" s="123">
        <f t="shared" si="43"/>
        <v>2.0499999999999998</v>
      </c>
      <c r="J153" s="123">
        <f t="shared" si="43"/>
        <v>2.0499999999999998</v>
      </c>
      <c r="K153" s="123">
        <f t="shared" si="43"/>
        <v>2.0499999999999998</v>
      </c>
      <c r="L153" s="123">
        <f t="shared" si="43"/>
        <v>2.0499999999999998</v>
      </c>
      <c r="M153" s="123">
        <f t="shared" si="43"/>
        <v>2.0499999999999998</v>
      </c>
      <c r="N153" s="123">
        <f t="shared" si="43"/>
        <v>2.0499999999999998</v>
      </c>
      <c r="O153" s="123">
        <f t="shared" si="43"/>
        <v>2.0499999999999998</v>
      </c>
      <c r="P153" s="123">
        <f t="shared" si="43"/>
        <v>2.0499999999999998</v>
      </c>
      <c r="Q153" s="123">
        <f t="shared" si="43"/>
        <v>2.0499999999999998</v>
      </c>
      <c r="R153" s="123">
        <f t="shared" si="43"/>
        <v>2.0499999999999998</v>
      </c>
      <c r="S153" s="123">
        <f t="shared" si="43"/>
        <v>2.0499999999999998</v>
      </c>
      <c r="T153" s="123">
        <f t="shared" si="44"/>
        <v>2.0499999999999998</v>
      </c>
      <c r="U153" s="123">
        <f t="shared" si="44"/>
        <v>2.0499999999999998</v>
      </c>
      <c r="V153" s="123">
        <f t="shared" si="44"/>
        <v>2.0499999999999998</v>
      </c>
      <c r="W153" s="123">
        <f t="shared" si="44"/>
        <v>2.0499999999999998</v>
      </c>
      <c r="X153" s="123">
        <f t="shared" si="44"/>
        <v>2.0499999999999998</v>
      </c>
      <c r="Y153" s="123">
        <f t="shared" si="44"/>
        <v>2.0499999999999998</v>
      </c>
      <c r="Z153" s="123">
        <f t="shared" si="44"/>
        <v>2.0499999999999998</v>
      </c>
      <c r="AA153" s="123">
        <f t="shared" si="44"/>
        <v>2.0499999999999998</v>
      </c>
      <c r="AB153" s="123">
        <f t="shared" si="44"/>
        <v>2.0499999999999998</v>
      </c>
      <c r="AC153" s="123">
        <f t="shared" si="44"/>
        <v>2.0499999999999998</v>
      </c>
      <c r="AD153" s="123">
        <f t="shared" si="44"/>
        <v>2.0499999999999998</v>
      </c>
      <c r="AE153" s="123">
        <f t="shared" si="44"/>
        <v>2.0499999999999998</v>
      </c>
      <c r="AF153" s="123">
        <f t="shared" si="44"/>
        <v>2.0499999999999998</v>
      </c>
      <c r="AG153" s="126">
        <v>4</v>
      </c>
      <c r="AH153" s="54"/>
      <c r="AI153" s="55"/>
      <c r="AK153" s="56"/>
    </row>
    <row r="154" spans="1:37" x14ac:dyDescent="0.25">
      <c r="A154" s="111" t="s">
        <v>159</v>
      </c>
      <c r="B154" s="123">
        <f>AF154</f>
        <v>2.7</v>
      </c>
      <c r="C154" s="124">
        <v>2.7</v>
      </c>
      <c r="D154" s="123">
        <f t="shared" si="43"/>
        <v>2.7</v>
      </c>
      <c r="E154" s="123">
        <f t="shared" si="43"/>
        <v>2.7</v>
      </c>
      <c r="F154" s="123">
        <f t="shared" si="43"/>
        <v>2.7</v>
      </c>
      <c r="G154" s="123">
        <f t="shared" si="43"/>
        <v>2.7</v>
      </c>
      <c r="H154" s="123">
        <f t="shared" si="43"/>
        <v>2.7</v>
      </c>
      <c r="I154" s="123">
        <f t="shared" si="43"/>
        <v>2.7</v>
      </c>
      <c r="J154" s="123">
        <f t="shared" si="43"/>
        <v>2.7</v>
      </c>
      <c r="K154" s="123">
        <f t="shared" si="43"/>
        <v>2.7</v>
      </c>
      <c r="L154" s="123">
        <f t="shared" si="43"/>
        <v>2.7</v>
      </c>
      <c r="M154" s="123">
        <f t="shared" si="43"/>
        <v>2.7</v>
      </c>
      <c r="N154" s="123">
        <f t="shared" si="43"/>
        <v>2.7</v>
      </c>
      <c r="O154" s="123">
        <f t="shared" si="43"/>
        <v>2.7</v>
      </c>
      <c r="P154" s="123">
        <f t="shared" si="43"/>
        <v>2.7</v>
      </c>
      <c r="Q154" s="123">
        <f t="shared" si="43"/>
        <v>2.7</v>
      </c>
      <c r="R154" s="123">
        <f t="shared" si="43"/>
        <v>2.7</v>
      </c>
      <c r="S154" s="123">
        <f t="shared" si="43"/>
        <v>2.7</v>
      </c>
      <c r="T154" s="123">
        <f t="shared" si="44"/>
        <v>2.7</v>
      </c>
      <c r="U154" s="123">
        <f t="shared" si="44"/>
        <v>2.7</v>
      </c>
      <c r="V154" s="123">
        <f t="shared" si="44"/>
        <v>2.7</v>
      </c>
      <c r="W154" s="123">
        <f t="shared" si="44"/>
        <v>2.7</v>
      </c>
      <c r="X154" s="123">
        <f t="shared" si="44"/>
        <v>2.7</v>
      </c>
      <c r="Y154" s="123">
        <f t="shared" si="44"/>
        <v>2.7</v>
      </c>
      <c r="Z154" s="123">
        <f t="shared" si="44"/>
        <v>2.7</v>
      </c>
      <c r="AA154" s="123">
        <f t="shared" si="44"/>
        <v>2.7</v>
      </c>
      <c r="AB154" s="123">
        <f t="shared" si="44"/>
        <v>2.7</v>
      </c>
      <c r="AC154" s="123">
        <f t="shared" si="44"/>
        <v>2.7</v>
      </c>
      <c r="AD154" s="123">
        <f t="shared" si="44"/>
        <v>2.7</v>
      </c>
      <c r="AE154" s="123">
        <f t="shared" si="44"/>
        <v>2.7</v>
      </c>
      <c r="AF154" s="123">
        <f t="shared" si="44"/>
        <v>2.7</v>
      </c>
      <c r="AG154" s="126">
        <v>4</v>
      </c>
      <c r="AH154" s="54"/>
      <c r="AI154" s="55"/>
      <c r="AK154" s="56"/>
    </row>
    <row r="155" spans="1:37" x14ac:dyDescent="0.25">
      <c r="A155" s="111" t="s">
        <v>160</v>
      </c>
      <c r="B155" s="123">
        <f>AF155</f>
        <v>2.15</v>
      </c>
      <c r="C155" s="124">
        <v>2.15</v>
      </c>
      <c r="D155" s="123">
        <f t="shared" si="43"/>
        <v>2.15</v>
      </c>
      <c r="E155" s="123">
        <f t="shared" si="43"/>
        <v>2.15</v>
      </c>
      <c r="F155" s="123">
        <f t="shared" si="43"/>
        <v>2.15</v>
      </c>
      <c r="G155" s="123">
        <f t="shared" si="43"/>
        <v>2.15</v>
      </c>
      <c r="H155" s="123">
        <f t="shared" si="43"/>
        <v>2.15</v>
      </c>
      <c r="I155" s="123">
        <f t="shared" si="43"/>
        <v>2.15</v>
      </c>
      <c r="J155" s="123">
        <f t="shared" si="43"/>
        <v>2.15</v>
      </c>
      <c r="K155" s="123">
        <f t="shared" si="43"/>
        <v>2.15</v>
      </c>
      <c r="L155" s="123">
        <f t="shared" si="43"/>
        <v>2.15</v>
      </c>
      <c r="M155" s="123">
        <f t="shared" si="43"/>
        <v>2.15</v>
      </c>
      <c r="N155" s="123">
        <f t="shared" si="43"/>
        <v>2.15</v>
      </c>
      <c r="O155" s="123">
        <f t="shared" si="43"/>
        <v>2.15</v>
      </c>
      <c r="P155" s="123">
        <f t="shared" si="43"/>
        <v>2.15</v>
      </c>
      <c r="Q155" s="123">
        <f t="shared" si="43"/>
        <v>2.15</v>
      </c>
      <c r="R155" s="123">
        <f t="shared" si="43"/>
        <v>2.15</v>
      </c>
      <c r="S155" s="123">
        <f t="shared" si="43"/>
        <v>2.15</v>
      </c>
      <c r="T155" s="123">
        <f t="shared" si="44"/>
        <v>2.15</v>
      </c>
      <c r="U155" s="123">
        <f t="shared" si="44"/>
        <v>2.15</v>
      </c>
      <c r="V155" s="123">
        <f t="shared" si="44"/>
        <v>2.15</v>
      </c>
      <c r="W155" s="123">
        <f t="shared" si="44"/>
        <v>2.15</v>
      </c>
      <c r="X155" s="123">
        <f t="shared" si="44"/>
        <v>2.15</v>
      </c>
      <c r="Y155" s="123">
        <f t="shared" si="44"/>
        <v>2.15</v>
      </c>
      <c r="Z155" s="123">
        <f t="shared" si="44"/>
        <v>2.15</v>
      </c>
      <c r="AA155" s="123">
        <f t="shared" si="44"/>
        <v>2.15</v>
      </c>
      <c r="AB155" s="123">
        <f t="shared" si="44"/>
        <v>2.15</v>
      </c>
      <c r="AC155" s="123">
        <f t="shared" si="44"/>
        <v>2.15</v>
      </c>
      <c r="AD155" s="123">
        <f t="shared" si="44"/>
        <v>2.15</v>
      </c>
      <c r="AE155" s="123">
        <f t="shared" si="44"/>
        <v>2.15</v>
      </c>
      <c r="AF155" s="123">
        <f t="shared" si="44"/>
        <v>2.15</v>
      </c>
      <c r="AG155" s="126">
        <v>4</v>
      </c>
      <c r="AH155" s="54"/>
      <c r="AI155" s="55"/>
      <c r="AK155" s="56"/>
    </row>
    <row r="156" spans="1:37" x14ac:dyDescent="0.25">
      <c r="A156" s="111" t="s">
        <v>161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4"/>
      <c r="AI156" s="55"/>
      <c r="AK156" s="56"/>
    </row>
    <row r="157" spans="1:37" x14ac:dyDescent="0.25">
      <c r="A157" s="111" t="s">
        <v>162</v>
      </c>
      <c r="B157" s="123">
        <f t="shared" ref="B157:B169" si="45">AF157</f>
        <v>0.9</v>
      </c>
      <c r="C157" s="124">
        <v>0.9</v>
      </c>
      <c r="D157" s="123">
        <f t="shared" ref="D157:S169" si="46">C157</f>
        <v>0.9</v>
      </c>
      <c r="E157" s="123">
        <f t="shared" si="46"/>
        <v>0.9</v>
      </c>
      <c r="F157" s="123">
        <f t="shared" si="46"/>
        <v>0.9</v>
      </c>
      <c r="G157" s="123">
        <f t="shared" si="46"/>
        <v>0.9</v>
      </c>
      <c r="H157" s="123">
        <f t="shared" si="46"/>
        <v>0.9</v>
      </c>
      <c r="I157" s="123">
        <f t="shared" si="46"/>
        <v>0.9</v>
      </c>
      <c r="J157" s="123">
        <f t="shared" si="46"/>
        <v>0.9</v>
      </c>
      <c r="K157" s="123">
        <f t="shared" si="46"/>
        <v>0.9</v>
      </c>
      <c r="L157" s="123">
        <f t="shared" si="46"/>
        <v>0.9</v>
      </c>
      <c r="M157" s="123">
        <f t="shared" si="46"/>
        <v>0.9</v>
      </c>
      <c r="N157" s="123">
        <f t="shared" si="46"/>
        <v>0.9</v>
      </c>
      <c r="O157" s="123">
        <f t="shared" si="46"/>
        <v>0.9</v>
      </c>
      <c r="P157" s="123">
        <f t="shared" si="46"/>
        <v>0.9</v>
      </c>
      <c r="Q157" s="123">
        <f t="shared" si="46"/>
        <v>0.9</v>
      </c>
      <c r="R157" s="123">
        <f t="shared" si="46"/>
        <v>0.9</v>
      </c>
      <c r="S157" s="123">
        <f t="shared" si="46"/>
        <v>0.9</v>
      </c>
      <c r="T157" s="123">
        <f t="shared" ref="S157:AF169" si="47">S157</f>
        <v>0.9</v>
      </c>
      <c r="U157" s="123">
        <f t="shared" si="47"/>
        <v>0.9</v>
      </c>
      <c r="V157" s="123">
        <f t="shared" si="47"/>
        <v>0.9</v>
      </c>
      <c r="W157" s="123">
        <f t="shared" si="47"/>
        <v>0.9</v>
      </c>
      <c r="X157" s="123">
        <f t="shared" si="47"/>
        <v>0.9</v>
      </c>
      <c r="Y157" s="123">
        <f t="shared" si="47"/>
        <v>0.9</v>
      </c>
      <c r="Z157" s="123">
        <f t="shared" si="47"/>
        <v>0.9</v>
      </c>
      <c r="AA157" s="123">
        <f t="shared" si="47"/>
        <v>0.9</v>
      </c>
      <c r="AB157" s="123">
        <f t="shared" si="47"/>
        <v>0.9</v>
      </c>
      <c r="AC157" s="123">
        <f t="shared" si="47"/>
        <v>0.9</v>
      </c>
      <c r="AD157" s="123">
        <f t="shared" si="47"/>
        <v>0.9</v>
      </c>
      <c r="AE157" s="123">
        <f t="shared" si="47"/>
        <v>0.9</v>
      </c>
      <c r="AF157" s="123">
        <f t="shared" si="47"/>
        <v>0.9</v>
      </c>
      <c r="AG157" s="126">
        <v>4</v>
      </c>
      <c r="AH157" s="54"/>
      <c r="AI157" s="55"/>
      <c r="AK157" s="56"/>
    </row>
    <row r="158" spans="1:37" x14ac:dyDescent="0.25">
      <c r="A158" s="111" t="s">
        <v>163</v>
      </c>
      <c r="B158" s="123">
        <f t="shared" si="45"/>
        <v>1.08</v>
      </c>
      <c r="C158" s="124">
        <v>1.08</v>
      </c>
      <c r="D158" s="123">
        <f t="shared" si="46"/>
        <v>1.08</v>
      </c>
      <c r="E158" s="123">
        <f t="shared" si="46"/>
        <v>1.08</v>
      </c>
      <c r="F158" s="123">
        <f t="shared" si="46"/>
        <v>1.08</v>
      </c>
      <c r="G158" s="123">
        <f t="shared" si="46"/>
        <v>1.08</v>
      </c>
      <c r="H158" s="123">
        <f t="shared" si="46"/>
        <v>1.08</v>
      </c>
      <c r="I158" s="123">
        <f t="shared" si="46"/>
        <v>1.08</v>
      </c>
      <c r="J158" s="123">
        <f t="shared" si="46"/>
        <v>1.08</v>
      </c>
      <c r="K158" s="123">
        <f t="shared" si="46"/>
        <v>1.08</v>
      </c>
      <c r="L158" s="123">
        <f t="shared" si="46"/>
        <v>1.08</v>
      </c>
      <c r="M158" s="123">
        <f t="shared" si="46"/>
        <v>1.08</v>
      </c>
      <c r="N158" s="123">
        <f t="shared" si="46"/>
        <v>1.08</v>
      </c>
      <c r="O158" s="123">
        <f t="shared" si="46"/>
        <v>1.08</v>
      </c>
      <c r="P158" s="123">
        <f t="shared" si="46"/>
        <v>1.08</v>
      </c>
      <c r="Q158" s="123">
        <f t="shared" si="46"/>
        <v>1.08</v>
      </c>
      <c r="R158" s="123">
        <f t="shared" si="46"/>
        <v>1.08</v>
      </c>
      <c r="S158" s="123">
        <f t="shared" si="46"/>
        <v>1.08</v>
      </c>
      <c r="T158" s="123">
        <f t="shared" si="47"/>
        <v>1.08</v>
      </c>
      <c r="U158" s="123">
        <f t="shared" si="47"/>
        <v>1.08</v>
      </c>
      <c r="V158" s="123">
        <f t="shared" si="47"/>
        <v>1.08</v>
      </c>
      <c r="W158" s="123">
        <f t="shared" si="47"/>
        <v>1.08</v>
      </c>
      <c r="X158" s="123">
        <f t="shared" si="47"/>
        <v>1.08</v>
      </c>
      <c r="Y158" s="123">
        <f t="shared" si="47"/>
        <v>1.08</v>
      </c>
      <c r="Z158" s="123">
        <f t="shared" si="47"/>
        <v>1.08</v>
      </c>
      <c r="AA158" s="123">
        <f t="shared" si="47"/>
        <v>1.08</v>
      </c>
      <c r="AB158" s="123">
        <f t="shared" si="47"/>
        <v>1.08</v>
      </c>
      <c r="AC158" s="123">
        <f t="shared" si="47"/>
        <v>1.08</v>
      </c>
      <c r="AD158" s="123">
        <f t="shared" si="47"/>
        <v>1.08</v>
      </c>
      <c r="AE158" s="123">
        <f t="shared" si="47"/>
        <v>1.08</v>
      </c>
      <c r="AF158" s="123">
        <f t="shared" si="47"/>
        <v>1.08</v>
      </c>
      <c r="AG158" s="126">
        <v>3.75</v>
      </c>
      <c r="AH158" s="54"/>
      <c r="AI158" s="55"/>
      <c r="AK158" s="56"/>
    </row>
    <row r="159" spans="1:37" x14ac:dyDescent="0.25">
      <c r="A159" s="111" t="s">
        <v>164</v>
      </c>
      <c r="B159" s="123">
        <f t="shared" si="45"/>
        <v>2.37</v>
      </c>
      <c r="C159" s="124">
        <v>2.37</v>
      </c>
      <c r="D159" s="123">
        <f t="shared" si="46"/>
        <v>2.37</v>
      </c>
      <c r="E159" s="123">
        <f t="shared" si="46"/>
        <v>2.37</v>
      </c>
      <c r="F159" s="123">
        <f t="shared" si="46"/>
        <v>2.37</v>
      </c>
      <c r="G159" s="123">
        <f t="shared" si="46"/>
        <v>2.37</v>
      </c>
      <c r="H159" s="123">
        <f t="shared" si="46"/>
        <v>2.37</v>
      </c>
      <c r="I159" s="123">
        <f t="shared" si="46"/>
        <v>2.37</v>
      </c>
      <c r="J159" s="123">
        <f t="shared" si="46"/>
        <v>2.37</v>
      </c>
      <c r="K159" s="123">
        <f t="shared" si="46"/>
        <v>2.37</v>
      </c>
      <c r="L159" s="123">
        <f t="shared" si="46"/>
        <v>2.37</v>
      </c>
      <c r="M159" s="123">
        <f t="shared" si="46"/>
        <v>2.37</v>
      </c>
      <c r="N159" s="123">
        <f t="shared" si="46"/>
        <v>2.37</v>
      </c>
      <c r="O159" s="123">
        <f t="shared" si="46"/>
        <v>2.37</v>
      </c>
      <c r="P159" s="123">
        <f t="shared" si="46"/>
        <v>2.37</v>
      </c>
      <c r="Q159" s="123">
        <f t="shared" si="46"/>
        <v>2.37</v>
      </c>
      <c r="R159" s="123">
        <f t="shared" si="46"/>
        <v>2.37</v>
      </c>
      <c r="S159" s="123">
        <f t="shared" si="46"/>
        <v>2.37</v>
      </c>
      <c r="T159" s="123">
        <f t="shared" si="47"/>
        <v>2.37</v>
      </c>
      <c r="U159" s="123">
        <f t="shared" si="47"/>
        <v>2.37</v>
      </c>
      <c r="V159" s="123">
        <f t="shared" si="47"/>
        <v>2.37</v>
      </c>
      <c r="W159" s="123">
        <f t="shared" si="47"/>
        <v>2.37</v>
      </c>
      <c r="X159" s="123">
        <f t="shared" si="47"/>
        <v>2.37</v>
      </c>
      <c r="Y159" s="123">
        <f t="shared" si="47"/>
        <v>2.37</v>
      </c>
      <c r="Z159" s="123">
        <f t="shared" si="47"/>
        <v>2.37</v>
      </c>
      <c r="AA159" s="123">
        <f t="shared" si="47"/>
        <v>2.37</v>
      </c>
      <c r="AB159" s="123">
        <f t="shared" si="47"/>
        <v>2.37</v>
      </c>
      <c r="AC159" s="123">
        <f t="shared" si="47"/>
        <v>2.37</v>
      </c>
      <c r="AD159" s="123">
        <f t="shared" si="47"/>
        <v>2.37</v>
      </c>
      <c r="AE159" s="123">
        <f t="shared" si="47"/>
        <v>2.37</v>
      </c>
      <c r="AF159" s="123">
        <f t="shared" si="47"/>
        <v>2.37</v>
      </c>
      <c r="AG159" s="126">
        <v>3.52</v>
      </c>
      <c r="AH159" s="54"/>
      <c r="AI159" s="55"/>
      <c r="AK159" s="56"/>
    </row>
    <row r="160" spans="1:37" x14ac:dyDescent="0.25">
      <c r="A160" s="111" t="s">
        <v>165</v>
      </c>
      <c r="B160" s="123">
        <f t="shared" si="45"/>
        <v>1.81</v>
      </c>
      <c r="C160" s="124">
        <v>1.81</v>
      </c>
      <c r="D160" s="123">
        <f t="shared" si="46"/>
        <v>1.81</v>
      </c>
      <c r="E160" s="123">
        <f t="shared" si="46"/>
        <v>1.81</v>
      </c>
      <c r="F160" s="123">
        <f t="shared" si="46"/>
        <v>1.81</v>
      </c>
      <c r="G160" s="123">
        <f t="shared" si="46"/>
        <v>1.81</v>
      </c>
      <c r="H160" s="123">
        <f t="shared" si="46"/>
        <v>1.81</v>
      </c>
      <c r="I160" s="123">
        <f t="shared" si="46"/>
        <v>1.81</v>
      </c>
      <c r="J160" s="123">
        <f t="shared" si="46"/>
        <v>1.81</v>
      </c>
      <c r="K160" s="123">
        <f t="shared" si="46"/>
        <v>1.81</v>
      </c>
      <c r="L160" s="123">
        <f t="shared" si="46"/>
        <v>1.81</v>
      </c>
      <c r="M160" s="123">
        <f t="shared" si="46"/>
        <v>1.81</v>
      </c>
      <c r="N160" s="123">
        <f t="shared" si="46"/>
        <v>1.81</v>
      </c>
      <c r="O160" s="123">
        <f t="shared" si="46"/>
        <v>1.81</v>
      </c>
      <c r="P160" s="123">
        <f t="shared" si="46"/>
        <v>1.81</v>
      </c>
      <c r="Q160" s="123">
        <f t="shared" si="46"/>
        <v>1.81</v>
      </c>
      <c r="R160" s="123">
        <f t="shared" si="46"/>
        <v>1.81</v>
      </c>
      <c r="S160" s="123">
        <f t="shared" si="46"/>
        <v>1.81</v>
      </c>
      <c r="T160" s="123">
        <f t="shared" si="47"/>
        <v>1.81</v>
      </c>
      <c r="U160" s="123">
        <f t="shared" si="47"/>
        <v>1.81</v>
      </c>
      <c r="V160" s="123">
        <f t="shared" si="47"/>
        <v>1.81</v>
      </c>
      <c r="W160" s="123">
        <f t="shared" si="47"/>
        <v>1.81</v>
      </c>
      <c r="X160" s="123">
        <f t="shared" si="47"/>
        <v>1.81</v>
      </c>
      <c r="Y160" s="123">
        <f t="shared" si="47"/>
        <v>1.81</v>
      </c>
      <c r="Z160" s="123">
        <f t="shared" si="47"/>
        <v>1.81</v>
      </c>
      <c r="AA160" s="123">
        <f t="shared" si="47"/>
        <v>1.81</v>
      </c>
      <c r="AB160" s="123">
        <f t="shared" si="47"/>
        <v>1.81</v>
      </c>
      <c r="AC160" s="123">
        <f t="shared" si="47"/>
        <v>1.81</v>
      </c>
      <c r="AD160" s="123">
        <f t="shared" si="47"/>
        <v>1.81</v>
      </c>
      <c r="AE160" s="123">
        <f t="shared" si="47"/>
        <v>1.81</v>
      </c>
      <c r="AF160" s="123">
        <f t="shared" si="47"/>
        <v>1.81</v>
      </c>
      <c r="AG160" s="126">
        <v>3.33</v>
      </c>
      <c r="AH160" s="54"/>
      <c r="AI160" s="55"/>
      <c r="AK160" s="56"/>
    </row>
    <row r="161" spans="1:37" x14ac:dyDescent="0.25">
      <c r="A161" s="111" t="s">
        <v>166</v>
      </c>
      <c r="B161" s="123">
        <f t="shared" si="45"/>
        <v>1.0900000000000001</v>
      </c>
      <c r="C161" s="124">
        <v>1.0900000000000001</v>
      </c>
      <c r="D161" s="123">
        <f t="shared" si="46"/>
        <v>1.0900000000000001</v>
      </c>
      <c r="E161" s="123">
        <f t="shared" si="46"/>
        <v>1.0900000000000001</v>
      </c>
      <c r="F161" s="123">
        <f t="shared" si="46"/>
        <v>1.0900000000000001</v>
      </c>
      <c r="G161" s="123">
        <f t="shared" si="46"/>
        <v>1.0900000000000001</v>
      </c>
      <c r="H161" s="123">
        <f t="shared" si="46"/>
        <v>1.0900000000000001</v>
      </c>
      <c r="I161" s="123">
        <f t="shared" si="46"/>
        <v>1.0900000000000001</v>
      </c>
      <c r="J161" s="123">
        <f t="shared" si="46"/>
        <v>1.0900000000000001</v>
      </c>
      <c r="K161" s="123">
        <f t="shared" si="46"/>
        <v>1.0900000000000001</v>
      </c>
      <c r="L161" s="123">
        <f t="shared" si="46"/>
        <v>1.0900000000000001</v>
      </c>
      <c r="M161" s="123">
        <f t="shared" si="46"/>
        <v>1.0900000000000001</v>
      </c>
      <c r="N161" s="123">
        <f t="shared" si="46"/>
        <v>1.0900000000000001</v>
      </c>
      <c r="O161" s="123">
        <f t="shared" si="46"/>
        <v>1.0900000000000001</v>
      </c>
      <c r="P161" s="123">
        <f t="shared" si="46"/>
        <v>1.0900000000000001</v>
      </c>
      <c r="Q161" s="123">
        <f t="shared" si="46"/>
        <v>1.0900000000000001</v>
      </c>
      <c r="R161" s="123">
        <f t="shared" si="46"/>
        <v>1.0900000000000001</v>
      </c>
      <c r="S161" s="123">
        <f t="shared" si="46"/>
        <v>1.0900000000000001</v>
      </c>
      <c r="T161" s="123">
        <f t="shared" si="47"/>
        <v>1.0900000000000001</v>
      </c>
      <c r="U161" s="123">
        <f t="shared" si="47"/>
        <v>1.0900000000000001</v>
      </c>
      <c r="V161" s="123">
        <f t="shared" si="47"/>
        <v>1.0900000000000001</v>
      </c>
      <c r="W161" s="123">
        <f t="shared" si="47"/>
        <v>1.0900000000000001</v>
      </c>
      <c r="X161" s="123">
        <f t="shared" si="47"/>
        <v>1.0900000000000001</v>
      </c>
      <c r="Y161" s="123">
        <f t="shared" si="47"/>
        <v>1.0900000000000001</v>
      </c>
      <c r="Z161" s="123">
        <f t="shared" si="47"/>
        <v>1.0900000000000001</v>
      </c>
      <c r="AA161" s="123">
        <f t="shared" si="47"/>
        <v>1.0900000000000001</v>
      </c>
      <c r="AB161" s="123">
        <f t="shared" si="47"/>
        <v>1.0900000000000001</v>
      </c>
      <c r="AC161" s="123">
        <f t="shared" si="47"/>
        <v>1.0900000000000001</v>
      </c>
      <c r="AD161" s="123">
        <f t="shared" si="47"/>
        <v>1.0900000000000001</v>
      </c>
      <c r="AE161" s="123">
        <f t="shared" si="47"/>
        <v>1.0900000000000001</v>
      </c>
      <c r="AF161" s="123">
        <f t="shared" si="47"/>
        <v>1.0900000000000001</v>
      </c>
      <c r="AG161" s="126">
        <v>3.2</v>
      </c>
      <c r="AH161" s="54"/>
      <c r="AI161" s="55"/>
      <c r="AK161" s="56"/>
    </row>
    <row r="162" spans="1:37" x14ac:dyDescent="0.25">
      <c r="A162" s="111" t="s">
        <v>167</v>
      </c>
      <c r="B162" s="123">
        <f t="shared" si="45"/>
        <v>1.58</v>
      </c>
      <c r="C162" s="124">
        <v>1.58</v>
      </c>
      <c r="D162" s="123">
        <f t="shared" si="46"/>
        <v>1.58</v>
      </c>
      <c r="E162" s="123">
        <f t="shared" si="46"/>
        <v>1.58</v>
      </c>
      <c r="F162" s="123">
        <f t="shared" si="46"/>
        <v>1.58</v>
      </c>
      <c r="G162" s="123">
        <f t="shared" si="46"/>
        <v>1.58</v>
      </c>
      <c r="H162" s="123">
        <f t="shared" si="46"/>
        <v>1.58</v>
      </c>
      <c r="I162" s="123">
        <f t="shared" si="46"/>
        <v>1.58</v>
      </c>
      <c r="J162" s="123">
        <f t="shared" si="46"/>
        <v>1.58</v>
      </c>
      <c r="K162" s="123">
        <f t="shared" si="46"/>
        <v>1.58</v>
      </c>
      <c r="L162" s="123">
        <f t="shared" si="46"/>
        <v>1.58</v>
      </c>
      <c r="M162" s="123">
        <f t="shared" si="46"/>
        <v>1.58</v>
      </c>
      <c r="N162" s="123">
        <f t="shared" si="46"/>
        <v>1.58</v>
      </c>
      <c r="O162" s="123">
        <f t="shared" si="46"/>
        <v>1.58</v>
      </c>
      <c r="P162" s="123">
        <f t="shared" si="46"/>
        <v>1.58</v>
      </c>
      <c r="Q162" s="123">
        <f t="shared" si="46"/>
        <v>1.58</v>
      </c>
      <c r="R162" s="123">
        <f t="shared" si="46"/>
        <v>1.58</v>
      </c>
      <c r="S162" s="123">
        <f t="shared" si="46"/>
        <v>1.58</v>
      </c>
      <c r="T162" s="123">
        <f t="shared" si="47"/>
        <v>1.58</v>
      </c>
      <c r="U162" s="123">
        <f t="shared" si="47"/>
        <v>1.58</v>
      </c>
      <c r="V162" s="123">
        <f t="shared" si="47"/>
        <v>1.58</v>
      </c>
      <c r="W162" s="123">
        <f t="shared" si="47"/>
        <v>1.58</v>
      </c>
      <c r="X162" s="123">
        <f t="shared" si="47"/>
        <v>1.58</v>
      </c>
      <c r="Y162" s="123">
        <f t="shared" si="47"/>
        <v>1.58</v>
      </c>
      <c r="Z162" s="123">
        <f t="shared" si="47"/>
        <v>1.58</v>
      </c>
      <c r="AA162" s="123">
        <f t="shared" si="47"/>
        <v>1.58</v>
      </c>
      <c r="AB162" s="123">
        <f t="shared" si="47"/>
        <v>1.58</v>
      </c>
      <c r="AC162" s="123">
        <f t="shared" si="47"/>
        <v>1.58</v>
      </c>
      <c r="AD162" s="123">
        <f t="shared" si="47"/>
        <v>1.58</v>
      </c>
      <c r="AE162" s="123">
        <f t="shared" si="47"/>
        <v>1.58</v>
      </c>
      <c r="AF162" s="123">
        <f t="shared" si="47"/>
        <v>1.58</v>
      </c>
      <c r="AG162" s="126">
        <v>3</v>
      </c>
      <c r="AH162" s="54"/>
      <c r="AI162" s="55"/>
      <c r="AK162" s="56"/>
    </row>
    <row r="163" spans="1:37" x14ac:dyDescent="0.25">
      <c r="A163" s="111" t="s">
        <v>168</v>
      </c>
      <c r="B163" s="123">
        <f t="shared" si="45"/>
        <v>2</v>
      </c>
      <c r="C163" s="124">
        <v>2</v>
      </c>
      <c r="D163" s="123">
        <f t="shared" si="46"/>
        <v>2</v>
      </c>
      <c r="E163" s="123">
        <f t="shared" si="46"/>
        <v>2</v>
      </c>
      <c r="F163" s="123">
        <f t="shared" si="46"/>
        <v>2</v>
      </c>
      <c r="G163" s="123">
        <f t="shared" si="46"/>
        <v>2</v>
      </c>
      <c r="H163" s="123">
        <f t="shared" si="46"/>
        <v>2</v>
      </c>
      <c r="I163" s="123">
        <f t="shared" si="46"/>
        <v>2</v>
      </c>
      <c r="J163" s="123">
        <f t="shared" si="46"/>
        <v>2</v>
      </c>
      <c r="K163" s="123">
        <f t="shared" si="46"/>
        <v>2</v>
      </c>
      <c r="L163" s="123">
        <f t="shared" si="46"/>
        <v>2</v>
      </c>
      <c r="M163" s="123">
        <f t="shared" si="46"/>
        <v>2</v>
      </c>
      <c r="N163" s="123">
        <f t="shared" si="46"/>
        <v>2</v>
      </c>
      <c r="O163" s="123">
        <f t="shared" si="46"/>
        <v>2</v>
      </c>
      <c r="P163" s="123">
        <f t="shared" si="46"/>
        <v>2</v>
      </c>
      <c r="Q163" s="123">
        <f t="shared" si="46"/>
        <v>2</v>
      </c>
      <c r="R163" s="123">
        <f t="shared" si="46"/>
        <v>2</v>
      </c>
      <c r="S163" s="123">
        <f t="shared" si="46"/>
        <v>2</v>
      </c>
      <c r="T163" s="123">
        <f t="shared" si="47"/>
        <v>2</v>
      </c>
      <c r="U163" s="123">
        <f t="shared" si="47"/>
        <v>2</v>
      </c>
      <c r="V163" s="123">
        <f t="shared" si="47"/>
        <v>2</v>
      </c>
      <c r="W163" s="123">
        <f t="shared" si="47"/>
        <v>2</v>
      </c>
      <c r="X163" s="123">
        <f t="shared" si="47"/>
        <v>2</v>
      </c>
      <c r="Y163" s="123">
        <f t="shared" si="47"/>
        <v>2</v>
      </c>
      <c r="Z163" s="123">
        <f t="shared" si="47"/>
        <v>2</v>
      </c>
      <c r="AA163" s="123">
        <f t="shared" si="47"/>
        <v>2</v>
      </c>
      <c r="AB163" s="123">
        <f t="shared" si="47"/>
        <v>2</v>
      </c>
      <c r="AC163" s="123">
        <f t="shared" si="47"/>
        <v>2</v>
      </c>
      <c r="AD163" s="123">
        <f t="shared" si="47"/>
        <v>2</v>
      </c>
      <c r="AE163" s="123">
        <f t="shared" si="47"/>
        <v>2</v>
      </c>
      <c r="AF163" s="123">
        <f t="shared" si="47"/>
        <v>2</v>
      </c>
      <c r="AG163" s="126">
        <v>3</v>
      </c>
      <c r="AH163" s="54"/>
      <c r="AI163" s="55"/>
      <c r="AK163" s="56"/>
    </row>
    <row r="164" spans="1:37" x14ac:dyDescent="0.25">
      <c r="A164" s="111" t="s">
        <v>169</v>
      </c>
      <c r="B164" s="123">
        <f t="shared" si="45"/>
        <v>0.47</v>
      </c>
      <c r="C164" s="124">
        <v>0.47</v>
      </c>
      <c r="D164" s="123">
        <f t="shared" si="46"/>
        <v>0.47</v>
      </c>
      <c r="E164" s="123">
        <f t="shared" si="46"/>
        <v>0.47</v>
      </c>
      <c r="F164" s="123">
        <f t="shared" si="46"/>
        <v>0.47</v>
      </c>
      <c r="G164" s="123">
        <f t="shared" si="46"/>
        <v>0.47</v>
      </c>
      <c r="H164" s="123">
        <f t="shared" si="46"/>
        <v>0.47</v>
      </c>
      <c r="I164" s="123">
        <f t="shared" si="46"/>
        <v>0.47</v>
      </c>
      <c r="J164" s="123">
        <f t="shared" si="46"/>
        <v>0.47</v>
      </c>
      <c r="K164" s="123">
        <f t="shared" si="46"/>
        <v>0.47</v>
      </c>
      <c r="L164" s="123">
        <f t="shared" si="46"/>
        <v>0.47</v>
      </c>
      <c r="M164" s="123">
        <f t="shared" si="46"/>
        <v>0.47</v>
      </c>
      <c r="N164" s="123">
        <f t="shared" si="46"/>
        <v>0.47</v>
      </c>
      <c r="O164" s="123">
        <f t="shared" si="46"/>
        <v>0.47</v>
      </c>
      <c r="P164" s="123">
        <f t="shared" si="46"/>
        <v>0.47</v>
      </c>
      <c r="Q164" s="123">
        <f t="shared" si="46"/>
        <v>0.47</v>
      </c>
      <c r="R164" s="123">
        <f t="shared" si="46"/>
        <v>0.47</v>
      </c>
      <c r="S164" s="123">
        <f t="shared" si="46"/>
        <v>0.47</v>
      </c>
      <c r="T164" s="123">
        <f t="shared" si="47"/>
        <v>0.47</v>
      </c>
      <c r="U164" s="123">
        <f t="shared" si="47"/>
        <v>0.47</v>
      </c>
      <c r="V164" s="123">
        <f t="shared" si="47"/>
        <v>0.47</v>
      </c>
      <c r="W164" s="123">
        <f t="shared" si="47"/>
        <v>0.47</v>
      </c>
      <c r="X164" s="123">
        <f t="shared" si="47"/>
        <v>0.47</v>
      </c>
      <c r="Y164" s="123">
        <f t="shared" si="47"/>
        <v>0.47</v>
      </c>
      <c r="Z164" s="123">
        <f t="shared" si="47"/>
        <v>0.47</v>
      </c>
      <c r="AA164" s="123">
        <f t="shared" si="47"/>
        <v>0.47</v>
      </c>
      <c r="AB164" s="123">
        <f t="shared" si="47"/>
        <v>0.47</v>
      </c>
      <c r="AC164" s="123">
        <f t="shared" si="47"/>
        <v>0.47</v>
      </c>
      <c r="AD164" s="123">
        <f t="shared" si="47"/>
        <v>0.47</v>
      </c>
      <c r="AE164" s="123">
        <f t="shared" si="47"/>
        <v>0.47</v>
      </c>
      <c r="AF164" s="123">
        <f t="shared" si="47"/>
        <v>0.47</v>
      </c>
      <c r="AG164" s="126">
        <v>3</v>
      </c>
      <c r="AH164" s="54"/>
      <c r="AI164" s="55"/>
      <c r="AK164" s="56"/>
    </row>
    <row r="165" spans="1:37" x14ac:dyDescent="0.25">
      <c r="A165" s="111" t="s">
        <v>170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6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171</v>
      </c>
      <c r="B166" s="123">
        <f t="shared" si="45"/>
        <v>0</v>
      </c>
      <c r="C166" s="124">
        <v>0</v>
      </c>
      <c r="D166" s="123">
        <f t="shared" si="46"/>
        <v>0</v>
      </c>
      <c r="E166" s="123">
        <f t="shared" si="46"/>
        <v>0</v>
      </c>
      <c r="F166" s="123">
        <f t="shared" si="46"/>
        <v>0</v>
      </c>
      <c r="G166" s="123">
        <f t="shared" si="46"/>
        <v>0</v>
      </c>
      <c r="H166" s="123">
        <f t="shared" si="46"/>
        <v>0</v>
      </c>
      <c r="I166" s="123">
        <f t="shared" si="46"/>
        <v>0</v>
      </c>
      <c r="J166" s="123">
        <f t="shared" si="46"/>
        <v>0</v>
      </c>
      <c r="K166" s="123">
        <f t="shared" si="46"/>
        <v>0</v>
      </c>
      <c r="L166" s="123">
        <f t="shared" si="46"/>
        <v>0</v>
      </c>
      <c r="M166" s="123">
        <f t="shared" si="46"/>
        <v>0</v>
      </c>
      <c r="N166" s="123">
        <f t="shared" si="46"/>
        <v>0</v>
      </c>
      <c r="O166" s="123">
        <f t="shared" si="46"/>
        <v>0</v>
      </c>
      <c r="P166" s="123">
        <f t="shared" si="46"/>
        <v>0</v>
      </c>
      <c r="Q166" s="123">
        <f t="shared" si="46"/>
        <v>0</v>
      </c>
      <c r="R166" s="123">
        <f t="shared" si="46"/>
        <v>0</v>
      </c>
      <c r="S166" s="123">
        <f t="shared" si="47"/>
        <v>0</v>
      </c>
      <c r="T166" s="123">
        <f t="shared" si="47"/>
        <v>0</v>
      </c>
      <c r="U166" s="123">
        <f t="shared" si="47"/>
        <v>0</v>
      </c>
      <c r="V166" s="123">
        <f t="shared" si="47"/>
        <v>0</v>
      </c>
      <c r="W166" s="123">
        <f t="shared" si="47"/>
        <v>0</v>
      </c>
      <c r="X166" s="123">
        <f t="shared" si="47"/>
        <v>0</v>
      </c>
      <c r="Y166" s="123">
        <f t="shared" si="47"/>
        <v>0</v>
      </c>
      <c r="Z166" s="123">
        <f t="shared" si="47"/>
        <v>0</v>
      </c>
      <c r="AA166" s="123">
        <f t="shared" si="47"/>
        <v>0</v>
      </c>
      <c r="AB166" s="123">
        <f t="shared" si="47"/>
        <v>0</v>
      </c>
      <c r="AC166" s="123">
        <f t="shared" si="47"/>
        <v>0</v>
      </c>
      <c r="AD166" s="123">
        <f t="shared" si="47"/>
        <v>0</v>
      </c>
      <c r="AE166" s="123">
        <f t="shared" si="47"/>
        <v>0</v>
      </c>
      <c r="AF166" s="123">
        <f t="shared" si="47"/>
        <v>0</v>
      </c>
      <c r="AG166" s="126">
        <v>3</v>
      </c>
      <c r="AH166" s="54"/>
      <c r="AI166" s="55"/>
      <c r="AK166" s="56"/>
    </row>
    <row r="167" spans="1:37" x14ac:dyDescent="0.25">
      <c r="A167" s="111" t="s">
        <v>172</v>
      </c>
      <c r="B167" s="123">
        <f t="shared" si="45"/>
        <v>0.8</v>
      </c>
      <c r="C167" s="124">
        <v>0.8</v>
      </c>
      <c r="D167" s="123">
        <f t="shared" si="46"/>
        <v>0.8</v>
      </c>
      <c r="E167" s="123">
        <f t="shared" si="46"/>
        <v>0.8</v>
      </c>
      <c r="F167" s="123">
        <f t="shared" si="46"/>
        <v>0.8</v>
      </c>
      <c r="G167" s="123">
        <f t="shared" si="46"/>
        <v>0.8</v>
      </c>
      <c r="H167" s="123">
        <f t="shared" si="46"/>
        <v>0.8</v>
      </c>
      <c r="I167" s="123">
        <f t="shared" si="46"/>
        <v>0.8</v>
      </c>
      <c r="J167" s="123">
        <f t="shared" si="46"/>
        <v>0.8</v>
      </c>
      <c r="K167" s="123">
        <f t="shared" si="46"/>
        <v>0.8</v>
      </c>
      <c r="L167" s="123">
        <f t="shared" si="46"/>
        <v>0.8</v>
      </c>
      <c r="M167" s="123">
        <f t="shared" si="46"/>
        <v>0.8</v>
      </c>
      <c r="N167" s="123">
        <f t="shared" si="46"/>
        <v>0.8</v>
      </c>
      <c r="O167" s="123">
        <f t="shared" si="46"/>
        <v>0.8</v>
      </c>
      <c r="P167" s="123">
        <f t="shared" si="46"/>
        <v>0.8</v>
      </c>
      <c r="Q167" s="123">
        <f t="shared" si="46"/>
        <v>0.8</v>
      </c>
      <c r="R167" s="123">
        <f t="shared" si="46"/>
        <v>0.8</v>
      </c>
      <c r="S167" s="123">
        <f t="shared" si="47"/>
        <v>0.8</v>
      </c>
      <c r="T167" s="123">
        <f t="shared" si="47"/>
        <v>0.8</v>
      </c>
      <c r="U167" s="123">
        <f t="shared" si="47"/>
        <v>0.8</v>
      </c>
      <c r="V167" s="123">
        <f t="shared" si="47"/>
        <v>0.8</v>
      </c>
      <c r="W167" s="123">
        <f t="shared" si="47"/>
        <v>0.8</v>
      </c>
      <c r="X167" s="123">
        <f t="shared" si="47"/>
        <v>0.8</v>
      </c>
      <c r="Y167" s="123">
        <f t="shared" si="47"/>
        <v>0.8</v>
      </c>
      <c r="Z167" s="123">
        <f t="shared" si="47"/>
        <v>0.8</v>
      </c>
      <c r="AA167" s="123">
        <f t="shared" si="47"/>
        <v>0.8</v>
      </c>
      <c r="AB167" s="123">
        <f t="shared" si="47"/>
        <v>0.8</v>
      </c>
      <c r="AC167" s="123">
        <f t="shared" si="47"/>
        <v>0.8</v>
      </c>
      <c r="AD167" s="123">
        <f t="shared" si="47"/>
        <v>0.8</v>
      </c>
      <c r="AE167" s="123">
        <f t="shared" si="47"/>
        <v>0.8</v>
      </c>
      <c r="AF167" s="123">
        <f t="shared" si="47"/>
        <v>0.8</v>
      </c>
      <c r="AG167" s="126">
        <v>3</v>
      </c>
      <c r="AH167" s="54"/>
      <c r="AI167" s="55"/>
      <c r="AK167" s="56"/>
    </row>
    <row r="168" spans="1:37" x14ac:dyDescent="0.25">
      <c r="A168" s="111" t="s">
        <v>173</v>
      </c>
      <c r="B168" s="123">
        <f t="shared" si="45"/>
        <v>1.5</v>
      </c>
      <c r="C168" s="124">
        <v>1.5</v>
      </c>
      <c r="D168" s="123">
        <f t="shared" si="46"/>
        <v>1.5</v>
      </c>
      <c r="E168" s="123">
        <f t="shared" si="46"/>
        <v>1.5</v>
      </c>
      <c r="F168" s="123">
        <f t="shared" si="46"/>
        <v>1.5</v>
      </c>
      <c r="G168" s="123">
        <f t="shared" si="46"/>
        <v>1.5</v>
      </c>
      <c r="H168" s="123">
        <f t="shared" si="46"/>
        <v>1.5</v>
      </c>
      <c r="I168" s="123">
        <f t="shared" si="46"/>
        <v>1.5</v>
      </c>
      <c r="J168" s="123">
        <f t="shared" si="46"/>
        <v>1.5</v>
      </c>
      <c r="K168" s="123">
        <f t="shared" si="46"/>
        <v>1.5</v>
      </c>
      <c r="L168" s="123">
        <f t="shared" si="46"/>
        <v>1.5</v>
      </c>
      <c r="M168" s="123">
        <f t="shared" si="46"/>
        <v>1.5</v>
      </c>
      <c r="N168" s="123">
        <f t="shared" si="46"/>
        <v>1.5</v>
      </c>
      <c r="O168" s="123">
        <f t="shared" si="46"/>
        <v>1.5</v>
      </c>
      <c r="P168" s="123">
        <f t="shared" si="46"/>
        <v>1.5</v>
      </c>
      <c r="Q168" s="123">
        <f t="shared" si="46"/>
        <v>1.5</v>
      </c>
      <c r="R168" s="123">
        <f t="shared" si="46"/>
        <v>1.5</v>
      </c>
      <c r="S168" s="123">
        <f t="shared" si="47"/>
        <v>1.5</v>
      </c>
      <c r="T168" s="123">
        <f t="shared" si="47"/>
        <v>1.5</v>
      </c>
      <c r="U168" s="123">
        <f t="shared" si="47"/>
        <v>1.5</v>
      </c>
      <c r="V168" s="123">
        <f t="shared" si="47"/>
        <v>1.5</v>
      </c>
      <c r="W168" s="123">
        <f t="shared" si="47"/>
        <v>1.5</v>
      </c>
      <c r="X168" s="123">
        <f t="shared" si="47"/>
        <v>1.5</v>
      </c>
      <c r="Y168" s="123">
        <f t="shared" si="47"/>
        <v>1.5</v>
      </c>
      <c r="Z168" s="123">
        <f t="shared" si="47"/>
        <v>1.5</v>
      </c>
      <c r="AA168" s="123">
        <f t="shared" si="47"/>
        <v>1.5</v>
      </c>
      <c r="AB168" s="123">
        <f t="shared" si="47"/>
        <v>1.5</v>
      </c>
      <c r="AC168" s="123">
        <f t="shared" si="47"/>
        <v>1.5</v>
      </c>
      <c r="AD168" s="123">
        <f t="shared" si="47"/>
        <v>1.5</v>
      </c>
      <c r="AE168" s="123">
        <f t="shared" si="47"/>
        <v>1.5</v>
      </c>
      <c r="AF168" s="123">
        <f t="shared" si="47"/>
        <v>1.5</v>
      </c>
      <c r="AG168" s="126">
        <v>3</v>
      </c>
      <c r="AH168" s="54"/>
      <c r="AI168" s="55"/>
      <c r="AK168" s="56"/>
    </row>
    <row r="169" spans="1:37" x14ac:dyDescent="0.25">
      <c r="A169" s="111" t="s">
        <v>174</v>
      </c>
      <c r="B169" s="123">
        <f t="shared" si="45"/>
        <v>1</v>
      </c>
      <c r="C169" s="124">
        <v>1</v>
      </c>
      <c r="D169" s="123">
        <f t="shared" si="46"/>
        <v>1</v>
      </c>
      <c r="E169" s="123">
        <f t="shared" si="46"/>
        <v>1</v>
      </c>
      <c r="F169" s="123">
        <f t="shared" si="46"/>
        <v>1</v>
      </c>
      <c r="G169" s="123">
        <f t="shared" si="46"/>
        <v>1</v>
      </c>
      <c r="H169" s="123">
        <f t="shared" si="46"/>
        <v>1</v>
      </c>
      <c r="I169" s="123">
        <f t="shared" si="46"/>
        <v>1</v>
      </c>
      <c r="J169" s="123">
        <f t="shared" si="46"/>
        <v>1</v>
      </c>
      <c r="K169" s="123">
        <f t="shared" si="46"/>
        <v>1</v>
      </c>
      <c r="L169" s="123">
        <f t="shared" si="46"/>
        <v>1</v>
      </c>
      <c r="M169" s="123">
        <f t="shared" si="46"/>
        <v>1</v>
      </c>
      <c r="N169" s="123">
        <f t="shared" si="46"/>
        <v>1</v>
      </c>
      <c r="O169" s="123">
        <f t="shared" si="46"/>
        <v>1</v>
      </c>
      <c r="P169" s="123">
        <f t="shared" si="46"/>
        <v>1</v>
      </c>
      <c r="Q169" s="123">
        <f t="shared" si="46"/>
        <v>1</v>
      </c>
      <c r="R169" s="123">
        <f t="shared" si="46"/>
        <v>1</v>
      </c>
      <c r="S169" s="123">
        <f t="shared" si="47"/>
        <v>1</v>
      </c>
      <c r="T169" s="123">
        <f t="shared" si="47"/>
        <v>1</v>
      </c>
      <c r="U169" s="123">
        <f t="shared" si="47"/>
        <v>1</v>
      </c>
      <c r="V169" s="123">
        <f t="shared" si="47"/>
        <v>1</v>
      </c>
      <c r="W169" s="123">
        <f t="shared" si="47"/>
        <v>1</v>
      </c>
      <c r="X169" s="123">
        <f t="shared" si="47"/>
        <v>1</v>
      </c>
      <c r="Y169" s="123">
        <f t="shared" si="47"/>
        <v>1</v>
      </c>
      <c r="Z169" s="123">
        <f t="shared" si="47"/>
        <v>1</v>
      </c>
      <c r="AA169" s="123">
        <f t="shared" si="47"/>
        <v>1</v>
      </c>
      <c r="AB169" s="123">
        <f t="shared" si="47"/>
        <v>1</v>
      </c>
      <c r="AC169" s="123">
        <f t="shared" si="47"/>
        <v>1</v>
      </c>
      <c r="AD169" s="123">
        <f t="shared" si="47"/>
        <v>1</v>
      </c>
      <c r="AE169" s="123">
        <f t="shared" si="47"/>
        <v>1</v>
      </c>
      <c r="AF169" s="123">
        <f t="shared" si="47"/>
        <v>1</v>
      </c>
      <c r="AG169" s="126">
        <v>3</v>
      </c>
      <c r="AH169" s="54"/>
      <c r="AI169" s="55"/>
      <c r="AK169" s="56"/>
    </row>
    <row r="170" spans="1:37" x14ac:dyDescent="0.25">
      <c r="A170" s="111" t="s">
        <v>175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4"/>
      <c r="AI170" s="55"/>
      <c r="AK170" s="56"/>
    </row>
    <row r="171" spans="1:37" x14ac:dyDescent="0.25">
      <c r="A171" s="111" t="s">
        <v>176</v>
      </c>
      <c r="B171" s="123">
        <f t="shared" ref="B171:B178" si="48">AF171</f>
        <v>1</v>
      </c>
      <c r="C171" s="124">
        <v>1</v>
      </c>
      <c r="D171" s="123">
        <f t="shared" ref="D171:S178" si="49">C171</f>
        <v>1</v>
      </c>
      <c r="E171" s="123">
        <f t="shared" si="49"/>
        <v>1</v>
      </c>
      <c r="F171" s="123">
        <f t="shared" si="49"/>
        <v>1</v>
      </c>
      <c r="G171" s="123">
        <f t="shared" si="49"/>
        <v>1</v>
      </c>
      <c r="H171" s="123">
        <f t="shared" si="49"/>
        <v>1</v>
      </c>
      <c r="I171" s="123">
        <f t="shared" si="49"/>
        <v>1</v>
      </c>
      <c r="J171" s="123">
        <f t="shared" si="49"/>
        <v>1</v>
      </c>
      <c r="K171" s="123">
        <f t="shared" si="49"/>
        <v>1</v>
      </c>
      <c r="L171" s="123">
        <f t="shared" si="49"/>
        <v>1</v>
      </c>
      <c r="M171" s="123">
        <f t="shared" si="49"/>
        <v>1</v>
      </c>
      <c r="N171" s="123">
        <f t="shared" si="49"/>
        <v>1</v>
      </c>
      <c r="O171" s="123">
        <f t="shared" si="49"/>
        <v>1</v>
      </c>
      <c r="P171" s="123">
        <f t="shared" si="49"/>
        <v>1</v>
      </c>
      <c r="Q171" s="123">
        <f t="shared" si="49"/>
        <v>1</v>
      </c>
      <c r="R171" s="123">
        <f t="shared" si="49"/>
        <v>1</v>
      </c>
      <c r="S171" s="123">
        <f t="shared" si="49"/>
        <v>1</v>
      </c>
      <c r="T171" s="123">
        <f t="shared" ref="S171:AF178" si="50">S171</f>
        <v>1</v>
      </c>
      <c r="U171" s="123">
        <f t="shared" si="50"/>
        <v>1</v>
      </c>
      <c r="V171" s="123">
        <f t="shared" si="50"/>
        <v>1</v>
      </c>
      <c r="W171" s="123">
        <f t="shared" si="50"/>
        <v>1</v>
      </c>
      <c r="X171" s="123">
        <f t="shared" si="50"/>
        <v>1</v>
      </c>
      <c r="Y171" s="123">
        <f t="shared" si="50"/>
        <v>1</v>
      </c>
      <c r="Z171" s="123">
        <f t="shared" si="50"/>
        <v>1</v>
      </c>
      <c r="AA171" s="123">
        <f t="shared" si="50"/>
        <v>1</v>
      </c>
      <c r="AB171" s="123">
        <f t="shared" si="50"/>
        <v>1</v>
      </c>
      <c r="AC171" s="123">
        <f t="shared" si="50"/>
        <v>1</v>
      </c>
      <c r="AD171" s="123">
        <f t="shared" si="50"/>
        <v>1</v>
      </c>
      <c r="AE171" s="123">
        <f t="shared" si="50"/>
        <v>1</v>
      </c>
      <c r="AF171" s="123">
        <f t="shared" si="50"/>
        <v>1</v>
      </c>
      <c r="AG171" s="126">
        <v>2.5</v>
      </c>
      <c r="AH171" s="54"/>
      <c r="AI171" s="55"/>
      <c r="AK171" s="56"/>
    </row>
    <row r="172" spans="1:37" x14ac:dyDescent="0.25">
      <c r="A172" s="111" t="s">
        <v>177</v>
      </c>
      <c r="B172" s="123">
        <f t="shared" si="48"/>
        <v>0.42</v>
      </c>
      <c r="C172" s="124">
        <v>0.42</v>
      </c>
      <c r="D172" s="123">
        <f t="shared" si="49"/>
        <v>0.42</v>
      </c>
      <c r="E172" s="123">
        <f t="shared" si="49"/>
        <v>0.42</v>
      </c>
      <c r="F172" s="123">
        <f t="shared" si="49"/>
        <v>0.42</v>
      </c>
      <c r="G172" s="123">
        <f t="shared" si="49"/>
        <v>0.42</v>
      </c>
      <c r="H172" s="123">
        <f t="shared" si="49"/>
        <v>0.42</v>
      </c>
      <c r="I172" s="123">
        <f t="shared" si="49"/>
        <v>0.42</v>
      </c>
      <c r="J172" s="123">
        <f t="shared" si="49"/>
        <v>0.42</v>
      </c>
      <c r="K172" s="123">
        <f t="shared" si="49"/>
        <v>0.42</v>
      </c>
      <c r="L172" s="123">
        <f t="shared" si="49"/>
        <v>0.42</v>
      </c>
      <c r="M172" s="123">
        <f t="shared" si="49"/>
        <v>0.42</v>
      </c>
      <c r="N172" s="123">
        <f t="shared" si="49"/>
        <v>0.42</v>
      </c>
      <c r="O172" s="123">
        <f t="shared" si="49"/>
        <v>0.42</v>
      </c>
      <c r="P172" s="123">
        <f t="shared" si="49"/>
        <v>0.42</v>
      </c>
      <c r="Q172" s="123">
        <f t="shared" si="49"/>
        <v>0.42</v>
      </c>
      <c r="R172" s="123">
        <f t="shared" si="49"/>
        <v>0.42</v>
      </c>
      <c r="S172" s="123">
        <f t="shared" si="50"/>
        <v>0.42</v>
      </c>
      <c r="T172" s="123">
        <f t="shared" si="50"/>
        <v>0.42</v>
      </c>
      <c r="U172" s="123">
        <f t="shared" si="50"/>
        <v>0.42</v>
      </c>
      <c r="V172" s="123">
        <f t="shared" si="50"/>
        <v>0.42</v>
      </c>
      <c r="W172" s="123">
        <f t="shared" si="50"/>
        <v>0.42</v>
      </c>
      <c r="X172" s="123">
        <f t="shared" si="50"/>
        <v>0.42</v>
      </c>
      <c r="Y172" s="123">
        <f t="shared" si="50"/>
        <v>0.42</v>
      </c>
      <c r="Z172" s="123">
        <f t="shared" si="50"/>
        <v>0.42</v>
      </c>
      <c r="AA172" s="123">
        <f t="shared" si="50"/>
        <v>0.42</v>
      </c>
      <c r="AB172" s="123">
        <f t="shared" si="50"/>
        <v>0.42</v>
      </c>
      <c r="AC172" s="123">
        <f t="shared" si="50"/>
        <v>0.42</v>
      </c>
      <c r="AD172" s="123">
        <f t="shared" si="50"/>
        <v>0.42</v>
      </c>
      <c r="AE172" s="123">
        <f t="shared" si="50"/>
        <v>0.42</v>
      </c>
      <c r="AF172" s="123">
        <f t="shared" si="50"/>
        <v>0.42</v>
      </c>
      <c r="AG172" s="126">
        <v>2.5</v>
      </c>
      <c r="AH172" s="54"/>
      <c r="AI172" s="55"/>
      <c r="AK172" s="56"/>
    </row>
    <row r="173" spans="1:37" x14ac:dyDescent="0.25">
      <c r="A173" s="111" t="s">
        <v>178</v>
      </c>
      <c r="B173" s="123">
        <f t="shared" si="48"/>
        <v>0.46</v>
      </c>
      <c r="C173" s="124">
        <v>0.46</v>
      </c>
      <c r="D173" s="123">
        <f t="shared" si="49"/>
        <v>0.46</v>
      </c>
      <c r="E173" s="123">
        <f t="shared" si="49"/>
        <v>0.46</v>
      </c>
      <c r="F173" s="123">
        <f t="shared" si="49"/>
        <v>0.46</v>
      </c>
      <c r="G173" s="123">
        <f t="shared" si="49"/>
        <v>0.46</v>
      </c>
      <c r="H173" s="123">
        <f t="shared" si="49"/>
        <v>0.46</v>
      </c>
      <c r="I173" s="123">
        <f t="shared" si="49"/>
        <v>0.46</v>
      </c>
      <c r="J173" s="123">
        <f t="shared" si="49"/>
        <v>0.46</v>
      </c>
      <c r="K173" s="123">
        <f t="shared" si="49"/>
        <v>0.46</v>
      </c>
      <c r="L173" s="123">
        <f t="shared" si="49"/>
        <v>0.46</v>
      </c>
      <c r="M173" s="123">
        <f t="shared" si="49"/>
        <v>0.46</v>
      </c>
      <c r="N173" s="123">
        <f t="shared" si="49"/>
        <v>0.46</v>
      </c>
      <c r="O173" s="123">
        <f t="shared" si="49"/>
        <v>0.46</v>
      </c>
      <c r="P173" s="123">
        <f t="shared" si="49"/>
        <v>0.46</v>
      </c>
      <c r="Q173" s="123">
        <f t="shared" si="49"/>
        <v>0.46</v>
      </c>
      <c r="R173" s="123">
        <f t="shared" si="49"/>
        <v>0.46</v>
      </c>
      <c r="S173" s="123">
        <f t="shared" si="50"/>
        <v>0.46</v>
      </c>
      <c r="T173" s="123">
        <f t="shared" si="50"/>
        <v>0.46</v>
      </c>
      <c r="U173" s="123">
        <f t="shared" si="50"/>
        <v>0.46</v>
      </c>
      <c r="V173" s="123">
        <f t="shared" si="50"/>
        <v>0.46</v>
      </c>
      <c r="W173" s="123">
        <f t="shared" si="50"/>
        <v>0.46</v>
      </c>
      <c r="X173" s="123">
        <f t="shared" si="50"/>
        <v>0.46</v>
      </c>
      <c r="Y173" s="123">
        <f t="shared" si="50"/>
        <v>0.46</v>
      </c>
      <c r="Z173" s="123">
        <f t="shared" si="50"/>
        <v>0.46</v>
      </c>
      <c r="AA173" s="123">
        <f t="shared" si="50"/>
        <v>0.46</v>
      </c>
      <c r="AB173" s="123">
        <f t="shared" si="50"/>
        <v>0.46</v>
      </c>
      <c r="AC173" s="123">
        <f t="shared" si="50"/>
        <v>0.46</v>
      </c>
      <c r="AD173" s="123">
        <f t="shared" si="50"/>
        <v>0.46</v>
      </c>
      <c r="AE173" s="123">
        <f t="shared" si="50"/>
        <v>0.46</v>
      </c>
      <c r="AF173" s="123">
        <f t="shared" si="50"/>
        <v>0.46</v>
      </c>
      <c r="AG173" s="126">
        <v>2.4</v>
      </c>
      <c r="AH173" s="54"/>
      <c r="AI173" s="55"/>
      <c r="AK173" s="56"/>
    </row>
    <row r="174" spans="1:37" x14ac:dyDescent="0.25">
      <c r="A174" s="111" t="s">
        <v>179</v>
      </c>
      <c r="B174" s="123">
        <f t="shared" si="48"/>
        <v>0.85</v>
      </c>
      <c r="C174" s="124">
        <v>0.85</v>
      </c>
      <c r="D174" s="123">
        <f t="shared" si="49"/>
        <v>0.85</v>
      </c>
      <c r="E174" s="123">
        <f t="shared" si="49"/>
        <v>0.85</v>
      </c>
      <c r="F174" s="123">
        <f t="shared" si="49"/>
        <v>0.85</v>
      </c>
      <c r="G174" s="123">
        <f t="shared" si="49"/>
        <v>0.85</v>
      </c>
      <c r="H174" s="123">
        <f t="shared" si="49"/>
        <v>0.85</v>
      </c>
      <c r="I174" s="123">
        <f t="shared" si="49"/>
        <v>0.85</v>
      </c>
      <c r="J174" s="123">
        <f t="shared" si="49"/>
        <v>0.85</v>
      </c>
      <c r="K174" s="123">
        <f t="shared" si="49"/>
        <v>0.85</v>
      </c>
      <c r="L174" s="123">
        <f t="shared" si="49"/>
        <v>0.85</v>
      </c>
      <c r="M174" s="123">
        <f t="shared" si="49"/>
        <v>0.85</v>
      </c>
      <c r="N174" s="123">
        <f t="shared" si="49"/>
        <v>0.85</v>
      </c>
      <c r="O174" s="123">
        <f t="shared" si="49"/>
        <v>0.85</v>
      </c>
      <c r="P174" s="123">
        <f t="shared" si="49"/>
        <v>0.85</v>
      </c>
      <c r="Q174" s="123">
        <f t="shared" si="49"/>
        <v>0.85</v>
      </c>
      <c r="R174" s="123">
        <f t="shared" si="49"/>
        <v>0.85</v>
      </c>
      <c r="S174" s="123">
        <f t="shared" si="50"/>
        <v>0.85</v>
      </c>
      <c r="T174" s="123">
        <f t="shared" si="50"/>
        <v>0.85</v>
      </c>
      <c r="U174" s="123">
        <f t="shared" si="50"/>
        <v>0.85</v>
      </c>
      <c r="V174" s="123">
        <f t="shared" si="50"/>
        <v>0.85</v>
      </c>
      <c r="W174" s="123">
        <f t="shared" si="50"/>
        <v>0.85</v>
      </c>
      <c r="X174" s="123">
        <f t="shared" si="50"/>
        <v>0.85</v>
      </c>
      <c r="Y174" s="123">
        <f t="shared" si="50"/>
        <v>0.85</v>
      </c>
      <c r="Z174" s="123">
        <f t="shared" si="50"/>
        <v>0.85</v>
      </c>
      <c r="AA174" s="123">
        <f t="shared" si="50"/>
        <v>0.85</v>
      </c>
      <c r="AB174" s="123">
        <f t="shared" si="50"/>
        <v>0.85</v>
      </c>
      <c r="AC174" s="123">
        <f t="shared" si="50"/>
        <v>0.85</v>
      </c>
      <c r="AD174" s="123">
        <f t="shared" si="50"/>
        <v>0.85</v>
      </c>
      <c r="AE174" s="123">
        <f t="shared" si="50"/>
        <v>0.85</v>
      </c>
      <c r="AF174" s="123">
        <f t="shared" si="50"/>
        <v>0.85</v>
      </c>
      <c r="AG174" s="126">
        <v>2.4</v>
      </c>
      <c r="AH174" s="54"/>
      <c r="AI174" s="55"/>
      <c r="AK174" s="56"/>
    </row>
    <row r="175" spans="1:37" x14ac:dyDescent="0.25">
      <c r="A175" s="111" t="s">
        <v>180</v>
      </c>
      <c r="B175" s="123">
        <f t="shared" si="48"/>
        <v>0.9</v>
      </c>
      <c r="C175" s="124">
        <v>0.9</v>
      </c>
      <c r="D175" s="123">
        <f t="shared" si="49"/>
        <v>0.9</v>
      </c>
      <c r="E175" s="123">
        <f t="shared" si="49"/>
        <v>0.9</v>
      </c>
      <c r="F175" s="123">
        <f t="shared" si="49"/>
        <v>0.9</v>
      </c>
      <c r="G175" s="123">
        <f t="shared" si="49"/>
        <v>0.9</v>
      </c>
      <c r="H175" s="123">
        <f t="shared" si="49"/>
        <v>0.9</v>
      </c>
      <c r="I175" s="123">
        <f t="shared" si="49"/>
        <v>0.9</v>
      </c>
      <c r="J175" s="123">
        <f t="shared" si="49"/>
        <v>0.9</v>
      </c>
      <c r="K175" s="123">
        <f t="shared" si="49"/>
        <v>0.9</v>
      </c>
      <c r="L175" s="123">
        <f t="shared" si="49"/>
        <v>0.9</v>
      </c>
      <c r="M175" s="123">
        <f t="shared" si="49"/>
        <v>0.9</v>
      </c>
      <c r="N175" s="123">
        <f t="shared" si="49"/>
        <v>0.9</v>
      </c>
      <c r="O175" s="123">
        <f t="shared" si="49"/>
        <v>0.9</v>
      </c>
      <c r="P175" s="123">
        <f t="shared" si="49"/>
        <v>0.9</v>
      </c>
      <c r="Q175" s="123">
        <f t="shared" si="49"/>
        <v>0.9</v>
      </c>
      <c r="R175" s="123">
        <f t="shared" si="49"/>
        <v>0.9</v>
      </c>
      <c r="S175" s="123">
        <f t="shared" si="50"/>
        <v>0.9</v>
      </c>
      <c r="T175" s="123">
        <f t="shared" si="50"/>
        <v>0.9</v>
      </c>
      <c r="U175" s="123">
        <f t="shared" si="50"/>
        <v>0.9</v>
      </c>
      <c r="V175" s="123">
        <f t="shared" si="50"/>
        <v>0.9</v>
      </c>
      <c r="W175" s="123">
        <f t="shared" si="50"/>
        <v>0.9</v>
      </c>
      <c r="X175" s="123">
        <f t="shared" si="50"/>
        <v>0.9</v>
      </c>
      <c r="Y175" s="123">
        <f t="shared" si="50"/>
        <v>0.9</v>
      </c>
      <c r="Z175" s="123">
        <f t="shared" si="50"/>
        <v>0.9</v>
      </c>
      <c r="AA175" s="123">
        <f t="shared" si="50"/>
        <v>0.9</v>
      </c>
      <c r="AB175" s="123">
        <f t="shared" si="50"/>
        <v>0.9</v>
      </c>
      <c r="AC175" s="123">
        <f t="shared" si="50"/>
        <v>0.9</v>
      </c>
      <c r="AD175" s="123">
        <f t="shared" si="50"/>
        <v>0.9</v>
      </c>
      <c r="AE175" s="123">
        <f t="shared" si="50"/>
        <v>0.9</v>
      </c>
      <c r="AF175" s="123">
        <f t="shared" si="50"/>
        <v>0.9</v>
      </c>
      <c r="AG175" s="126">
        <v>2.2000000000000002</v>
      </c>
      <c r="AH175" s="54"/>
      <c r="AI175" s="55"/>
      <c r="AK175" s="56"/>
    </row>
    <row r="176" spans="1:37" x14ac:dyDescent="0.25">
      <c r="A176" s="111" t="s">
        <v>181</v>
      </c>
      <c r="B176" s="123">
        <f t="shared" si="48"/>
        <v>0.44</v>
      </c>
      <c r="C176" s="124">
        <v>0.44</v>
      </c>
      <c r="D176" s="123">
        <f t="shared" si="49"/>
        <v>0.44</v>
      </c>
      <c r="E176" s="123">
        <f t="shared" si="49"/>
        <v>0.44</v>
      </c>
      <c r="F176" s="123">
        <f t="shared" si="49"/>
        <v>0.44</v>
      </c>
      <c r="G176" s="123">
        <f t="shared" si="49"/>
        <v>0.44</v>
      </c>
      <c r="H176" s="123">
        <f t="shared" si="49"/>
        <v>0.44</v>
      </c>
      <c r="I176" s="123">
        <f t="shared" si="49"/>
        <v>0.44</v>
      </c>
      <c r="J176" s="123">
        <f t="shared" si="49"/>
        <v>0.44</v>
      </c>
      <c r="K176" s="123">
        <f t="shared" si="49"/>
        <v>0.44</v>
      </c>
      <c r="L176" s="123">
        <f t="shared" si="49"/>
        <v>0.44</v>
      </c>
      <c r="M176" s="123">
        <f t="shared" si="49"/>
        <v>0.44</v>
      </c>
      <c r="N176" s="123">
        <f t="shared" si="49"/>
        <v>0.44</v>
      </c>
      <c r="O176" s="123">
        <f t="shared" si="49"/>
        <v>0.44</v>
      </c>
      <c r="P176" s="123">
        <f t="shared" si="49"/>
        <v>0.44</v>
      </c>
      <c r="Q176" s="123">
        <f t="shared" si="49"/>
        <v>0.44</v>
      </c>
      <c r="R176" s="123">
        <f t="shared" si="49"/>
        <v>0.44</v>
      </c>
      <c r="S176" s="123">
        <f t="shared" si="50"/>
        <v>0.44</v>
      </c>
      <c r="T176" s="123">
        <f t="shared" si="50"/>
        <v>0.44</v>
      </c>
      <c r="U176" s="123">
        <f t="shared" si="50"/>
        <v>0.44</v>
      </c>
      <c r="V176" s="123">
        <f t="shared" si="50"/>
        <v>0.44</v>
      </c>
      <c r="W176" s="123">
        <f t="shared" si="50"/>
        <v>0.44</v>
      </c>
      <c r="X176" s="123">
        <f t="shared" si="50"/>
        <v>0.44</v>
      </c>
      <c r="Y176" s="123">
        <f t="shared" si="50"/>
        <v>0.44</v>
      </c>
      <c r="Z176" s="123">
        <f t="shared" si="50"/>
        <v>0.44</v>
      </c>
      <c r="AA176" s="123">
        <f t="shared" si="50"/>
        <v>0.44</v>
      </c>
      <c r="AB176" s="123">
        <f t="shared" si="50"/>
        <v>0.44</v>
      </c>
      <c r="AC176" s="123">
        <f t="shared" si="50"/>
        <v>0.44</v>
      </c>
      <c r="AD176" s="123">
        <f t="shared" si="50"/>
        <v>0.44</v>
      </c>
      <c r="AE176" s="123">
        <f t="shared" si="50"/>
        <v>0.44</v>
      </c>
      <c r="AF176" s="123">
        <f t="shared" si="50"/>
        <v>0.44</v>
      </c>
      <c r="AG176" s="126">
        <v>2</v>
      </c>
      <c r="AH176" s="54"/>
      <c r="AI176" s="55"/>
      <c r="AK176" s="56"/>
    </row>
    <row r="177" spans="1:37" x14ac:dyDescent="0.25">
      <c r="A177" s="111" t="s">
        <v>182</v>
      </c>
      <c r="B177" s="123">
        <f t="shared" si="48"/>
        <v>2.1</v>
      </c>
      <c r="C177" s="124">
        <v>2.1</v>
      </c>
      <c r="D177" s="123">
        <f t="shared" si="49"/>
        <v>2.1</v>
      </c>
      <c r="E177" s="123">
        <f t="shared" si="49"/>
        <v>2.1</v>
      </c>
      <c r="F177" s="123">
        <f t="shared" si="49"/>
        <v>2.1</v>
      </c>
      <c r="G177" s="123">
        <f t="shared" si="49"/>
        <v>2.1</v>
      </c>
      <c r="H177" s="123">
        <f t="shared" si="49"/>
        <v>2.1</v>
      </c>
      <c r="I177" s="123">
        <f t="shared" si="49"/>
        <v>2.1</v>
      </c>
      <c r="J177" s="123">
        <f t="shared" si="49"/>
        <v>2.1</v>
      </c>
      <c r="K177" s="123">
        <f t="shared" si="49"/>
        <v>2.1</v>
      </c>
      <c r="L177" s="123">
        <f t="shared" si="49"/>
        <v>2.1</v>
      </c>
      <c r="M177" s="123">
        <f t="shared" si="49"/>
        <v>2.1</v>
      </c>
      <c r="N177" s="123">
        <f t="shared" si="49"/>
        <v>2.1</v>
      </c>
      <c r="O177" s="123">
        <f t="shared" si="49"/>
        <v>2.1</v>
      </c>
      <c r="P177" s="123">
        <f t="shared" si="49"/>
        <v>2.1</v>
      </c>
      <c r="Q177" s="123">
        <f t="shared" si="49"/>
        <v>2.1</v>
      </c>
      <c r="R177" s="123">
        <f t="shared" si="49"/>
        <v>2.1</v>
      </c>
      <c r="S177" s="123">
        <f t="shared" si="50"/>
        <v>2.1</v>
      </c>
      <c r="T177" s="123">
        <f t="shared" si="50"/>
        <v>2.1</v>
      </c>
      <c r="U177" s="123">
        <f t="shared" si="50"/>
        <v>2.1</v>
      </c>
      <c r="V177" s="123">
        <f t="shared" si="50"/>
        <v>2.1</v>
      </c>
      <c r="W177" s="123">
        <f t="shared" si="50"/>
        <v>2.1</v>
      </c>
      <c r="X177" s="123">
        <f t="shared" si="50"/>
        <v>2.1</v>
      </c>
      <c r="Y177" s="123">
        <f t="shared" si="50"/>
        <v>2.1</v>
      </c>
      <c r="Z177" s="123">
        <f t="shared" si="50"/>
        <v>2.1</v>
      </c>
      <c r="AA177" s="123">
        <f t="shared" si="50"/>
        <v>2.1</v>
      </c>
      <c r="AB177" s="123">
        <f t="shared" si="50"/>
        <v>2.1</v>
      </c>
      <c r="AC177" s="123">
        <f t="shared" si="50"/>
        <v>2.1</v>
      </c>
      <c r="AD177" s="123">
        <f t="shared" si="50"/>
        <v>2.1</v>
      </c>
      <c r="AE177" s="123">
        <f t="shared" si="50"/>
        <v>2.1</v>
      </c>
      <c r="AF177" s="123">
        <f t="shared" si="50"/>
        <v>2.1</v>
      </c>
      <c r="AG177" s="126">
        <v>2</v>
      </c>
      <c r="AH177" s="54"/>
      <c r="AI177" s="55"/>
      <c r="AK177" s="56"/>
    </row>
    <row r="178" spans="1:37" x14ac:dyDescent="0.25">
      <c r="A178" s="111" t="s">
        <v>183</v>
      </c>
      <c r="B178" s="123">
        <f t="shared" si="48"/>
        <v>0.9</v>
      </c>
      <c r="C178" s="124">
        <v>0.9</v>
      </c>
      <c r="D178" s="123">
        <f t="shared" si="49"/>
        <v>0.9</v>
      </c>
      <c r="E178" s="123">
        <f t="shared" si="49"/>
        <v>0.9</v>
      </c>
      <c r="F178" s="123">
        <f t="shared" si="49"/>
        <v>0.9</v>
      </c>
      <c r="G178" s="123">
        <f t="shared" si="49"/>
        <v>0.9</v>
      </c>
      <c r="H178" s="123">
        <f t="shared" si="49"/>
        <v>0.9</v>
      </c>
      <c r="I178" s="123">
        <f t="shared" si="49"/>
        <v>0.9</v>
      </c>
      <c r="J178" s="123">
        <f t="shared" si="49"/>
        <v>0.9</v>
      </c>
      <c r="K178" s="123">
        <f t="shared" si="49"/>
        <v>0.9</v>
      </c>
      <c r="L178" s="123">
        <f t="shared" si="49"/>
        <v>0.9</v>
      </c>
      <c r="M178" s="123">
        <f t="shared" si="49"/>
        <v>0.9</v>
      </c>
      <c r="N178" s="123">
        <f t="shared" si="49"/>
        <v>0.9</v>
      </c>
      <c r="O178" s="123">
        <f t="shared" si="49"/>
        <v>0.9</v>
      </c>
      <c r="P178" s="123">
        <f t="shared" si="49"/>
        <v>0.9</v>
      </c>
      <c r="Q178" s="123">
        <f t="shared" si="49"/>
        <v>0.9</v>
      </c>
      <c r="R178" s="123">
        <f t="shared" si="49"/>
        <v>0.9</v>
      </c>
      <c r="S178" s="123">
        <f t="shared" si="50"/>
        <v>0.9</v>
      </c>
      <c r="T178" s="123">
        <f t="shared" si="50"/>
        <v>0.9</v>
      </c>
      <c r="U178" s="123">
        <f t="shared" si="50"/>
        <v>0.9</v>
      </c>
      <c r="V178" s="123">
        <f t="shared" si="50"/>
        <v>0.9</v>
      </c>
      <c r="W178" s="123">
        <f t="shared" si="50"/>
        <v>0.9</v>
      </c>
      <c r="X178" s="123">
        <f t="shared" si="50"/>
        <v>0.9</v>
      </c>
      <c r="Y178" s="123">
        <f t="shared" si="50"/>
        <v>0.9</v>
      </c>
      <c r="Z178" s="123">
        <f t="shared" si="50"/>
        <v>0.9</v>
      </c>
      <c r="AA178" s="123">
        <f t="shared" si="50"/>
        <v>0.9</v>
      </c>
      <c r="AB178" s="123">
        <f t="shared" si="50"/>
        <v>0.9</v>
      </c>
      <c r="AC178" s="123">
        <f t="shared" si="50"/>
        <v>0.9</v>
      </c>
      <c r="AD178" s="123">
        <f t="shared" si="50"/>
        <v>0.9</v>
      </c>
      <c r="AE178" s="123">
        <f t="shared" si="50"/>
        <v>0.9</v>
      </c>
      <c r="AF178" s="123">
        <f t="shared" si="50"/>
        <v>0.9</v>
      </c>
      <c r="AG178" s="126">
        <v>2</v>
      </c>
      <c r="AH178" s="54"/>
      <c r="AI178" s="55"/>
      <c r="AK178" s="56"/>
    </row>
    <row r="179" spans="1:37" x14ac:dyDescent="0.25">
      <c r="A179" s="111" t="s">
        <v>184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4"/>
      <c r="AI179" s="55"/>
      <c r="AK179" s="56"/>
    </row>
    <row r="180" spans="1:37" x14ac:dyDescent="0.25">
      <c r="A180" s="111" t="s">
        <v>185</v>
      </c>
      <c r="B180" s="123">
        <f t="shared" ref="B180:B192" si="51">AF180</f>
        <v>0.57999999999999996</v>
      </c>
      <c r="C180" s="124">
        <v>0.57999999999999996</v>
      </c>
      <c r="D180" s="123">
        <f t="shared" ref="D180:S192" si="52">C180</f>
        <v>0.57999999999999996</v>
      </c>
      <c r="E180" s="123">
        <f t="shared" si="52"/>
        <v>0.57999999999999996</v>
      </c>
      <c r="F180" s="123">
        <f t="shared" si="52"/>
        <v>0.57999999999999996</v>
      </c>
      <c r="G180" s="123">
        <f t="shared" si="52"/>
        <v>0.57999999999999996</v>
      </c>
      <c r="H180" s="123">
        <f t="shared" si="52"/>
        <v>0.57999999999999996</v>
      </c>
      <c r="I180" s="123">
        <f t="shared" si="52"/>
        <v>0.57999999999999996</v>
      </c>
      <c r="J180" s="123">
        <f t="shared" si="52"/>
        <v>0.57999999999999996</v>
      </c>
      <c r="K180" s="123">
        <f t="shared" si="52"/>
        <v>0.57999999999999996</v>
      </c>
      <c r="L180" s="123">
        <f t="shared" si="52"/>
        <v>0.57999999999999996</v>
      </c>
      <c r="M180" s="123">
        <f t="shared" si="52"/>
        <v>0.57999999999999996</v>
      </c>
      <c r="N180" s="123">
        <f t="shared" si="52"/>
        <v>0.57999999999999996</v>
      </c>
      <c r="O180" s="123">
        <f t="shared" si="52"/>
        <v>0.57999999999999996</v>
      </c>
      <c r="P180" s="123">
        <f t="shared" si="52"/>
        <v>0.57999999999999996</v>
      </c>
      <c r="Q180" s="123">
        <f t="shared" si="52"/>
        <v>0.57999999999999996</v>
      </c>
      <c r="R180" s="123">
        <f t="shared" si="52"/>
        <v>0.57999999999999996</v>
      </c>
      <c r="S180" s="123">
        <f t="shared" si="52"/>
        <v>0.57999999999999996</v>
      </c>
      <c r="T180" s="123">
        <f t="shared" ref="S180:AF192" si="53">S180</f>
        <v>0.57999999999999996</v>
      </c>
      <c r="U180" s="123">
        <f t="shared" si="53"/>
        <v>0.57999999999999996</v>
      </c>
      <c r="V180" s="123">
        <f t="shared" si="53"/>
        <v>0.57999999999999996</v>
      </c>
      <c r="W180" s="123">
        <f t="shared" si="53"/>
        <v>0.57999999999999996</v>
      </c>
      <c r="X180" s="123">
        <f t="shared" si="53"/>
        <v>0.57999999999999996</v>
      </c>
      <c r="Y180" s="123">
        <f t="shared" si="53"/>
        <v>0.57999999999999996</v>
      </c>
      <c r="Z180" s="123">
        <f t="shared" si="53"/>
        <v>0.57999999999999996</v>
      </c>
      <c r="AA180" s="123">
        <f t="shared" si="53"/>
        <v>0.57999999999999996</v>
      </c>
      <c r="AB180" s="123">
        <f t="shared" si="53"/>
        <v>0.57999999999999996</v>
      </c>
      <c r="AC180" s="123">
        <f t="shared" si="53"/>
        <v>0.57999999999999996</v>
      </c>
      <c r="AD180" s="123">
        <f t="shared" si="53"/>
        <v>0.57999999999999996</v>
      </c>
      <c r="AE180" s="123">
        <f t="shared" si="53"/>
        <v>0.57999999999999996</v>
      </c>
      <c r="AF180" s="123">
        <f t="shared" si="53"/>
        <v>0.57999999999999996</v>
      </c>
      <c r="AG180" s="126">
        <v>1.8</v>
      </c>
      <c r="AH180" s="54"/>
      <c r="AI180" s="55"/>
      <c r="AK180" s="56"/>
    </row>
    <row r="181" spans="1:37" x14ac:dyDescent="0.25">
      <c r="A181" s="111" t="s">
        <v>186</v>
      </c>
      <c r="B181" s="123">
        <f t="shared" si="51"/>
        <v>0.8</v>
      </c>
      <c r="C181" s="124">
        <v>0.8</v>
      </c>
      <c r="D181" s="123">
        <f t="shared" si="52"/>
        <v>0.8</v>
      </c>
      <c r="E181" s="123">
        <f t="shared" si="52"/>
        <v>0.8</v>
      </c>
      <c r="F181" s="123">
        <f t="shared" si="52"/>
        <v>0.8</v>
      </c>
      <c r="G181" s="123">
        <f t="shared" si="52"/>
        <v>0.8</v>
      </c>
      <c r="H181" s="123">
        <f t="shared" si="52"/>
        <v>0.8</v>
      </c>
      <c r="I181" s="123">
        <f t="shared" si="52"/>
        <v>0.8</v>
      </c>
      <c r="J181" s="123">
        <f t="shared" si="52"/>
        <v>0.8</v>
      </c>
      <c r="K181" s="123">
        <f t="shared" si="52"/>
        <v>0.8</v>
      </c>
      <c r="L181" s="123">
        <f t="shared" si="52"/>
        <v>0.8</v>
      </c>
      <c r="M181" s="123">
        <f t="shared" si="52"/>
        <v>0.8</v>
      </c>
      <c r="N181" s="123">
        <f t="shared" si="52"/>
        <v>0.8</v>
      </c>
      <c r="O181" s="123">
        <f t="shared" si="52"/>
        <v>0.8</v>
      </c>
      <c r="P181" s="123">
        <f t="shared" si="52"/>
        <v>0.8</v>
      </c>
      <c r="Q181" s="123">
        <f t="shared" si="52"/>
        <v>0.8</v>
      </c>
      <c r="R181" s="123">
        <f t="shared" si="52"/>
        <v>0.8</v>
      </c>
      <c r="S181" s="123">
        <f t="shared" si="52"/>
        <v>0.8</v>
      </c>
      <c r="T181" s="123">
        <f t="shared" si="53"/>
        <v>0.8</v>
      </c>
      <c r="U181" s="123">
        <f t="shared" si="53"/>
        <v>0.8</v>
      </c>
      <c r="V181" s="123">
        <f t="shared" si="53"/>
        <v>0.8</v>
      </c>
      <c r="W181" s="123">
        <f t="shared" si="53"/>
        <v>0.8</v>
      </c>
      <c r="X181" s="123">
        <f t="shared" si="53"/>
        <v>0.8</v>
      </c>
      <c r="Y181" s="123">
        <f t="shared" si="53"/>
        <v>0.8</v>
      </c>
      <c r="Z181" s="123">
        <f t="shared" si="53"/>
        <v>0.8</v>
      </c>
      <c r="AA181" s="123">
        <f t="shared" si="53"/>
        <v>0.8</v>
      </c>
      <c r="AB181" s="123">
        <f t="shared" si="53"/>
        <v>0.8</v>
      </c>
      <c r="AC181" s="123">
        <f t="shared" si="53"/>
        <v>0.8</v>
      </c>
      <c r="AD181" s="123">
        <f t="shared" si="53"/>
        <v>0.8</v>
      </c>
      <c r="AE181" s="123">
        <f t="shared" si="53"/>
        <v>0.8</v>
      </c>
      <c r="AF181" s="123">
        <f t="shared" si="53"/>
        <v>0.8</v>
      </c>
      <c r="AG181" s="126">
        <v>1.65</v>
      </c>
      <c r="AH181" s="54"/>
      <c r="AI181" s="55"/>
      <c r="AK181" s="56"/>
    </row>
    <row r="182" spans="1:37" x14ac:dyDescent="0.25">
      <c r="A182" s="111" t="s">
        <v>187</v>
      </c>
      <c r="B182" s="123">
        <f t="shared" si="51"/>
        <v>0</v>
      </c>
      <c r="C182" s="124">
        <v>0</v>
      </c>
      <c r="D182" s="123">
        <f t="shared" si="52"/>
        <v>0</v>
      </c>
      <c r="E182" s="123">
        <f t="shared" si="52"/>
        <v>0</v>
      </c>
      <c r="F182" s="123">
        <f t="shared" si="52"/>
        <v>0</v>
      </c>
      <c r="G182" s="123">
        <f t="shared" si="52"/>
        <v>0</v>
      </c>
      <c r="H182" s="123">
        <f t="shared" si="52"/>
        <v>0</v>
      </c>
      <c r="I182" s="123">
        <f t="shared" si="52"/>
        <v>0</v>
      </c>
      <c r="J182" s="123">
        <f t="shared" si="52"/>
        <v>0</v>
      </c>
      <c r="K182" s="123">
        <f t="shared" si="52"/>
        <v>0</v>
      </c>
      <c r="L182" s="123">
        <f t="shared" si="52"/>
        <v>0</v>
      </c>
      <c r="M182" s="123">
        <f t="shared" si="52"/>
        <v>0</v>
      </c>
      <c r="N182" s="123">
        <f t="shared" si="52"/>
        <v>0</v>
      </c>
      <c r="O182" s="123">
        <f t="shared" si="52"/>
        <v>0</v>
      </c>
      <c r="P182" s="123">
        <f t="shared" si="52"/>
        <v>0</v>
      </c>
      <c r="Q182" s="123">
        <f t="shared" si="52"/>
        <v>0</v>
      </c>
      <c r="R182" s="123">
        <f t="shared" si="52"/>
        <v>0</v>
      </c>
      <c r="S182" s="123">
        <f t="shared" si="52"/>
        <v>0</v>
      </c>
      <c r="T182" s="123">
        <f t="shared" si="53"/>
        <v>0</v>
      </c>
      <c r="U182" s="123">
        <f t="shared" si="53"/>
        <v>0</v>
      </c>
      <c r="V182" s="123">
        <f t="shared" si="53"/>
        <v>0</v>
      </c>
      <c r="W182" s="123">
        <f t="shared" si="53"/>
        <v>0</v>
      </c>
      <c r="X182" s="123">
        <f t="shared" si="53"/>
        <v>0</v>
      </c>
      <c r="Y182" s="123">
        <f t="shared" si="53"/>
        <v>0</v>
      </c>
      <c r="Z182" s="123">
        <f t="shared" si="53"/>
        <v>0</v>
      </c>
      <c r="AA182" s="123">
        <f t="shared" si="53"/>
        <v>0</v>
      </c>
      <c r="AB182" s="123">
        <f t="shared" si="53"/>
        <v>0</v>
      </c>
      <c r="AC182" s="123">
        <f t="shared" si="53"/>
        <v>0</v>
      </c>
      <c r="AD182" s="123">
        <f t="shared" si="53"/>
        <v>0</v>
      </c>
      <c r="AE182" s="123">
        <f t="shared" si="53"/>
        <v>0</v>
      </c>
      <c r="AF182" s="123">
        <f t="shared" si="53"/>
        <v>0</v>
      </c>
      <c r="AG182" s="126">
        <v>1.5</v>
      </c>
      <c r="AH182" s="54"/>
      <c r="AI182" s="55"/>
      <c r="AK182" s="56"/>
    </row>
    <row r="183" spans="1:37" x14ac:dyDescent="0.25">
      <c r="A183" s="111" t="s">
        <v>188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0.998</v>
      </c>
      <c r="AH183" s="54"/>
      <c r="AI183" s="55"/>
      <c r="AK183" s="56"/>
    </row>
    <row r="184" spans="1:37" x14ac:dyDescent="0.25">
      <c r="A184" s="111" t="s">
        <v>189</v>
      </c>
      <c r="B184" s="123">
        <f t="shared" si="51"/>
        <v>0.6</v>
      </c>
      <c r="C184" s="124">
        <v>0.6</v>
      </c>
      <c r="D184" s="123">
        <f t="shared" si="52"/>
        <v>0.6</v>
      </c>
      <c r="E184" s="123">
        <f t="shared" si="52"/>
        <v>0.6</v>
      </c>
      <c r="F184" s="123">
        <f t="shared" si="52"/>
        <v>0.6</v>
      </c>
      <c r="G184" s="123">
        <f t="shared" si="52"/>
        <v>0.6</v>
      </c>
      <c r="H184" s="123">
        <f t="shared" si="52"/>
        <v>0.6</v>
      </c>
      <c r="I184" s="123">
        <f t="shared" si="52"/>
        <v>0.6</v>
      </c>
      <c r="J184" s="123">
        <f t="shared" si="52"/>
        <v>0.6</v>
      </c>
      <c r="K184" s="123">
        <f t="shared" si="52"/>
        <v>0.6</v>
      </c>
      <c r="L184" s="123">
        <f t="shared" si="52"/>
        <v>0.6</v>
      </c>
      <c r="M184" s="123">
        <f t="shared" si="52"/>
        <v>0.6</v>
      </c>
      <c r="N184" s="123">
        <f t="shared" si="52"/>
        <v>0.6</v>
      </c>
      <c r="O184" s="123">
        <f t="shared" si="52"/>
        <v>0.6</v>
      </c>
      <c r="P184" s="123">
        <f t="shared" si="52"/>
        <v>0.6</v>
      </c>
      <c r="Q184" s="123">
        <f t="shared" si="52"/>
        <v>0.6</v>
      </c>
      <c r="R184" s="123">
        <f t="shared" si="52"/>
        <v>0.6</v>
      </c>
      <c r="S184" s="123">
        <f t="shared" si="52"/>
        <v>0.6</v>
      </c>
      <c r="T184" s="123">
        <f t="shared" si="53"/>
        <v>0.6</v>
      </c>
      <c r="U184" s="123">
        <f t="shared" si="53"/>
        <v>0.6</v>
      </c>
      <c r="V184" s="123">
        <f t="shared" si="53"/>
        <v>0.6</v>
      </c>
      <c r="W184" s="123">
        <f t="shared" si="53"/>
        <v>0.6</v>
      </c>
      <c r="X184" s="123">
        <f t="shared" si="53"/>
        <v>0.6</v>
      </c>
      <c r="Y184" s="123">
        <f t="shared" si="53"/>
        <v>0.6</v>
      </c>
      <c r="Z184" s="123">
        <f t="shared" si="53"/>
        <v>0.6</v>
      </c>
      <c r="AA184" s="123">
        <f t="shared" si="53"/>
        <v>0.6</v>
      </c>
      <c r="AB184" s="123">
        <f t="shared" si="53"/>
        <v>0.6</v>
      </c>
      <c r="AC184" s="123">
        <f t="shared" si="53"/>
        <v>0.6</v>
      </c>
      <c r="AD184" s="123">
        <f t="shared" si="53"/>
        <v>0.6</v>
      </c>
      <c r="AE184" s="123">
        <f t="shared" si="53"/>
        <v>0.6</v>
      </c>
      <c r="AF184" s="123">
        <f t="shared" si="53"/>
        <v>0.6</v>
      </c>
      <c r="AG184" s="126">
        <v>0.997</v>
      </c>
      <c r="AH184" s="54"/>
      <c r="AI184" s="55"/>
      <c r="AK184" s="56"/>
    </row>
    <row r="185" spans="1:37" x14ac:dyDescent="0.25">
      <c r="A185" s="111" t="s">
        <v>190</v>
      </c>
      <c r="B185" s="123">
        <f t="shared" si="51"/>
        <v>0.35</v>
      </c>
      <c r="C185" s="124">
        <v>0.35</v>
      </c>
      <c r="D185" s="123">
        <f t="shared" si="52"/>
        <v>0.35</v>
      </c>
      <c r="E185" s="123">
        <f t="shared" si="52"/>
        <v>0.35</v>
      </c>
      <c r="F185" s="123">
        <f t="shared" si="52"/>
        <v>0.35</v>
      </c>
      <c r="G185" s="123">
        <f t="shared" si="52"/>
        <v>0.35</v>
      </c>
      <c r="H185" s="123">
        <f t="shared" si="52"/>
        <v>0.35</v>
      </c>
      <c r="I185" s="123">
        <f t="shared" si="52"/>
        <v>0.35</v>
      </c>
      <c r="J185" s="123">
        <f t="shared" si="52"/>
        <v>0.35</v>
      </c>
      <c r="K185" s="123">
        <f t="shared" si="52"/>
        <v>0.35</v>
      </c>
      <c r="L185" s="123">
        <f t="shared" si="52"/>
        <v>0.35</v>
      </c>
      <c r="M185" s="123">
        <f t="shared" si="52"/>
        <v>0.35</v>
      </c>
      <c r="N185" s="123">
        <f t="shared" si="52"/>
        <v>0.35</v>
      </c>
      <c r="O185" s="123">
        <f t="shared" si="52"/>
        <v>0.35</v>
      </c>
      <c r="P185" s="123">
        <f t="shared" si="52"/>
        <v>0.35</v>
      </c>
      <c r="Q185" s="123">
        <f t="shared" si="52"/>
        <v>0.35</v>
      </c>
      <c r="R185" s="123">
        <f t="shared" si="52"/>
        <v>0.35</v>
      </c>
      <c r="S185" s="123">
        <f t="shared" si="52"/>
        <v>0.35</v>
      </c>
      <c r="T185" s="123">
        <f t="shared" si="53"/>
        <v>0.35</v>
      </c>
      <c r="U185" s="123">
        <f t="shared" si="53"/>
        <v>0.35</v>
      </c>
      <c r="V185" s="123">
        <f t="shared" si="53"/>
        <v>0.35</v>
      </c>
      <c r="W185" s="123">
        <f t="shared" si="53"/>
        <v>0.35</v>
      </c>
      <c r="X185" s="123">
        <f t="shared" si="53"/>
        <v>0.35</v>
      </c>
      <c r="Y185" s="123">
        <f t="shared" si="53"/>
        <v>0.35</v>
      </c>
      <c r="Z185" s="123">
        <f t="shared" si="53"/>
        <v>0.35</v>
      </c>
      <c r="AA185" s="123">
        <f t="shared" si="53"/>
        <v>0.35</v>
      </c>
      <c r="AB185" s="123">
        <f t="shared" si="53"/>
        <v>0.35</v>
      </c>
      <c r="AC185" s="123">
        <f t="shared" si="53"/>
        <v>0.35</v>
      </c>
      <c r="AD185" s="123">
        <f t="shared" si="53"/>
        <v>0.35</v>
      </c>
      <c r="AE185" s="123">
        <f t="shared" si="53"/>
        <v>0.35</v>
      </c>
      <c r="AF185" s="123">
        <f t="shared" si="53"/>
        <v>0.35</v>
      </c>
      <c r="AG185" s="126">
        <v>0.997</v>
      </c>
      <c r="AH185" s="54"/>
      <c r="AI185" s="55"/>
      <c r="AK185" s="56"/>
    </row>
    <row r="186" spans="1:37" x14ac:dyDescent="0.25">
      <c r="A186" s="111" t="s">
        <v>191</v>
      </c>
      <c r="B186" s="123">
        <f t="shared" si="51"/>
        <v>0.28999999999999998</v>
      </c>
      <c r="C186" s="124">
        <v>0.28999999999999998</v>
      </c>
      <c r="D186" s="123">
        <f t="shared" si="52"/>
        <v>0.28999999999999998</v>
      </c>
      <c r="E186" s="123">
        <f t="shared" si="52"/>
        <v>0.28999999999999998</v>
      </c>
      <c r="F186" s="123">
        <f t="shared" si="52"/>
        <v>0.28999999999999998</v>
      </c>
      <c r="G186" s="123">
        <f t="shared" si="52"/>
        <v>0.28999999999999998</v>
      </c>
      <c r="H186" s="123">
        <f t="shared" si="52"/>
        <v>0.28999999999999998</v>
      </c>
      <c r="I186" s="123">
        <f t="shared" si="52"/>
        <v>0.28999999999999998</v>
      </c>
      <c r="J186" s="123">
        <f t="shared" si="52"/>
        <v>0.28999999999999998</v>
      </c>
      <c r="K186" s="123">
        <f t="shared" si="52"/>
        <v>0.28999999999999998</v>
      </c>
      <c r="L186" s="123">
        <f t="shared" si="52"/>
        <v>0.28999999999999998</v>
      </c>
      <c r="M186" s="123">
        <f t="shared" si="52"/>
        <v>0.28999999999999998</v>
      </c>
      <c r="N186" s="123">
        <f t="shared" si="52"/>
        <v>0.28999999999999998</v>
      </c>
      <c r="O186" s="123">
        <f t="shared" si="52"/>
        <v>0.28999999999999998</v>
      </c>
      <c r="P186" s="123">
        <f t="shared" si="52"/>
        <v>0.28999999999999998</v>
      </c>
      <c r="Q186" s="123">
        <f t="shared" si="52"/>
        <v>0.28999999999999998</v>
      </c>
      <c r="R186" s="123">
        <f t="shared" si="52"/>
        <v>0.28999999999999998</v>
      </c>
      <c r="S186" s="123">
        <f t="shared" si="52"/>
        <v>0.28999999999999998</v>
      </c>
      <c r="T186" s="123">
        <f t="shared" si="53"/>
        <v>0.28999999999999998</v>
      </c>
      <c r="U186" s="123">
        <f t="shared" si="53"/>
        <v>0.28999999999999998</v>
      </c>
      <c r="V186" s="123">
        <f t="shared" si="53"/>
        <v>0.28999999999999998</v>
      </c>
      <c r="W186" s="123">
        <f t="shared" si="53"/>
        <v>0.28999999999999998</v>
      </c>
      <c r="X186" s="123">
        <f t="shared" si="53"/>
        <v>0.28999999999999998</v>
      </c>
      <c r="Y186" s="123">
        <f t="shared" si="53"/>
        <v>0.28999999999999998</v>
      </c>
      <c r="Z186" s="123">
        <f t="shared" si="53"/>
        <v>0.28999999999999998</v>
      </c>
      <c r="AA186" s="123">
        <f t="shared" si="53"/>
        <v>0.28999999999999998</v>
      </c>
      <c r="AB186" s="123">
        <f t="shared" si="53"/>
        <v>0.28999999999999998</v>
      </c>
      <c r="AC186" s="123">
        <f t="shared" si="53"/>
        <v>0.28999999999999998</v>
      </c>
      <c r="AD186" s="123">
        <f t="shared" si="53"/>
        <v>0.28999999999999998</v>
      </c>
      <c r="AE186" s="123">
        <f t="shared" si="53"/>
        <v>0.28999999999999998</v>
      </c>
      <c r="AF186" s="123">
        <f t="shared" si="53"/>
        <v>0.28999999999999998</v>
      </c>
      <c r="AG186" s="126">
        <v>0.996</v>
      </c>
      <c r="AH186" s="54"/>
      <c r="AI186" s="55"/>
      <c r="AK186" s="56"/>
    </row>
    <row r="187" spans="1:37" x14ac:dyDescent="0.25">
      <c r="A187" s="111" t="s">
        <v>192</v>
      </c>
      <c r="B187" s="123">
        <f t="shared" si="51"/>
        <v>0.06</v>
      </c>
      <c r="C187" s="124">
        <v>0.06</v>
      </c>
      <c r="D187" s="123">
        <f t="shared" si="52"/>
        <v>0.06</v>
      </c>
      <c r="E187" s="123">
        <f t="shared" si="52"/>
        <v>0.06</v>
      </c>
      <c r="F187" s="123">
        <f t="shared" si="52"/>
        <v>0.06</v>
      </c>
      <c r="G187" s="123">
        <f t="shared" si="52"/>
        <v>0.06</v>
      </c>
      <c r="H187" s="123">
        <f t="shared" si="52"/>
        <v>0.06</v>
      </c>
      <c r="I187" s="123">
        <f t="shared" si="52"/>
        <v>0.06</v>
      </c>
      <c r="J187" s="123">
        <f t="shared" si="52"/>
        <v>0.06</v>
      </c>
      <c r="K187" s="123">
        <f t="shared" si="52"/>
        <v>0.06</v>
      </c>
      <c r="L187" s="123">
        <f t="shared" si="52"/>
        <v>0.06</v>
      </c>
      <c r="M187" s="123">
        <f t="shared" si="52"/>
        <v>0.06</v>
      </c>
      <c r="N187" s="123">
        <f t="shared" si="52"/>
        <v>0.06</v>
      </c>
      <c r="O187" s="123">
        <f t="shared" si="52"/>
        <v>0.06</v>
      </c>
      <c r="P187" s="123">
        <f t="shared" si="52"/>
        <v>0.06</v>
      </c>
      <c r="Q187" s="123">
        <f t="shared" si="52"/>
        <v>0.06</v>
      </c>
      <c r="R187" s="123">
        <f t="shared" si="52"/>
        <v>0.06</v>
      </c>
      <c r="S187" s="123">
        <f t="shared" si="52"/>
        <v>0.06</v>
      </c>
      <c r="T187" s="123">
        <f t="shared" si="53"/>
        <v>0.06</v>
      </c>
      <c r="U187" s="123">
        <f t="shared" si="53"/>
        <v>0.06</v>
      </c>
      <c r="V187" s="123">
        <f t="shared" si="53"/>
        <v>0.06</v>
      </c>
      <c r="W187" s="123">
        <f t="shared" si="53"/>
        <v>0.06</v>
      </c>
      <c r="X187" s="123">
        <f t="shared" si="53"/>
        <v>0.06</v>
      </c>
      <c r="Y187" s="123">
        <f t="shared" si="53"/>
        <v>0.06</v>
      </c>
      <c r="Z187" s="123">
        <f t="shared" si="53"/>
        <v>0.06</v>
      </c>
      <c r="AA187" s="123">
        <f t="shared" si="53"/>
        <v>0.06</v>
      </c>
      <c r="AB187" s="123">
        <f t="shared" si="53"/>
        <v>0.06</v>
      </c>
      <c r="AC187" s="123">
        <f t="shared" si="53"/>
        <v>0.06</v>
      </c>
      <c r="AD187" s="123">
        <f t="shared" si="53"/>
        <v>0.06</v>
      </c>
      <c r="AE187" s="123">
        <f t="shared" si="53"/>
        <v>0.06</v>
      </c>
      <c r="AF187" s="123">
        <f t="shared" si="53"/>
        <v>0.06</v>
      </c>
      <c r="AG187" s="126">
        <v>0.996</v>
      </c>
      <c r="AH187" s="54"/>
      <c r="AI187" s="55"/>
      <c r="AK187" s="56"/>
    </row>
    <row r="188" spans="1:37" x14ac:dyDescent="0.25">
      <c r="A188" s="111" t="s">
        <v>193</v>
      </c>
      <c r="B188" s="123">
        <f t="shared" si="51"/>
        <v>0.11</v>
      </c>
      <c r="C188" s="124">
        <v>0.11</v>
      </c>
      <c r="D188" s="123">
        <f t="shared" si="52"/>
        <v>0.11</v>
      </c>
      <c r="E188" s="123">
        <f t="shared" si="52"/>
        <v>0.11</v>
      </c>
      <c r="F188" s="123">
        <f t="shared" si="52"/>
        <v>0.11</v>
      </c>
      <c r="G188" s="123">
        <f t="shared" si="52"/>
        <v>0.11</v>
      </c>
      <c r="H188" s="123">
        <f t="shared" si="52"/>
        <v>0.11</v>
      </c>
      <c r="I188" s="123">
        <f t="shared" si="52"/>
        <v>0.11</v>
      </c>
      <c r="J188" s="123">
        <f t="shared" si="52"/>
        <v>0.11</v>
      </c>
      <c r="K188" s="123">
        <f t="shared" si="52"/>
        <v>0.11</v>
      </c>
      <c r="L188" s="123">
        <f t="shared" si="52"/>
        <v>0.11</v>
      </c>
      <c r="M188" s="123">
        <f t="shared" si="52"/>
        <v>0.11</v>
      </c>
      <c r="N188" s="123">
        <f t="shared" si="52"/>
        <v>0.11</v>
      </c>
      <c r="O188" s="123">
        <f t="shared" si="52"/>
        <v>0.11</v>
      </c>
      <c r="P188" s="123">
        <f t="shared" si="52"/>
        <v>0.11</v>
      </c>
      <c r="Q188" s="123">
        <f t="shared" si="52"/>
        <v>0.11</v>
      </c>
      <c r="R188" s="123">
        <f t="shared" si="52"/>
        <v>0.11</v>
      </c>
      <c r="S188" s="123">
        <f t="shared" si="52"/>
        <v>0.11</v>
      </c>
      <c r="T188" s="123">
        <f t="shared" si="53"/>
        <v>0.11</v>
      </c>
      <c r="U188" s="123">
        <f t="shared" si="53"/>
        <v>0.11</v>
      </c>
      <c r="V188" s="123">
        <f t="shared" si="53"/>
        <v>0.11</v>
      </c>
      <c r="W188" s="123">
        <f t="shared" si="53"/>
        <v>0.11</v>
      </c>
      <c r="X188" s="123">
        <f t="shared" si="53"/>
        <v>0.11</v>
      </c>
      <c r="Y188" s="123">
        <f t="shared" si="53"/>
        <v>0.11</v>
      </c>
      <c r="Z188" s="123">
        <f t="shared" si="53"/>
        <v>0.11</v>
      </c>
      <c r="AA188" s="123">
        <f t="shared" si="53"/>
        <v>0.11</v>
      </c>
      <c r="AB188" s="123">
        <f t="shared" si="53"/>
        <v>0.11</v>
      </c>
      <c r="AC188" s="123">
        <f t="shared" si="53"/>
        <v>0.11</v>
      </c>
      <c r="AD188" s="123">
        <f t="shared" si="53"/>
        <v>0.11</v>
      </c>
      <c r="AE188" s="123">
        <f t="shared" si="53"/>
        <v>0.11</v>
      </c>
      <c r="AF188" s="123">
        <f t="shared" si="53"/>
        <v>0.11</v>
      </c>
      <c r="AG188" s="126">
        <v>0.996</v>
      </c>
      <c r="AH188" s="54"/>
      <c r="AI188" s="55"/>
      <c r="AK188" s="56"/>
    </row>
    <row r="189" spans="1:37" x14ac:dyDescent="0.25">
      <c r="A189" s="111" t="s">
        <v>194</v>
      </c>
      <c r="B189" s="123">
        <f t="shared" si="51"/>
        <v>0.1</v>
      </c>
      <c r="C189" s="124">
        <v>0.1</v>
      </c>
      <c r="D189" s="123">
        <f t="shared" si="52"/>
        <v>0.1</v>
      </c>
      <c r="E189" s="123">
        <f t="shared" si="52"/>
        <v>0.1</v>
      </c>
      <c r="F189" s="123">
        <f t="shared" si="52"/>
        <v>0.1</v>
      </c>
      <c r="G189" s="123">
        <f t="shared" si="52"/>
        <v>0.1</v>
      </c>
      <c r="H189" s="123">
        <f t="shared" si="52"/>
        <v>0.1</v>
      </c>
      <c r="I189" s="123">
        <f t="shared" si="52"/>
        <v>0.1</v>
      </c>
      <c r="J189" s="123">
        <f t="shared" si="52"/>
        <v>0.1</v>
      </c>
      <c r="K189" s="123">
        <f t="shared" si="52"/>
        <v>0.1</v>
      </c>
      <c r="L189" s="123">
        <f t="shared" si="52"/>
        <v>0.1</v>
      </c>
      <c r="M189" s="123">
        <f t="shared" si="52"/>
        <v>0.1</v>
      </c>
      <c r="N189" s="123">
        <f t="shared" si="52"/>
        <v>0.1</v>
      </c>
      <c r="O189" s="123">
        <f t="shared" si="52"/>
        <v>0.1</v>
      </c>
      <c r="P189" s="123">
        <f t="shared" si="52"/>
        <v>0.1</v>
      </c>
      <c r="Q189" s="123">
        <f t="shared" si="52"/>
        <v>0.1</v>
      </c>
      <c r="R189" s="123">
        <f t="shared" si="52"/>
        <v>0.1</v>
      </c>
      <c r="S189" s="123">
        <f t="shared" si="53"/>
        <v>0.1</v>
      </c>
      <c r="T189" s="123">
        <f t="shared" si="53"/>
        <v>0.1</v>
      </c>
      <c r="U189" s="123">
        <f t="shared" si="53"/>
        <v>0.1</v>
      </c>
      <c r="V189" s="123">
        <f t="shared" si="53"/>
        <v>0.1</v>
      </c>
      <c r="W189" s="123">
        <f t="shared" si="53"/>
        <v>0.1</v>
      </c>
      <c r="X189" s="123">
        <f t="shared" si="53"/>
        <v>0.1</v>
      </c>
      <c r="Y189" s="123">
        <f t="shared" si="53"/>
        <v>0.1</v>
      </c>
      <c r="Z189" s="123">
        <f t="shared" si="53"/>
        <v>0.1</v>
      </c>
      <c r="AA189" s="123">
        <f t="shared" si="53"/>
        <v>0.1</v>
      </c>
      <c r="AB189" s="123">
        <f t="shared" si="53"/>
        <v>0.1</v>
      </c>
      <c r="AC189" s="123">
        <f t="shared" si="53"/>
        <v>0.1</v>
      </c>
      <c r="AD189" s="123">
        <f t="shared" si="53"/>
        <v>0.1</v>
      </c>
      <c r="AE189" s="123">
        <f t="shared" si="53"/>
        <v>0.1</v>
      </c>
      <c r="AF189" s="123">
        <f t="shared" si="53"/>
        <v>0.1</v>
      </c>
      <c r="AG189" s="126">
        <v>0.995</v>
      </c>
      <c r="AH189" s="54"/>
      <c r="AI189" s="55"/>
      <c r="AK189" s="56"/>
    </row>
    <row r="190" spans="1:37" x14ac:dyDescent="0.25">
      <c r="A190" s="111" t="s">
        <v>195</v>
      </c>
      <c r="B190" s="123">
        <f t="shared" si="51"/>
        <v>0.09</v>
      </c>
      <c r="C190" s="124">
        <v>0.09</v>
      </c>
      <c r="D190" s="123">
        <f t="shared" si="52"/>
        <v>0.09</v>
      </c>
      <c r="E190" s="123">
        <f t="shared" si="52"/>
        <v>0.09</v>
      </c>
      <c r="F190" s="123">
        <f t="shared" si="52"/>
        <v>0.09</v>
      </c>
      <c r="G190" s="123">
        <f t="shared" si="52"/>
        <v>0.09</v>
      </c>
      <c r="H190" s="123">
        <f t="shared" si="52"/>
        <v>0.09</v>
      </c>
      <c r="I190" s="123">
        <f t="shared" si="52"/>
        <v>0.09</v>
      </c>
      <c r="J190" s="123">
        <f t="shared" si="52"/>
        <v>0.09</v>
      </c>
      <c r="K190" s="123">
        <f t="shared" si="52"/>
        <v>0.09</v>
      </c>
      <c r="L190" s="123">
        <f t="shared" si="52"/>
        <v>0.09</v>
      </c>
      <c r="M190" s="123">
        <f t="shared" si="52"/>
        <v>0.09</v>
      </c>
      <c r="N190" s="123">
        <f t="shared" si="52"/>
        <v>0.09</v>
      </c>
      <c r="O190" s="123">
        <f t="shared" si="52"/>
        <v>0.09</v>
      </c>
      <c r="P190" s="123">
        <f t="shared" si="52"/>
        <v>0.09</v>
      </c>
      <c r="Q190" s="123">
        <f t="shared" si="52"/>
        <v>0.09</v>
      </c>
      <c r="R190" s="123">
        <f t="shared" si="52"/>
        <v>0.09</v>
      </c>
      <c r="S190" s="123">
        <f t="shared" si="53"/>
        <v>0.09</v>
      </c>
      <c r="T190" s="123">
        <f t="shared" si="53"/>
        <v>0.09</v>
      </c>
      <c r="U190" s="123">
        <f t="shared" si="53"/>
        <v>0.09</v>
      </c>
      <c r="V190" s="123">
        <f t="shared" si="53"/>
        <v>0.09</v>
      </c>
      <c r="W190" s="123">
        <f t="shared" si="53"/>
        <v>0.09</v>
      </c>
      <c r="X190" s="123">
        <f t="shared" si="53"/>
        <v>0.09</v>
      </c>
      <c r="Y190" s="123">
        <f t="shared" si="53"/>
        <v>0.09</v>
      </c>
      <c r="Z190" s="123">
        <f t="shared" si="53"/>
        <v>0.09</v>
      </c>
      <c r="AA190" s="123">
        <f t="shared" si="53"/>
        <v>0.09</v>
      </c>
      <c r="AB190" s="123">
        <f t="shared" si="53"/>
        <v>0.09</v>
      </c>
      <c r="AC190" s="123">
        <f t="shared" si="53"/>
        <v>0.09</v>
      </c>
      <c r="AD190" s="123">
        <f t="shared" si="53"/>
        <v>0.09</v>
      </c>
      <c r="AE190" s="123">
        <f t="shared" si="53"/>
        <v>0.09</v>
      </c>
      <c r="AF190" s="123">
        <f t="shared" si="53"/>
        <v>0.09</v>
      </c>
      <c r="AG190" s="126">
        <v>0.99299999999999999</v>
      </c>
      <c r="AH190" s="54"/>
      <c r="AI190" s="55"/>
      <c r="AK190" s="56"/>
    </row>
    <row r="191" spans="1:37" x14ac:dyDescent="0.25">
      <c r="A191" s="111" t="s">
        <v>196</v>
      </c>
      <c r="B191" s="123">
        <f t="shared" si="51"/>
        <v>0.04</v>
      </c>
      <c r="C191" s="53">
        <v>0.04</v>
      </c>
      <c r="D191" s="123">
        <f t="shared" si="52"/>
        <v>0.04</v>
      </c>
      <c r="E191" s="123">
        <f t="shared" si="52"/>
        <v>0.04</v>
      </c>
      <c r="F191" s="123">
        <f t="shared" si="52"/>
        <v>0.04</v>
      </c>
      <c r="G191" s="123">
        <f t="shared" si="52"/>
        <v>0.04</v>
      </c>
      <c r="H191" s="123">
        <f t="shared" si="52"/>
        <v>0.04</v>
      </c>
      <c r="I191" s="123">
        <f t="shared" si="52"/>
        <v>0.04</v>
      </c>
      <c r="J191" s="123">
        <f t="shared" si="52"/>
        <v>0.04</v>
      </c>
      <c r="K191" s="123">
        <f t="shared" si="52"/>
        <v>0.04</v>
      </c>
      <c r="L191" s="123">
        <f t="shared" si="52"/>
        <v>0.04</v>
      </c>
      <c r="M191" s="123">
        <f t="shared" si="52"/>
        <v>0.04</v>
      </c>
      <c r="N191" s="123">
        <f t="shared" si="52"/>
        <v>0.04</v>
      </c>
      <c r="O191" s="123">
        <f t="shared" si="52"/>
        <v>0.04</v>
      </c>
      <c r="P191" s="123">
        <f t="shared" si="52"/>
        <v>0.04</v>
      </c>
      <c r="Q191" s="123">
        <f t="shared" si="52"/>
        <v>0.04</v>
      </c>
      <c r="R191" s="123">
        <f t="shared" si="52"/>
        <v>0.04</v>
      </c>
      <c r="S191" s="123">
        <f t="shared" si="53"/>
        <v>0.04</v>
      </c>
      <c r="T191" s="123">
        <f t="shared" si="53"/>
        <v>0.04</v>
      </c>
      <c r="U191" s="123">
        <f t="shared" si="53"/>
        <v>0.04</v>
      </c>
      <c r="V191" s="123">
        <f t="shared" si="53"/>
        <v>0.04</v>
      </c>
      <c r="W191" s="123">
        <f t="shared" si="53"/>
        <v>0.04</v>
      </c>
      <c r="X191" s="123">
        <f t="shared" si="53"/>
        <v>0.04</v>
      </c>
      <c r="Y191" s="123">
        <f t="shared" si="53"/>
        <v>0.04</v>
      </c>
      <c r="Z191" s="123">
        <f t="shared" si="53"/>
        <v>0.04</v>
      </c>
      <c r="AA191" s="123">
        <f t="shared" si="53"/>
        <v>0.04</v>
      </c>
      <c r="AB191" s="123">
        <f t="shared" si="53"/>
        <v>0.04</v>
      </c>
      <c r="AC191" s="123">
        <f t="shared" si="53"/>
        <v>0.04</v>
      </c>
      <c r="AD191" s="123">
        <f t="shared" si="53"/>
        <v>0.04</v>
      </c>
      <c r="AE191" s="123">
        <f t="shared" si="53"/>
        <v>0.04</v>
      </c>
      <c r="AF191" s="123">
        <f t="shared" si="53"/>
        <v>0.04</v>
      </c>
      <c r="AG191" s="126">
        <v>0.99</v>
      </c>
      <c r="AH191" s="54"/>
      <c r="AI191" s="55"/>
      <c r="AK191" s="56"/>
    </row>
    <row r="192" spans="1:37" x14ac:dyDescent="0.25">
      <c r="A192" s="111" t="s">
        <v>197</v>
      </c>
      <c r="B192" s="123">
        <f t="shared" si="51"/>
        <v>2.3E-2</v>
      </c>
      <c r="C192" s="53">
        <v>2.3E-2</v>
      </c>
      <c r="D192" s="123">
        <f>C192</f>
        <v>2.3E-2</v>
      </c>
      <c r="E192" s="123">
        <f t="shared" si="52"/>
        <v>2.3E-2</v>
      </c>
      <c r="F192" s="123">
        <f t="shared" si="52"/>
        <v>2.3E-2</v>
      </c>
      <c r="G192" s="123">
        <f t="shared" si="52"/>
        <v>2.3E-2</v>
      </c>
      <c r="H192" s="123">
        <f t="shared" si="52"/>
        <v>2.3E-2</v>
      </c>
      <c r="I192" s="123">
        <f t="shared" si="52"/>
        <v>2.3E-2</v>
      </c>
      <c r="J192" s="123">
        <f t="shared" si="52"/>
        <v>2.3E-2</v>
      </c>
      <c r="K192" s="123">
        <f t="shared" si="52"/>
        <v>2.3E-2</v>
      </c>
      <c r="L192" s="123">
        <f t="shared" si="52"/>
        <v>2.3E-2</v>
      </c>
      <c r="M192" s="123">
        <f t="shared" si="52"/>
        <v>2.3E-2</v>
      </c>
      <c r="N192" s="123">
        <f t="shared" si="52"/>
        <v>2.3E-2</v>
      </c>
      <c r="O192" s="123">
        <f t="shared" si="52"/>
        <v>2.3E-2</v>
      </c>
      <c r="P192" s="123">
        <f t="shared" si="52"/>
        <v>2.3E-2</v>
      </c>
      <c r="Q192" s="123">
        <f t="shared" si="52"/>
        <v>2.3E-2</v>
      </c>
      <c r="R192" s="123">
        <f t="shared" si="52"/>
        <v>2.3E-2</v>
      </c>
      <c r="S192" s="123">
        <f t="shared" si="53"/>
        <v>2.3E-2</v>
      </c>
      <c r="T192" s="123">
        <f t="shared" si="53"/>
        <v>2.3E-2</v>
      </c>
      <c r="U192" s="123">
        <f t="shared" si="53"/>
        <v>2.3E-2</v>
      </c>
      <c r="V192" s="123">
        <f t="shared" si="53"/>
        <v>2.3E-2</v>
      </c>
      <c r="W192" s="123">
        <f t="shared" si="53"/>
        <v>2.3E-2</v>
      </c>
      <c r="X192" s="123">
        <f t="shared" si="53"/>
        <v>2.3E-2</v>
      </c>
      <c r="Y192" s="123">
        <f t="shared" si="53"/>
        <v>2.3E-2</v>
      </c>
      <c r="Z192" s="123">
        <f t="shared" si="53"/>
        <v>2.3E-2</v>
      </c>
      <c r="AA192" s="123">
        <f t="shared" si="53"/>
        <v>2.3E-2</v>
      </c>
      <c r="AB192" s="123">
        <f t="shared" si="53"/>
        <v>2.3E-2</v>
      </c>
      <c r="AC192" s="123">
        <f t="shared" si="53"/>
        <v>2.3E-2</v>
      </c>
      <c r="AD192" s="123">
        <f t="shared" si="53"/>
        <v>2.3E-2</v>
      </c>
      <c r="AE192" s="123">
        <f t="shared" si="53"/>
        <v>2.3E-2</v>
      </c>
      <c r="AF192" s="123">
        <f t="shared" si="53"/>
        <v>2.3E-2</v>
      </c>
      <c r="AG192" s="126">
        <v>0.97899999999999998</v>
      </c>
      <c r="AH192" s="54"/>
      <c r="AI192" s="55"/>
      <c r="AK192" s="56"/>
    </row>
    <row r="193" spans="1:37" ht="15.75" thickBot="1" x14ac:dyDescent="0.3">
      <c r="A193" s="127" t="s">
        <v>198</v>
      </c>
      <c r="B193" s="128">
        <f>SUM(B103:B192)</f>
        <v>187.10600000000005</v>
      </c>
      <c r="C193" s="128">
        <f t="shared" ref="C193:AG193" si="54">SUM(C103:C192)</f>
        <v>194.70600000000002</v>
      </c>
      <c r="D193" s="128">
        <f t="shared" si="54"/>
        <v>194.70600000000002</v>
      </c>
      <c r="E193" s="128">
        <f t="shared" si="54"/>
        <v>194.70600000000002</v>
      </c>
      <c r="F193" s="128">
        <f t="shared" si="54"/>
        <v>194.70600000000002</v>
      </c>
      <c r="G193" s="128">
        <f t="shared" si="54"/>
        <v>194.70600000000002</v>
      </c>
      <c r="H193" s="128">
        <f t="shared" si="54"/>
        <v>194.70600000000002</v>
      </c>
      <c r="I193" s="128">
        <f t="shared" si="54"/>
        <v>189.70600000000005</v>
      </c>
      <c r="J193" s="128">
        <f t="shared" si="54"/>
        <v>187.10600000000005</v>
      </c>
      <c r="K193" s="128">
        <f t="shared" si="54"/>
        <v>187.10600000000005</v>
      </c>
      <c r="L193" s="128">
        <f t="shared" si="54"/>
        <v>187.10600000000005</v>
      </c>
      <c r="M193" s="128">
        <f t="shared" si="54"/>
        <v>187.10600000000005</v>
      </c>
      <c r="N193" s="128">
        <f t="shared" si="54"/>
        <v>187.10600000000005</v>
      </c>
      <c r="O193" s="128">
        <f t="shared" si="54"/>
        <v>187.10600000000005</v>
      </c>
      <c r="P193" s="128">
        <f t="shared" si="54"/>
        <v>187.10600000000005</v>
      </c>
      <c r="Q193" s="128">
        <f t="shared" si="54"/>
        <v>187.10600000000005</v>
      </c>
      <c r="R193" s="128">
        <f t="shared" si="54"/>
        <v>187.10600000000005</v>
      </c>
      <c r="S193" s="128">
        <f t="shared" si="54"/>
        <v>187.10600000000005</v>
      </c>
      <c r="T193" s="128">
        <f t="shared" si="54"/>
        <v>187.10600000000005</v>
      </c>
      <c r="U193" s="128">
        <f t="shared" si="54"/>
        <v>187.10600000000005</v>
      </c>
      <c r="V193" s="128">
        <f t="shared" si="54"/>
        <v>187.10600000000005</v>
      </c>
      <c r="W193" s="128">
        <f t="shared" si="54"/>
        <v>187.10600000000005</v>
      </c>
      <c r="X193" s="128">
        <f t="shared" si="54"/>
        <v>187.10600000000005</v>
      </c>
      <c r="Y193" s="128">
        <f t="shared" si="54"/>
        <v>187.10600000000005</v>
      </c>
      <c r="Z193" s="128">
        <f t="shared" si="54"/>
        <v>187.10600000000005</v>
      </c>
      <c r="AA193" s="128">
        <f t="shared" si="54"/>
        <v>187.10600000000005</v>
      </c>
      <c r="AB193" s="128">
        <f t="shared" si="54"/>
        <v>187.10600000000005</v>
      </c>
      <c r="AC193" s="128">
        <f t="shared" si="54"/>
        <v>187.10600000000005</v>
      </c>
      <c r="AD193" s="128">
        <f t="shared" si="54"/>
        <v>187.10600000000005</v>
      </c>
      <c r="AE193" s="128">
        <f t="shared" si="54"/>
        <v>187.10600000000005</v>
      </c>
      <c r="AF193" s="128">
        <f t="shared" si="54"/>
        <v>187.10600000000005</v>
      </c>
      <c r="AG193" s="129">
        <f t="shared" si="54"/>
        <v>412.72299999999984</v>
      </c>
      <c r="AH193" s="54"/>
      <c r="AI193" s="55"/>
      <c r="AK193" s="56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4"/>
      <c r="AI194" s="55"/>
      <c r="AK194" s="56"/>
    </row>
    <row r="195" spans="1:37" x14ac:dyDescent="0.25">
      <c r="A195" s="105" t="s">
        <v>199</v>
      </c>
      <c r="B195" s="130">
        <f t="shared" ref="B195:B200" si="55">AF195</f>
        <v>0.3</v>
      </c>
      <c r="C195" s="130">
        <v>0.3</v>
      </c>
      <c r="D195" s="130">
        <f t="shared" ref="D195:S200" si="56">C195</f>
        <v>0.3</v>
      </c>
      <c r="E195" s="130">
        <f t="shared" si="56"/>
        <v>0.3</v>
      </c>
      <c r="F195" s="130">
        <f t="shared" si="56"/>
        <v>0.3</v>
      </c>
      <c r="G195" s="130">
        <f t="shared" si="56"/>
        <v>0.3</v>
      </c>
      <c r="H195" s="130">
        <f t="shared" si="56"/>
        <v>0.3</v>
      </c>
      <c r="I195" s="130">
        <f t="shared" si="56"/>
        <v>0.3</v>
      </c>
      <c r="J195" s="130">
        <f t="shared" si="56"/>
        <v>0.3</v>
      </c>
      <c r="K195" s="130">
        <f t="shared" si="56"/>
        <v>0.3</v>
      </c>
      <c r="L195" s="130">
        <f t="shared" si="56"/>
        <v>0.3</v>
      </c>
      <c r="M195" s="130">
        <f t="shared" si="56"/>
        <v>0.3</v>
      </c>
      <c r="N195" s="130">
        <f t="shared" si="56"/>
        <v>0.3</v>
      </c>
      <c r="O195" s="130">
        <f t="shared" si="56"/>
        <v>0.3</v>
      </c>
      <c r="P195" s="130">
        <f t="shared" si="56"/>
        <v>0.3</v>
      </c>
      <c r="Q195" s="130">
        <f t="shared" si="56"/>
        <v>0.3</v>
      </c>
      <c r="R195" s="130">
        <f t="shared" si="56"/>
        <v>0.3</v>
      </c>
      <c r="S195" s="130">
        <f t="shared" si="56"/>
        <v>0.3</v>
      </c>
      <c r="T195" s="130">
        <f t="shared" ref="T195:AF200" si="57">S195</f>
        <v>0.3</v>
      </c>
      <c r="U195" s="130">
        <f t="shared" si="57"/>
        <v>0.3</v>
      </c>
      <c r="V195" s="130">
        <f t="shared" si="57"/>
        <v>0.3</v>
      </c>
      <c r="W195" s="130">
        <f t="shared" si="57"/>
        <v>0.3</v>
      </c>
      <c r="X195" s="130">
        <f t="shared" si="57"/>
        <v>0.3</v>
      </c>
      <c r="Y195" s="130">
        <f t="shared" si="57"/>
        <v>0.3</v>
      </c>
      <c r="Z195" s="130">
        <f t="shared" si="57"/>
        <v>0.3</v>
      </c>
      <c r="AA195" s="130">
        <f t="shared" si="57"/>
        <v>0.3</v>
      </c>
      <c r="AB195" s="130">
        <f t="shared" si="57"/>
        <v>0.3</v>
      </c>
      <c r="AC195" s="130">
        <f t="shared" si="57"/>
        <v>0.3</v>
      </c>
      <c r="AD195" s="130">
        <f t="shared" si="57"/>
        <v>0.3</v>
      </c>
      <c r="AE195" s="130">
        <f t="shared" si="57"/>
        <v>0.3</v>
      </c>
      <c r="AF195" s="130">
        <f t="shared" si="57"/>
        <v>0.3</v>
      </c>
      <c r="AG195" s="131">
        <v>2.4</v>
      </c>
      <c r="AH195" s="54"/>
      <c r="AI195" s="55"/>
      <c r="AK195" s="56"/>
    </row>
    <row r="196" spans="1:37" x14ac:dyDescent="0.25">
      <c r="A196" s="109" t="s">
        <v>200</v>
      </c>
      <c r="B196" s="123">
        <f t="shared" si="55"/>
        <v>0.4</v>
      </c>
      <c r="C196" s="123">
        <v>0.4</v>
      </c>
      <c r="D196" s="123">
        <f t="shared" si="56"/>
        <v>0.4</v>
      </c>
      <c r="E196" s="123">
        <f t="shared" si="56"/>
        <v>0.4</v>
      </c>
      <c r="F196" s="123">
        <f t="shared" si="56"/>
        <v>0.4</v>
      </c>
      <c r="G196" s="123">
        <f t="shared" si="56"/>
        <v>0.4</v>
      </c>
      <c r="H196" s="123">
        <f t="shared" si="56"/>
        <v>0.4</v>
      </c>
      <c r="I196" s="123">
        <f t="shared" si="56"/>
        <v>0.4</v>
      </c>
      <c r="J196" s="123">
        <f t="shared" si="56"/>
        <v>0.4</v>
      </c>
      <c r="K196" s="123">
        <f t="shared" si="56"/>
        <v>0.4</v>
      </c>
      <c r="L196" s="123">
        <f t="shared" si="56"/>
        <v>0.4</v>
      </c>
      <c r="M196" s="123">
        <f t="shared" si="56"/>
        <v>0.4</v>
      </c>
      <c r="N196" s="123">
        <f t="shared" si="56"/>
        <v>0.4</v>
      </c>
      <c r="O196" s="123">
        <f t="shared" si="56"/>
        <v>0.4</v>
      </c>
      <c r="P196" s="123">
        <f t="shared" si="56"/>
        <v>0.4</v>
      </c>
      <c r="Q196" s="123">
        <f t="shared" si="56"/>
        <v>0.4</v>
      </c>
      <c r="R196" s="123">
        <f t="shared" si="56"/>
        <v>0.4</v>
      </c>
      <c r="S196" s="123">
        <f t="shared" si="56"/>
        <v>0.4</v>
      </c>
      <c r="T196" s="123">
        <f t="shared" si="57"/>
        <v>0.4</v>
      </c>
      <c r="U196" s="123">
        <f t="shared" si="57"/>
        <v>0.4</v>
      </c>
      <c r="V196" s="123">
        <f t="shared" si="57"/>
        <v>0.4</v>
      </c>
      <c r="W196" s="123">
        <f>V196</f>
        <v>0.4</v>
      </c>
      <c r="X196" s="123">
        <f>W196</f>
        <v>0.4</v>
      </c>
      <c r="Y196" s="123">
        <f t="shared" si="57"/>
        <v>0.4</v>
      </c>
      <c r="Z196" s="123">
        <f t="shared" si="57"/>
        <v>0.4</v>
      </c>
      <c r="AA196" s="123">
        <f t="shared" si="57"/>
        <v>0.4</v>
      </c>
      <c r="AB196" s="123">
        <f t="shared" si="57"/>
        <v>0.4</v>
      </c>
      <c r="AC196" s="123">
        <f t="shared" si="57"/>
        <v>0.4</v>
      </c>
      <c r="AD196" s="123">
        <f t="shared" si="57"/>
        <v>0.4</v>
      </c>
      <c r="AE196" s="123">
        <f t="shared" si="57"/>
        <v>0.4</v>
      </c>
      <c r="AF196" s="123">
        <f t="shared" si="57"/>
        <v>0.4</v>
      </c>
      <c r="AG196" s="132">
        <v>2</v>
      </c>
      <c r="AH196" s="54"/>
      <c r="AI196" s="55"/>
      <c r="AK196" s="56"/>
    </row>
    <row r="197" spans="1:37" x14ac:dyDescent="0.25">
      <c r="A197" s="109" t="s">
        <v>201</v>
      </c>
      <c r="B197" s="123">
        <f t="shared" si="55"/>
        <v>1.5</v>
      </c>
      <c r="C197" s="123">
        <v>1.5</v>
      </c>
      <c r="D197" s="123">
        <f t="shared" si="56"/>
        <v>1.5</v>
      </c>
      <c r="E197" s="123">
        <f t="shared" si="56"/>
        <v>1.5</v>
      </c>
      <c r="F197" s="123">
        <f t="shared" si="56"/>
        <v>1.5</v>
      </c>
      <c r="G197" s="123">
        <f t="shared" si="56"/>
        <v>1.5</v>
      </c>
      <c r="H197" s="123">
        <f t="shared" si="56"/>
        <v>1.5</v>
      </c>
      <c r="I197" s="123">
        <f t="shared" si="56"/>
        <v>1.5</v>
      </c>
      <c r="J197" s="123">
        <f t="shared" si="56"/>
        <v>1.5</v>
      </c>
      <c r="K197" s="123">
        <f t="shared" si="56"/>
        <v>1.5</v>
      </c>
      <c r="L197" s="123">
        <f t="shared" si="56"/>
        <v>1.5</v>
      </c>
      <c r="M197" s="123">
        <f t="shared" si="56"/>
        <v>1.5</v>
      </c>
      <c r="N197" s="123">
        <f t="shared" si="56"/>
        <v>1.5</v>
      </c>
      <c r="O197" s="123">
        <f t="shared" si="56"/>
        <v>1.5</v>
      </c>
      <c r="P197" s="123">
        <f t="shared" si="56"/>
        <v>1.5</v>
      </c>
      <c r="Q197" s="123">
        <f t="shared" si="56"/>
        <v>1.5</v>
      </c>
      <c r="R197" s="123">
        <f t="shared" si="56"/>
        <v>1.5</v>
      </c>
      <c r="S197" s="123">
        <f t="shared" si="56"/>
        <v>1.5</v>
      </c>
      <c r="T197" s="123">
        <f t="shared" si="57"/>
        <v>1.5</v>
      </c>
      <c r="U197" s="123">
        <f t="shared" si="57"/>
        <v>1.5</v>
      </c>
      <c r="V197" s="123">
        <f t="shared" si="57"/>
        <v>1.5</v>
      </c>
      <c r="W197" s="123">
        <f t="shared" si="57"/>
        <v>1.5</v>
      </c>
      <c r="X197" s="123">
        <f t="shared" si="57"/>
        <v>1.5</v>
      </c>
      <c r="Y197" s="123">
        <f t="shared" si="57"/>
        <v>1.5</v>
      </c>
      <c r="Z197" s="123">
        <f t="shared" si="57"/>
        <v>1.5</v>
      </c>
      <c r="AA197" s="123">
        <f t="shared" si="57"/>
        <v>1.5</v>
      </c>
      <c r="AB197" s="123">
        <f t="shared" si="57"/>
        <v>1.5</v>
      </c>
      <c r="AC197" s="123">
        <f t="shared" si="57"/>
        <v>1.5</v>
      </c>
      <c r="AD197" s="123">
        <f t="shared" si="57"/>
        <v>1.5</v>
      </c>
      <c r="AE197" s="123">
        <f t="shared" si="57"/>
        <v>1.5</v>
      </c>
      <c r="AF197" s="123">
        <f t="shared" si="57"/>
        <v>1.5</v>
      </c>
      <c r="AG197" s="132">
        <v>1.5</v>
      </c>
      <c r="AH197" s="54"/>
      <c r="AI197" s="55"/>
      <c r="AK197" s="56"/>
    </row>
    <row r="198" spans="1:37" x14ac:dyDescent="0.25">
      <c r="A198" s="109" t="s">
        <v>202</v>
      </c>
      <c r="B198" s="123">
        <f t="shared" si="55"/>
        <v>0.3</v>
      </c>
      <c r="C198" s="123">
        <v>0.3</v>
      </c>
      <c r="D198" s="123">
        <f t="shared" si="56"/>
        <v>0.3</v>
      </c>
      <c r="E198" s="123">
        <f t="shared" si="56"/>
        <v>0.3</v>
      </c>
      <c r="F198" s="123">
        <f t="shared" si="56"/>
        <v>0.3</v>
      </c>
      <c r="G198" s="123">
        <f t="shared" si="56"/>
        <v>0.3</v>
      </c>
      <c r="H198" s="123">
        <f t="shared" si="56"/>
        <v>0.3</v>
      </c>
      <c r="I198" s="123">
        <f t="shared" si="56"/>
        <v>0.3</v>
      </c>
      <c r="J198" s="123">
        <f t="shared" si="56"/>
        <v>0.3</v>
      </c>
      <c r="K198" s="123">
        <f t="shared" si="56"/>
        <v>0.3</v>
      </c>
      <c r="L198" s="123">
        <f t="shared" si="56"/>
        <v>0.3</v>
      </c>
      <c r="M198" s="123">
        <f t="shared" si="56"/>
        <v>0.3</v>
      </c>
      <c r="N198" s="123">
        <f t="shared" si="56"/>
        <v>0.3</v>
      </c>
      <c r="O198" s="123">
        <f t="shared" si="56"/>
        <v>0.3</v>
      </c>
      <c r="P198" s="123">
        <f t="shared" si="56"/>
        <v>0.3</v>
      </c>
      <c r="Q198" s="123">
        <f t="shared" si="56"/>
        <v>0.3</v>
      </c>
      <c r="R198" s="123">
        <f t="shared" si="56"/>
        <v>0.3</v>
      </c>
      <c r="S198" s="123">
        <f t="shared" si="56"/>
        <v>0.3</v>
      </c>
      <c r="T198" s="123">
        <f t="shared" si="57"/>
        <v>0.3</v>
      </c>
      <c r="U198" s="123">
        <f t="shared" si="57"/>
        <v>0.3</v>
      </c>
      <c r="V198" s="123">
        <f t="shared" si="57"/>
        <v>0.3</v>
      </c>
      <c r="W198" s="123">
        <f t="shared" si="57"/>
        <v>0.3</v>
      </c>
      <c r="X198" s="123">
        <f t="shared" si="57"/>
        <v>0.3</v>
      </c>
      <c r="Y198" s="123">
        <f t="shared" si="57"/>
        <v>0.3</v>
      </c>
      <c r="Z198" s="123">
        <f t="shared" si="57"/>
        <v>0.3</v>
      </c>
      <c r="AA198" s="123">
        <f t="shared" si="57"/>
        <v>0.3</v>
      </c>
      <c r="AB198" s="123">
        <f t="shared" si="57"/>
        <v>0.3</v>
      </c>
      <c r="AC198" s="123">
        <f t="shared" si="57"/>
        <v>0.3</v>
      </c>
      <c r="AD198" s="123">
        <f t="shared" si="57"/>
        <v>0.3</v>
      </c>
      <c r="AE198" s="123">
        <f t="shared" si="57"/>
        <v>0.3</v>
      </c>
      <c r="AF198" s="123">
        <f t="shared" si="57"/>
        <v>0.3</v>
      </c>
      <c r="AG198" s="132">
        <v>1</v>
      </c>
      <c r="AH198" s="54"/>
      <c r="AI198" s="55"/>
      <c r="AK198" s="56"/>
    </row>
    <row r="199" spans="1:37" x14ac:dyDescent="0.25">
      <c r="A199" s="109" t="s">
        <v>203</v>
      </c>
      <c r="B199" s="123">
        <f t="shared" si="55"/>
        <v>0.4</v>
      </c>
      <c r="C199" s="123">
        <v>0.4</v>
      </c>
      <c r="D199" s="123">
        <f t="shared" si="56"/>
        <v>0.4</v>
      </c>
      <c r="E199" s="123">
        <f t="shared" si="56"/>
        <v>0.4</v>
      </c>
      <c r="F199" s="123">
        <f t="shared" si="56"/>
        <v>0.4</v>
      </c>
      <c r="G199" s="123">
        <f t="shared" si="56"/>
        <v>0.4</v>
      </c>
      <c r="H199" s="123">
        <f t="shared" si="56"/>
        <v>0.4</v>
      </c>
      <c r="I199" s="123">
        <f t="shared" si="56"/>
        <v>0.4</v>
      </c>
      <c r="J199" s="123">
        <f t="shared" si="56"/>
        <v>0.4</v>
      </c>
      <c r="K199" s="123">
        <f t="shared" si="56"/>
        <v>0.4</v>
      </c>
      <c r="L199" s="123">
        <f t="shared" si="56"/>
        <v>0.4</v>
      </c>
      <c r="M199" s="123">
        <f t="shared" si="56"/>
        <v>0.4</v>
      </c>
      <c r="N199" s="123">
        <f t="shared" si="56"/>
        <v>0.4</v>
      </c>
      <c r="O199" s="123">
        <f t="shared" si="56"/>
        <v>0.4</v>
      </c>
      <c r="P199" s="123">
        <f t="shared" si="56"/>
        <v>0.4</v>
      </c>
      <c r="Q199" s="123">
        <f t="shared" si="56"/>
        <v>0.4</v>
      </c>
      <c r="R199" s="123">
        <f t="shared" si="56"/>
        <v>0.4</v>
      </c>
      <c r="S199" s="123">
        <f t="shared" si="56"/>
        <v>0.4</v>
      </c>
      <c r="T199" s="123">
        <f t="shared" si="57"/>
        <v>0.4</v>
      </c>
      <c r="U199" s="123">
        <f t="shared" si="57"/>
        <v>0.4</v>
      </c>
      <c r="V199" s="123">
        <f t="shared" si="57"/>
        <v>0.4</v>
      </c>
      <c r="W199" s="123">
        <f t="shared" si="57"/>
        <v>0.4</v>
      </c>
      <c r="X199" s="123">
        <f t="shared" si="57"/>
        <v>0.4</v>
      </c>
      <c r="Y199" s="123">
        <f t="shared" si="57"/>
        <v>0.4</v>
      </c>
      <c r="Z199" s="123">
        <f t="shared" si="57"/>
        <v>0.4</v>
      </c>
      <c r="AA199" s="123">
        <f t="shared" si="57"/>
        <v>0.4</v>
      </c>
      <c r="AB199" s="123">
        <f t="shared" si="57"/>
        <v>0.4</v>
      </c>
      <c r="AC199" s="123">
        <f t="shared" si="57"/>
        <v>0.4</v>
      </c>
      <c r="AD199" s="123">
        <f t="shared" si="57"/>
        <v>0.4</v>
      </c>
      <c r="AE199" s="123">
        <f t="shared" si="57"/>
        <v>0.4</v>
      </c>
      <c r="AF199" s="123">
        <f t="shared" si="57"/>
        <v>0.4</v>
      </c>
      <c r="AG199" s="132">
        <v>1</v>
      </c>
      <c r="AH199" s="54"/>
      <c r="AI199" s="55"/>
      <c r="AK199" s="56"/>
    </row>
    <row r="200" spans="1:37" ht="15.75" thickBot="1" x14ac:dyDescent="0.3">
      <c r="A200" s="111" t="s">
        <v>204</v>
      </c>
      <c r="B200" s="133">
        <f t="shared" si="55"/>
        <v>0.64</v>
      </c>
      <c r="C200" s="133">
        <v>0.64</v>
      </c>
      <c r="D200" s="133">
        <f t="shared" si="56"/>
        <v>0.64</v>
      </c>
      <c r="E200" s="133">
        <f t="shared" si="56"/>
        <v>0.64</v>
      </c>
      <c r="F200" s="133">
        <f t="shared" si="56"/>
        <v>0.64</v>
      </c>
      <c r="G200" s="133">
        <f t="shared" si="56"/>
        <v>0.64</v>
      </c>
      <c r="H200" s="133">
        <f t="shared" si="56"/>
        <v>0.64</v>
      </c>
      <c r="I200" s="133">
        <f t="shared" si="56"/>
        <v>0.64</v>
      </c>
      <c r="J200" s="133">
        <f t="shared" si="56"/>
        <v>0.64</v>
      </c>
      <c r="K200" s="133">
        <f t="shared" si="56"/>
        <v>0.64</v>
      </c>
      <c r="L200" s="133">
        <f t="shared" si="56"/>
        <v>0.64</v>
      </c>
      <c r="M200" s="133">
        <f t="shared" si="56"/>
        <v>0.64</v>
      </c>
      <c r="N200" s="133">
        <f t="shared" si="56"/>
        <v>0.64</v>
      </c>
      <c r="O200" s="133">
        <f t="shared" si="56"/>
        <v>0.64</v>
      </c>
      <c r="P200" s="133">
        <f t="shared" si="56"/>
        <v>0.64</v>
      </c>
      <c r="Q200" s="133">
        <f t="shared" si="56"/>
        <v>0.64</v>
      </c>
      <c r="R200" s="133">
        <f t="shared" si="56"/>
        <v>0.64</v>
      </c>
      <c r="S200" s="133">
        <f t="shared" si="56"/>
        <v>0.64</v>
      </c>
      <c r="T200" s="133">
        <f t="shared" si="57"/>
        <v>0.64</v>
      </c>
      <c r="U200" s="133">
        <f t="shared" si="57"/>
        <v>0.64</v>
      </c>
      <c r="V200" s="133">
        <f t="shared" si="57"/>
        <v>0.64</v>
      </c>
      <c r="W200" s="133">
        <f t="shared" si="57"/>
        <v>0.64</v>
      </c>
      <c r="X200" s="133">
        <f t="shared" si="57"/>
        <v>0.64</v>
      </c>
      <c r="Y200" s="133">
        <f t="shared" si="57"/>
        <v>0.64</v>
      </c>
      <c r="Z200" s="133">
        <f t="shared" si="57"/>
        <v>0.64</v>
      </c>
      <c r="AA200" s="133">
        <f t="shared" si="57"/>
        <v>0.64</v>
      </c>
      <c r="AB200" s="133">
        <f t="shared" si="57"/>
        <v>0.64</v>
      </c>
      <c r="AC200" s="133">
        <f t="shared" si="57"/>
        <v>0.64</v>
      </c>
      <c r="AD200" s="133">
        <f t="shared" si="57"/>
        <v>0.64</v>
      </c>
      <c r="AE200" s="133">
        <f t="shared" si="57"/>
        <v>0.64</v>
      </c>
      <c r="AF200" s="133">
        <f t="shared" si="57"/>
        <v>0.64</v>
      </c>
      <c r="AG200" s="134">
        <v>0.66</v>
      </c>
      <c r="AH200" s="54"/>
      <c r="AI200" s="55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58">SUM(D195:D200)</f>
        <v>3.54</v>
      </c>
      <c r="E201" s="136">
        <f t="shared" si="58"/>
        <v>3.54</v>
      </c>
      <c r="F201" s="136">
        <f t="shared" si="58"/>
        <v>3.54</v>
      </c>
      <c r="G201" s="136">
        <f t="shared" si="58"/>
        <v>3.54</v>
      </c>
      <c r="H201" s="136">
        <f t="shared" si="58"/>
        <v>3.54</v>
      </c>
      <c r="I201" s="136">
        <f t="shared" si="58"/>
        <v>3.54</v>
      </c>
      <c r="J201" s="136">
        <f t="shared" si="58"/>
        <v>3.54</v>
      </c>
      <c r="K201" s="136">
        <f t="shared" si="58"/>
        <v>3.54</v>
      </c>
      <c r="L201" s="136">
        <f t="shared" si="58"/>
        <v>3.54</v>
      </c>
      <c r="M201" s="136">
        <f>SUM(M195:M200)</f>
        <v>3.54</v>
      </c>
      <c r="N201" s="136">
        <f t="shared" ref="N201:S201" si="59">SUM(N195:N200)</f>
        <v>3.54</v>
      </c>
      <c r="O201" s="136">
        <f t="shared" si="59"/>
        <v>3.54</v>
      </c>
      <c r="P201" s="136">
        <f t="shared" si="59"/>
        <v>3.54</v>
      </c>
      <c r="Q201" s="136">
        <f t="shared" si="59"/>
        <v>3.54</v>
      </c>
      <c r="R201" s="136">
        <f t="shared" si="59"/>
        <v>3.54</v>
      </c>
      <c r="S201" s="136">
        <f t="shared" si="59"/>
        <v>3.54</v>
      </c>
      <c r="T201" s="136">
        <f>SUM(T195:T200)</f>
        <v>3.54</v>
      </c>
      <c r="U201" s="136">
        <f t="shared" ref="U201:AG201" si="60">SUM(U195:U200)</f>
        <v>3.54</v>
      </c>
      <c r="V201" s="136">
        <f t="shared" si="60"/>
        <v>3.54</v>
      </c>
      <c r="W201" s="136">
        <f t="shared" si="60"/>
        <v>3.54</v>
      </c>
      <c r="X201" s="136">
        <f t="shared" si="60"/>
        <v>3.54</v>
      </c>
      <c r="Y201" s="136">
        <f t="shared" si="60"/>
        <v>3.54</v>
      </c>
      <c r="Z201" s="136">
        <f t="shared" si="60"/>
        <v>3.54</v>
      </c>
      <c r="AA201" s="136">
        <f t="shared" si="60"/>
        <v>3.54</v>
      </c>
      <c r="AB201" s="136">
        <f t="shared" si="60"/>
        <v>3.54</v>
      </c>
      <c r="AC201" s="136">
        <f t="shared" si="60"/>
        <v>3.54</v>
      </c>
      <c r="AD201" s="136">
        <f t="shared" si="60"/>
        <v>3.54</v>
      </c>
      <c r="AE201" s="136">
        <f t="shared" si="60"/>
        <v>3.54</v>
      </c>
      <c r="AF201" s="136">
        <f t="shared" si="60"/>
        <v>3.54</v>
      </c>
      <c r="AG201" s="137">
        <f t="shared" si="60"/>
        <v>8.56</v>
      </c>
      <c r="AH201" s="54"/>
      <c r="AI201" s="55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205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4"/>
      <c r="AI203" s="55"/>
    </row>
    <row r="204" spans="1:37" x14ac:dyDescent="0.25">
      <c r="A204" s="140" t="s">
        <v>206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4"/>
      <c r="AI204" s="55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x14ac:dyDescent="0.25">
      <c r="A206" s="92" t="s">
        <v>208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4"/>
      <c r="AI206" s="55"/>
    </row>
    <row r="207" spans="1:37" ht="15.75" thickBot="1" x14ac:dyDescent="0.3">
      <c r="A207" s="146" t="s">
        <v>209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4"/>
      <c r="AI207" s="55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210</v>
      </c>
      <c r="B210" s="150">
        <f>MAX(G75:N75)</f>
        <v>1748.74</v>
      </c>
      <c r="C210" s="151">
        <f>INDEX(G9:N9,1,MATCH(MAX(G75:N75),G75:N75,0))</f>
        <v>0.375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28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9" t="s">
        <v>211</v>
      </c>
      <c r="B212" s="199"/>
      <c r="C212" s="47"/>
      <c r="D212" s="152" t="str">
        <f ca="1">"Pie Chart of Daily Peak Demand(Inclusive of Export) of Nepal ("&amp;A4&amp;" "&amp;B4&amp;")"</f>
        <v>Pie Chart of Daily Peak Demand(Inclusive of Export) of Nepal (Nepali Date: 2079/02/28)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2079/02/28)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212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213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214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215</v>
      </c>
      <c r="T215" s="161">
        <f t="shared" ref="T215:AX215" si="61">B75</f>
        <v>1598.8399999999997</v>
      </c>
      <c r="U215" s="161">
        <f t="shared" si="61"/>
        <v>1692.94</v>
      </c>
      <c r="V215" s="161">
        <f t="shared" si="61"/>
        <v>1713.8400000000001</v>
      </c>
      <c r="W215" s="161">
        <f t="shared" si="61"/>
        <v>1701.3400000000001</v>
      </c>
      <c r="X215" s="161">
        <f t="shared" si="61"/>
        <v>1693.64</v>
      </c>
      <c r="Y215" s="161">
        <f t="shared" si="61"/>
        <v>1685.04</v>
      </c>
      <c r="Z215" s="161">
        <f t="shared" si="61"/>
        <v>1693.04</v>
      </c>
      <c r="AA215" s="161">
        <f t="shared" si="61"/>
        <v>1659.14</v>
      </c>
      <c r="AB215" s="161">
        <f t="shared" si="61"/>
        <v>1679.14</v>
      </c>
      <c r="AC215" s="161">
        <f t="shared" si="61"/>
        <v>1712.04</v>
      </c>
      <c r="AD215" s="161">
        <f t="shared" si="61"/>
        <v>1712.24</v>
      </c>
      <c r="AE215" s="161">
        <f t="shared" si="61"/>
        <v>1743.44</v>
      </c>
      <c r="AF215" s="161">
        <f t="shared" si="61"/>
        <v>1748.74</v>
      </c>
      <c r="AG215" s="161">
        <f t="shared" si="61"/>
        <v>1726.04</v>
      </c>
      <c r="AH215" s="161">
        <f t="shared" si="61"/>
        <v>1728.1399999999999</v>
      </c>
      <c r="AI215" s="161">
        <f t="shared" si="61"/>
        <v>1694.3400000000001</v>
      </c>
      <c r="AJ215" s="161">
        <f t="shared" si="61"/>
        <v>1651.54</v>
      </c>
      <c r="AK215" s="161">
        <f t="shared" si="61"/>
        <v>1668.24</v>
      </c>
      <c r="AL215" s="161">
        <f t="shared" si="61"/>
        <v>1700.24</v>
      </c>
      <c r="AM215" s="161">
        <f t="shared" si="61"/>
        <v>1696.54</v>
      </c>
      <c r="AN215" s="161">
        <f t="shared" si="61"/>
        <v>1623.8400000000001</v>
      </c>
      <c r="AO215" s="161">
        <f t="shared" si="61"/>
        <v>1614.8400000000001</v>
      </c>
      <c r="AP215" s="161">
        <f t="shared" si="61"/>
        <v>1584.8400000000001</v>
      </c>
      <c r="AQ215" s="161">
        <f t="shared" si="61"/>
        <v>1589.6400000000003</v>
      </c>
      <c r="AR215" s="161">
        <f t="shared" si="61"/>
        <v>1629.0400000000004</v>
      </c>
      <c r="AS215" s="161">
        <f t="shared" si="61"/>
        <v>1627.8400000000001</v>
      </c>
      <c r="AT215" s="161">
        <f t="shared" si="61"/>
        <v>1626.6400000000003</v>
      </c>
      <c r="AU215" s="161">
        <f t="shared" si="61"/>
        <v>1629.8400000000001</v>
      </c>
      <c r="AV215" s="161">
        <f t="shared" si="61"/>
        <v>1696.94</v>
      </c>
      <c r="AW215" s="161">
        <f t="shared" si="61"/>
        <v>1634.8400000000001</v>
      </c>
      <c r="AX215" s="161">
        <f t="shared" si="61"/>
        <v>1587.5400000000002</v>
      </c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220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205</v>
      </c>
      <c r="B236" s="164">
        <f t="shared" ref="B236:AE236" si="62">C200</f>
        <v>0.64</v>
      </c>
      <c r="C236" s="164">
        <f t="shared" si="62"/>
        <v>0.64</v>
      </c>
      <c r="D236" s="164">
        <f t="shared" si="62"/>
        <v>0.64</v>
      </c>
      <c r="E236" s="164">
        <f t="shared" si="62"/>
        <v>0.64</v>
      </c>
      <c r="F236" s="164">
        <f t="shared" si="62"/>
        <v>0.64</v>
      </c>
      <c r="G236" s="164">
        <f t="shared" si="62"/>
        <v>0.64</v>
      </c>
      <c r="H236" s="164">
        <f t="shared" si="62"/>
        <v>0.64</v>
      </c>
      <c r="I236" s="164">
        <f t="shared" si="62"/>
        <v>0.64</v>
      </c>
      <c r="J236" s="164">
        <f t="shared" si="62"/>
        <v>0.64</v>
      </c>
      <c r="K236" s="164">
        <f t="shared" si="62"/>
        <v>0.64</v>
      </c>
      <c r="L236" s="164">
        <f t="shared" si="62"/>
        <v>0.64</v>
      </c>
      <c r="M236" s="164">
        <f t="shared" si="62"/>
        <v>0.64</v>
      </c>
      <c r="N236" s="164">
        <f t="shared" si="62"/>
        <v>0.64</v>
      </c>
      <c r="O236" s="164">
        <f t="shared" si="62"/>
        <v>0.64</v>
      </c>
      <c r="P236" s="164">
        <f t="shared" si="62"/>
        <v>0.64</v>
      </c>
      <c r="Q236" s="164">
        <f t="shared" si="62"/>
        <v>0.64</v>
      </c>
      <c r="R236" s="164">
        <f t="shared" si="62"/>
        <v>0.64</v>
      </c>
      <c r="S236" s="164">
        <f t="shared" si="62"/>
        <v>0.64</v>
      </c>
      <c r="T236" s="164">
        <f t="shared" si="62"/>
        <v>0.64</v>
      </c>
      <c r="U236" s="164">
        <f t="shared" si="62"/>
        <v>0.64</v>
      </c>
      <c r="V236" s="164">
        <f t="shared" si="62"/>
        <v>0.64</v>
      </c>
      <c r="W236" s="164">
        <f t="shared" si="62"/>
        <v>0.64</v>
      </c>
      <c r="X236" s="164">
        <f t="shared" si="62"/>
        <v>0.64</v>
      </c>
      <c r="Y236" s="164">
        <f t="shared" si="62"/>
        <v>0.64</v>
      </c>
      <c r="Z236" s="164">
        <f t="shared" si="62"/>
        <v>0.64</v>
      </c>
      <c r="AA236" s="164">
        <f t="shared" si="62"/>
        <v>0.64</v>
      </c>
      <c r="AB236" s="164">
        <f t="shared" si="62"/>
        <v>0.64</v>
      </c>
      <c r="AC236" s="164">
        <f t="shared" si="62"/>
        <v>0.64</v>
      </c>
      <c r="AD236" s="164">
        <f t="shared" si="62"/>
        <v>0.64</v>
      </c>
      <c r="AE236" s="164">
        <f t="shared" si="62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3">IF(C204&lt;100,"",C204-520)</f>
        <v/>
      </c>
      <c r="D237" s="107" t="str">
        <f t="shared" si="63"/>
        <v/>
      </c>
      <c r="E237" s="107" t="str">
        <f t="shared" si="63"/>
        <v/>
      </c>
      <c r="F237" s="107" t="str">
        <f t="shared" si="63"/>
        <v/>
      </c>
      <c r="G237" s="107" t="str">
        <f t="shared" si="63"/>
        <v/>
      </c>
      <c r="H237" s="107" t="str">
        <f t="shared" si="63"/>
        <v/>
      </c>
      <c r="I237" s="107" t="str">
        <f t="shared" si="63"/>
        <v/>
      </c>
      <c r="J237" s="107" t="str">
        <f t="shared" si="63"/>
        <v/>
      </c>
      <c r="K237" s="107" t="str">
        <f t="shared" si="63"/>
        <v/>
      </c>
      <c r="L237" s="107" t="str">
        <f t="shared" si="63"/>
        <v/>
      </c>
      <c r="M237" s="107" t="str">
        <f t="shared" si="63"/>
        <v/>
      </c>
      <c r="N237" s="107" t="str">
        <f t="shared" si="63"/>
        <v/>
      </c>
      <c r="O237" s="107" t="str">
        <f t="shared" si="63"/>
        <v/>
      </c>
      <c r="P237" s="107" t="str">
        <f t="shared" si="63"/>
        <v/>
      </c>
      <c r="Q237" s="107" t="str">
        <f t="shared" si="63"/>
        <v/>
      </c>
      <c r="R237" s="107" t="str">
        <f t="shared" si="63"/>
        <v/>
      </c>
      <c r="S237" s="107" t="str">
        <f t="shared" si="63"/>
        <v/>
      </c>
      <c r="T237" s="107" t="str">
        <f t="shared" si="63"/>
        <v/>
      </c>
      <c r="U237" s="107" t="str">
        <f t="shared" si="63"/>
        <v/>
      </c>
      <c r="V237" s="107" t="str">
        <f t="shared" si="63"/>
        <v/>
      </c>
      <c r="W237" s="107" t="str">
        <f t="shared" si="63"/>
        <v/>
      </c>
      <c r="X237" s="107" t="str">
        <f t="shared" si="63"/>
        <v/>
      </c>
      <c r="Y237" s="107" t="str">
        <f t="shared" si="63"/>
        <v/>
      </c>
      <c r="Z237" s="107" t="str">
        <f t="shared" si="63"/>
        <v/>
      </c>
      <c r="AA237" s="107" t="str">
        <f t="shared" si="63"/>
        <v/>
      </c>
      <c r="AB237" s="107" t="str">
        <f t="shared" si="63"/>
        <v/>
      </c>
      <c r="AC237" s="107" t="str">
        <f t="shared" si="63"/>
        <v/>
      </c>
      <c r="AD237" s="107" t="str">
        <f t="shared" si="63"/>
        <v/>
      </c>
      <c r="AE237" s="107" t="str">
        <f t="shared" si="63"/>
        <v/>
      </c>
      <c r="AF237" s="107" t="str">
        <f t="shared" si="63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4">IF(B205&lt;100,"",B205-620)</f>
        <v/>
      </c>
      <c r="C238" s="107" t="str">
        <f t="shared" si="64"/>
        <v/>
      </c>
      <c r="D238" s="107" t="str">
        <f t="shared" si="64"/>
        <v/>
      </c>
      <c r="E238" s="107" t="str">
        <f t="shared" si="64"/>
        <v/>
      </c>
      <c r="F238" s="107" t="str">
        <f t="shared" si="64"/>
        <v/>
      </c>
      <c r="G238" s="107" t="str">
        <f t="shared" si="64"/>
        <v/>
      </c>
      <c r="H238" s="107" t="str">
        <f t="shared" si="64"/>
        <v/>
      </c>
      <c r="I238" s="107" t="str">
        <f t="shared" si="64"/>
        <v/>
      </c>
      <c r="J238" s="107" t="str">
        <f t="shared" si="64"/>
        <v/>
      </c>
      <c r="K238" s="107" t="str">
        <f t="shared" si="64"/>
        <v/>
      </c>
      <c r="L238" s="107" t="str">
        <f t="shared" si="64"/>
        <v/>
      </c>
      <c r="M238" s="107" t="str">
        <f t="shared" si="64"/>
        <v/>
      </c>
      <c r="N238" s="107" t="str">
        <f t="shared" si="64"/>
        <v/>
      </c>
      <c r="O238" s="107" t="str">
        <f t="shared" si="64"/>
        <v/>
      </c>
      <c r="P238" s="107" t="str">
        <f t="shared" si="64"/>
        <v/>
      </c>
      <c r="Q238" s="107" t="str">
        <f t="shared" si="64"/>
        <v/>
      </c>
      <c r="R238" s="107" t="str">
        <f t="shared" si="64"/>
        <v/>
      </c>
      <c r="S238" s="107" t="str">
        <f t="shared" si="64"/>
        <v/>
      </c>
      <c r="T238" s="107" t="str">
        <f t="shared" si="64"/>
        <v/>
      </c>
      <c r="U238" s="107" t="str">
        <f t="shared" si="64"/>
        <v/>
      </c>
      <c r="V238" s="107" t="str">
        <f t="shared" si="64"/>
        <v/>
      </c>
      <c r="W238" s="107" t="str">
        <f t="shared" si="64"/>
        <v/>
      </c>
      <c r="X238" s="107" t="str">
        <f t="shared" si="64"/>
        <v/>
      </c>
      <c r="Y238" s="107" t="str">
        <f t="shared" si="64"/>
        <v/>
      </c>
      <c r="Z238" s="107" t="str">
        <f t="shared" si="64"/>
        <v/>
      </c>
      <c r="AA238" s="107" t="str">
        <f t="shared" si="64"/>
        <v/>
      </c>
      <c r="AB238" s="107" t="str">
        <f t="shared" si="64"/>
        <v/>
      </c>
      <c r="AC238" s="107" t="str">
        <f t="shared" si="64"/>
        <v/>
      </c>
      <c r="AD238" s="107" t="str">
        <f t="shared" si="64"/>
        <v/>
      </c>
      <c r="AE238" s="107" t="str">
        <f t="shared" si="64"/>
        <v/>
      </c>
      <c r="AF238" s="107" t="str">
        <f t="shared" si="64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5">IF(B206&lt;100,"",B206-330)</f>
        <v/>
      </c>
      <c r="C239" s="107" t="str">
        <f t="shared" si="65"/>
        <v/>
      </c>
      <c r="D239" s="107" t="str">
        <f t="shared" si="65"/>
        <v/>
      </c>
      <c r="E239" s="107" t="str">
        <f t="shared" si="65"/>
        <v/>
      </c>
      <c r="F239" s="107" t="str">
        <f t="shared" si="65"/>
        <v/>
      </c>
      <c r="G239" s="107" t="str">
        <f t="shared" si="65"/>
        <v/>
      </c>
      <c r="H239" s="107" t="str">
        <f t="shared" si="65"/>
        <v/>
      </c>
      <c r="I239" s="107" t="str">
        <f t="shared" si="65"/>
        <v/>
      </c>
      <c r="J239" s="107" t="str">
        <f t="shared" si="65"/>
        <v/>
      </c>
      <c r="K239" s="107" t="str">
        <f t="shared" si="65"/>
        <v/>
      </c>
      <c r="L239" s="107" t="str">
        <f t="shared" si="65"/>
        <v/>
      </c>
      <c r="M239" s="107" t="str">
        <f t="shared" si="65"/>
        <v/>
      </c>
      <c r="N239" s="107" t="str">
        <f t="shared" si="65"/>
        <v/>
      </c>
      <c r="O239" s="107" t="str">
        <f t="shared" si="65"/>
        <v/>
      </c>
      <c r="P239" s="107" t="str">
        <f t="shared" si="65"/>
        <v/>
      </c>
      <c r="Q239" s="107" t="str">
        <f t="shared" si="65"/>
        <v/>
      </c>
      <c r="R239" s="107" t="str">
        <f t="shared" si="65"/>
        <v/>
      </c>
      <c r="S239" s="107" t="str">
        <f t="shared" si="65"/>
        <v/>
      </c>
      <c r="T239" s="107" t="str">
        <f t="shared" si="65"/>
        <v/>
      </c>
      <c r="U239" s="107" t="str">
        <f t="shared" si="65"/>
        <v/>
      </c>
      <c r="V239" s="107" t="str">
        <f t="shared" si="65"/>
        <v/>
      </c>
      <c r="W239" s="107" t="str">
        <f t="shared" si="65"/>
        <v/>
      </c>
      <c r="X239" s="107" t="str">
        <f t="shared" si="65"/>
        <v/>
      </c>
      <c r="Y239" s="107" t="str">
        <f t="shared" si="65"/>
        <v/>
      </c>
      <c r="Z239" s="107" t="str">
        <f t="shared" si="65"/>
        <v/>
      </c>
      <c r="AA239" s="107" t="str">
        <f t="shared" si="65"/>
        <v/>
      </c>
      <c r="AB239" s="107" t="str">
        <f t="shared" si="65"/>
        <v/>
      </c>
      <c r="AC239" s="107" t="str">
        <f t="shared" si="65"/>
        <v/>
      </c>
      <c r="AD239" s="107" t="str">
        <f t="shared" si="65"/>
        <v/>
      </c>
      <c r="AE239" s="107" t="str">
        <f t="shared" si="65"/>
        <v/>
      </c>
      <c r="AF239" s="107" t="str">
        <f t="shared" si="65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6">IF(C207&lt;100,"",C207-1500)</f>
        <v/>
      </c>
      <c r="D240" s="107" t="str">
        <f t="shared" si="66"/>
        <v/>
      </c>
      <c r="E240" s="107" t="str">
        <f t="shared" si="66"/>
        <v/>
      </c>
      <c r="F240" s="107" t="str">
        <f t="shared" si="66"/>
        <v/>
      </c>
      <c r="G240" s="107" t="str">
        <f t="shared" si="66"/>
        <v/>
      </c>
      <c r="H240" s="107" t="str">
        <f t="shared" si="66"/>
        <v/>
      </c>
      <c r="I240" s="107" t="str">
        <f t="shared" si="66"/>
        <v/>
      </c>
      <c r="J240" s="107" t="str">
        <f t="shared" si="66"/>
        <v/>
      </c>
      <c r="K240" s="107" t="str">
        <f t="shared" si="66"/>
        <v/>
      </c>
      <c r="L240" s="107" t="str">
        <f t="shared" si="66"/>
        <v/>
      </c>
      <c r="M240" s="107" t="str">
        <f t="shared" si="66"/>
        <v/>
      </c>
      <c r="N240" s="107" t="str">
        <f t="shared" si="66"/>
        <v/>
      </c>
      <c r="O240" s="107" t="str">
        <f t="shared" si="66"/>
        <v/>
      </c>
      <c r="P240" s="107" t="str">
        <f t="shared" si="66"/>
        <v/>
      </c>
      <c r="Q240" s="107" t="str">
        <f t="shared" si="66"/>
        <v/>
      </c>
      <c r="R240" s="107" t="str">
        <f t="shared" si="66"/>
        <v/>
      </c>
      <c r="S240" s="107" t="str">
        <f t="shared" si="66"/>
        <v/>
      </c>
      <c r="T240" s="107" t="str">
        <f t="shared" si="66"/>
        <v/>
      </c>
      <c r="U240" s="107" t="str">
        <f t="shared" si="66"/>
        <v/>
      </c>
      <c r="V240" s="107" t="str">
        <f t="shared" si="66"/>
        <v/>
      </c>
      <c r="W240" s="107" t="str">
        <f t="shared" si="66"/>
        <v/>
      </c>
      <c r="X240" s="107" t="str">
        <f t="shared" si="66"/>
        <v/>
      </c>
      <c r="Y240" s="107" t="str">
        <f t="shared" si="66"/>
        <v/>
      </c>
      <c r="Z240" s="107" t="str">
        <f t="shared" si="66"/>
        <v/>
      </c>
      <c r="AA240" s="107" t="str">
        <f t="shared" si="66"/>
        <v/>
      </c>
      <c r="AB240" s="107" t="str">
        <f t="shared" si="66"/>
        <v/>
      </c>
      <c r="AC240" s="107" t="str">
        <f t="shared" si="66"/>
        <v/>
      </c>
      <c r="AD240" s="107" t="str">
        <f t="shared" si="66"/>
        <v/>
      </c>
      <c r="AE240" s="107" t="str">
        <f t="shared" si="66"/>
        <v/>
      </c>
      <c r="AF240" s="107" t="str">
        <f t="shared" si="66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J74:AF74 C94:AF100 W11:AF11">
    <cfRule type="expression" dxfId="991" priority="212">
      <formula>B$9&gt;=20/24</formula>
    </cfRule>
    <cfRule type="expression" dxfId="990" priority="213">
      <formula>AND(B$9&gt;=14/24,B$9&lt;20/24)</formula>
    </cfRule>
    <cfRule type="expression" dxfId="989" priority="214">
      <formula>AND(B$9&gt;=8/24,B$9&lt;14/24)</formula>
    </cfRule>
    <cfRule type="expression" dxfId="988" priority="215">
      <formula>B$9&lt;8/24</formula>
    </cfRule>
  </conditionalFormatting>
  <conditionalFormatting sqref="AL4:AL6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U37:AF37">
    <cfRule type="expression" dxfId="987" priority="207">
      <formula>U$9&gt;=20/24</formula>
    </cfRule>
    <cfRule type="expression" dxfId="986" priority="208">
      <formula>AND(U$9&gt;=14/24,U$9&lt;20/24)</formula>
    </cfRule>
    <cfRule type="expression" dxfId="985" priority="209">
      <formula>AND(U$9&gt;=8/24,U$9&lt;14/24)</formula>
    </cfRule>
    <cfRule type="expression" dxfId="984" priority="210">
      <formula>U$9&lt;8/24</formula>
    </cfRule>
  </conditionalFormatting>
  <conditionalFormatting sqref="AG51 U37:AF37 J11:AF11">
    <cfRule type="expression" dxfId="983" priority="206">
      <formula>J11&gt;$AG11</formula>
    </cfRule>
  </conditionalFormatting>
  <conditionalFormatting sqref="A102:A158 A84:A97 A11:A14 A16:A32 A45:A72 A80:A82 A74:A78 A35:A43 A171:A201">
    <cfRule type="expression" dxfId="982" priority="205">
      <formula>$AH11=0</formula>
    </cfRule>
  </conditionalFormatting>
  <conditionalFormatting sqref="A98">
    <cfRule type="expression" dxfId="981" priority="204">
      <formula>$AH98=0</formula>
    </cfRule>
  </conditionalFormatting>
  <conditionalFormatting sqref="AL32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980" priority="202">
      <formula>$AH34=0</formula>
    </cfRule>
  </conditionalFormatting>
  <conditionalFormatting sqref="A83">
    <cfRule type="expression" dxfId="979" priority="201">
      <formula>$AH83=0</formula>
    </cfRule>
  </conditionalFormatting>
  <conditionalFormatting sqref="A15">
    <cfRule type="expression" dxfId="978" priority="200">
      <formula>$AH15=0</formula>
    </cfRule>
  </conditionalFormatting>
  <conditionalFormatting sqref="A165:A170">
    <cfRule type="expression" dxfId="977" priority="199">
      <formula>$AH165=0</formula>
    </cfRule>
  </conditionalFormatting>
  <conditionalFormatting sqref="A159:A164">
    <cfRule type="expression" dxfId="976" priority="198">
      <formula>$AH159=0</formula>
    </cfRule>
  </conditionalFormatting>
  <conditionalFormatting sqref="A44">
    <cfRule type="expression" dxfId="975" priority="197">
      <formula>$AH44=0</formula>
    </cfRule>
  </conditionalFormatting>
  <conditionalFormatting sqref="A79">
    <cfRule type="expression" dxfId="974" priority="196">
      <formula>$AH79=0</formula>
    </cfRule>
  </conditionalFormatting>
  <conditionalFormatting sqref="A73">
    <cfRule type="expression" dxfId="973" priority="195">
      <formula>$AH73=0</formula>
    </cfRule>
  </conditionalFormatting>
  <conditionalFormatting sqref="AL34:AL35 AL7:AL31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972" priority="191">
      <formula>C$9&gt;=20/24</formula>
    </cfRule>
    <cfRule type="expression" dxfId="971" priority="192">
      <formula>AND(C$9&gt;=14/24,C$9&lt;20/24)</formula>
    </cfRule>
    <cfRule type="expression" dxfId="970" priority="193">
      <formula>AND(C$9&gt;=8/24,C$9&lt;14/24)</formula>
    </cfRule>
    <cfRule type="expression" dxfId="969" priority="194">
      <formula>C$9&lt;8/24</formula>
    </cfRule>
  </conditionalFormatting>
  <conditionalFormatting sqref="AL33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968" priority="219">
      <formula>C$9&gt;=20/24</formula>
    </cfRule>
    <cfRule type="expression" dxfId="967" priority="220">
      <formula>AND(C$9&gt;=14/24,C$9&lt;20/24)</formula>
    </cfRule>
    <cfRule type="expression" dxfId="966" priority="221">
      <formula>AND(C$9&gt;=8/24,C$9&lt;14/24)</formula>
    </cfRule>
    <cfRule type="expression" dxfId="965" priority="222">
      <formula>C$9&lt;8/24</formula>
    </cfRule>
  </conditionalFormatting>
  <conditionalFormatting sqref="A202">
    <cfRule type="expression" dxfId="964" priority="223">
      <formula>$AH202=0</formula>
    </cfRule>
  </conditionalFormatting>
  <conditionalFormatting sqref="AG214">
    <cfRule type="expression" dxfId="963" priority="224">
      <formula>B$9&gt;=20/24</formula>
    </cfRule>
    <cfRule type="expression" dxfId="962" priority="225">
      <formula>AND(B$9&gt;=14/24,B$9&lt;20/24)</formula>
    </cfRule>
    <cfRule type="expression" dxfId="961" priority="226">
      <formula>AND(B$9&gt;=8/24,B$9&lt;14/24)</formula>
    </cfRule>
    <cfRule type="expression" dxfId="960" priority="227">
      <formula>B$9&lt;8/24</formula>
    </cfRule>
  </conditionalFormatting>
  <conditionalFormatting sqref="S8">
    <cfRule type="expression" dxfId="959" priority="185">
      <formula>U$9&gt;=20/24</formula>
    </cfRule>
    <cfRule type="expression" dxfId="958" priority="186">
      <formula>AND(U$9&gt;=14/24,U$9&lt;20/24)</formula>
    </cfRule>
    <cfRule type="expression" dxfId="957" priority="187">
      <formula>AND(U$9&gt;=8/24,U$9&lt;14/24)</formula>
    </cfRule>
    <cfRule type="expression" dxfId="956" priority="188">
      <formula>U$9&lt;8/24</formula>
    </cfRule>
  </conditionalFormatting>
  <conditionalFormatting sqref="AB8">
    <cfRule type="expression" dxfId="955" priority="181">
      <formula>AD$9&gt;=20/24</formula>
    </cfRule>
    <cfRule type="expression" dxfId="954" priority="182">
      <formula>AND(AD$9&gt;=14/24,AD$9&lt;20/24)</formula>
    </cfRule>
    <cfRule type="expression" dxfId="953" priority="183">
      <formula>AND(AD$9&gt;=8/24,AD$9&lt;14/24)</formula>
    </cfRule>
    <cfRule type="expression" dxfId="952" priority="184">
      <formula>AD$9&lt;8/24</formula>
    </cfRule>
  </conditionalFormatting>
  <conditionalFormatting sqref="AH214:AX214">
    <cfRule type="expression" dxfId="951" priority="228">
      <formula>AG$9&gt;=20/24</formula>
    </cfRule>
    <cfRule type="expression" dxfId="950" priority="229">
      <formula>AND(AG$9&gt;=14/24,AG$9&lt;20/24)</formula>
    </cfRule>
    <cfRule type="expression" dxfId="949" priority="230">
      <formula>AND(AG$9&gt;=8/24,AG$9&lt;14/24)</formula>
    </cfRule>
    <cfRule type="expression" dxfId="948" priority="231">
      <formula>AG$9&lt;8/24</formula>
    </cfRule>
  </conditionalFormatting>
  <conditionalFormatting sqref="T214">
    <cfRule type="expression" dxfId="947" priority="232">
      <formula>AX$9&gt;=20/24</formula>
    </cfRule>
    <cfRule type="expression" dxfId="946" priority="233">
      <formula>AND(AX$9&gt;=14/24,AX$9&lt;20/24)</formula>
    </cfRule>
    <cfRule type="expression" dxfId="945" priority="234">
      <formula>AND(AX$9&gt;=8/24,AX$9&lt;14/24)</formula>
    </cfRule>
    <cfRule type="expression" dxfId="944" priority="235">
      <formula>AX$9&lt;8/24</formula>
    </cfRule>
  </conditionalFormatting>
  <conditionalFormatting sqref="A99:A100">
    <cfRule type="expression" dxfId="943" priority="180">
      <formula>$AH99=0</formula>
    </cfRule>
  </conditionalFormatting>
  <conditionalFormatting sqref="I11 E40:L41 C57:AF57 Z36:AF36 V40:AF41">
    <cfRule type="expression" dxfId="942" priority="176">
      <formula>C$9&gt;=20/24</formula>
    </cfRule>
    <cfRule type="expression" dxfId="941" priority="177">
      <formula>AND(C$9&gt;=14/24,C$9&lt;20/24)</formula>
    </cfRule>
    <cfRule type="expression" dxfId="940" priority="178">
      <formula>AND(C$9&gt;=8/24,C$9&lt;14/24)</formula>
    </cfRule>
    <cfRule type="expression" dxfId="939" priority="179">
      <formula>C$9&lt;8/24</formula>
    </cfRule>
  </conditionalFormatting>
  <conditionalFormatting sqref="E39:L39 V39:AF39">
    <cfRule type="expression" dxfId="938" priority="172">
      <formula>E$9&gt;=20/24</formula>
    </cfRule>
    <cfRule type="expression" dxfId="937" priority="173">
      <formula>AND(E$9&gt;=14/24,E$9&lt;20/24)</formula>
    </cfRule>
    <cfRule type="expression" dxfId="936" priority="174">
      <formula>AND(E$9&gt;=8/24,E$9&lt;14/24)</formula>
    </cfRule>
    <cfRule type="expression" dxfId="935" priority="175">
      <formula>E$9&lt;8/24</formula>
    </cfRule>
  </conditionalFormatting>
  <conditionalFormatting sqref="I11 E39:L41 Z36:AF36 V39:AF41">
    <cfRule type="expression" dxfId="934" priority="171">
      <formula>E11&gt;$AG11</formula>
    </cfRule>
  </conditionalFormatting>
  <conditionalFormatting sqref="C75:AF75 C69:AF73 C58:AF59 M11:V11 C60:Y63 AB63:AB67 C81:AF81 W12:AA13 C53:AF56 Z60:AF61 C67:AA67 Z63:AA63 Z62:AB62 C85:AF91 AB16:AF16 AB28:AF31 AB18:AF22 AB24:AF26 AC62:AF67 AB12:AF14">
    <cfRule type="expression" dxfId="933" priority="167">
      <formula>C$9&gt;=20/24</formula>
    </cfRule>
    <cfRule type="expression" dxfId="932" priority="168">
      <formula>AND(C$9&gt;=14/24,C$9&lt;20/24)</formula>
    </cfRule>
    <cfRule type="expression" dxfId="931" priority="169">
      <formula>AND(C$9&gt;=8/24,C$9&lt;14/24)</formula>
    </cfRule>
    <cfRule type="expression" dxfId="930" priority="170">
      <formula>C$9&lt;8/24</formula>
    </cfRule>
  </conditionalFormatting>
  <conditionalFormatting sqref="AB32:AF32">
    <cfRule type="expression" dxfId="929" priority="163">
      <formula>AB$9&gt;=20/24</formula>
    </cfRule>
    <cfRule type="expression" dxfId="928" priority="164">
      <formula>AND(AB$9&gt;=14/24,AB$9&lt;20/24)</formula>
    </cfRule>
    <cfRule type="expression" dxfId="927" priority="165">
      <formula>AND(AB$9&gt;=8/24,AB$9&lt;14/24)</formula>
    </cfRule>
    <cfRule type="expression" dxfId="926" priority="166">
      <formula>AB$9&lt;8/24</formula>
    </cfRule>
  </conditionalFormatting>
  <conditionalFormatting sqref="O35:AF35">
    <cfRule type="expression" dxfId="925" priority="159">
      <formula>O$9&gt;=20/24</formula>
    </cfRule>
    <cfRule type="expression" dxfId="924" priority="160">
      <formula>AND(O$9&gt;=14/24,O$9&lt;20/24)</formula>
    </cfRule>
    <cfRule type="expression" dxfId="923" priority="161">
      <formula>AND(O$9&gt;=8/24,O$9&lt;14/24)</formula>
    </cfRule>
    <cfRule type="expression" dxfId="922" priority="162">
      <formula>O$9&lt;8/24</formula>
    </cfRule>
  </conditionalFormatting>
  <conditionalFormatting sqref="C38:AF38 E42:L43 M43 C37:T37 M11:V11 W12:AA13 O35:AA35 C51:AF56 AB42:AF43 AB18:AF22 AB24:AF32 AB34:AF35 AB12:AF16">
    <cfRule type="expression" dxfId="921" priority="158">
      <formula>C11&gt;$AG11</formula>
    </cfRule>
  </conditionalFormatting>
  <conditionalFormatting sqref="AB34:AF34">
    <cfRule type="expression" dxfId="920" priority="154">
      <formula>AB$9&gt;=20/24</formula>
    </cfRule>
    <cfRule type="expression" dxfId="919" priority="155">
      <formula>AND(AB$9&gt;=14/24,AB$9&lt;20/24)</formula>
    </cfRule>
    <cfRule type="expression" dxfId="918" priority="156">
      <formula>AND(AB$9&gt;=8/24,AB$9&lt;14/24)</formula>
    </cfRule>
    <cfRule type="expression" dxfId="917" priority="157">
      <formula>AB$9&lt;8/24</formula>
    </cfRule>
  </conditionalFormatting>
  <conditionalFormatting sqref="AB15:AF15">
    <cfRule type="expression" dxfId="916" priority="150">
      <formula>AB$9&gt;=20/24</formula>
    </cfRule>
    <cfRule type="expression" dxfId="915" priority="151">
      <formula>AND(AB$9&gt;=14/24,AB$9&lt;20/24)</formula>
    </cfRule>
    <cfRule type="expression" dxfId="914" priority="152">
      <formula>AND(AB$9&gt;=8/24,AB$9&lt;14/24)</formula>
    </cfRule>
    <cfRule type="expression" dxfId="913" priority="153">
      <formula>AB$9&lt;8/24</formula>
    </cfRule>
  </conditionalFormatting>
  <conditionalFormatting sqref="AB33:AF33">
    <cfRule type="expression" dxfId="912" priority="146">
      <formula>AB$9&gt;=20/24</formula>
    </cfRule>
    <cfRule type="expression" dxfId="911" priority="147">
      <formula>AND(AB$9&gt;=14/24,AB$9&lt;20/24)</formula>
    </cfRule>
    <cfRule type="expression" dxfId="910" priority="148">
      <formula>AND(AB$9&gt;=8/24,AB$9&lt;14/24)</formula>
    </cfRule>
    <cfRule type="expression" dxfId="909" priority="149">
      <formula>AB$9&lt;8/24</formula>
    </cfRule>
  </conditionalFormatting>
  <conditionalFormatting sqref="AB33:AF33">
    <cfRule type="expression" dxfId="908" priority="145">
      <formula>AB33&gt;$AG33</formula>
    </cfRule>
  </conditionalFormatting>
  <conditionalFormatting sqref="V42:AA43 AB44:AF50">
    <cfRule type="expression" dxfId="907" priority="137">
      <formula>V$9&gt;=20/24</formula>
    </cfRule>
    <cfRule type="expression" dxfId="906" priority="138">
      <formula>AND(V$9&gt;=14/24,V$9&lt;20/24)</formula>
    </cfRule>
    <cfRule type="expression" dxfId="905" priority="139">
      <formula>AND(V$9&gt;=8/24,V$9&lt;14/24)</formula>
    </cfRule>
    <cfRule type="expression" dxfId="904" priority="140">
      <formula>V$9&lt;8/24</formula>
    </cfRule>
  </conditionalFormatting>
  <conditionalFormatting sqref="V42:AA43 AB44:AF50">
    <cfRule type="expression" dxfId="903" priority="136">
      <formula>V42&gt;$AG42</formula>
    </cfRule>
  </conditionalFormatting>
  <conditionalFormatting sqref="Q46:Q48 O45:Q45 M39:T42 N43:T43 O44:T44 R45:T48 U39:U48 V44:AA50">
    <cfRule type="expression" dxfId="902" priority="132">
      <formula>M$9&gt;=20/24</formula>
    </cfRule>
    <cfRule type="expression" dxfId="901" priority="133">
      <formula>AND(M$9&gt;=14/24,M$9&lt;20/24)</formula>
    </cfRule>
    <cfRule type="expression" dxfId="900" priority="134">
      <formula>AND(M$9&gt;=8/24,M$9&lt;14/24)</formula>
    </cfRule>
    <cfRule type="expression" dxfId="899" priority="135">
      <formula>M$9&lt;8/24</formula>
    </cfRule>
  </conditionalFormatting>
  <conditionalFormatting sqref="Q46:Q48 O45:Q45 M39:T42 N43:T43 O44:T44 R45:T48 U39:U48 V44:AA50">
    <cfRule type="expression" dxfId="898" priority="131">
      <formula>M39&gt;$AG39</formula>
    </cfRule>
  </conditionalFormatting>
  <conditionalFormatting sqref="AB27:AF27">
    <cfRule type="expression" dxfId="897" priority="127">
      <formula>AB$9&gt;=20/24</formula>
    </cfRule>
    <cfRule type="expression" dxfId="896" priority="128">
      <formula>AND(AB$9&gt;=14/24,AB$9&lt;20/24)</formula>
    </cfRule>
    <cfRule type="expression" dxfId="895" priority="129">
      <formula>AND(AB$9&gt;=8/24,AB$9&lt;14/24)</formula>
    </cfRule>
    <cfRule type="expression" dxfId="894" priority="130">
      <formula>AB$9&lt;8/24</formula>
    </cfRule>
  </conditionalFormatting>
  <conditionalFormatting sqref="C74:I74 AB17:AF17 AB23:AF23">
    <cfRule type="expression" dxfId="893" priority="123">
      <formula>C$9&gt;=20/24</formula>
    </cfRule>
    <cfRule type="expression" dxfId="892" priority="124">
      <formula>AND(C$9&gt;=14/24,C$9&lt;20/24)</formula>
    </cfRule>
    <cfRule type="expression" dxfId="891" priority="125">
      <formula>AND(C$9&gt;=8/24,C$9&lt;14/24)</formula>
    </cfRule>
    <cfRule type="expression" dxfId="890" priority="126">
      <formula>C$9&lt;8/24</formula>
    </cfRule>
  </conditionalFormatting>
  <conditionalFormatting sqref="AB17:AF17 AB23:AF23">
    <cfRule type="expression" dxfId="889" priority="114">
      <formula>AB17&gt;$AG17</formula>
    </cfRule>
  </conditionalFormatting>
  <conditionalFormatting sqref="D40:D41">
    <cfRule type="expression" dxfId="888" priority="97">
      <formula>D$9&gt;=20/24</formula>
    </cfRule>
    <cfRule type="expression" dxfId="887" priority="98">
      <formula>AND(D$9&gt;=14/24,D$9&lt;20/24)</formula>
    </cfRule>
    <cfRule type="expression" dxfId="886" priority="99">
      <formula>AND(D$9&gt;=8/24,D$9&lt;14/24)</formula>
    </cfRule>
    <cfRule type="expression" dxfId="885" priority="100">
      <formula>D$9&lt;8/24</formula>
    </cfRule>
  </conditionalFormatting>
  <conditionalFormatting sqref="D39">
    <cfRule type="expression" dxfId="884" priority="93">
      <formula>D$9&gt;=20/24</formula>
    </cfRule>
    <cfRule type="expression" dxfId="883" priority="94">
      <formula>AND(D$9&gt;=14/24,D$9&lt;20/24)</formula>
    </cfRule>
    <cfRule type="expression" dxfId="882" priority="95">
      <formula>AND(D$9&gt;=8/24,D$9&lt;14/24)</formula>
    </cfRule>
    <cfRule type="expression" dxfId="881" priority="96">
      <formula>D$9&lt;8/24</formula>
    </cfRule>
  </conditionalFormatting>
  <conditionalFormatting sqref="D39:D41">
    <cfRule type="expression" dxfId="880" priority="92">
      <formula>D39&gt;$AG39</formula>
    </cfRule>
  </conditionalFormatting>
  <conditionalFormatting sqref="C64:AA66">
    <cfRule type="expression" dxfId="879" priority="88">
      <formula>C$9&gt;=20/24</formula>
    </cfRule>
    <cfRule type="expression" dxfId="878" priority="89">
      <formula>AND(C$9&gt;=14/24,C$9&lt;20/24)</formula>
    </cfRule>
    <cfRule type="expression" dxfId="877" priority="90">
      <formula>AND(C$9&gt;=8/24,C$9&lt;14/24)</formula>
    </cfRule>
    <cfRule type="expression" dxfId="876" priority="91">
      <formula>C$9&lt;8/24</formula>
    </cfRule>
  </conditionalFormatting>
  <conditionalFormatting sqref="D42:D43">
    <cfRule type="expression" dxfId="875" priority="87">
      <formula>D42&gt;$AG42</formula>
    </cfRule>
  </conditionalFormatting>
  <conditionalFormatting sqref="D44:N50 O46:P50 Q49:U50">
    <cfRule type="expression" dxfId="874" priority="83">
      <formula>D$9&gt;=20/24</formula>
    </cfRule>
    <cfRule type="expression" dxfId="873" priority="84">
      <formula>AND(D$9&gt;=14/24,D$9&lt;20/24)</formula>
    </cfRule>
    <cfRule type="expression" dxfId="872" priority="85">
      <formula>AND(D$9&gt;=8/24,D$9&lt;14/24)</formula>
    </cfRule>
    <cfRule type="expression" dxfId="871" priority="86">
      <formula>D$9&lt;8/24</formula>
    </cfRule>
  </conditionalFormatting>
  <conditionalFormatting sqref="D44:N50 O46:P50 Q49:U50">
    <cfRule type="expression" dxfId="870" priority="82">
      <formula>D44&gt;$AG44</formula>
    </cfRule>
  </conditionalFormatting>
  <conditionalFormatting sqref="B74 B94:B100 B11:H11 B82:AF82">
    <cfRule type="expression" dxfId="869" priority="69">
      <formula>B$9&gt;=20/24</formula>
    </cfRule>
    <cfRule type="expression" dxfId="868" priority="70">
      <formula>AND(B$9&gt;=14/24,B$9&lt;20/24)</formula>
    </cfRule>
    <cfRule type="expression" dxfId="867" priority="71">
      <formula>AND(B$9&gt;=8/24,B$9&lt;14/24)</formula>
    </cfRule>
    <cfRule type="expression" dxfId="866" priority="72">
      <formula>B$9&lt;8/24</formula>
    </cfRule>
  </conditionalFormatting>
  <conditionalFormatting sqref="B37">
    <cfRule type="expression" dxfId="865" priority="65">
      <formula>B$9&gt;=20/24</formula>
    </cfRule>
    <cfRule type="expression" dxfId="864" priority="66">
      <formula>AND(B$9&gt;=14/24,B$9&lt;20/24)</formula>
    </cfRule>
    <cfRule type="expression" dxfId="863" priority="67">
      <formula>AND(B$9&gt;=8/24,B$9&lt;14/24)</formula>
    </cfRule>
    <cfRule type="expression" dxfId="862" priority="68">
      <formula>B$9&lt;8/24</formula>
    </cfRule>
  </conditionalFormatting>
  <conditionalFormatting sqref="B37 B11:H11">
    <cfRule type="expression" dxfId="861" priority="64">
      <formula>B11&gt;$AG11</formula>
    </cfRule>
  </conditionalFormatting>
  <conditionalFormatting sqref="B84">
    <cfRule type="expression" dxfId="860" priority="60">
      <formula>B$9&gt;=20/24</formula>
    </cfRule>
    <cfRule type="expression" dxfId="859" priority="61">
      <formula>AND(B$9&gt;=14/24,B$9&lt;20/24)</formula>
    </cfRule>
    <cfRule type="expression" dxfId="858" priority="62">
      <formula>AND(B$9&gt;=8/24,B$9&lt;14/24)</formula>
    </cfRule>
    <cfRule type="expression" dxfId="857" priority="63">
      <formula>B$9&lt;8/24</formula>
    </cfRule>
  </conditionalFormatting>
  <conditionalFormatting sqref="B57 B40:C41 B36:Y36">
    <cfRule type="expression" dxfId="856" priority="56">
      <formula>B$9&gt;=20/24</formula>
    </cfRule>
    <cfRule type="expression" dxfId="855" priority="57">
      <formula>AND(B$9&gt;=14/24,B$9&lt;20/24)</formula>
    </cfRule>
    <cfRule type="expression" dxfId="854" priority="58">
      <formula>AND(B$9&gt;=8/24,B$9&lt;14/24)</formula>
    </cfRule>
    <cfRule type="expression" dxfId="853" priority="59">
      <formula>B$9&lt;8/24</formula>
    </cfRule>
  </conditionalFormatting>
  <conditionalFormatting sqref="B39:C39">
    <cfRule type="expression" dxfId="852" priority="52">
      <formula>B$9&gt;=20/24</formula>
    </cfRule>
    <cfRule type="expression" dxfId="851" priority="53">
      <formula>AND(B$9&gt;=14/24,B$9&lt;20/24)</formula>
    </cfRule>
    <cfRule type="expression" dxfId="850" priority="54">
      <formula>AND(B$9&gt;=8/24,B$9&lt;14/24)</formula>
    </cfRule>
    <cfRule type="expression" dxfId="849" priority="55">
      <formula>B$9&lt;8/24</formula>
    </cfRule>
  </conditionalFormatting>
  <conditionalFormatting sqref="B39:C41 B36:Y36">
    <cfRule type="expression" dxfId="848" priority="51">
      <formula>B36&gt;$AG36</formula>
    </cfRule>
  </conditionalFormatting>
  <conditionalFormatting sqref="B85:B91 B53:B56 B58:B73 B12:V14 C68:AF68 B75:B81 C76:AF80 B83:AF83 W14:AA14 B16:AA16 B28:AA31 B18:AA22 B24:AA26">
    <cfRule type="expression" dxfId="847" priority="47">
      <formula>B$9&gt;=20/24</formula>
    </cfRule>
    <cfRule type="expression" dxfId="846" priority="48">
      <formula>AND(B$9&gt;=14/24,B$9&lt;20/24)</formula>
    </cfRule>
    <cfRule type="expression" dxfId="845" priority="49">
      <formula>AND(B$9&gt;=8/24,B$9&lt;14/24)</formula>
    </cfRule>
    <cfRule type="expression" dxfId="844" priority="50">
      <formula>B$9&lt;8/24</formula>
    </cfRule>
  </conditionalFormatting>
  <conditionalFormatting sqref="B32:AA32">
    <cfRule type="expression" dxfId="843" priority="43">
      <formula>B$9&gt;=20/24</formula>
    </cfRule>
    <cfRule type="expression" dxfId="842" priority="44">
      <formula>AND(B$9&gt;=14/24,B$9&lt;20/24)</formula>
    </cfRule>
    <cfRule type="expression" dxfId="841" priority="45">
      <formula>AND(B$9&gt;=8/24,B$9&lt;14/24)</formula>
    </cfRule>
    <cfRule type="expression" dxfId="840" priority="46">
      <formula>B$9&lt;8/24</formula>
    </cfRule>
  </conditionalFormatting>
  <conditionalFormatting sqref="B35:N35">
    <cfRule type="expression" dxfId="839" priority="39">
      <formula>B$9&gt;=20/24</formula>
    </cfRule>
    <cfRule type="expression" dxfId="838" priority="40">
      <formula>AND(B$9&gt;=14/24,B$9&lt;20/24)</formula>
    </cfRule>
    <cfRule type="expression" dxfId="837" priority="41">
      <formula>AND(B$9&gt;=8/24,B$9&lt;14/24)</formula>
    </cfRule>
    <cfRule type="expression" dxfId="836" priority="42">
      <formula>B$9&lt;8/24</formula>
    </cfRule>
  </conditionalFormatting>
  <conditionalFormatting sqref="B38 B51:B56 B42:C43 B34:N35 B12:V16 O34:AA34 W14:AA16 B18:AA22 B24:AA32">
    <cfRule type="expression" dxfId="835" priority="38">
      <formula>B12&gt;$AG12</formula>
    </cfRule>
  </conditionalFormatting>
  <conditionalFormatting sqref="B34:AA34">
    <cfRule type="expression" dxfId="834" priority="34">
      <formula>B$9&gt;=20/24</formula>
    </cfRule>
    <cfRule type="expression" dxfId="833" priority="35">
      <formula>AND(B$9&gt;=14/24,B$9&lt;20/24)</formula>
    </cfRule>
    <cfRule type="expression" dxfId="832" priority="36">
      <formula>AND(B$9&gt;=8/24,B$9&lt;14/24)</formula>
    </cfRule>
    <cfRule type="expression" dxfId="831" priority="37">
      <formula>B$9&lt;8/24</formula>
    </cfRule>
  </conditionalFormatting>
  <conditionalFormatting sqref="B15:AA15">
    <cfRule type="expression" dxfId="830" priority="30">
      <formula>B$9&gt;=20/24</formula>
    </cfRule>
    <cfRule type="expression" dxfId="829" priority="31">
      <formula>AND(B$9&gt;=14/24,B$9&lt;20/24)</formula>
    </cfRule>
    <cfRule type="expression" dxfId="828" priority="32">
      <formula>AND(B$9&gt;=8/24,B$9&lt;14/24)</formula>
    </cfRule>
    <cfRule type="expression" dxfId="827" priority="33">
      <formula>B$9&lt;8/24</formula>
    </cfRule>
  </conditionalFormatting>
  <conditionalFormatting sqref="B33:AA33">
    <cfRule type="expression" dxfId="826" priority="26">
      <formula>B$9&gt;=20/24</formula>
    </cfRule>
    <cfRule type="expression" dxfId="825" priority="27">
      <formula>AND(B$9&gt;=14/24,B$9&lt;20/24)</formula>
    </cfRule>
    <cfRule type="expression" dxfId="824" priority="28">
      <formula>AND(B$9&gt;=8/24,B$9&lt;14/24)</formula>
    </cfRule>
    <cfRule type="expression" dxfId="823" priority="29">
      <formula>B$9&lt;8/24</formula>
    </cfRule>
  </conditionalFormatting>
  <conditionalFormatting sqref="B33:AA33">
    <cfRule type="expression" dxfId="822" priority="25">
      <formula>B33&gt;$AG33</formula>
    </cfRule>
  </conditionalFormatting>
  <conditionalFormatting sqref="B44:C50">
    <cfRule type="expression" dxfId="821" priority="21">
      <formula>B$9&gt;=20/24</formula>
    </cfRule>
    <cfRule type="expression" dxfId="820" priority="22">
      <formula>AND(B$9&gt;=14/24,B$9&lt;20/24)</formula>
    </cfRule>
    <cfRule type="expression" dxfId="819" priority="23">
      <formula>AND(B$9&gt;=8/24,B$9&lt;14/24)</formula>
    </cfRule>
    <cfRule type="expression" dxfId="818" priority="24">
      <formula>B$9&lt;8/24</formula>
    </cfRule>
  </conditionalFormatting>
  <conditionalFormatting sqref="B44:C50">
    <cfRule type="expression" dxfId="817" priority="20">
      <formula>B44&gt;$AG44</formula>
    </cfRule>
  </conditionalFormatting>
  <conditionalFormatting sqref="B27:AA27">
    <cfRule type="expression" dxfId="816" priority="16">
      <formula>B$9&gt;=20/24</formula>
    </cfRule>
    <cfRule type="expression" dxfId="815" priority="17">
      <formula>AND(B$9&gt;=14/24,B$9&lt;20/24)</formula>
    </cfRule>
    <cfRule type="expression" dxfId="814" priority="18">
      <formula>AND(B$9&gt;=8/24,B$9&lt;14/24)</formula>
    </cfRule>
    <cfRule type="expression" dxfId="813" priority="19">
      <formula>B$9&lt;8/24</formula>
    </cfRule>
  </conditionalFormatting>
  <conditionalFormatting sqref="B17:AA17 B23:AA23">
    <cfRule type="expression" dxfId="812" priority="12">
      <formula>B$9&gt;=20/24</formula>
    </cfRule>
    <cfRule type="expression" dxfId="811" priority="13">
      <formula>AND(B$9&gt;=14/24,B$9&lt;20/24)</formula>
    </cfRule>
    <cfRule type="expression" dxfId="810" priority="14">
      <formula>AND(B$9&gt;=8/24,B$9&lt;14/24)</formula>
    </cfRule>
    <cfRule type="expression" dxfId="809" priority="15">
      <formula>B$9&lt;8/24</formula>
    </cfRule>
  </conditionalFormatting>
  <conditionalFormatting sqref="B17:AA17 B23:AA23">
    <cfRule type="expression" dxfId="808" priority="11">
      <formula>B17&gt;$AG17</formula>
    </cfRule>
  </conditionalFormatting>
  <conditionalFormatting sqref="C101:AF101">
    <cfRule type="expression" dxfId="807" priority="7">
      <formula>C$9&gt;=20/24</formula>
    </cfRule>
    <cfRule type="expression" dxfId="806" priority="8">
      <formula>AND(C$9&gt;=14/24,C$9&lt;20/24)</formula>
    </cfRule>
    <cfRule type="expression" dxfId="805" priority="9">
      <formula>AND(C$9&gt;=8/24,C$9&lt;14/24)</formula>
    </cfRule>
    <cfRule type="expression" dxfId="804" priority="10">
      <formula>C$9&lt;8/24</formula>
    </cfRule>
  </conditionalFormatting>
  <conditionalFormatting sqref="B101">
    <cfRule type="expression" dxfId="803" priority="2">
      <formula>B$9&gt;=20/24</formula>
    </cfRule>
    <cfRule type="expression" dxfId="802" priority="3">
      <formula>AND(B$9&gt;=14/24,B$9&lt;20/24)</formula>
    </cfRule>
    <cfRule type="expression" dxfId="801" priority="4">
      <formula>AND(B$9&gt;=8/24,B$9&lt;14/24)</formula>
    </cfRule>
    <cfRule type="expression" dxfId="800" priority="5">
      <formula>B$9&lt;8/24</formula>
    </cfRule>
  </conditionalFormatting>
  <conditionalFormatting sqref="A101">
    <cfRule type="expression" dxfId="799" priority="1">
      <formula>$AH101=0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0" id="{30F7E34D-CF76-4C05-A5F2-AC88DD4E6FA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J473"/>
  <sheetViews>
    <sheetView zoomScale="90" zoomScaleNormal="90" workbookViewId="0">
      <pane xSplit="1" ySplit="10" topLeftCell="B86" activePane="bottomRight" state="frozen"/>
      <selection activeCell="AF88" sqref="AF88"/>
      <selection pane="topRight" activeCell="AF88" sqref="AF88"/>
      <selection pane="bottomLeft" activeCell="AF88" sqref="AF88"/>
      <selection pane="bottomRight" activeCell="V108" sqref="V108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2079/02/29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36.6</v>
      </c>
      <c r="C5" s="32">
        <f t="shared" si="0"/>
        <v>29.2</v>
      </c>
      <c r="D5" s="32">
        <f t="shared" si="0"/>
        <v>35.9</v>
      </c>
      <c r="E5" s="32">
        <f t="shared" si="0"/>
        <v>33</v>
      </c>
      <c r="F5" s="32">
        <f t="shared" si="0"/>
        <v>-382</v>
      </c>
      <c r="G5" s="32">
        <f t="shared" si="0"/>
        <v>-355</v>
      </c>
      <c r="H5" s="32">
        <f t="shared" si="0"/>
        <v>-319</v>
      </c>
      <c r="I5" s="32">
        <f t="shared" si="0"/>
        <v>-260</v>
      </c>
      <c r="J5" s="32">
        <f t="shared" si="0"/>
        <v>-237</v>
      </c>
      <c r="K5" s="32">
        <f t="shared" si="0"/>
        <v>-210.5</v>
      </c>
      <c r="L5" s="32">
        <f t="shared" si="0"/>
        <v>-245</v>
      </c>
      <c r="M5" s="32">
        <f t="shared" si="0"/>
        <v>-196.5</v>
      </c>
      <c r="N5" s="32">
        <f t="shared" si="0"/>
        <v>41</v>
      </c>
      <c r="O5" s="32">
        <f t="shared" si="0"/>
        <v>7.7999999999999972</v>
      </c>
      <c r="P5" s="32">
        <f t="shared" si="0"/>
        <v>-32</v>
      </c>
      <c r="Q5" s="32">
        <f t="shared" si="0"/>
        <v>-168.5</v>
      </c>
      <c r="R5" s="32">
        <f t="shared" si="0"/>
        <v>-164.4</v>
      </c>
      <c r="S5" s="32">
        <f t="shared" si="0"/>
        <v>-168</v>
      </c>
      <c r="T5" s="32">
        <f t="shared" si="0"/>
        <v>-149</v>
      </c>
      <c r="U5" s="32">
        <f t="shared" si="0"/>
        <v>-149.1</v>
      </c>
      <c r="V5" s="32">
        <f t="shared" si="0"/>
        <v>-145.5</v>
      </c>
      <c r="W5" s="32">
        <f t="shared" si="0"/>
        <v>-140.5</v>
      </c>
      <c r="X5" s="32">
        <f t="shared" si="0"/>
        <v>-142</v>
      </c>
      <c r="Y5" s="32">
        <f t="shared" si="0"/>
        <v>-139.30000000000001</v>
      </c>
      <c r="Z5" s="32">
        <f t="shared" si="0"/>
        <v>-72.8</v>
      </c>
      <c r="AA5" s="32">
        <f t="shared" si="0"/>
        <v>-181.2</v>
      </c>
      <c r="AB5" s="32">
        <f t="shared" si="0"/>
        <v>-204.79999999999998</v>
      </c>
      <c r="AC5" s="32">
        <f t="shared" si="0"/>
        <v>-270.60000000000002</v>
      </c>
      <c r="AD5" s="32">
        <f t="shared" si="0"/>
        <v>-295.60000000000002</v>
      </c>
      <c r="AE5" s="32">
        <f t="shared" si="0"/>
        <v>-324</v>
      </c>
      <c r="AF5" s="32">
        <f>B68</f>
        <v>39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1213MW at 7:30hr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Load=545</v>
      </c>
      <c r="B7" s="37">
        <f>B75</f>
        <v>1581.4400000000003</v>
      </c>
      <c r="C7" s="37">
        <f t="shared" ref="C7:AF7" si="1">C75</f>
        <v>1553.2400000000002</v>
      </c>
      <c r="D7" s="37">
        <f t="shared" si="1"/>
        <v>1547.5400000000004</v>
      </c>
      <c r="E7" s="37">
        <f t="shared" si="1"/>
        <v>1545.8400000000001</v>
      </c>
      <c r="F7" s="37">
        <f t="shared" si="1"/>
        <v>544.54</v>
      </c>
      <c r="G7" s="37">
        <f t="shared" si="1"/>
        <v>1134.6400000000003</v>
      </c>
      <c r="H7" s="37">
        <f t="shared" si="1"/>
        <v>1137.6400000000003</v>
      </c>
      <c r="I7" s="37">
        <f t="shared" si="1"/>
        <v>1076.0400000000002</v>
      </c>
      <c r="J7" s="37">
        <f t="shared" si="1"/>
        <v>1122.7400000000002</v>
      </c>
      <c r="K7" s="37">
        <f t="shared" si="1"/>
        <v>1159.6400000000001</v>
      </c>
      <c r="L7" s="37">
        <f t="shared" si="1"/>
        <v>1212.74</v>
      </c>
      <c r="M7" s="37">
        <f t="shared" si="1"/>
        <v>1208.74</v>
      </c>
      <c r="N7" s="37">
        <f t="shared" si="1"/>
        <v>1212.5400000000002</v>
      </c>
      <c r="O7" s="37">
        <f t="shared" si="1"/>
        <v>1204.5400000000002</v>
      </c>
      <c r="P7" s="37">
        <f t="shared" si="1"/>
        <v>1196.7400000000002</v>
      </c>
      <c r="Q7" s="37">
        <f t="shared" si="1"/>
        <v>1185.0400000000002</v>
      </c>
      <c r="R7" s="37">
        <f t="shared" si="1"/>
        <v>1227.74</v>
      </c>
      <c r="S7" s="37">
        <f t="shared" si="1"/>
        <v>1245.24</v>
      </c>
      <c r="T7" s="37">
        <f t="shared" si="1"/>
        <v>1324.44</v>
      </c>
      <c r="U7" s="37">
        <f t="shared" si="1"/>
        <v>1302.24</v>
      </c>
      <c r="V7" s="37">
        <f t="shared" si="1"/>
        <v>1324.74</v>
      </c>
      <c r="W7" s="37">
        <f t="shared" si="1"/>
        <v>1322.34</v>
      </c>
      <c r="X7" s="37">
        <f t="shared" si="1"/>
        <v>1297.3400000000001</v>
      </c>
      <c r="Y7" s="37">
        <f t="shared" si="1"/>
        <v>1310.84</v>
      </c>
      <c r="Z7" s="37">
        <f t="shared" si="1"/>
        <v>1416.5400000000002</v>
      </c>
      <c r="AA7" s="37">
        <f t="shared" si="1"/>
        <v>1531.3400000000001</v>
      </c>
      <c r="AB7" s="37">
        <f t="shared" si="1"/>
        <v>1475.8400000000001</v>
      </c>
      <c r="AC7" s="37">
        <f t="shared" si="1"/>
        <v>1426.2400000000002</v>
      </c>
      <c r="AD7" s="37">
        <f t="shared" si="1"/>
        <v>1429.3400000000001</v>
      </c>
      <c r="AE7" s="37">
        <f t="shared" si="1"/>
        <v>1335.4400000000003</v>
      </c>
      <c r="AF7" s="37">
        <f t="shared" si="1"/>
        <v>1262.8400000000001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456</v>
      </c>
      <c r="C11" s="70">
        <v>456</v>
      </c>
      <c r="D11" s="70">
        <v>456</v>
      </c>
      <c r="E11" s="70">
        <v>456</v>
      </c>
      <c r="F11" s="51">
        <v>410</v>
      </c>
      <c r="G11" s="51">
        <v>410</v>
      </c>
      <c r="H11" s="51">
        <v>410</v>
      </c>
      <c r="I11" s="51">
        <v>410</v>
      </c>
      <c r="J11" s="51">
        <v>410</v>
      </c>
      <c r="K11" s="52">
        <v>420</v>
      </c>
      <c r="L11" s="52">
        <v>440</v>
      </c>
      <c r="M11" s="51">
        <v>456</v>
      </c>
      <c r="N11" s="51">
        <v>456</v>
      </c>
      <c r="O11" s="51">
        <v>220</v>
      </c>
      <c r="P11" s="51">
        <v>200</v>
      </c>
      <c r="Q11" s="51">
        <v>200</v>
      </c>
      <c r="R11" s="51">
        <v>400</v>
      </c>
      <c r="S11" s="51">
        <v>400</v>
      </c>
      <c r="T11" s="51">
        <v>456</v>
      </c>
      <c r="U11" s="51">
        <v>456</v>
      </c>
      <c r="V11" s="51">
        <v>456</v>
      </c>
      <c r="W11" s="51">
        <v>450</v>
      </c>
      <c r="X11" s="51">
        <v>420</v>
      </c>
      <c r="Y11" s="51">
        <v>435</v>
      </c>
      <c r="Z11" s="51">
        <v>456</v>
      </c>
      <c r="AA11" s="51">
        <v>456</v>
      </c>
      <c r="AB11" s="51">
        <v>456</v>
      </c>
      <c r="AC11" s="51">
        <v>456</v>
      </c>
      <c r="AD11" s="49">
        <v>456</v>
      </c>
      <c r="AE11" s="49">
        <v>456</v>
      </c>
      <c r="AF11" s="49">
        <v>456</v>
      </c>
      <c r="AG11" s="53">
        <v>456</v>
      </c>
      <c r="AH11" s="54">
        <f>MAX(B11:AF11)</f>
        <v>456</v>
      </c>
      <c r="AI11" s="55">
        <f>MIN(B11:AF11)</f>
        <v>200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60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40.200000000000003</v>
      </c>
      <c r="C13" s="51">
        <v>40.200000000000003</v>
      </c>
      <c r="D13" s="51">
        <v>40.200000000000003</v>
      </c>
      <c r="E13" s="51">
        <v>40.200000000000003</v>
      </c>
      <c r="F13" s="51">
        <v>38</v>
      </c>
      <c r="G13" s="51">
        <v>40.200000000000003</v>
      </c>
      <c r="H13" s="51">
        <v>40.200000000000003</v>
      </c>
      <c r="I13" s="51">
        <v>37.799999999999997</v>
      </c>
      <c r="J13" s="51">
        <v>37.799999999999997</v>
      </c>
      <c r="K13" s="51">
        <v>37.799999999999997</v>
      </c>
      <c r="L13" s="51">
        <v>37.799999999999997</v>
      </c>
      <c r="M13" s="51">
        <v>37.799999999999997</v>
      </c>
      <c r="N13" s="51">
        <v>37.799999999999997</v>
      </c>
      <c r="O13" s="51">
        <v>37.799999999999997</v>
      </c>
      <c r="P13" s="51">
        <v>37.799999999999997</v>
      </c>
      <c r="Q13" s="51">
        <v>37.799999999999997</v>
      </c>
      <c r="R13" s="51">
        <v>37.799999999999997</v>
      </c>
      <c r="S13" s="51">
        <v>39.4</v>
      </c>
      <c r="T13" s="51">
        <v>39.4</v>
      </c>
      <c r="U13" s="51">
        <v>39.4</v>
      </c>
      <c r="V13" s="51">
        <v>39.4</v>
      </c>
      <c r="W13" s="51">
        <v>39.4</v>
      </c>
      <c r="X13" s="51">
        <v>39.4</v>
      </c>
      <c r="Y13" s="51">
        <v>39.4</v>
      </c>
      <c r="Z13" s="51">
        <v>36.1</v>
      </c>
      <c r="AA13" s="51">
        <v>36.1</v>
      </c>
      <c r="AB13" s="51">
        <v>36.1</v>
      </c>
      <c r="AC13" s="51">
        <v>36.1</v>
      </c>
      <c r="AD13" s="51">
        <v>36.1</v>
      </c>
      <c r="AE13" s="51">
        <v>36.1</v>
      </c>
      <c r="AF13" s="51">
        <v>36.1</v>
      </c>
      <c r="AG13" s="58">
        <v>52.4</v>
      </c>
      <c r="AH13" s="54">
        <f t="shared" si="2"/>
        <v>40.200000000000003</v>
      </c>
      <c r="AI13" s="55">
        <f t="shared" si="3"/>
        <v>36.1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50</v>
      </c>
      <c r="C14" s="51">
        <v>50</v>
      </c>
      <c r="D14" s="51">
        <v>50</v>
      </c>
      <c r="E14" s="51">
        <v>50</v>
      </c>
      <c r="F14" s="51"/>
      <c r="G14" s="51">
        <v>50</v>
      </c>
      <c r="H14" s="51">
        <v>50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8">
        <v>50</v>
      </c>
      <c r="AH14" s="54">
        <f t="shared" si="2"/>
        <v>50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46.1</v>
      </c>
      <c r="C15" s="51">
        <v>46.1</v>
      </c>
      <c r="D15" s="51">
        <v>46.1</v>
      </c>
      <c r="E15" s="51">
        <v>46.1</v>
      </c>
      <c r="F15" s="51"/>
      <c r="G15" s="51">
        <v>46.1</v>
      </c>
      <c r="H15" s="51">
        <v>46.1</v>
      </c>
      <c r="I15" s="51">
        <v>46.1</v>
      </c>
      <c r="J15" s="51">
        <v>46.1</v>
      </c>
      <c r="K15" s="51">
        <v>46.1</v>
      </c>
      <c r="L15" s="51">
        <v>46.1</v>
      </c>
      <c r="M15" s="51">
        <v>46.1</v>
      </c>
      <c r="N15" s="51">
        <v>43</v>
      </c>
      <c r="O15" s="51">
        <v>43</v>
      </c>
      <c r="P15" s="51">
        <v>43</v>
      </c>
      <c r="Q15" s="51">
        <v>43</v>
      </c>
      <c r="R15" s="51">
        <v>43</v>
      </c>
      <c r="S15" s="51">
        <v>45.6</v>
      </c>
      <c r="T15" s="51">
        <v>45.6</v>
      </c>
      <c r="U15" s="51">
        <v>45.6</v>
      </c>
      <c r="V15" s="51">
        <v>45.6</v>
      </c>
      <c r="W15" s="51">
        <v>45.6</v>
      </c>
      <c r="X15" s="51">
        <v>45.6</v>
      </c>
      <c r="Y15" s="51">
        <v>45.6</v>
      </c>
      <c r="Z15" s="51">
        <v>45.7</v>
      </c>
      <c r="AA15" s="51">
        <v>45.6</v>
      </c>
      <c r="AB15" s="51">
        <v>45.6</v>
      </c>
      <c r="AC15" s="51">
        <v>45.6</v>
      </c>
      <c r="AD15" s="51">
        <v>45.6</v>
      </c>
      <c r="AE15" s="51">
        <v>45.6</v>
      </c>
      <c r="AF15" s="51">
        <v>45.6</v>
      </c>
      <c r="AG15" s="59">
        <v>45</v>
      </c>
      <c r="AH15" s="54">
        <f t="shared" si="2"/>
        <v>46.1</v>
      </c>
      <c r="AI15" s="55">
        <f t="shared" si="3"/>
        <v>43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34</v>
      </c>
      <c r="C16" s="51">
        <v>34</v>
      </c>
      <c r="D16" s="51">
        <v>34</v>
      </c>
      <c r="E16" s="51">
        <v>34</v>
      </c>
      <c r="F16" s="51" t="s">
        <v>241</v>
      </c>
      <c r="G16" s="51">
        <v>16</v>
      </c>
      <c r="H16" s="51">
        <v>16</v>
      </c>
      <c r="I16" s="51">
        <v>28</v>
      </c>
      <c r="J16" s="51">
        <v>28</v>
      </c>
      <c r="K16" s="51">
        <v>28</v>
      </c>
      <c r="L16" s="51">
        <v>28</v>
      </c>
      <c r="M16" s="51">
        <v>32</v>
      </c>
      <c r="N16" s="51">
        <v>28</v>
      </c>
      <c r="O16" s="51">
        <v>28</v>
      </c>
      <c r="P16" s="51">
        <v>40</v>
      </c>
      <c r="Q16" s="51">
        <v>40</v>
      </c>
      <c r="R16" s="51">
        <v>40</v>
      </c>
      <c r="S16" s="51">
        <v>40</v>
      </c>
      <c r="T16" s="51">
        <v>40</v>
      </c>
      <c r="U16" s="51">
        <v>40</v>
      </c>
      <c r="V16" s="51">
        <v>40</v>
      </c>
      <c r="W16" s="51">
        <v>40</v>
      </c>
      <c r="X16" s="51">
        <v>40</v>
      </c>
      <c r="Y16" s="51">
        <v>40</v>
      </c>
      <c r="Z16" s="51">
        <v>40</v>
      </c>
      <c r="AA16" s="51">
        <v>40</v>
      </c>
      <c r="AB16" s="51">
        <v>40</v>
      </c>
      <c r="AC16" s="51">
        <v>40</v>
      </c>
      <c r="AD16" s="51">
        <v>40</v>
      </c>
      <c r="AE16" s="51">
        <v>40</v>
      </c>
      <c r="AF16" s="51">
        <v>40</v>
      </c>
      <c r="AG16" s="58">
        <v>45</v>
      </c>
      <c r="AH16" s="54">
        <f t="shared" si="2"/>
        <v>40</v>
      </c>
      <c r="AI16" s="55">
        <f t="shared" si="3"/>
        <v>16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25</v>
      </c>
      <c r="C17" s="51">
        <v>25</v>
      </c>
      <c r="D17" s="51">
        <v>25</v>
      </c>
      <c r="E17" s="51">
        <v>25</v>
      </c>
      <c r="F17" s="51" t="s">
        <v>242</v>
      </c>
      <c r="G17" s="51">
        <v>25</v>
      </c>
      <c r="H17" s="51">
        <v>25</v>
      </c>
      <c r="I17" s="51">
        <v>25</v>
      </c>
      <c r="J17" s="51">
        <v>25</v>
      </c>
      <c r="K17" s="51">
        <v>25</v>
      </c>
      <c r="L17" s="51">
        <v>25</v>
      </c>
      <c r="M17" s="51">
        <v>25</v>
      </c>
      <c r="N17" s="51">
        <v>25</v>
      </c>
      <c r="O17" s="51">
        <v>25</v>
      </c>
      <c r="P17" s="51">
        <v>25</v>
      </c>
      <c r="Q17" s="51">
        <v>25</v>
      </c>
      <c r="R17" s="51">
        <v>20</v>
      </c>
      <c r="S17" s="51">
        <v>20</v>
      </c>
      <c r="T17" s="51">
        <v>20</v>
      </c>
      <c r="U17" s="51">
        <v>20</v>
      </c>
      <c r="V17" s="51">
        <v>20</v>
      </c>
      <c r="W17" s="51">
        <v>20</v>
      </c>
      <c r="X17" s="51">
        <v>20</v>
      </c>
      <c r="Y17" s="51">
        <v>20</v>
      </c>
      <c r="Z17" s="51">
        <v>20</v>
      </c>
      <c r="AA17" s="51">
        <v>20</v>
      </c>
      <c r="AB17" s="51">
        <v>20</v>
      </c>
      <c r="AC17" s="51">
        <v>20</v>
      </c>
      <c r="AD17" s="51">
        <v>20</v>
      </c>
      <c r="AE17" s="51">
        <v>20</v>
      </c>
      <c r="AF17" s="51">
        <v>20</v>
      </c>
      <c r="AG17" s="58">
        <v>42</v>
      </c>
      <c r="AH17" s="54">
        <f t="shared" si="2"/>
        <v>25</v>
      </c>
      <c r="AI17" s="55">
        <f t="shared" si="3"/>
        <v>20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 t="s">
        <v>229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>
        <v>16</v>
      </c>
      <c r="R18" s="51">
        <v>16</v>
      </c>
      <c r="S18" s="51">
        <v>16</v>
      </c>
      <c r="T18" s="51">
        <v>16</v>
      </c>
      <c r="U18" s="51">
        <v>16</v>
      </c>
      <c r="V18" s="51">
        <v>16</v>
      </c>
      <c r="W18" s="51">
        <v>16</v>
      </c>
      <c r="X18" s="51">
        <v>16</v>
      </c>
      <c r="Y18" s="51">
        <v>16</v>
      </c>
      <c r="Z18" s="51">
        <v>16</v>
      </c>
      <c r="AA18" s="51">
        <v>16</v>
      </c>
      <c r="AB18" s="51">
        <v>16</v>
      </c>
      <c r="AC18" s="51">
        <v>16</v>
      </c>
      <c r="AD18" s="51">
        <v>16</v>
      </c>
      <c r="AE18" s="51">
        <v>16</v>
      </c>
      <c r="AF18" s="51">
        <v>16</v>
      </c>
      <c r="AG18" s="58">
        <v>36</v>
      </c>
      <c r="AH18" s="54">
        <f t="shared" si="2"/>
        <v>16</v>
      </c>
      <c r="AI18" s="55">
        <f t="shared" si="3"/>
        <v>16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26.1</v>
      </c>
      <c r="C19" s="51">
        <v>26.1</v>
      </c>
      <c r="D19" s="51">
        <v>26.1</v>
      </c>
      <c r="E19" s="51">
        <v>25.2</v>
      </c>
      <c r="F19" s="51" t="s">
        <v>223</v>
      </c>
      <c r="G19" s="51">
        <v>18.7</v>
      </c>
      <c r="H19" s="51">
        <v>23</v>
      </c>
      <c r="I19" s="51">
        <v>25.4</v>
      </c>
      <c r="J19" s="51">
        <v>25.4</v>
      </c>
      <c r="K19" s="51">
        <v>25.4</v>
      </c>
      <c r="L19" s="51">
        <v>25.4</v>
      </c>
      <c r="M19" s="51">
        <v>25.4</v>
      </c>
      <c r="N19" s="51">
        <v>26.3</v>
      </c>
      <c r="O19" s="51">
        <v>26.3</v>
      </c>
      <c r="P19" s="51">
        <v>26.3</v>
      </c>
      <c r="Q19" s="51">
        <v>26.3</v>
      </c>
      <c r="R19" s="51">
        <v>26.3</v>
      </c>
      <c r="S19" s="51">
        <v>26.3</v>
      </c>
      <c r="T19" s="51">
        <v>26.3</v>
      </c>
      <c r="U19" s="51">
        <v>26.3</v>
      </c>
      <c r="V19" s="51">
        <v>26.3</v>
      </c>
      <c r="W19" s="51">
        <v>26.3</v>
      </c>
      <c r="X19" s="51">
        <v>26.3</v>
      </c>
      <c r="Y19" s="51">
        <v>26.3</v>
      </c>
      <c r="Z19" s="51">
        <v>26.3</v>
      </c>
      <c r="AA19" s="51">
        <v>26.3</v>
      </c>
      <c r="AB19" s="51">
        <v>26.3</v>
      </c>
      <c r="AC19" s="51">
        <v>26.3</v>
      </c>
      <c r="AD19" s="51">
        <v>26.3</v>
      </c>
      <c r="AE19" s="51">
        <v>26.3</v>
      </c>
      <c r="AF19" s="51">
        <v>26.3</v>
      </c>
      <c r="AG19" s="58">
        <v>30</v>
      </c>
      <c r="AH19" s="54">
        <f t="shared" si="2"/>
        <v>26.3</v>
      </c>
      <c r="AI19" s="55">
        <f t="shared" si="3"/>
        <v>18.7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10</v>
      </c>
      <c r="C20" s="51">
        <v>10</v>
      </c>
      <c r="D20" s="51">
        <v>10</v>
      </c>
      <c r="E20" s="51">
        <v>10</v>
      </c>
      <c r="F20" s="51" t="s">
        <v>227</v>
      </c>
      <c r="G20" s="51">
        <v>10</v>
      </c>
      <c r="H20" s="51">
        <v>10</v>
      </c>
      <c r="I20" s="51">
        <v>10</v>
      </c>
      <c r="J20" s="51">
        <v>10</v>
      </c>
      <c r="K20" s="51">
        <v>10</v>
      </c>
      <c r="L20" s="51">
        <v>10</v>
      </c>
      <c r="M20" s="51">
        <v>15</v>
      </c>
      <c r="N20" s="51">
        <v>15</v>
      </c>
      <c r="O20" s="51">
        <v>15</v>
      </c>
      <c r="P20" s="51">
        <v>15</v>
      </c>
      <c r="Q20" s="51">
        <v>15</v>
      </c>
      <c r="R20" s="51">
        <v>15</v>
      </c>
      <c r="S20" s="51">
        <v>15</v>
      </c>
      <c r="T20" s="51">
        <v>15</v>
      </c>
      <c r="U20" s="51">
        <v>15</v>
      </c>
      <c r="V20" s="51">
        <v>15</v>
      </c>
      <c r="W20" s="51">
        <v>15</v>
      </c>
      <c r="X20" s="51">
        <v>15</v>
      </c>
      <c r="Y20" s="51">
        <v>15</v>
      </c>
      <c r="Z20" s="51">
        <v>15</v>
      </c>
      <c r="AA20" s="51">
        <v>15</v>
      </c>
      <c r="AB20" s="51">
        <v>15</v>
      </c>
      <c r="AC20" s="51">
        <v>15</v>
      </c>
      <c r="AD20" s="51">
        <v>15</v>
      </c>
      <c r="AE20" s="51">
        <v>15</v>
      </c>
      <c r="AF20" s="51">
        <v>15</v>
      </c>
      <c r="AG20" s="58">
        <v>27</v>
      </c>
      <c r="AH20" s="54">
        <f t="shared" si="2"/>
        <v>15</v>
      </c>
      <c r="AI20" s="55">
        <f t="shared" si="3"/>
        <v>10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 t="s">
        <v>242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22.1</v>
      </c>
      <c r="C22" s="51">
        <v>22.1</v>
      </c>
      <c r="D22" s="51">
        <v>22.1</v>
      </c>
      <c r="E22" s="51">
        <v>22.1</v>
      </c>
      <c r="F22" s="51" t="s">
        <v>243</v>
      </c>
      <c r="G22" s="51">
        <v>22.1</v>
      </c>
      <c r="H22" s="51">
        <v>22.1</v>
      </c>
      <c r="I22" s="51">
        <v>22.1</v>
      </c>
      <c r="J22" s="51">
        <v>22.1</v>
      </c>
      <c r="K22" s="51">
        <v>22.1</v>
      </c>
      <c r="L22" s="51">
        <v>22.1</v>
      </c>
      <c r="M22" s="51">
        <v>22.1</v>
      </c>
      <c r="N22" s="51">
        <v>22.1</v>
      </c>
      <c r="O22" s="51">
        <v>22.1</v>
      </c>
      <c r="P22" s="51">
        <v>22.1</v>
      </c>
      <c r="Q22" s="51">
        <v>22.1</v>
      </c>
      <c r="R22" s="51">
        <v>22.1</v>
      </c>
      <c r="S22" s="51">
        <v>22.1</v>
      </c>
      <c r="T22" s="51">
        <v>22.1</v>
      </c>
      <c r="U22" s="51">
        <v>22.1</v>
      </c>
      <c r="V22" s="51">
        <v>22.1</v>
      </c>
      <c r="W22" s="51">
        <v>22.1</v>
      </c>
      <c r="X22" s="51">
        <v>22.1</v>
      </c>
      <c r="Y22" s="51">
        <v>22.1</v>
      </c>
      <c r="Z22" s="51">
        <v>22.1</v>
      </c>
      <c r="AA22" s="51">
        <v>22.1</v>
      </c>
      <c r="AB22" s="51">
        <v>22.1</v>
      </c>
      <c r="AC22" s="51">
        <v>22.1</v>
      </c>
      <c r="AD22" s="51">
        <v>22.1</v>
      </c>
      <c r="AE22" s="51">
        <v>22.1</v>
      </c>
      <c r="AF22" s="51">
        <v>22.1</v>
      </c>
      <c r="AG22" s="58">
        <v>25</v>
      </c>
      <c r="AH22" s="54">
        <f t="shared" si="2"/>
        <v>22.1</v>
      </c>
      <c r="AI22" s="55">
        <f t="shared" si="3"/>
        <v>22.1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/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20.7</v>
      </c>
      <c r="C24" s="51">
        <v>20.7</v>
      </c>
      <c r="D24" s="51">
        <v>20.7</v>
      </c>
      <c r="E24" s="51">
        <v>20.7</v>
      </c>
      <c r="F24" s="51"/>
      <c r="G24" s="51">
        <v>16</v>
      </c>
      <c r="H24" s="51">
        <v>15.7</v>
      </c>
      <c r="I24" s="51">
        <v>15.7</v>
      </c>
      <c r="J24" s="51">
        <v>15.7</v>
      </c>
      <c r="K24" s="51">
        <v>15.7</v>
      </c>
      <c r="L24" s="51">
        <v>15.7</v>
      </c>
      <c r="M24" s="51">
        <v>15.7</v>
      </c>
      <c r="N24" s="51">
        <v>15.7</v>
      </c>
      <c r="O24" s="51">
        <v>15.7</v>
      </c>
      <c r="P24" s="51">
        <v>15.7</v>
      </c>
      <c r="Q24" s="51">
        <v>15.7</v>
      </c>
      <c r="R24" s="51">
        <v>15.7</v>
      </c>
      <c r="S24" s="51">
        <v>15.7</v>
      </c>
      <c r="T24" s="51">
        <v>15.7</v>
      </c>
      <c r="U24" s="51">
        <v>15.7</v>
      </c>
      <c r="V24" s="51">
        <v>15.7</v>
      </c>
      <c r="W24" s="51">
        <v>15.7</v>
      </c>
      <c r="X24" s="51">
        <v>15.7</v>
      </c>
      <c r="Y24" s="51">
        <v>15.7</v>
      </c>
      <c r="Z24" s="51">
        <v>15.7</v>
      </c>
      <c r="AA24" s="51">
        <v>15.7</v>
      </c>
      <c r="AB24" s="51">
        <v>15.7</v>
      </c>
      <c r="AC24" s="51">
        <v>15.7</v>
      </c>
      <c r="AD24" s="51">
        <v>15.7</v>
      </c>
      <c r="AE24" s="51">
        <v>15.7</v>
      </c>
      <c r="AF24" s="51">
        <v>15.7</v>
      </c>
      <c r="AG24" s="58">
        <v>25</v>
      </c>
      <c r="AH24" s="54">
        <f t="shared" si="2"/>
        <v>20.7</v>
      </c>
      <c r="AI24" s="55">
        <f t="shared" si="3"/>
        <v>15.7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/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>
        <v>14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/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/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0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/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/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0</v>
      </c>
      <c r="C30" s="51">
        <v>0</v>
      </c>
      <c r="D30" s="51">
        <v>0</v>
      </c>
      <c r="E30" s="51">
        <v>0</v>
      </c>
      <c r="F30" s="51"/>
      <c r="G30" s="51">
        <v>8.1999999999999993</v>
      </c>
      <c r="H30" s="51">
        <v>8.1999999999999993</v>
      </c>
      <c r="I30" s="51">
        <v>8.1999999999999993</v>
      </c>
      <c r="J30" s="51">
        <v>8.1999999999999993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6</v>
      </c>
      <c r="C31" s="51">
        <v>6</v>
      </c>
      <c r="D31" s="51">
        <v>6</v>
      </c>
      <c r="E31" s="51">
        <v>6</v>
      </c>
      <c r="F31" s="51"/>
      <c r="G31" s="51">
        <v>6</v>
      </c>
      <c r="H31" s="51">
        <v>6</v>
      </c>
      <c r="I31" s="51">
        <v>6</v>
      </c>
      <c r="J31" s="51">
        <v>6</v>
      </c>
      <c r="K31" s="51">
        <v>6</v>
      </c>
      <c r="L31" s="51">
        <v>6</v>
      </c>
      <c r="M31" s="51">
        <v>6</v>
      </c>
      <c r="N31" s="51">
        <v>6</v>
      </c>
      <c r="O31" s="51">
        <v>6</v>
      </c>
      <c r="P31" s="51">
        <v>6</v>
      </c>
      <c r="Q31" s="51">
        <v>6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9">
        <v>22</v>
      </c>
      <c r="AH31" s="54">
        <f t="shared" si="2"/>
        <v>6</v>
      </c>
      <c r="AI31" s="55">
        <f t="shared" si="3"/>
        <v>0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/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/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8</v>
      </c>
      <c r="C34" s="51">
        <v>8</v>
      </c>
      <c r="D34" s="51">
        <v>8</v>
      </c>
      <c r="E34" s="51">
        <v>8</v>
      </c>
      <c r="F34" s="51"/>
      <c r="G34" s="51">
        <v>8</v>
      </c>
      <c r="H34" s="51">
        <v>8</v>
      </c>
      <c r="I34" s="51">
        <v>8</v>
      </c>
      <c r="J34" s="51">
        <v>8</v>
      </c>
      <c r="K34" s="51">
        <v>8</v>
      </c>
      <c r="L34" s="51">
        <v>8</v>
      </c>
      <c r="M34" s="51">
        <v>8</v>
      </c>
      <c r="N34" s="51">
        <v>8</v>
      </c>
      <c r="O34" s="51">
        <v>8</v>
      </c>
      <c r="P34" s="51">
        <v>8</v>
      </c>
      <c r="Q34" s="51">
        <v>8</v>
      </c>
      <c r="R34" s="51">
        <v>8</v>
      </c>
      <c r="S34" s="51">
        <v>8</v>
      </c>
      <c r="T34" s="51">
        <v>8</v>
      </c>
      <c r="U34" s="51">
        <v>8</v>
      </c>
      <c r="V34" s="51">
        <v>8</v>
      </c>
      <c r="W34" s="51">
        <v>8</v>
      </c>
      <c r="X34" s="51">
        <v>8</v>
      </c>
      <c r="Y34" s="51">
        <v>8</v>
      </c>
      <c r="Z34" s="51">
        <v>8</v>
      </c>
      <c r="AA34" s="51">
        <v>8</v>
      </c>
      <c r="AB34" s="51">
        <v>8</v>
      </c>
      <c r="AC34" s="51">
        <v>8</v>
      </c>
      <c r="AD34" s="51">
        <v>8</v>
      </c>
      <c r="AE34" s="51">
        <v>8</v>
      </c>
      <c r="AF34" s="51">
        <v>8</v>
      </c>
      <c r="AG34" s="63">
        <v>20</v>
      </c>
      <c r="AH34" s="54">
        <f t="shared" si="2"/>
        <v>8</v>
      </c>
      <c r="AI34" s="55">
        <f t="shared" si="3"/>
        <v>8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/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/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>
        <v>200</v>
      </c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200</v>
      </c>
      <c r="AK36" s="56"/>
    </row>
    <row r="37" spans="1:88" ht="15.75" thickBot="1" x14ac:dyDescent="0.3">
      <c r="A37" s="66" t="s">
        <v>45</v>
      </c>
      <c r="B37" s="67">
        <f>88.8+77.5</f>
        <v>166.3</v>
      </c>
      <c r="C37" s="65">
        <f>83.4+76.8</f>
        <v>160.19999999999999</v>
      </c>
      <c r="D37" s="65">
        <f>82.7+73.5</f>
        <v>156.19999999999999</v>
      </c>
      <c r="E37" s="65">
        <f>82.7+77.5</f>
        <v>160.19999999999999</v>
      </c>
      <c r="F37" s="65">
        <f>85+73</f>
        <v>158</v>
      </c>
      <c r="G37" s="65">
        <f>85+73.6</f>
        <v>158.6</v>
      </c>
      <c r="H37" s="65">
        <f>84.3+73.9</f>
        <v>158.19999999999999</v>
      </c>
      <c r="I37" s="65">
        <f>83.7+74</f>
        <v>157.69999999999999</v>
      </c>
      <c r="J37" s="65">
        <f>83.8+73</f>
        <v>156.80000000000001</v>
      </c>
      <c r="K37" s="65">
        <f>84.1+72.6</f>
        <v>156.69999999999999</v>
      </c>
      <c r="L37" s="65">
        <f>84.8+72.4</f>
        <v>157.19999999999999</v>
      </c>
      <c r="M37" s="65">
        <f>71.7+86.6</f>
        <v>158.30000000000001</v>
      </c>
      <c r="N37" s="65">
        <f>71.6+88.6</f>
        <v>160.19999999999999</v>
      </c>
      <c r="O37" s="65">
        <f>89+78</f>
        <v>167</v>
      </c>
      <c r="P37" s="65">
        <v>170</v>
      </c>
      <c r="Q37" s="65">
        <v>172</v>
      </c>
      <c r="R37" s="65">
        <f>53+82.1</f>
        <v>135.1</v>
      </c>
      <c r="S37" s="65">
        <f>67.7+59.5</f>
        <v>127.2</v>
      </c>
      <c r="T37" s="65">
        <v>135</v>
      </c>
      <c r="U37" s="65">
        <f>69.2+82.5</f>
        <v>151.69999999999999</v>
      </c>
      <c r="V37" s="65">
        <f>69.8+82.8</f>
        <v>152.6</v>
      </c>
      <c r="W37" s="65">
        <f>65.2+84.3</f>
        <v>149.5</v>
      </c>
      <c r="X37" s="65">
        <f>69.8+84.7</f>
        <v>154.5</v>
      </c>
      <c r="Y37" s="65">
        <f>69.8+84.7</f>
        <v>154.5</v>
      </c>
      <c r="Z37" s="65">
        <f>68+85.6</f>
        <v>153.6</v>
      </c>
      <c r="AA37" s="65">
        <f>67+84.8</f>
        <v>151.80000000000001</v>
      </c>
      <c r="AB37" s="67">
        <f>85.2+68</f>
        <v>153.19999999999999</v>
      </c>
      <c r="AC37" s="67">
        <f>85.4+68.2</f>
        <v>153.60000000000002</v>
      </c>
      <c r="AD37" s="67">
        <f>85.7+68.1</f>
        <v>153.80000000000001</v>
      </c>
      <c r="AE37" s="67">
        <f>86.9+67.9</f>
        <v>154.80000000000001</v>
      </c>
      <c r="AF37" s="67">
        <f>86.8+69.2</f>
        <v>156</v>
      </c>
      <c r="AG37" s="63">
        <v>240</v>
      </c>
      <c r="AH37" s="54">
        <f t="shared" si="2"/>
        <v>172</v>
      </c>
      <c r="AI37" s="55">
        <f t="shared" si="3"/>
        <v>127.2</v>
      </c>
      <c r="AK37" s="56"/>
    </row>
    <row r="38" spans="1:88" ht="15.75" thickBot="1" x14ac:dyDescent="0.3">
      <c r="A38" s="68" t="s">
        <v>46</v>
      </c>
      <c r="B38" s="69">
        <f t="shared" ref="B38" si="4">SUM(B11:B36)</f>
        <v>1089.7000000000003</v>
      </c>
      <c r="C38" s="69">
        <f t="shared" ref="C38:AF38" si="5">SUM(C11:C36)</f>
        <v>1089.7000000000003</v>
      </c>
      <c r="D38" s="69">
        <f t="shared" si="5"/>
        <v>1089.7000000000003</v>
      </c>
      <c r="E38" s="69">
        <f t="shared" si="5"/>
        <v>1088.8000000000002</v>
      </c>
      <c r="F38" s="69">
        <f t="shared" si="5"/>
        <v>508</v>
      </c>
      <c r="G38" s="69">
        <f t="shared" si="5"/>
        <v>1021.8000000000002</v>
      </c>
      <c r="H38" s="69">
        <f t="shared" si="5"/>
        <v>1025.8000000000002</v>
      </c>
      <c r="I38" s="69">
        <f t="shared" si="5"/>
        <v>987.80000000000007</v>
      </c>
      <c r="J38" s="69">
        <f t="shared" si="5"/>
        <v>987.80000000000007</v>
      </c>
      <c r="K38" s="69">
        <f t="shared" si="5"/>
        <v>1001.6</v>
      </c>
      <c r="L38" s="69">
        <f t="shared" si="5"/>
        <v>1021.6</v>
      </c>
      <c r="M38" s="69">
        <f t="shared" si="5"/>
        <v>1046.5999999999999</v>
      </c>
      <c r="N38" s="69">
        <f t="shared" si="5"/>
        <v>1040.4000000000001</v>
      </c>
      <c r="O38" s="69">
        <f t="shared" si="5"/>
        <v>804.40000000000009</v>
      </c>
      <c r="P38" s="69">
        <f t="shared" si="5"/>
        <v>796.40000000000009</v>
      </c>
      <c r="Q38" s="69">
        <f t="shared" si="5"/>
        <v>796.40000000000009</v>
      </c>
      <c r="R38" s="69">
        <f t="shared" si="5"/>
        <v>977.4</v>
      </c>
      <c r="S38" s="69">
        <f t="shared" si="5"/>
        <v>989.6</v>
      </c>
      <c r="T38" s="69">
        <f t="shared" si="5"/>
        <v>1045.5999999999999</v>
      </c>
      <c r="U38" s="69">
        <f t="shared" si="5"/>
        <v>1045.5999999999999</v>
      </c>
      <c r="V38" s="69">
        <f t="shared" si="5"/>
        <v>1045.5999999999999</v>
      </c>
      <c r="W38" s="69">
        <f t="shared" si="5"/>
        <v>1039.5999999999999</v>
      </c>
      <c r="X38" s="69">
        <f t="shared" si="5"/>
        <v>1009.6</v>
      </c>
      <c r="Y38" s="69">
        <f t="shared" si="5"/>
        <v>1024.5999999999999</v>
      </c>
      <c r="Z38" s="69">
        <f t="shared" si="5"/>
        <v>1042.4000000000001</v>
      </c>
      <c r="AA38" s="69">
        <f t="shared" si="5"/>
        <v>1042.3000000000002</v>
      </c>
      <c r="AB38" s="69">
        <f t="shared" si="5"/>
        <v>1042.3000000000002</v>
      </c>
      <c r="AC38" s="69">
        <f t="shared" si="5"/>
        <v>1042.3000000000002</v>
      </c>
      <c r="AD38" s="69">
        <f t="shared" si="5"/>
        <v>1042.3000000000002</v>
      </c>
      <c r="AE38" s="69">
        <f t="shared" si="5"/>
        <v>1042.3000000000002</v>
      </c>
      <c r="AF38" s="69">
        <f t="shared" si="5"/>
        <v>1042.3000000000002</v>
      </c>
      <c r="AG38" s="63">
        <f>SUM(AG11:AG37)</f>
        <v>1492.8299999999997</v>
      </c>
      <c r="AH38" s="54">
        <f t="shared" si="2"/>
        <v>1089.7000000000003</v>
      </c>
      <c r="AI38" s="55">
        <f t="shared" si="3"/>
        <v>508</v>
      </c>
      <c r="AK38" s="56"/>
    </row>
    <row r="39" spans="1:88" x14ac:dyDescent="0.25">
      <c r="A39" s="57" t="s">
        <v>47</v>
      </c>
      <c r="B39" s="51">
        <v>144.69999999999999</v>
      </c>
      <c r="C39" s="51">
        <v>144.19999999999999</v>
      </c>
      <c r="D39" s="51">
        <v>144.30000000000001</v>
      </c>
      <c r="E39" s="51">
        <v>144.80000000000001</v>
      </c>
      <c r="F39" s="51"/>
      <c r="G39" s="51">
        <v>91.2</v>
      </c>
      <c r="H39" s="51">
        <v>101.2</v>
      </c>
      <c r="I39" s="51">
        <v>121.3</v>
      </c>
      <c r="J39" s="51">
        <v>140.5</v>
      </c>
      <c r="K39" s="51">
        <v>141</v>
      </c>
      <c r="L39" s="51">
        <v>143.69999999999999</v>
      </c>
      <c r="M39" s="51">
        <v>143.69999999999999</v>
      </c>
      <c r="N39" s="51">
        <v>143.69999999999999</v>
      </c>
      <c r="O39" s="51">
        <v>144.1</v>
      </c>
      <c r="P39" s="51">
        <v>144.1</v>
      </c>
      <c r="Q39" s="51">
        <v>144.1</v>
      </c>
      <c r="R39" s="51">
        <v>144.1</v>
      </c>
      <c r="S39" s="51">
        <v>144.1</v>
      </c>
      <c r="T39" s="51">
        <v>144.1</v>
      </c>
      <c r="U39" s="51">
        <v>144.1</v>
      </c>
      <c r="V39" s="51">
        <v>141.6</v>
      </c>
      <c r="W39" s="51">
        <v>144.6</v>
      </c>
      <c r="X39" s="51">
        <v>144.5</v>
      </c>
      <c r="Y39" s="51">
        <v>144.5</v>
      </c>
      <c r="Z39" s="51">
        <v>145.1</v>
      </c>
      <c r="AA39" s="51">
        <v>144.9</v>
      </c>
      <c r="AB39" s="51">
        <v>144.69999999999999</v>
      </c>
      <c r="AC39" s="51">
        <v>144.9</v>
      </c>
      <c r="AD39" s="51">
        <v>144.80000000000001</v>
      </c>
      <c r="AE39" s="51">
        <v>144.6</v>
      </c>
      <c r="AF39" s="51">
        <v>144.69999999999999</v>
      </c>
      <c r="AG39" s="59">
        <v>144</v>
      </c>
      <c r="AH39" s="54">
        <f t="shared" si="2"/>
        <v>145.1</v>
      </c>
      <c r="AI39" s="55">
        <f t="shared" si="3"/>
        <v>91.2</v>
      </c>
      <c r="AK39" s="56"/>
    </row>
    <row r="40" spans="1:88" x14ac:dyDescent="0.25">
      <c r="A40" s="62" t="s">
        <v>48</v>
      </c>
      <c r="B40" s="70">
        <v>70.400000000000006</v>
      </c>
      <c r="C40" s="70">
        <v>69.8</v>
      </c>
      <c r="D40" s="70">
        <v>70</v>
      </c>
      <c r="E40" s="70">
        <v>71.099999999999994</v>
      </c>
      <c r="F40" s="70"/>
      <c r="G40" s="70">
        <v>36.1</v>
      </c>
      <c r="H40" s="70">
        <v>42.1</v>
      </c>
      <c r="I40" s="70">
        <v>0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70">
        <v>0</v>
      </c>
      <c r="AB40" s="70">
        <v>0</v>
      </c>
      <c r="AC40" s="70">
        <v>0</v>
      </c>
      <c r="AD40" s="70">
        <v>0</v>
      </c>
      <c r="AE40" s="70">
        <v>0</v>
      </c>
      <c r="AF40" s="70">
        <v>0</v>
      </c>
      <c r="AG40" s="63">
        <v>70</v>
      </c>
      <c r="AH40" s="54">
        <f t="shared" si="2"/>
        <v>71.099999999999994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66</v>
      </c>
      <c r="C41" s="70">
        <v>65.099999999999994</v>
      </c>
      <c r="D41" s="70">
        <v>66.5</v>
      </c>
      <c r="E41" s="70">
        <v>67.400000000000006</v>
      </c>
      <c r="F41" s="70"/>
      <c r="G41" s="70">
        <v>48.7</v>
      </c>
      <c r="H41" s="70">
        <v>49.4</v>
      </c>
      <c r="I41" s="70">
        <v>50</v>
      </c>
      <c r="J41" s="70">
        <v>63.5</v>
      </c>
      <c r="K41" s="70">
        <v>63.1</v>
      </c>
      <c r="L41" s="70">
        <v>67</v>
      </c>
      <c r="M41" s="70">
        <v>67</v>
      </c>
      <c r="N41" s="70">
        <v>67.400000000000006</v>
      </c>
      <c r="O41" s="51">
        <v>48.3</v>
      </c>
      <c r="P41" s="51">
        <v>48.3</v>
      </c>
      <c r="Q41" s="51">
        <v>48.3</v>
      </c>
      <c r="R41" s="51">
        <v>48.3</v>
      </c>
      <c r="S41" s="51">
        <v>66.900000000000006</v>
      </c>
      <c r="T41" s="51">
        <v>66.900000000000006</v>
      </c>
      <c r="U41" s="51">
        <v>66.900000000000006</v>
      </c>
      <c r="V41" s="51">
        <v>66.900000000000006</v>
      </c>
      <c r="W41" s="51">
        <v>66.900000000000006</v>
      </c>
      <c r="X41" s="51">
        <v>67</v>
      </c>
      <c r="Y41" s="51">
        <v>67</v>
      </c>
      <c r="Z41" s="51">
        <v>67</v>
      </c>
      <c r="AA41" s="70">
        <v>67</v>
      </c>
      <c r="AB41" s="70">
        <v>67.3</v>
      </c>
      <c r="AC41" s="70">
        <v>67.3</v>
      </c>
      <c r="AD41" s="70">
        <v>67.3</v>
      </c>
      <c r="AE41" s="70">
        <v>66.900000000000006</v>
      </c>
      <c r="AF41" s="70">
        <v>66.900000000000006</v>
      </c>
      <c r="AG41" s="63">
        <v>69</v>
      </c>
      <c r="AH41" s="54">
        <f t="shared" si="2"/>
        <v>67.400000000000006</v>
      </c>
      <c r="AI41" s="55">
        <f t="shared" si="3"/>
        <v>48.3</v>
      </c>
      <c r="AK41" s="56"/>
    </row>
    <row r="42" spans="1:88" x14ac:dyDescent="0.25">
      <c r="A42" s="62" t="s">
        <v>50</v>
      </c>
      <c r="B42" s="65">
        <v>61.2</v>
      </c>
      <c r="C42" s="65">
        <v>61.2</v>
      </c>
      <c r="D42" s="65">
        <v>61.2</v>
      </c>
      <c r="E42" s="65">
        <v>61.2</v>
      </c>
      <c r="F42" s="65"/>
      <c r="G42" s="65">
        <v>43.1</v>
      </c>
      <c r="H42" s="65">
        <v>43.4</v>
      </c>
      <c r="I42" s="65">
        <v>60.2</v>
      </c>
      <c r="J42" s="65">
        <v>60.2</v>
      </c>
      <c r="K42" s="65">
        <v>60.2</v>
      </c>
      <c r="L42" s="65">
        <v>60.2</v>
      </c>
      <c r="M42" s="65">
        <v>60.2</v>
      </c>
      <c r="N42" s="65">
        <v>60.2</v>
      </c>
      <c r="O42" s="51">
        <v>60</v>
      </c>
      <c r="P42" s="51">
        <v>60</v>
      </c>
      <c r="Q42" s="51">
        <v>60</v>
      </c>
      <c r="R42" s="51">
        <v>60</v>
      </c>
      <c r="S42" s="51">
        <v>60</v>
      </c>
      <c r="T42" s="51">
        <v>60</v>
      </c>
      <c r="U42" s="51">
        <v>60</v>
      </c>
      <c r="V42" s="51">
        <v>60.9</v>
      </c>
      <c r="W42" s="51">
        <v>60.9</v>
      </c>
      <c r="X42" s="51">
        <v>60.9</v>
      </c>
      <c r="Y42" s="51">
        <v>60.9</v>
      </c>
      <c r="Z42" s="51">
        <v>61.2</v>
      </c>
      <c r="AA42" s="70">
        <v>61.2</v>
      </c>
      <c r="AB42" s="65">
        <v>60.9</v>
      </c>
      <c r="AC42" s="65">
        <v>60.9</v>
      </c>
      <c r="AD42" s="65">
        <v>60.9</v>
      </c>
      <c r="AE42" s="65">
        <v>61.2</v>
      </c>
      <c r="AF42" s="65">
        <v>60.9</v>
      </c>
      <c r="AG42" s="63">
        <v>60</v>
      </c>
      <c r="AH42" s="54">
        <f t="shared" si="2"/>
        <v>61.2</v>
      </c>
      <c r="AI42" s="55">
        <f t="shared" si="3"/>
        <v>43.1</v>
      </c>
      <c r="AK42" s="56"/>
    </row>
    <row r="43" spans="1:88" x14ac:dyDescent="0.25">
      <c r="A43" s="62" t="s">
        <v>51</v>
      </c>
      <c r="B43" s="65">
        <v>20</v>
      </c>
      <c r="C43" s="65">
        <v>20</v>
      </c>
      <c r="D43" s="65">
        <v>20</v>
      </c>
      <c r="E43" s="65">
        <v>10</v>
      </c>
      <c r="F43" s="65"/>
      <c r="G43" s="65">
        <v>15</v>
      </c>
      <c r="H43" s="65">
        <v>10</v>
      </c>
      <c r="I43" s="65">
        <v>15</v>
      </c>
      <c r="J43" s="65">
        <v>20</v>
      </c>
      <c r="K43" s="65">
        <v>20</v>
      </c>
      <c r="L43" s="65">
        <v>20</v>
      </c>
      <c r="M43" s="51">
        <v>20</v>
      </c>
      <c r="N43" s="51">
        <v>20</v>
      </c>
      <c r="O43" s="51">
        <v>25</v>
      </c>
      <c r="P43" s="51">
        <v>25</v>
      </c>
      <c r="Q43" s="51">
        <v>25</v>
      </c>
      <c r="R43" s="51">
        <v>20</v>
      </c>
      <c r="S43" s="51">
        <v>20</v>
      </c>
      <c r="T43" s="51">
        <v>20</v>
      </c>
      <c r="U43" s="51">
        <v>20</v>
      </c>
      <c r="V43" s="51">
        <v>19.7</v>
      </c>
      <c r="W43" s="51">
        <v>19.7</v>
      </c>
      <c r="X43" s="51">
        <v>19.7</v>
      </c>
      <c r="Y43" s="51">
        <v>19.7</v>
      </c>
      <c r="Z43" s="51">
        <v>22.8</v>
      </c>
      <c r="AA43" s="70">
        <v>23.9</v>
      </c>
      <c r="AB43" s="65">
        <v>28.6</v>
      </c>
      <c r="AC43" s="65">
        <v>28.6</v>
      </c>
      <c r="AD43" s="65">
        <v>28.6</v>
      </c>
      <c r="AE43" s="65">
        <v>30</v>
      </c>
      <c r="AF43" s="65">
        <v>16</v>
      </c>
      <c r="AG43" s="63">
        <v>30</v>
      </c>
      <c r="AH43" s="54">
        <f t="shared" si="2"/>
        <v>30</v>
      </c>
      <c r="AI43" s="55">
        <f t="shared" si="3"/>
        <v>10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65"/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63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15.1</v>
      </c>
      <c r="C45" s="70">
        <v>15.1</v>
      </c>
      <c r="D45" s="70">
        <v>15.1</v>
      </c>
      <c r="E45" s="70">
        <v>15.1</v>
      </c>
      <c r="F45" s="70"/>
      <c r="G45" s="70">
        <v>15.1</v>
      </c>
      <c r="H45" s="70">
        <v>15.1</v>
      </c>
      <c r="I45" s="70">
        <v>15.1</v>
      </c>
      <c r="J45" s="70">
        <v>15.1</v>
      </c>
      <c r="K45" s="70">
        <v>15.1</v>
      </c>
      <c r="L45" s="70">
        <v>15.1</v>
      </c>
      <c r="M45" s="70">
        <v>15.1</v>
      </c>
      <c r="N45" s="70">
        <v>15.1</v>
      </c>
      <c r="O45" s="51">
        <v>14.8</v>
      </c>
      <c r="P45" s="51">
        <v>14.8</v>
      </c>
      <c r="Q45" s="51">
        <v>14.8</v>
      </c>
      <c r="R45" s="51">
        <v>14.8</v>
      </c>
      <c r="S45" s="51">
        <v>14.8</v>
      </c>
      <c r="T45" s="51">
        <v>14.8</v>
      </c>
      <c r="U45" s="51">
        <v>14.8</v>
      </c>
      <c r="V45" s="51">
        <v>14.8</v>
      </c>
      <c r="W45" s="51">
        <v>14.8</v>
      </c>
      <c r="X45" s="51">
        <v>14.8</v>
      </c>
      <c r="Y45" s="51">
        <v>14.8</v>
      </c>
      <c r="Z45" s="51">
        <v>14.8</v>
      </c>
      <c r="AA45" s="51">
        <v>14.8</v>
      </c>
      <c r="AB45" s="51">
        <v>14.8</v>
      </c>
      <c r="AC45" s="51">
        <v>14.8</v>
      </c>
      <c r="AD45" s="51">
        <v>14.8</v>
      </c>
      <c r="AE45" s="51">
        <v>14.8</v>
      </c>
      <c r="AF45" s="51">
        <v>14.8</v>
      </c>
      <c r="AG45" s="63">
        <v>24</v>
      </c>
      <c r="AH45" s="54">
        <f t="shared" si="2"/>
        <v>15.1</v>
      </c>
      <c r="AI45" s="55">
        <f t="shared" si="3"/>
        <v>14.8</v>
      </c>
      <c r="AK45" s="56"/>
    </row>
    <row r="46" spans="1:88" x14ac:dyDescent="0.25">
      <c r="A46" s="62" t="s">
        <v>54</v>
      </c>
      <c r="B46" s="70">
        <v>14</v>
      </c>
      <c r="C46" s="70">
        <v>14</v>
      </c>
      <c r="D46" s="70">
        <v>14</v>
      </c>
      <c r="E46" s="70">
        <v>14</v>
      </c>
      <c r="F46" s="70"/>
      <c r="G46" s="70">
        <v>14</v>
      </c>
      <c r="H46" s="70">
        <v>14</v>
      </c>
      <c r="I46" s="70">
        <v>14</v>
      </c>
      <c r="J46" s="70">
        <v>14</v>
      </c>
      <c r="K46" s="70">
        <v>14</v>
      </c>
      <c r="L46" s="70">
        <v>14</v>
      </c>
      <c r="M46" s="70">
        <v>14</v>
      </c>
      <c r="N46" s="70">
        <v>14</v>
      </c>
      <c r="O46" s="51">
        <v>14</v>
      </c>
      <c r="P46" s="51">
        <v>14</v>
      </c>
      <c r="Q46" s="51">
        <v>14</v>
      </c>
      <c r="R46" s="51">
        <v>14</v>
      </c>
      <c r="S46" s="51">
        <v>14</v>
      </c>
      <c r="T46" s="51">
        <v>14</v>
      </c>
      <c r="U46" s="51">
        <v>14</v>
      </c>
      <c r="V46" s="51">
        <v>14</v>
      </c>
      <c r="W46" s="51">
        <v>14</v>
      </c>
      <c r="X46" s="51">
        <v>14</v>
      </c>
      <c r="Y46" s="51">
        <v>14</v>
      </c>
      <c r="Z46" s="51">
        <v>14</v>
      </c>
      <c r="AA46" s="51">
        <v>14</v>
      </c>
      <c r="AB46" s="51">
        <v>14</v>
      </c>
      <c r="AC46" s="51">
        <v>14</v>
      </c>
      <c r="AD46" s="51">
        <v>14</v>
      </c>
      <c r="AE46" s="51">
        <v>14</v>
      </c>
      <c r="AF46" s="51">
        <v>14</v>
      </c>
      <c r="AG46" s="63">
        <v>15</v>
      </c>
      <c r="AH46" s="54">
        <f t="shared" si="2"/>
        <v>14</v>
      </c>
      <c r="AI46" s="55">
        <f t="shared" si="3"/>
        <v>14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11.2</v>
      </c>
      <c r="C47" s="70">
        <v>11.2</v>
      </c>
      <c r="D47" s="70">
        <v>11.2</v>
      </c>
      <c r="E47" s="70">
        <v>11.2</v>
      </c>
      <c r="F47" s="70"/>
      <c r="G47" s="70">
        <v>11.2</v>
      </c>
      <c r="H47" s="70">
        <v>11.2</v>
      </c>
      <c r="I47" s="70">
        <v>11.2</v>
      </c>
      <c r="J47" s="70">
        <v>11.2</v>
      </c>
      <c r="K47" s="70">
        <v>11.2</v>
      </c>
      <c r="L47" s="70">
        <v>11.2</v>
      </c>
      <c r="M47" s="70">
        <v>11.2</v>
      </c>
      <c r="N47" s="70">
        <v>11.2</v>
      </c>
      <c r="O47" s="51">
        <v>10.8</v>
      </c>
      <c r="P47" s="51">
        <v>10.8</v>
      </c>
      <c r="Q47" s="51">
        <v>10.8</v>
      </c>
      <c r="R47" s="51">
        <v>10.8</v>
      </c>
      <c r="S47" s="51">
        <v>10.8</v>
      </c>
      <c r="T47" s="51">
        <v>10.8</v>
      </c>
      <c r="U47" s="51">
        <v>10.8</v>
      </c>
      <c r="V47" s="51">
        <v>10.8</v>
      </c>
      <c r="W47" s="51">
        <v>10.8</v>
      </c>
      <c r="X47" s="51">
        <v>10.8</v>
      </c>
      <c r="Y47" s="51">
        <v>10.8</v>
      </c>
      <c r="Z47" s="51">
        <v>10.8</v>
      </c>
      <c r="AA47" s="51">
        <v>10.8</v>
      </c>
      <c r="AB47" s="51">
        <v>10.8</v>
      </c>
      <c r="AC47" s="51">
        <v>10.8</v>
      </c>
      <c r="AD47" s="51">
        <v>10.8</v>
      </c>
      <c r="AE47" s="51">
        <v>10.8</v>
      </c>
      <c r="AF47" s="51">
        <v>10.8</v>
      </c>
      <c r="AG47" s="63">
        <v>14.1</v>
      </c>
      <c r="AH47" s="54">
        <f t="shared" si="2"/>
        <v>11.2</v>
      </c>
      <c r="AI47" s="55">
        <f t="shared" si="3"/>
        <v>10.8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6.7</v>
      </c>
      <c r="C48" s="70">
        <v>13.2</v>
      </c>
      <c r="D48" s="70">
        <v>13.2</v>
      </c>
      <c r="E48" s="70">
        <v>13.2</v>
      </c>
      <c r="F48" s="70"/>
      <c r="G48" s="70">
        <v>7.3</v>
      </c>
      <c r="H48" s="70">
        <v>7.3</v>
      </c>
      <c r="I48" s="70">
        <v>7.3</v>
      </c>
      <c r="J48" s="70">
        <v>7.3</v>
      </c>
      <c r="K48" s="70">
        <v>7.3</v>
      </c>
      <c r="L48" s="70">
        <v>7.3</v>
      </c>
      <c r="M48" s="70">
        <v>7.3</v>
      </c>
      <c r="N48" s="70">
        <v>7.3</v>
      </c>
      <c r="O48" s="51">
        <v>8.1999999999999993</v>
      </c>
      <c r="P48" s="51">
        <v>8.1999999999999993</v>
      </c>
      <c r="Q48" s="51">
        <v>8.1999999999999993</v>
      </c>
      <c r="R48" s="51">
        <v>8.1999999999999993</v>
      </c>
      <c r="S48" s="51">
        <v>8.1999999999999993</v>
      </c>
      <c r="T48" s="51">
        <v>8.1999999999999993</v>
      </c>
      <c r="U48" s="51">
        <v>8.1999999999999993</v>
      </c>
      <c r="V48" s="51">
        <v>8.1999999999999993</v>
      </c>
      <c r="W48" s="51">
        <v>8.1999999999999993</v>
      </c>
      <c r="X48" s="51">
        <v>8.1999999999999993</v>
      </c>
      <c r="Y48" s="51">
        <v>8.1999999999999993</v>
      </c>
      <c r="Z48" s="51">
        <v>8.1999999999999993</v>
      </c>
      <c r="AA48" s="51">
        <v>8.1999999999999993</v>
      </c>
      <c r="AB48" s="51">
        <v>8.1999999999999993</v>
      </c>
      <c r="AC48" s="51">
        <v>8.1999999999999993</v>
      </c>
      <c r="AD48" s="51">
        <v>8.1999999999999993</v>
      </c>
      <c r="AE48" s="51">
        <v>8.1999999999999993</v>
      </c>
      <c r="AF48" s="51">
        <v>8.1999999999999993</v>
      </c>
      <c r="AG48" s="63">
        <v>14</v>
      </c>
      <c r="AH48" s="54">
        <f t="shared" si="2"/>
        <v>13.2</v>
      </c>
      <c r="AI48" s="55">
        <f t="shared" si="3"/>
        <v>6.7</v>
      </c>
      <c r="AK48" s="56"/>
    </row>
    <row r="49" spans="1:37" x14ac:dyDescent="0.25">
      <c r="A49" s="62" t="s">
        <v>57</v>
      </c>
      <c r="B49" s="70">
        <v>6.5</v>
      </c>
      <c r="C49" s="70">
        <v>6.5</v>
      </c>
      <c r="D49" s="70">
        <v>6.5</v>
      </c>
      <c r="E49" s="70">
        <v>6.5</v>
      </c>
      <c r="F49" s="70"/>
      <c r="G49" s="70">
        <v>6.5</v>
      </c>
      <c r="H49" s="70">
        <v>6.5</v>
      </c>
      <c r="I49" s="70">
        <v>6.5</v>
      </c>
      <c r="J49" s="70">
        <v>6.5</v>
      </c>
      <c r="K49" s="70">
        <v>6.5</v>
      </c>
      <c r="L49" s="70">
        <v>6.5</v>
      </c>
      <c r="M49" s="70">
        <v>6.5</v>
      </c>
      <c r="N49" s="70">
        <v>6.5</v>
      </c>
      <c r="O49" s="51">
        <v>9</v>
      </c>
      <c r="P49" s="51">
        <v>9</v>
      </c>
      <c r="Q49" s="51">
        <v>9</v>
      </c>
      <c r="R49" s="51">
        <v>9</v>
      </c>
      <c r="S49" s="51">
        <v>9</v>
      </c>
      <c r="T49" s="51">
        <v>9</v>
      </c>
      <c r="U49" s="51">
        <v>9</v>
      </c>
      <c r="V49" s="51">
        <v>9</v>
      </c>
      <c r="W49" s="51">
        <v>9</v>
      </c>
      <c r="X49" s="51">
        <v>9</v>
      </c>
      <c r="Y49" s="51">
        <v>9</v>
      </c>
      <c r="Z49" s="51">
        <v>9</v>
      </c>
      <c r="AA49" s="51">
        <v>9</v>
      </c>
      <c r="AB49" s="51">
        <v>9</v>
      </c>
      <c r="AC49" s="51">
        <v>9</v>
      </c>
      <c r="AD49" s="51">
        <v>9</v>
      </c>
      <c r="AE49" s="51">
        <v>9</v>
      </c>
      <c r="AF49" s="51">
        <v>9</v>
      </c>
      <c r="AG49" s="63">
        <v>10.050000000000001</v>
      </c>
      <c r="AH49" s="54">
        <f t="shared" si="2"/>
        <v>9</v>
      </c>
      <c r="AI49" s="55">
        <f t="shared" si="3"/>
        <v>6.5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/>
      <c r="G50" s="70">
        <v>3.1</v>
      </c>
      <c r="H50" s="70">
        <v>3.1</v>
      </c>
      <c r="I50" s="70">
        <v>3.1</v>
      </c>
      <c r="J50" s="70">
        <v>3.1</v>
      </c>
      <c r="K50" s="70">
        <v>3.1</v>
      </c>
      <c r="L50" s="70">
        <v>3.1</v>
      </c>
      <c r="M50" s="70">
        <v>3.1</v>
      </c>
      <c r="N50" s="70">
        <v>3.1</v>
      </c>
      <c r="O50" s="51">
        <v>3.1</v>
      </c>
      <c r="P50" s="51">
        <v>3.1</v>
      </c>
      <c r="Q50" s="51">
        <v>3.1</v>
      </c>
      <c r="R50" s="51">
        <v>3.1</v>
      </c>
      <c r="S50" s="51">
        <v>3.1</v>
      </c>
      <c r="T50" s="51">
        <v>3.1</v>
      </c>
      <c r="U50" s="51">
        <v>3.1</v>
      </c>
      <c r="V50" s="51">
        <v>3.1</v>
      </c>
      <c r="W50" s="51">
        <v>3.1</v>
      </c>
      <c r="X50" s="51">
        <v>3.1</v>
      </c>
      <c r="Y50" s="51">
        <v>3.1</v>
      </c>
      <c r="Z50" s="51">
        <v>3.1</v>
      </c>
      <c r="AA50" s="51">
        <v>3.1</v>
      </c>
      <c r="AB50" s="51">
        <v>3.1</v>
      </c>
      <c r="AC50" s="51">
        <v>3.1</v>
      </c>
      <c r="AD50" s="51">
        <v>3.1</v>
      </c>
      <c r="AE50" s="51">
        <v>3.1</v>
      </c>
      <c r="AF50" s="51">
        <v>3.1</v>
      </c>
      <c r="AG50" s="63">
        <v>6.2</v>
      </c>
      <c r="AH50" s="54">
        <f t="shared" si="2"/>
        <v>3.1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AG201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7">SUM(B39:B51)</f>
        <v>422.44000000000005</v>
      </c>
      <c r="C52" s="69">
        <f t="shared" ref="C52:AF52" si="8">SUM(C39:C51)</f>
        <v>426.94000000000005</v>
      </c>
      <c r="D52" s="69">
        <f t="shared" si="8"/>
        <v>428.64000000000004</v>
      </c>
      <c r="E52" s="69">
        <f t="shared" si="8"/>
        <v>421.14000000000004</v>
      </c>
      <c r="F52" s="69">
        <f t="shared" si="8"/>
        <v>3.54</v>
      </c>
      <c r="G52" s="69">
        <f t="shared" si="8"/>
        <v>294.84000000000003</v>
      </c>
      <c r="H52" s="69">
        <f t="shared" si="8"/>
        <v>306.84000000000009</v>
      </c>
      <c r="I52" s="69">
        <f t="shared" si="8"/>
        <v>307.24000000000007</v>
      </c>
      <c r="J52" s="69">
        <f t="shared" si="8"/>
        <v>344.94000000000005</v>
      </c>
      <c r="K52" s="69">
        <f t="shared" si="8"/>
        <v>345.04000000000008</v>
      </c>
      <c r="L52" s="69">
        <f t="shared" si="8"/>
        <v>351.64000000000004</v>
      </c>
      <c r="M52" s="69">
        <f t="shared" si="8"/>
        <v>351.64000000000004</v>
      </c>
      <c r="N52" s="69">
        <f t="shared" si="8"/>
        <v>352.04000000000008</v>
      </c>
      <c r="O52" s="69">
        <f t="shared" si="8"/>
        <v>340.84000000000003</v>
      </c>
      <c r="P52" s="69">
        <f t="shared" si="8"/>
        <v>340.84000000000003</v>
      </c>
      <c r="Q52" s="69">
        <f t="shared" si="8"/>
        <v>340.84000000000003</v>
      </c>
      <c r="R52" s="69">
        <f t="shared" si="8"/>
        <v>335.84000000000003</v>
      </c>
      <c r="S52" s="69">
        <f t="shared" si="8"/>
        <v>354.44000000000005</v>
      </c>
      <c r="T52" s="69">
        <f t="shared" si="8"/>
        <v>354.44000000000005</v>
      </c>
      <c r="U52" s="69">
        <f t="shared" si="8"/>
        <v>354.44000000000005</v>
      </c>
      <c r="V52" s="69">
        <f t="shared" si="8"/>
        <v>352.54</v>
      </c>
      <c r="W52" s="69">
        <f t="shared" si="8"/>
        <v>355.54</v>
      </c>
      <c r="X52" s="69">
        <f>SUM(X39:X51)</f>
        <v>355.54</v>
      </c>
      <c r="Y52" s="69">
        <f t="shared" si="8"/>
        <v>355.54</v>
      </c>
      <c r="Z52" s="69">
        <f t="shared" si="8"/>
        <v>359.54000000000008</v>
      </c>
      <c r="AA52" s="69">
        <f t="shared" si="8"/>
        <v>360.44000000000005</v>
      </c>
      <c r="AB52" s="69">
        <f t="shared" si="8"/>
        <v>364.94000000000005</v>
      </c>
      <c r="AC52" s="69">
        <f t="shared" si="8"/>
        <v>365.14000000000004</v>
      </c>
      <c r="AD52" s="69">
        <f t="shared" si="8"/>
        <v>365.04000000000008</v>
      </c>
      <c r="AE52" s="69">
        <f t="shared" si="8"/>
        <v>366.14000000000004</v>
      </c>
      <c r="AF52" s="69">
        <f t="shared" si="8"/>
        <v>351.94000000000005</v>
      </c>
      <c r="AG52" s="74">
        <f>SUM(AG39:AG51)</f>
        <v>489.91</v>
      </c>
      <c r="AH52" s="54">
        <f t="shared" si="2"/>
        <v>428.64000000000004</v>
      </c>
      <c r="AI52" s="55">
        <f t="shared" si="3"/>
        <v>3.54</v>
      </c>
      <c r="AK52" s="56"/>
    </row>
    <row r="53" spans="1:37" x14ac:dyDescent="0.25">
      <c r="A53" s="57" t="s">
        <v>61</v>
      </c>
      <c r="B53" s="51">
        <v>14</v>
      </c>
      <c r="C53" s="51">
        <v>0</v>
      </c>
      <c r="D53" s="51">
        <v>0</v>
      </c>
      <c r="E53" s="51">
        <v>0</v>
      </c>
      <c r="F53" s="51"/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10</v>
      </c>
      <c r="N53" s="51">
        <v>10</v>
      </c>
      <c r="O53" s="51">
        <v>12.5</v>
      </c>
      <c r="P53" s="51">
        <v>30</v>
      </c>
      <c r="Q53" s="51">
        <v>50</v>
      </c>
      <c r="R53" s="51">
        <v>50.3</v>
      </c>
      <c r="S53" s="51">
        <v>39.9</v>
      </c>
      <c r="T53" s="51">
        <v>55</v>
      </c>
      <c r="U53" s="51">
        <v>35</v>
      </c>
      <c r="V53" s="51">
        <v>45</v>
      </c>
      <c r="W53" s="51">
        <v>44</v>
      </c>
      <c r="X53" s="51">
        <v>44</v>
      </c>
      <c r="Y53" s="51">
        <v>44</v>
      </c>
      <c r="Z53" s="51">
        <v>44.2</v>
      </c>
      <c r="AA53" s="51">
        <v>60</v>
      </c>
      <c r="AB53" s="51">
        <v>58.7</v>
      </c>
      <c r="AC53" s="51">
        <v>45.6</v>
      </c>
      <c r="AD53" s="51">
        <v>60</v>
      </c>
      <c r="AE53" s="51">
        <v>60</v>
      </c>
      <c r="AF53" s="51">
        <v>60</v>
      </c>
      <c r="AG53" s="59">
        <v>60</v>
      </c>
      <c r="AH53" s="54">
        <f t="shared" si="2"/>
        <v>60</v>
      </c>
      <c r="AI53" s="55">
        <f t="shared" si="3"/>
        <v>0</v>
      </c>
      <c r="AK53" s="56"/>
    </row>
    <row r="54" spans="1:37" x14ac:dyDescent="0.25">
      <c r="A54" s="62" t="s">
        <v>62</v>
      </c>
      <c r="B54" s="70">
        <v>12</v>
      </c>
      <c r="C54" s="70">
        <v>0</v>
      </c>
      <c r="D54" s="70">
        <v>0</v>
      </c>
      <c r="E54" s="70">
        <v>0</v>
      </c>
      <c r="F54" s="70"/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70">
        <v>0</v>
      </c>
      <c r="M54" s="70">
        <v>4</v>
      </c>
      <c r="N54" s="70">
        <v>4.8</v>
      </c>
      <c r="O54" s="70">
        <v>4.2</v>
      </c>
      <c r="P54" s="70">
        <v>15.9</v>
      </c>
      <c r="Q54" s="70">
        <v>22</v>
      </c>
      <c r="R54" s="70">
        <v>24</v>
      </c>
      <c r="S54" s="70">
        <v>18.8</v>
      </c>
      <c r="T54" s="70">
        <v>27.4</v>
      </c>
      <c r="U54" s="70">
        <v>11.9</v>
      </c>
      <c r="V54" s="70">
        <v>22.5</v>
      </c>
      <c r="W54" s="70">
        <v>21</v>
      </c>
      <c r="X54" s="70">
        <v>21</v>
      </c>
      <c r="Y54" s="70">
        <v>21</v>
      </c>
      <c r="Z54" s="70">
        <v>21.8</v>
      </c>
      <c r="AA54" s="70">
        <v>30.3</v>
      </c>
      <c r="AB54" s="70">
        <v>30</v>
      </c>
      <c r="AC54" s="70">
        <v>20.5</v>
      </c>
      <c r="AD54" s="70">
        <v>31.2</v>
      </c>
      <c r="AE54" s="70">
        <v>31.2</v>
      </c>
      <c r="AF54" s="70">
        <v>31.2</v>
      </c>
      <c r="AG54" s="63">
        <v>32</v>
      </c>
      <c r="AH54" s="54">
        <f t="shared" si="2"/>
        <v>31.2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>
        <v>4.3</v>
      </c>
      <c r="C55" s="75">
        <v>0</v>
      </c>
      <c r="D55" s="75">
        <v>0</v>
      </c>
      <c r="E55" s="75">
        <v>0</v>
      </c>
      <c r="F55" s="75"/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1.5</v>
      </c>
      <c r="N55" s="75">
        <v>1.8</v>
      </c>
      <c r="O55" s="75">
        <v>1.6</v>
      </c>
      <c r="P55" s="75">
        <v>5.8</v>
      </c>
      <c r="Q55" s="75">
        <v>7.8</v>
      </c>
      <c r="R55" s="75">
        <v>8.6999999999999993</v>
      </c>
      <c r="S55" s="75">
        <v>6.9</v>
      </c>
      <c r="T55" s="75">
        <v>10</v>
      </c>
      <c r="U55" s="75">
        <v>4.3</v>
      </c>
      <c r="V55" s="75">
        <v>8.1999999999999993</v>
      </c>
      <c r="W55" s="75">
        <v>7.7</v>
      </c>
      <c r="X55" s="75">
        <v>7.7</v>
      </c>
      <c r="Y55" s="75">
        <v>7.7</v>
      </c>
      <c r="Z55" s="75">
        <v>7.9</v>
      </c>
      <c r="AA55" s="75">
        <v>11.1</v>
      </c>
      <c r="AB55" s="75">
        <v>11.1</v>
      </c>
      <c r="AC55" s="75">
        <v>7.5</v>
      </c>
      <c r="AD55" s="75">
        <v>11.4</v>
      </c>
      <c r="AE55" s="75">
        <v>11.4</v>
      </c>
      <c r="AF55" s="75">
        <v>11.4</v>
      </c>
      <c r="AG55" s="76">
        <v>14</v>
      </c>
      <c r="AH55" s="54">
        <f t="shared" si="2"/>
        <v>11.4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" si="9">SUM(B53:B55)</f>
        <v>30.3</v>
      </c>
      <c r="C56" s="69">
        <f t="shared" ref="C56:AF56" si="10">SUM(C53:C55)</f>
        <v>0</v>
      </c>
      <c r="D56" s="69">
        <f t="shared" si="10"/>
        <v>0</v>
      </c>
      <c r="E56" s="69">
        <f t="shared" si="10"/>
        <v>0</v>
      </c>
      <c r="F56" s="69">
        <f t="shared" si="10"/>
        <v>0</v>
      </c>
      <c r="G56" s="69">
        <f t="shared" si="10"/>
        <v>0</v>
      </c>
      <c r="H56" s="69">
        <f t="shared" si="10"/>
        <v>0</v>
      </c>
      <c r="I56" s="69">
        <f t="shared" si="10"/>
        <v>0</v>
      </c>
      <c r="J56" s="69">
        <f t="shared" si="10"/>
        <v>0</v>
      </c>
      <c r="K56" s="69">
        <f t="shared" si="10"/>
        <v>0</v>
      </c>
      <c r="L56" s="69">
        <f t="shared" si="10"/>
        <v>0</v>
      </c>
      <c r="M56" s="69">
        <f t="shared" si="10"/>
        <v>15.5</v>
      </c>
      <c r="N56" s="69">
        <f t="shared" si="10"/>
        <v>16.600000000000001</v>
      </c>
      <c r="O56" s="69">
        <f t="shared" si="10"/>
        <v>18.3</v>
      </c>
      <c r="P56" s="69">
        <f t="shared" si="10"/>
        <v>51.699999999999996</v>
      </c>
      <c r="Q56" s="69">
        <f t="shared" si="10"/>
        <v>79.8</v>
      </c>
      <c r="R56" s="69">
        <f t="shared" si="10"/>
        <v>83</v>
      </c>
      <c r="S56" s="69">
        <f t="shared" si="10"/>
        <v>65.600000000000009</v>
      </c>
      <c r="T56" s="69">
        <f t="shared" si="10"/>
        <v>92.4</v>
      </c>
      <c r="U56" s="69">
        <f t="shared" si="10"/>
        <v>51.199999999999996</v>
      </c>
      <c r="V56" s="69">
        <f t="shared" si="10"/>
        <v>75.7</v>
      </c>
      <c r="W56" s="69">
        <f t="shared" si="10"/>
        <v>72.7</v>
      </c>
      <c r="X56" s="69">
        <f t="shared" si="10"/>
        <v>72.7</v>
      </c>
      <c r="Y56" s="69">
        <f t="shared" si="10"/>
        <v>72.7</v>
      </c>
      <c r="Z56" s="69">
        <f t="shared" si="10"/>
        <v>73.900000000000006</v>
      </c>
      <c r="AA56" s="69">
        <f t="shared" si="10"/>
        <v>101.39999999999999</v>
      </c>
      <c r="AB56" s="69">
        <f t="shared" si="10"/>
        <v>99.8</v>
      </c>
      <c r="AC56" s="69">
        <f t="shared" si="10"/>
        <v>73.599999999999994</v>
      </c>
      <c r="AD56" s="69">
        <f t="shared" si="10"/>
        <v>102.60000000000001</v>
      </c>
      <c r="AE56" s="69">
        <f t="shared" si="10"/>
        <v>102.60000000000001</v>
      </c>
      <c r="AF56" s="69">
        <f t="shared" si="10"/>
        <v>102.60000000000001</v>
      </c>
      <c r="AG56" s="74">
        <f>SUM(AG53:AG55)</f>
        <v>106</v>
      </c>
      <c r="AH56" s="54">
        <f t="shared" si="2"/>
        <v>102.60000000000001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39</v>
      </c>
      <c r="C57" s="51">
        <v>36.6</v>
      </c>
      <c r="D57" s="51">
        <v>29.2</v>
      </c>
      <c r="E57" s="51">
        <v>35.9</v>
      </c>
      <c r="F57" s="51">
        <v>33</v>
      </c>
      <c r="G57" s="51">
        <v>28</v>
      </c>
      <c r="H57" s="51">
        <v>34</v>
      </c>
      <c r="I57" s="51">
        <v>21</v>
      </c>
      <c r="J57" s="51">
        <v>20</v>
      </c>
      <c r="K57" s="51">
        <v>18</v>
      </c>
      <c r="L57" s="51">
        <v>31.5</v>
      </c>
      <c r="M57" s="51">
        <v>55</v>
      </c>
      <c r="N57" s="51">
        <v>67</v>
      </c>
      <c r="O57" s="51">
        <v>74</v>
      </c>
      <c r="P57" s="51">
        <v>62.8</v>
      </c>
      <c r="Q57" s="51">
        <v>57</v>
      </c>
      <c r="R57" s="51">
        <v>66</v>
      </c>
      <c r="S57" s="51">
        <v>66.599999999999994</v>
      </c>
      <c r="T57" s="51">
        <v>75</v>
      </c>
      <c r="U57" s="51">
        <v>71</v>
      </c>
      <c r="V57" s="51">
        <v>72.900000000000006</v>
      </c>
      <c r="W57" s="51">
        <v>75.5</v>
      </c>
      <c r="X57" s="51">
        <v>74.5</v>
      </c>
      <c r="Y57" s="51">
        <v>66.900000000000006</v>
      </c>
      <c r="Z57" s="51">
        <v>67.7</v>
      </c>
      <c r="AA57" s="51">
        <v>70.2</v>
      </c>
      <c r="AB57" s="51">
        <v>60</v>
      </c>
      <c r="AC57" s="51">
        <v>64.400000000000006</v>
      </c>
      <c r="AD57" s="51">
        <v>69.400000000000006</v>
      </c>
      <c r="AE57" s="51">
        <v>78.599999999999994</v>
      </c>
      <c r="AF57" s="51">
        <v>56</v>
      </c>
      <c r="AG57" s="59"/>
      <c r="AH57" s="54">
        <f t="shared" si="2"/>
        <v>78.599999999999994</v>
      </c>
      <c r="AI57" s="55">
        <f t="shared" si="3"/>
        <v>18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/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-412</v>
      </c>
      <c r="C59" s="70">
        <v>-400</v>
      </c>
      <c r="D59" s="70">
        <v>-410.5</v>
      </c>
      <c r="E59" s="70">
        <v>-402.1</v>
      </c>
      <c r="F59" s="70">
        <v>-420</v>
      </c>
      <c r="G59" s="70">
        <v>-410</v>
      </c>
      <c r="H59" s="70">
        <v>-389</v>
      </c>
      <c r="I59" s="70">
        <v>-340</v>
      </c>
      <c r="J59" s="70">
        <v>-280</v>
      </c>
      <c r="K59" s="70">
        <v>-255</v>
      </c>
      <c r="L59" s="70">
        <v>-242</v>
      </c>
      <c r="M59" s="70">
        <v>-300</v>
      </c>
      <c r="N59" s="70">
        <v>-263.5</v>
      </c>
      <c r="O59" s="70">
        <v>-33</v>
      </c>
      <c r="P59" s="70">
        <v>-55</v>
      </c>
      <c r="Q59" s="70">
        <v>-89</v>
      </c>
      <c r="R59" s="70">
        <v>-234.5</v>
      </c>
      <c r="S59" s="70">
        <v>-231</v>
      </c>
      <c r="T59" s="70">
        <v>-243</v>
      </c>
      <c r="U59" s="70">
        <v>-230</v>
      </c>
      <c r="V59" s="70">
        <v>-232</v>
      </c>
      <c r="W59" s="70">
        <v>-231</v>
      </c>
      <c r="X59" s="70">
        <v>-225</v>
      </c>
      <c r="Y59" s="70">
        <v>-218.9</v>
      </c>
      <c r="Z59" s="70">
        <v>-217</v>
      </c>
      <c r="AA59" s="70">
        <v>-153</v>
      </c>
      <c r="AB59" s="70">
        <v>-251.2</v>
      </c>
      <c r="AC59" s="70">
        <v>-279.2</v>
      </c>
      <c r="AD59" s="70">
        <v>-350</v>
      </c>
      <c r="AE59" s="70">
        <v>-398.2</v>
      </c>
      <c r="AF59" s="70">
        <v>-390</v>
      </c>
      <c r="AG59" s="77"/>
      <c r="AH59" s="54">
        <f t="shared" si="2"/>
        <v>-33</v>
      </c>
      <c r="AI59" s="55">
        <f t="shared" si="3"/>
        <v>-420</v>
      </c>
      <c r="AK59" s="56"/>
    </row>
    <row r="60" spans="1:37" x14ac:dyDescent="0.25">
      <c r="A60" s="62" t="s">
        <v>68</v>
      </c>
      <c r="B60" s="78">
        <v>0</v>
      </c>
      <c r="C60" s="78">
        <v>0</v>
      </c>
      <c r="D60" s="78">
        <v>0</v>
      </c>
      <c r="E60" s="78">
        <v>0</v>
      </c>
      <c r="F60" s="78"/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10</v>
      </c>
      <c r="V60" s="78">
        <v>10</v>
      </c>
      <c r="W60" s="78">
        <v>10</v>
      </c>
      <c r="X60" s="78">
        <v>10</v>
      </c>
      <c r="Y60" s="78">
        <v>10</v>
      </c>
      <c r="Z60" s="78">
        <v>10</v>
      </c>
      <c r="AA60" s="78">
        <v>10</v>
      </c>
      <c r="AB60" s="78">
        <v>10</v>
      </c>
      <c r="AC60" s="78">
        <v>10</v>
      </c>
      <c r="AD60" s="78">
        <v>10</v>
      </c>
      <c r="AE60" s="78">
        <v>24</v>
      </c>
      <c r="AF60" s="78">
        <v>10</v>
      </c>
      <c r="AG60" s="77"/>
      <c r="AH60" s="54">
        <f t="shared" si="2"/>
        <v>24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/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0</v>
      </c>
      <c r="C62" s="79">
        <v>0</v>
      </c>
      <c r="D62" s="79">
        <v>0</v>
      </c>
      <c r="E62" s="79">
        <v>0</v>
      </c>
      <c r="F62" s="79"/>
      <c r="G62" s="79">
        <v>0</v>
      </c>
      <c r="H62" s="79">
        <v>0</v>
      </c>
      <c r="I62" s="79">
        <v>0</v>
      </c>
      <c r="J62" s="79">
        <v>0</v>
      </c>
      <c r="K62" s="79">
        <v>0</v>
      </c>
      <c r="L62" s="79">
        <v>0</v>
      </c>
      <c r="M62" s="79">
        <v>0</v>
      </c>
      <c r="N62" s="79">
        <v>0</v>
      </c>
      <c r="O62" s="79">
        <v>0</v>
      </c>
      <c r="P62" s="79">
        <v>0</v>
      </c>
      <c r="Q62" s="79">
        <v>0</v>
      </c>
      <c r="R62" s="79">
        <v>0</v>
      </c>
      <c r="S62" s="79">
        <v>0</v>
      </c>
      <c r="T62" s="79">
        <v>0</v>
      </c>
      <c r="U62" s="79">
        <v>0</v>
      </c>
      <c r="V62" s="79">
        <v>0</v>
      </c>
      <c r="W62" s="79">
        <v>0</v>
      </c>
      <c r="X62" s="79">
        <v>0</v>
      </c>
      <c r="Y62" s="79">
        <v>0</v>
      </c>
      <c r="Z62" s="79">
        <v>0</v>
      </c>
      <c r="AA62" s="79">
        <v>0</v>
      </c>
      <c r="AB62" s="79">
        <v>0</v>
      </c>
      <c r="AC62" s="79">
        <v>0</v>
      </c>
      <c r="AD62" s="79">
        <v>0</v>
      </c>
      <c r="AE62" s="79">
        <v>0</v>
      </c>
      <c r="AF62" s="79">
        <v>0</v>
      </c>
      <c r="AG62" s="77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/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/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/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/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/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>SUMIF(B57:B67,"&gt;0")</f>
        <v>39</v>
      </c>
      <c r="C68" s="69">
        <f t="shared" ref="C68:F68" si="11">SUMIF(C57:C67,"&gt;0")</f>
        <v>36.6</v>
      </c>
      <c r="D68" s="69">
        <f t="shared" si="11"/>
        <v>29.2</v>
      </c>
      <c r="E68" s="69">
        <f t="shared" si="11"/>
        <v>35.9</v>
      </c>
      <c r="F68" s="69">
        <f t="shared" si="11"/>
        <v>33</v>
      </c>
      <c r="G68" s="69">
        <f t="shared" ref="G68:AF68" si="12">SUM(G57:G67)</f>
        <v>-382</v>
      </c>
      <c r="H68" s="69">
        <f t="shared" si="12"/>
        <v>-355</v>
      </c>
      <c r="I68" s="69">
        <f t="shared" si="12"/>
        <v>-319</v>
      </c>
      <c r="J68" s="69">
        <f t="shared" si="12"/>
        <v>-260</v>
      </c>
      <c r="K68" s="69">
        <f t="shared" si="12"/>
        <v>-237</v>
      </c>
      <c r="L68" s="69">
        <f t="shared" si="12"/>
        <v>-210.5</v>
      </c>
      <c r="M68" s="69">
        <f t="shared" si="12"/>
        <v>-245</v>
      </c>
      <c r="N68" s="69">
        <f t="shared" si="12"/>
        <v>-196.5</v>
      </c>
      <c r="O68" s="69">
        <f t="shared" si="12"/>
        <v>41</v>
      </c>
      <c r="P68" s="69">
        <f t="shared" si="12"/>
        <v>7.7999999999999972</v>
      </c>
      <c r="Q68" s="69">
        <f t="shared" si="12"/>
        <v>-32</v>
      </c>
      <c r="R68" s="69">
        <f t="shared" si="12"/>
        <v>-168.5</v>
      </c>
      <c r="S68" s="69">
        <f t="shared" si="12"/>
        <v>-164.4</v>
      </c>
      <c r="T68" s="69">
        <f t="shared" si="12"/>
        <v>-168</v>
      </c>
      <c r="U68" s="69">
        <f t="shared" si="12"/>
        <v>-149</v>
      </c>
      <c r="V68" s="69">
        <f>SUM(V57:V67)</f>
        <v>-149.1</v>
      </c>
      <c r="W68" s="69">
        <f t="shared" si="12"/>
        <v>-145.5</v>
      </c>
      <c r="X68" s="69">
        <f t="shared" si="12"/>
        <v>-140.5</v>
      </c>
      <c r="Y68" s="69">
        <f t="shared" si="12"/>
        <v>-142</v>
      </c>
      <c r="Z68" s="69">
        <f t="shared" si="12"/>
        <v>-139.30000000000001</v>
      </c>
      <c r="AA68" s="69">
        <f t="shared" si="12"/>
        <v>-72.8</v>
      </c>
      <c r="AB68" s="69">
        <f t="shared" si="12"/>
        <v>-181.2</v>
      </c>
      <c r="AC68" s="69">
        <f t="shared" si="12"/>
        <v>-204.79999999999998</v>
      </c>
      <c r="AD68" s="69">
        <f t="shared" si="12"/>
        <v>-270.60000000000002</v>
      </c>
      <c r="AE68" s="69">
        <f t="shared" si="12"/>
        <v>-295.60000000000002</v>
      </c>
      <c r="AF68" s="69">
        <f t="shared" si="12"/>
        <v>-324</v>
      </c>
      <c r="AG68" s="74">
        <f>SUM(AG57:AG67)</f>
        <v>0</v>
      </c>
      <c r="AH68" s="54">
        <f t="shared" si="2"/>
        <v>41</v>
      </c>
      <c r="AI68" s="55">
        <f t="shared" si="3"/>
        <v>-382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f>B38+B52+B56+B68+B59</f>
        <v>1169.4400000000003</v>
      </c>
      <c r="C73" s="84">
        <f t="shared" ref="C73:AF73" si="13">C38+C52+C56+C68+C59</f>
        <v>1153.2400000000002</v>
      </c>
      <c r="D73" s="84">
        <f t="shared" si="13"/>
        <v>1137.0400000000004</v>
      </c>
      <c r="E73" s="84">
        <f t="shared" si="13"/>
        <v>1143.7400000000002</v>
      </c>
      <c r="F73" s="84">
        <f t="shared" si="13"/>
        <v>124.53999999999996</v>
      </c>
      <c r="G73" s="84">
        <f t="shared" si="13"/>
        <v>524.64000000000033</v>
      </c>
      <c r="H73" s="84">
        <f t="shared" si="13"/>
        <v>588.64000000000033</v>
      </c>
      <c r="I73" s="84">
        <f t="shared" si="13"/>
        <v>636.04000000000019</v>
      </c>
      <c r="J73" s="84">
        <f t="shared" si="13"/>
        <v>792.74000000000024</v>
      </c>
      <c r="K73" s="84">
        <f t="shared" si="13"/>
        <v>854.6400000000001</v>
      </c>
      <c r="L73" s="84">
        <f t="shared" si="13"/>
        <v>920.74</v>
      </c>
      <c r="M73" s="84">
        <f t="shared" si="13"/>
        <v>868.74</v>
      </c>
      <c r="N73" s="84">
        <f t="shared" si="13"/>
        <v>949.04</v>
      </c>
      <c r="O73" s="84">
        <f t="shared" si="13"/>
        <v>1171.5400000000002</v>
      </c>
      <c r="P73" s="84">
        <f t="shared" si="13"/>
        <v>1141.7400000000002</v>
      </c>
      <c r="Q73" s="84">
        <f t="shared" si="13"/>
        <v>1096.0400000000002</v>
      </c>
      <c r="R73" s="84">
        <f t="shared" si="13"/>
        <v>993.24</v>
      </c>
      <c r="S73" s="84">
        <f t="shared" si="13"/>
        <v>1014.2399999999998</v>
      </c>
      <c r="T73" s="84">
        <f t="shared" si="13"/>
        <v>1081.44</v>
      </c>
      <c r="U73" s="84">
        <f t="shared" si="13"/>
        <v>1072.24</v>
      </c>
      <c r="V73" s="84">
        <f t="shared" si="13"/>
        <v>1092.74</v>
      </c>
      <c r="W73" s="84">
        <f t="shared" si="13"/>
        <v>1091.3399999999999</v>
      </c>
      <c r="X73" s="84">
        <f t="shared" si="13"/>
        <v>1072.3400000000001</v>
      </c>
      <c r="Y73" s="84">
        <f t="shared" si="13"/>
        <v>1091.9399999999998</v>
      </c>
      <c r="Z73" s="84">
        <f t="shared" si="13"/>
        <v>1119.5400000000002</v>
      </c>
      <c r="AA73" s="84">
        <f t="shared" si="13"/>
        <v>1278.3400000000004</v>
      </c>
      <c r="AB73" s="84">
        <f t="shared" si="13"/>
        <v>1074.6400000000001</v>
      </c>
      <c r="AC73" s="84">
        <f t="shared" si="13"/>
        <v>997.04000000000019</v>
      </c>
      <c r="AD73" s="84">
        <f t="shared" si="13"/>
        <v>889.34000000000015</v>
      </c>
      <c r="AE73" s="84">
        <f t="shared" si="13"/>
        <v>817.24</v>
      </c>
      <c r="AF73" s="84">
        <f t="shared" si="13"/>
        <v>782.84000000000015</v>
      </c>
      <c r="AG73" s="84">
        <f t="shared" ref="AG73" si="14">AG68+AG56+AG52+AG38+AG72</f>
        <v>2144.14</v>
      </c>
      <c r="AH73" s="54">
        <f t="shared" si="2"/>
        <v>1278.3400000000004</v>
      </c>
      <c r="AI73" s="55">
        <f t="shared" si="3"/>
        <v>124.53999999999996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>
        <v>200</v>
      </c>
      <c r="H74" s="86">
        <v>160</v>
      </c>
      <c r="I74" s="86">
        <v>100</v>
      </c>
      <c r="J74" s="86">
        <v>50</v>
      </c>
      <c r="K74" s="86">
        <v>50</v>
      </c>
      <c r="L74" s="86">
        <v>50</v>
      </c>
      <c r="M74" s="86">
        <v>40</v>
      </c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>
        <v>80</v>
      </c>
      <c r="AA74" s="86">
        <v>100</v>
      </c>
      <c r="AB74" s="86">
        <v>150</v>
      </c>
      <c r="AC74" s="86">
        <v>150</v>
      </c>
      <c r="AD74" s="86">
        <v>190</v>
      </c>
      <c r="AE74" s="86">
        <v>120</v>
      </c>
      <c r="AF74" s="86">
        <v>90</v>
      </c>
      <c r="AG74" s="74"/>
      <c r="AH74" s="54">
        <f t="shared" si="2"/>
        <v>200</v>
      </c>
      <c r="AI74" s="55">
        <f t="shared" si="3"/>
        <v>40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5">B72+B68+B56+B52+B38+B74</f>
        <v>1581.4400000000003</v>
      </c>
      <c r="C75" s="84">
        <f t="shared" ref="C75:AF75" si="16">C72+C68+C56+C52+C38+C74</f>
        <v>1553.2400000000002</v>
      </c>
      <c r="D75" s="84">
        <f t="shared" si="16"/>
        <v>1547.5400000000004</v>
      </c>
      <c r="E75" s="84">
        <f t="shared" si="16"/>
        <v>1545.8400000000001</v>
      </c>
      <c r="F75" s="84">
        <f t="shared" si="16"/>
        <v>544.54</v>
      </c>
      <c r="G75" s="84">
        <f t="shared" si="16"/>
        <v>1134.6400000000003</v>
      </c>
      <c r="H75" s="84">
        <f t="shared" si="16"/>
        <v>1137.6400000000003</v>
      </c>
      <c r="I75" s="84">
        <f t="shared" si="16"/>
        <v>1076.0400000000002</v>
      </c>
      <c r="J75" s="84">
        <f t="shared" si="16"/>
        <v>1122.7400000000002</v>
      </c>
      <c r="K75" s="84">
        <f t="shared" si="16"/>
        <v>1159.6400000000001</v>
      </c>
      <c r="L75" s="84">
        <f t="shared" si="16"/>
        <v>1212.74</v>
      </c>
      <c r="M75" s="84">
        <f t="shared" si="16"/>
        <v>1208.74</v>
      </c>
      <c r="N75" s="84">
        <f t="shared" si="16"/>
        <v>1212.5400000000002</v>
      </c>
      <c r="O75" s="84">
        <f t="shared" si="16"/>
        <v>1204.5400000000002</v>
      </c>
      <c r="P75" s="84">
        <f t="shared" si="16"/>
        <v>1196.7400000000002</v>
      </c>
      <c r="Q75" s="84">
        <f t="shared" si="16"/>
        <v>1185.0400000000002</v>
      </c>
      <c r="R75" s="84">
        <f t="shared" si="16"/>
        <v>1227.74</v>
      </c>
      <c r="S75" s="84">
        <f t="shared" si="16"/>
        <v>1245.24</v>
      </c>
      <c r="T75" s="84">
        <f t="shared" si="16"/>
        <v>1324.44</v>
      </c>
      <c r="U75" s="84">
        <f t="shared" si="16"/>
        <v>1302.24</v>
      </c>
      <c r="V75" s="84">
        <f t="shared" si="16"/>
        <v>1324.74</v>
      </c>
      <c r="W75" s="84">
        <f t="shared" si="16"/>
        <v>1322.34</v>
      </c>
      <c r="X75" s="84">
        <f t="shared" si="16"/>
        <v>1297.3400000000001</v>
      </c>
      <c r="Y75" s="84">
        <f t="shared" si="16"/>
        <v>1310.84</v>
      </c>
      <c r="Z75" s="84">
        <f t="shared" si="16"/>
        <v>1416.5400000000002</v>
      </c>
      <c r="AA75" s="84">
        <f t="shared" si="16"/>
        <v>1531.3400000000001</v>
      </c>
      <c r="AB75" s="84">
        <f t="shared" si="16"/>
        <v>1475.8400000000001</v>
      </c>
      <c r="AC75" s="84">
        <f t="shared" si="16"/>
        <v>1426.2400000000002</v>
      </c>
      <c r="AD75" s="84">
        <f t="shared" si="16"/>
        <v>1429.3400000000001</v>
      </c>
      <c r="AE75" s="84">
        <f t="shared" si="16"/>
        <v>1335.4400000000003</v>
      </c>
      <c r="AF75" s="84">
        <f t="shared" si="16"/>
        <v>1262.8400000000001</v>
      </c>
      <c r="AG75" s="74">
        <f>AG72+AG68+AG56+AG52+AG38+AG74</f>
        <v>2144.14</v>
      </c>
      <c r="AH75" s="54">
        <f t="shared" si="2"/>
        <v>1581.4400000000003</v>
      </c>
      <c r="AI75" s="55">
        <f t="shared" si="3"/>
        <v>544.54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f t="shared" ref="B76" si="17">IF(B60&lt;0,B60*-1,0)</f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8">MAX(B76:AF76)</f>
        <v>0</v>
      </c>
      <c r="AI76" s="55">
        <f t="shared" ref="AI76:AI91" si="19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f t="shared" ref="B77" si="20">IF(B58&lt;0,B58*-1,0)</f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8"/>
        <v>0</v>
      </c>
      <c r="AI77" s="55">
        <f t="shared" si="19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 t="shared" ref="B78" si="21">IF(B61&lt;0,B61*-1,0)</f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8"/>
        <v>0</v>
      </c>
      <c r="AI78" s="55">
        <f t="shared" si="19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f t="shared" ref="B79:D79" si="22">IF(B59&lt;0,B59*-1,0)</f>
        <v>412</v>
      </c>
      <c r="C79" s="78">
        <f t="shared" si="22"/>
        <v>400</v>
      </c>
      <c r="D79" s="78">
        <f t="shared" si="22"/>
        <v>410.5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8"/>
        <v>412</v>
      </c>
      <c r="AI79" s="55">
        <f t="shared" si="19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 t="shared" ref="B80" si="23">IF(B57&lt;0,B57*-1,0)</f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8"/>
        <v>0</v>
      </c>
      <c r="AI80" s="55">
        <f t="shared" si="19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8"/>
        <v>0</v>
      </c>
      <c r="AI81" s="55">
        <f t="shared" si="19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>
        <f t="shared" ref="B82:C82" si="24">SUM(B76:B81)</f>
        <v>412</v>
      </c>
      <c r="C82" s="69">
        <f t="shared" si="24"/>
        <v>400</v>
      </c>
      <c r="D82" s="69">
        <f t="shared" ref="D82" si="25">SUM(D76:D81)</f>
        <v>410.5</v>
      </c>
      <c r="E82" s="69">
        <f t="shared" ref="E82" si="26">SUM(E76:E81)</f>
        <v>0</v>
      </c>
      <c r="F82" s="69">
        <f t="shared" ref="F82" si="27">SUM(F76:F81)</f>
        <v>0</v>
      </c>
      <c r="G82" s="69">
        <f t="shared" ref="G82" si="28">SUM(G76:G81)</f>
        <v>0</v>
      </c>
      <c r="H82" s="69">
        <f t="shared" ref="H82" si="29">SUM(H76:H81)</f>
        <v>0</v>
      </c>
      <c r="I82" s="69">
        <f t="shared" ref="I82" si="30">SUM(I76:I81)</f>
        <v>0</v>
      </c>
      <c r="J82" s="69">
        <f t="shared" ref="J82" si="31">SUM(J76:J81)</f>
        <v>0</v>
      </c>
      <c r="K82" s="69">
        <f t="shared" ref="K82" si="32">SUM(K76:K81)</f>
        <v>0</v>
      </c>
      <c r="L82" s="69">
        <f t="shared" ref="L82" si="33">SUM(L76:L81)</f>
        <v>0</v>
      </c>
      <c r="M82" s="69">
        <f t="shared" ref="M82" si="34">SUM(M76:M81)</f>
        <v>0</v>
      </c>
      <c r="N82" s="69">
        <f t="shared" ref="N82" si="35">SUM(N76:N81)</f>
        <v>0</v>
      </c>
      <c r="O82" s="69">
        <f t="shared" ref="O82" si="36">SUM(O76:O81)</f>
        <v>0</v>
      </c>
      <c r="P82" s="69">
        <f t="shared" ref="P82" si="37">SUM(P76:P81)</f>
        <v>0</v>
      </c>
      <c r="Q82" s="69">
        <f t="shared" ref="Q82" si="38">SUM(Q76:Q81)</f>
        <v>0</v>
      </c>
      <c r="R82" s="69">
        <f t="shared" ref="R82" si="39">SUM(R76:R81)</f>
        <v>0</v>
      </c>
      <c r="S82" s="69">
        <f t="shared" ref="S82" si="40">SUM(S76:S81)</f>
        <v>0</v>
      </c>
      <c r="T82" s="69">
        <f t="shared" ref="T82" si="41">SUM(T76:T81)</f>
        <v>0</v>
      </c>
      <c r="U82" s="69">
        <f t="shared" ref="U82" si="42">SUM(U76:U81)</f>
        <v>0</v>
      </c>
      <c r="V82" s="69">
        <f t="shared" ref="V82" si="43">SUM(V76:V81)</f>
        <v>0</v>
      </c>
      <c r="W82" s="69">
        <f t="shared" ref="W82" si="44">SUM(W76:W81)</f>
        <v>0</v>
      </c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45">SUM(AG76:AG81)</f>
        <v>0</v>
      </c>
      <c r="AH82" s="54">
        <f t="shared" si="18"/>
        <v>412</v>
      </c>
      <c r="AI82" s="55">
        <f t="shared" si="19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46">B68-B82</f>
        <v>-373</v>
      </c>
      <c r="C83" s="69">
        <f t="shared" ref="C83:AG83" si="47">SUM(C70:C82)</f>
        <v>3506.4800000000005</v>
      </c>
      <c r="D83" s="69">
        <f t="shared" si="47"/>
        <v>3505.5800000000008</v>
      </c>
      <c r="E83" s="69">
        <f t="shared" si="47"/>
        <v>2689.5800000000004</v>
      </c>
      <c r="F83" s="69">
        <f t="shared" si="47"/>
        <v>669.07999999999993</v>
      </c>
      <c r="G83" s="69">
        <f t="shared" si="47"/>
        <v>1859.2800000000007</v>
      </c>
      <c r="H83" s="69">
        <f t="shared" si="47"/>
        <v>1886.2800000000007</v>
      </c>
      <c r="I83" s="69">
        <f t="shared" si="47"/>
        <v>1812.0800000000004</v>
      </c>
      <c r="J83" s="69">
        <f t="shared" si="47"/>
        <v>1965.4800000000005</v>
      </c>
      <c r="K83" s="69">
        <f t="shared" si="47"/>
        <v>2064.2800000000002</v>
      </c>
      <c r="L83" s="69">
        <f t="shared" si="47"/>
        <v>2183.48</v>
      </c>
      <c r="M83" s="69">
        <f t="shared" si="47"/>
        <v>2117.48</v>
      </c>
      <c r="N83" s="69">
        <f t="shared" si="47"/>
        <v>2161.58</v>
      </c>
      <c r="O83" s="69">
        <f t="shared" si="47"/>
        <v>2376.0800000000004</v>
      </c>
      <c r="P83" s="69">
        <f t="shared" si="47"/>
        <v>2338.4800000000005</v>
      </c>
      <c r="Q83" s="69">
        <f t="shared" si="47"/>
        <v>2281.0800000000004</v>
      </c>
      <c r="R83" s="69">
        <f t="shared" si="47"/>
        <v>2220.98</v>
      </c>
      <c r="S83" s="69">
        <f t="shared" si="47"/>
        <v>2259.4799999999996</v>
      </c>
      <c r="T83" s="69">
        <f t="shared" si="47"/>
        <v>2405.88</v>
      </c>
      <c r="U83" s="69">
        <f t="shared" si="47"/>
        <v>2374.48</v>
      </c>
      <c r="V83" s="69">
        <f t="shared" si="47"/>
        <v>2417.48</v>
      </c>
      <c r="W83" s="69">
        <f t="shared" si="47"/>
        <v>2413.6799999999998</v>
      </c>
      <c r="X83" s="69">
        <f t="shared" si="47"/>
        <v>2369.6800000000003</v>
      </c>
      <c r="Y83" s="69">
        <f t="shared" si="47"/>
        <v>2402.7799999999997</v>
      </c>
      <c r="Z83" s="69">
        <f t="shared" si="47"/>
        <v>2616.0800000000004</v>
      </c>
      <c r="AA83" s="69">
        <f t="shared" si="47"/>
        <v>2909.6800000000003</v>
      </c>
      <c r="AB83" s="69">
        <f t="shared" si="47"/>
        <v>2700.4800000000005</v>
      </c>
      <c r="AC83" s="69">
        <f t="shared" si="47"/>
        <v>2573.2800000000007</v>
      </c>
      <c r="AD83" s="69">
        <f t="shared" si="47"/>
        <v>2508.6800000000003</v>
      </c>
      <c r="AE83" s="69">
        <f t="shared" si="47"/>
        <v>2272.6800000000003</v>
      </c>
      <c r="AF83" s="69">
        <f t="shared" si="47"/>
        <v>2135.6800000000003</v>
      </c>
      <c r="AG83" s="74">
        <f t="shared" si="47"/>
        <v>4360.08</v>
      </c>
      <c r="AH83" s="54">
        <f t="shared" si="18"/>
        <v>3506.4800000000005</v>
      </c>
      <c r="AI83" s="55">
        <f t="shared" si="19"/>
        <v>-373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49.813000000000002</v>
      </c>
      <c r="C84" s="90">
        <v>49.942999999999998</v>
      </c>
      <c r="D84" s="90">
        <v>49.991</v>
      </c>
      <c r="E84" s="90">
        <v>49.965000000000003</v>
      </c>
      <c r="F84" s="90"/>
      <c r="G84" s="90">
        <v>49.927999999999997</v>
      </c>
      <c r="H84" s="90">
        <v>49.963000000000001</v>
      </c>
      <c r="I84" s="90">
        <v>50.052</v>
      </c>
      <c r="J84" s="90">
        <v>49.945</v>
      </c>
      <c r="K84" s="90">
        <v>50.058</v>
      </c>
      <c r="L84" s="90">
        <v>50.042000000000002</v>
      </c>
      <c r="M84" s="90">
        <v>50.012</v>
      </c>
      <c r="N84" s="90">
        <v>50.072000000000003</v>
      </c>
      <c r="O84" s="90">
        <v>50.029000000000003</v>
      </c>
      <c r="P84" s="90">
        <v>50.033000000000001</v>
      </c>
      <c r="Q84" s="90">
        <v>50.033000000000001</v>
      </c>
      <c r="R84" s="90">
        <v>50.027999999999999</v>
      </c>
      <c r="S84" s="90">
        <v>50.04</v>
      </c>
      <c r="T84" s="90">
        <v>50.03</v>
      </c>
      <c r="U84" s="90">
        <v>50.04</v>
      </c>
      <c r="V84" s="90">
        <v>50.03</v>
      </c>
      <c r="W84" s="90">
        <v>50.03</v>
      </c>
      <c r="X84" s="90">
        <v>50.04</v>
      </c>
      <c r="Y84" s="90">
        <v>50.02</v>
      </c>
      <c r="Z84" s="90">
        <v>49.97</v>
      </c>
      <c r="AA84" s="90">
        <v>50</v>
      </c>
      <c r="AB84" s="90">
        <v>49.820999999999998</v>
      </c>
      <c r="AC84" s="90">
        <v>49.927</v>
      </c>
      <c r="AD84" s="90">
        <v>49.99</v>
      </c>
      <c r="AE84" s="90">
        <v>49.780999999999999</v>
      </c>
      <c r="AF84" s="90">
        <v>49.889000000000003</v>
      </c>
      <c r="AG84" s="91"/>
      <c r="AH84" s="54">
        <f t="shared" si="18"/>
        <v>50.072000000000003</v>
      </c>
      <c r="AI84" s="55">
        <f t="shared" si="19"/>
        <v>49.780999999999999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124.1</v>
      </c>
      <c r="C85" s="70">
        <v>123.1</v>
      </c>
      <c r="D85" s="70">
        <v>122.5</v>
      </c>
      <c r="E85" s="70">
        <v>123.4</v>
      </c>
      <c r="F85" s="70"/>
      <c r="G85" s="70">
        <v>123.1</v>
      </c>
      <c r="H85" s="70">
        <v>123.3</v>
      </c>
      <c r="I85" s="70">
        <v>123</v>
      </c>
      <c r="J85" s="70">
        <v>124.7</v>
      </c>
      <c r="K85" s="70">
        <v>123.3</v>
      </c>
      <c r="L85" s="70">
        <v>123.8</v>
      </c>
      <c r="M85" s="70">
        <v>123.8</v>
      </c>
      <c r="N85" s="70">
        <v>121.4</v>
      </c>
      <c r="O85" s="70">
        <v>119.6</v>
      </c>
      <c r="P85" s="70">
        <v>117.2</v>
      </c>
      <c r="Q85" s="70">
        <v>121</v>
      </c>
      <c r="R85" s="70">
        <v>117.7</v>
      </c>
      <c r="S85" s="70">
        <v>121</v>
      </c>
      <c r="T85" s="70">
        <v>119.6</v>
      </c>
      <c r="U85" s="70">
        <v>122.6</v>
      </c>
      <c r="V85" s="70">
        <v>124.2</v>
      </c>
      <c r="W85" s="70">
        <v>124.7</v>
      </c>
      <c r="X85" s="70">
        <v>124.5</v>
      </c>
      <c r="Y85" s="70">
        <v>124.8</v>
      </c>
      <c r="Z85" s="70">
        <v>125.4</v>
      </c>
      <c r="AA85" s="70">
        <v>125.8</v>
      </c>
      <c r="AB85" s="70">
        <v>126.5</v>
      </c>
      <c r="AC85" s="70">
        <v>126.3</v>
      </c>
      <c r="AD85" s="70">
        <v>126.9</v>
      </c>
      <c r="AE85" s="70">
        <v>126.6</v>
      </c>
      <c r="AF85" s="70">
        <v>126.5</v>
      </c>
      <c r="AG85" s="93"/>
      <c r="AH85" s="54">
        <f t="shared" si="18"/>
        <v>126.9</v>
      </c>
      <c r="AI85" s="55">
        <f t="shared" si="19"/>
        <v>117.2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128.6</v>
      </c>
      <c r="C86" s="70">
        <v>127.6</v>
      </c>
      <c r="D86" s="70">
        <v>127.3</v>
      </c>
      <c r="E86" s="70">
        <v>127.8</v>
      </c>
      <c r="F86" s="70"/>
      <c r="G86" s="70">
        <v>127.3</v>
      </c>
      <c r="H86" s="70">
        <v>126.8</v>
      </c>
      <c r="I86" s="70">
        <v>126.5</v>
      </c>
      <c r="J86" s="70">
        <v>127.1</v>
      </c>
      <c r="K86" s="70">
        <v>126.3</v>
      </c>
      <c r="L86" s="70">
        <v>126.1</v>
      </c>
      <c r="M86" s="70">
        <v>126.1</v>
      </c>
      <c r="N86" s="70">
        <v>125.3</v>
      </c>
      <c r="O86" s="70">
        <v>124.1</v>
      </c>
      <c r="P86" s="70">
        <v>122.5</v>
      </c>
      <c r="Q86" s="70">
        <v>122.5</v>
      </c>
      <c r="R86" s="70">
        <v>123.5</v>
      </c>
      <c r="S86" s="70">
        <v>125.7</v>
      </c>
      <c r="T86" s="70">
        <v>125.3</v>
      </c>
      <c r="U86" s="70">
        <v>126</v>
      </c>
      <c r="V86" s="70">
        <v>127.5</v>
      </c>
      <c r="W86" s="70">
        <v>127.9</v>
      </c>
      <c r="X86" s="70">
        <v>127.8</v>
      </c>
      <c r="Y86" s="70">
        <v>128.1</v>
      </c>
      <c r="Z86" s="70">
        <v>127.7</v>
      </c>
      <c r="AA86" s="70">
        <v>127.9</v>
      </c>
      <c r="AB86" s="70">
        <v>128.69999999999999</v>
      </c>
      <c r="AC86" s="70">
        <v>128.80000000000001</v>
      </c>
      <c r="AD86" s="70">
        <v>129.6</v>
      </c>
      <c r="AE86" s="70">
        <v>129.9</v>
      </c>
      <c r="AF86" s="70">
        <v>129.5</v>
      </c>
      <c r="AG86" s="93"/>
      <c r="AH86" s="54">
        <f t="shared" si="18"/>
        <v>129.9</v>
      </c>
      <c r="AI86" s="55">
        <f t="shared" si="19"/>
        <v>122.5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126.8</v>
      </c>
      <c r="C87" s="70">
        <v>128.19999999999999</v>
      </c>
      <c r="D87" s="70">
        <v>127.7</v>
      </c>
      <c r="E87" s="70">
        <v>128.19999999999999</v>
      </c>
      <c r="F87" s="70"/>
      <c r="G87" s="70">
        <v>129.6</v>
      </c>
      <c r="H87" s="70">
        <v>130.5</v>
      </c>
      <c r="I87" s="70">
        <v>129</v>
      </c>
      <c r="J87" s="70">
        <v>128.19999999999999</v>
      </c>
      <c r="K87" s="70">
        <v>125.9</v>
      </c>
      <c r="L87" s="70">
        <v>126</v>
      </c>
      <c r="M87" s="70">
        <v>126</v>
      </c>
      <c r="N87" s="70">
        <v>126.5</v>
      </c>
      <c r="O87" s="70">
        <v>127.4</v>
      </c>
      <c r="P87" s="70">
        <v>129.1</v>
      </c>
      <c r="Q87" s="70">
        <v>129.1</v>
      </c>
      <c r="R87" s="70">
        <v>129.1</v>
      </c>
      <c r="S87" s="70">
        <v>128.4</v>
      </c>
      <c r="T87" s="70">
        <v>126.1</v>
      </c>
      <c r="U87" s="70">
        <v>126.2</v>
      </c>
      <c r="V87" s="70">
        <v>127.2</v>
      </c>
      <c r="W87" s="70">
        <v>130.30000000000001</v>
      </c>
      <c r="X87" s="70">
        <v>129.6</v>
      </c>
      <c r="Y87" s="70">
        <v>129.80000000000001</v>
      </c>
      <c r="Z87" s="70">
        <v>129.1</v>
      </c>
      <c r="AA87" s="70">
        <v>130.80000000000001</v>
      </c>
      <c r="AB87" s="70">
        <v>129.1</v>
      </c>
      <c r="AC87" s="70">
        <v>128.80000000000001</v>
      </c>
      <c r="AD87" s="70">
        <v>128.30000000000001</v>
      </c>
      <c r="AE87" s="70">
        <v>125.7</v>
      </c>
      <c r="AF87" s="70">
        <v>126.8</v>
      </c>
      <c r="AG87" s="93"/>
      <c r="AH87" s="54">
        <f t="shared" si="18"/>
        <v>130.80000000000001</v>
      </c>
      <c r="AI87" s="55">
        <f t="shared" si="19"/>
        <v>125.7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131.30000000000001</v>
      </c>
      <c r="C88" s="70">
        <v>133.1</v>
      </c>
      <c r="D88" s="70">
        <v>133</v>
      </c>
      <c r="E88" s="70">
        <v>134.4</v>
      </c>
      <c r="F88" s="70"/>
      <c r="G88" s="70">
        <v>134.5</v>
      </c>
      <c r="H88" s="70">
        <v>135.5</v>
      </c>
      <c r="I88" s="70">
        <v>133</v>
      </c>
      <c r="J88" s="70">
        <v>131.69999999999999</v>
      </c>
      <c r="K88" s="70">
        <v>130.4</v>
      </c>
      <c r="L88" s="70">
        <v>128.9</v>
      </c>
      <c r="M88" s="70">
        <v>128.9</v>
      </c>
      <c r="N88" s="70">
        <v>130.5</v>
      </c>
      <c r="O88" s="70">
        <v>131.69999999999999</v>
      </c>
      <c r="P88" s="70">
        <v>132.30000000000001</v>
      </c>
      <c r="Q88" s="70">
        <v>132.30000000000001</v>
      </c>
      <c r="R88" s="70">
        <v>132.30000000000001</v>
      </c>
      <c r="S88" s="70">
        <v>132.30000000000001</v>
      </c>
      <c r="T88" s="70">
        <v>128.69999999999999</v>
      </c>
      <c r="U88" s="70">
        <v>128.69999999999999</v>
      </c>
      <c r="V88" s="70">
        <v>129.1</v>
      </c>
      <c r="W88" s="70">
        <v>131.9</v>
      </c>
      <c r="X88" s="70">
        <v>131.80000000000001</v>
      </c>
      <c r="Y88" s="70">
        <v>132.5</v>
      </c>
      <c r="Z88" s="70">
        <v>130.80000000000001</v>
      </c>
      <c r="AA88" s="70">
        <v>134.1</v>
      </c>
      <c r="AB88" s="70">
        <v>133.1</v>
      </c>
      <c r="AC88" s="70">
        <v>133.1</v>
      </c>
      <c r="AD88" s="70">
        <v>131.19999999999999</v>
      </c>
      <c r="AE88" s="70">
        <v>130.19999999999999</v>
      </c>
      <c r="AF88" s="70">
        <v>130.69999999999999</v>
      </c>
      <c r="AG88" s="93"/>
      <c r="AH88" s="54">
        <f t="shared" si="18"/>
        <v>135.5</v>
      </c>
      <c r="AI88" s="55">
        <f t="shared" si="19"/>
        <v>128.69999999999999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128</v>
      </c>
      <c r="C89" s="95">
        <v>133.30000000000001</v>
      </c>
      <c r="D89" s="95">
        <v>132.30000000000001</v>
      </c>
      <c r="E89" s="95">
        <v>134.69999999999999</v>
      </c>
      <c r="F89" s="95"/>
      <c r="G89" s="95">
        <v>134.4</v>
      </c>
      <c r="H89" s="95">
        <v>131</v>
      </c>
      <c r="I89" s="95">
        <v>129</v>
      </c>
      <c r="J89" s="95">
        <v>130.19999999999999</v>
      </c>
      <c r="K89" s="95">
        <v>132</v>
      </c>
      <c r="L89" s="95">
        <v>133.30000000000001</v>
      </c>
      <c r="M89" s="95">
        <v>133.30000000000001</v>
      </c>
      <c r="N89" s="95">
        <v>131.19999999999999</v>
      </c>
      <c r="O89" s="95">
        <v>130.4</v>
      </c>
      <c r="P89" s="95">
        <v>124.7</v>
      </c>
      <c r="Q89" s="95">
        <v>124.7</v>
      </c>
      <c r="R89" s="95">
        <v>124.7</v>
      </c>
      <c r="S89" s="95">
        <v>134.9</v>
      </c>
      <c r="T89" s="95">
        <v>129.19999999999999</v>
      </c>
      <c r="U89" s="95">
        <v>13.6</v>
      </c>
      <c r="V89" s="95">
        <v>132.80000000000001</v>
      </c>
      <c r="W89" s="95">
        <v>135</v>
      </c>
      <c r="X89" s="95">
        <v>132.30000000000001</v>
      </c>
      <c r="Y89" s="95">
        <v>132.1</v>
      </c>
      <c r="Z89" s="95">
        <v>132.30000000000001</v>
      </c>
      <c r="AA89" s="95">
        <v>124.5</v>
      </c>
      <c r="AB89" s="95">
        <v>135.1</v>
      </c>
      <c r="AC89" s="95">
        <v>132.4</v>
      </c>
      <c r="AD89" s="95">
        <v>133.30000000000001</v>
      </c>
      <c r="AE89" s="95">
        <v>130.1</v>
      </c>
      <c r="AF89" s="95">
        <v>130.19999999999999</v>
      </c>
      <c r="AG89" s="96"/>
      <c r="AH89" s="54">
        <f t="shared" si="18"/>
        <v>135.1</v>
      </c>
      <c r="AI89" s="55">
        <f t="shared" si="19"/>
        <v>13.6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120.1</v>
      </c>
      <c r="C90" s="70">
        <v>129.19999999999999</v>
      </c>
      <c r="D90" s="70">
        <v>130.4</v>
      </c>
      <c r="E90" s="70">
        <v>134.69999999999999</v>
      </c>
      <c r="F90" s="70"/>
      <c r="G90" s="70">
        <v>132.80000000000001</v>
      </c>
      <c r="H90" s="70">
        <v>128.9</v>
      </c>
      <c r="I90" s="70">
        <v>127.5</v>
      </c>
      <c r="J90" s="70">
        <v>127.8</v>
      </c>
      <c r="K90" s="70">
        <v>131</v>
      </c>
      <c r="L90" s="70">
        <v>132.5</v>
      </c>
      <c r="M90" s="70">
        <v>132.5</v>
      </c>
      <c r="N90" s="70">
        <v>127.7</v>
      </c>
      <c r="O90" s="70">
        <v>131</v>
      </c>
      <c r="P90" s="70">
        <v>127.2</v>
      </c>
      <c r="Q90" s="70">
        <v>127.2</v>
      </c>
      <c r="R90" s="70">
        <v>127.2</v>
      </c>
      <c r="S90" s="70">
        <v>132.9</v>
      </c>
      <c r="T90" s="70">
        <v>127</v>
      </c>
      <c r="U90" s="70" t="s">
        <v>244</v>
      </c>
      <c r="V90" s="70">
        <v>125.6</v>
      </c>
      <c r="W90" s="70">
        <v>126.2</v>
      </c>
      <c r="X90" s="70">
        <v>125.3</v>
      </c>
      <c r="Y90" s="70">
        <v>132.69999999999999</v>
      </c>
      <c r="Z90" s="70">
        <v>132</v>
      </c>
      <c r="AA90" s="70">
        <v>132</v>
      </c>
      <c r="AB90" s="70">
        <v>128.6</v>
      </c>
      <c r="AC90" s="70">
        <v>127.4</v>
      </c>
      <c r="AD90" s="70">
        <v>126.4</v>
      </c>
      <c r="AE90" s="70">
        <v>125.5</v>
      </c>
      <c r="AF90" s="70">
        <v>117.3</v>
      </c>
      <c r="AG90" s="93"/>
      <c r="AH90" s="54">
        <f t="shared" si="18"/>
        <v>134.69999999999999</v>
      </c>
      <c r="AI90" s="55">
        <f t="shared" si="19"/>
        <v>117.3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65.099999999999994</v>
      </c>
      <c r="C91" s="97">
        <v>64.5</v>
      </c>
      <c r="D91" s="97">
        <v>64.3</v>
      </c>
      <c r="E91" s="97">
        <v>64.7</v>
      </c>
      <c r="F91" s="97"/>
      <c r="G91" s="97">
        <v>64.3</v>
      </c>
      <c r="H91" s="97">
        <v>64</v>
      </c>
      <c r="I91" s="97">
        <v>64</v>
      </c>
      <c r="J91" s="97">
        <v>64.400000000000006</v>
      </c>
      <c r="K91" s="97">
        <v>64.2</v>
      </c>
      <c r="L91" s="97">
        <v>63.9</v>
      </c>
      <c r="M91" s="97">
        <v>63.9</v>
      </c>
      <c r="N91" s="97">
        <v>63.6</v>
      </c>
      <c r="O91" s="97">
        <v>62.9</v>
      </c>
      <c r="P91" s="97">
        <v>62.3</v>
      </c>
      <c r="Q91" s="97">
        <v>62.3</v>
      </c>
      <c r="R91" s="97">
        <v>63.1</v>
      </c>
      <c r="S91" s="97">
        <v>64</v>
      </c>
      <c r="T91" s="97">
        <v>63.7</v>
      </c>
      <c r="U91" s="97">
        <v>64</v>
      </c>
      <c r="V91" s="97">
        <v>64.8</v>
      </c>
      <c r="W91" s="97">
        <v>64.900000000000006</v>
      </c>
      <c r="X91" s="97">
        <v>65</v>
      </c>
      <c r="Y91" s="97">
        <v>65.2</v>
      </c>
      <c r="Z91" s="97">
        <v>64.8</v>
      </c>
      <c r="AA91" s="97">
        <v>64.8</v>
      </c>
      <c r="AB91" s="97">
        <v>65.400000000000006</v>
      </c>
      <c r="AC91" s="97">
        <v>65.599999999999994</v>
      </c>
      <c r="AD91" s="97">
        <v>65.8</v>
      </c>
      <c r="AE91" s="97">
        <v>65.900000000000006</v>
      </c>
      <c r="AF91" s="97">
        <v>65.8</v>
      </c>
      <c r="AG91" s="98"/>
      <c r="AH91" s="54">
        <f t="shared" si="18"/>
        <v>65.900000000000006</v>
      </c>
      <c r="AI91" s="55">
        <f t="shared" si="19"/>
        <v>62.3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" si="48">SUM(B15,B18,B21:B22,B42,B44:B45,B47,B49,B94:B97,B105,B111,B117,B126,B128,B140,B147,B150:B151,B158,B160,B162,B166:B168,B170:B172,B177,B183:B184,B186:B188,B196,B201)</f>
        <v>146.82</v>
      </c>
      <c r="C93" s="103">
        <f t="shared" ref="C93:AF93" si="49">SUM(C15,C18,C21:C22,C42,C44:C45,C47,C49,C94:C97,C104,C110,C116,C125,C127,C139,C146,C149:C150,C157,C159,C161,C165:C167,C169:C171,C176,C182:C183,C185:C187,C195,C200)</f>
        <v>137.63999999999993</v>
      </c>
      <c r="D93" s="103">
        <f t="shared" si="49"/>
        <v>133.03999999999996</v>
      </c>
      <c r="E93" s="103">
        <f t="shared" si="49"/>
        <v>137.43999999999994</v>
      </c>
      <c r="F93" s="103">
        <f t="shared" si="49"/>
        <v>34.840000000000003</v>
      </c>
      <c r="G93" s="103">
        <f t="shared" si="49"/>
        <v>165.73999999999992</v>
      </c>
      <c r="H93" s="103">
        <f t="shared" si="49"/>
        <v>180.43999999999997</v>
      </c>
      <c r="I93" s="103">
        <f t="shared" si="49"/>
        <v>223.93999999999994</v>
      </c>
      <c r="J93" s="103">
        <f t="shared" si="49"/>
        <v>246.23999999999995</v>
      </c>
      <c r="K93" s="103">
        <f t="shared" si="49"/>
        <v>273.04000000000002</v>
      </c>
      <c r="L93" s="103">
        <f t="shared" si="49"/>
        <v>283.23999999999995</v>
      </c>
      <c r="M93" s="103">
        <f t="shared" si="49"/>
        <v>284.23999999999995</v>
      </c>
      <c r="N93" s="103">
        <f t="shared" si="49"/>
        <v>287.34000000000003</v>
      </c>
      <c r="O93" s="103">
        <f t="shared" si="49"/>
        <v>287.64000000000004</v>
      </c>
      <c r="P93" s="103">
        <f t="shared" si="49"/>
        <v>291.04000000000008</v>
      </c>
      <c r="Q93" s="103">
        <f t="shared" si="49"/>
        <v>291.04000000000008</v>
      </c>
      <c r="R93" s="103">
        <f t="shared" si="49"/>
        <v>270.54000000000002</v>
      </c>
      <c r="S93" s="103">
        <f t="shared" si="49"/>
        <v>277.74000000000007</v>
      </c>
      <c r="T93" s="103">
        <f t="shared" si="49"/>
        <v>268.34000000000003</v>
      </c>
      <c r="U93" s="103">
        <f t="shared" si="49"/>
        <v>280.34000000000003</v>
      </c>
      <c r="V93" s="103">
        <f t="shared" si="49"/>
        <v>278.04000000000002</v>
      </c>
      <c r="W93" s="103">
        <f t="shared" si="49"/>
        <v>283.14000000000004</v>
      </c>
      <c r="X93" s="103">
        <f t="shared" si="49"/>
        <v>282.84000000000003</v>
      </c>
      <c r="Y93" s="103">
        <f t="shared" si="49"/>
        <v>304.24000000000007</v>
      </c>
      <c r="Z93" s="103">
        <f t="shared" si="49"/>
        <v>319.24000000000007</v>
      </c>
      <c r="AA93" s="103">
        <f t="shared" si="49"/>
        <v>312.04000000000008</v>
      </c>
      <c r="AB93" s="103">
        <f t="shared" si="49"/>
        <v>329.64000000000004</v>
      </c>
      <c r="AC93" s="103">
        <f t="shared" si="49"/>
        <v>303.14000000000004</v>
      </c>
      <c r="AD93" s="103">
        <f t="shared" si="49"/>
        <v>274.44</v>
      </c>
      <c r="AE93" s="103">
        <f t="shared" si="49"/>
        <v>197.13999999999996</v>
      </c>
      <c r="AF93" s="103">
        <f t="shared" si="49"/>
        <v>168.83999999999997</v>
      </c>
      <c r="AG93" s="104"/>
      <c r="AH93" s="54">
        <f>MAX(C93:AF93)</f>
        <v>329.64000000000004</v>
      </c>
      <c r="AI93" s="55">
        <f>MIN(C93:AF93)</f>
        <v>34.840000000000003</v>
      </c>
    </row>
    <row r="94" spans="1:88" x14ac:dyDescent="0.25">
      <c r="A94" s="105" t="s">
        <v>99</v>
      </c>
      <c r="B94" s="106">
        <v>38.1</v>
      </c>
      <c r="C94" s="106">
        <v>37</v>
      </c>
      <c r="D94" s="106">
        <v>41.7</v>
      </c>
      <c r="E94" s="106">
        <v>42.6</v>
      </c>
      <c r="F94" s="106"/>
      <c r="G94" s="106">
        <v>60.1</v>
      </c>
      <c r="H94" s="106">
        <v>59.4</v>
      </c>
      <c r="I94" s="106">
        <v>10.9</v>
      </c>
      <c r="J94" s="106">
        <v>9.3000000000000007</v>
      </c>
      <c r="K94" s="106">
        <v>3.8</v>
      </c>
      <c r="L94" s="106">
        <v>10.4</v>
      </c>
      <c r="M94" s="106">
        <v>11.4</v>
      </c>
      <c r="N94" s="106">
        <v>58.6</v>
      </c>
      <c r="O94" s="106">
        <v>46.5</v>
      </c>
      <c r="P94" s="106">
        <v>46.1</v>
      </c>
      <c r="Q94" s="106">
        <v>46.1</v>
      </c>
      <c r="R94" s="106">
        <v>36.9</v>
      </c>
      <c r="S94" s="106">
        <v>55.8</v>
      </c>
      <c r="T94" s="106">
        <v>55.8</v>
      </c>
      <c r="U94" s="106">
        <v>-3.5</v>
      </c>
      <c r="V94" s="106">
        <v>-14.9</v>
      </c>
      <c r="W94" s="106">
        <v>-10.5</v>
      </c>
      <c r="X94" s="106">
        <v>-9.4</v>
      </c>
      <c r="Y94" s="106">
        <v>-18.7</v>
      </c>
      <c r="Z94" s="106">
        <v>-10.6</v>
      </c>
      <c r="AA94" s="106">
        <v>-17.7</v>
      </c>
      <c r="AB94" s="106">
        <v>-14.7</v>
      </c>
      <c r="AC94" s="106">
        <v>-9.8000000000000007</v>
      </c>
      <c r="AD94" s="106">
        <v>-3.8</v>
      </c>
      <c r="AE94" s="106">
        <v>-7.3</v>
      </c>
      <c r="AF94" s="106">
        <v>-17</v>
      </c>
      <c r="AG94" s="107">
        <v>75</v>
      </c>
      <c r="AH94" s="54">
        <f t="shared" ref="AH94:AH101" si="50">IF(ABS(MAX(C94:AF94))&gt;ABS(MIN(C94:AF94)),MAX(C94:AF94),MIN(C94:AF94))</f>
        <v>60.1</v>
      </c>
      <c r="AI94" s="108">
        <f t="shared" ref="AI94:AI101" si="51">INDEX($C$9:$AF$9,1,MATCH(AH94,C94:AF94,0))</f>
        <v>0.20833333333333301</v>
      </c>
    </row>
    <row r="95" spans="1:88" x14ac:dyDescent="0.25">
      <c r="A95" s="109" t="s">
        <v>100</v>
      </c>
      <c r="B95" s="110">
        <v>-116.2</v>
      </c>
      <c r="C95" s="110">
        <f>-52.4-61.1</f>
        <v>-113.5</v>
      </c>
      <c r="D95" s="110">
        <f>-56-65</f>
        <v>-121</v>
      </c>
      <c r="E95" s="110">
        <f>-57.9-60.7</f>
        <v>-118.6</v>
      </c>
      <c r="F95" s="110"/>
      <c r="G95" s="110">
        <v>-95</v>
      </c>
      <c r="H95" s="110">
        <v>-82</v>
      </c>
      <c r="I95" s="110">
        <v>-75</v>
      </c>
      <c r="J95" s="110">
        <v>-50</v>
      </c>
      <c r="K95" s="110">
        <v>-44</v>
      </c>
      <c r="L95" s="110">
        <f>-19.8-23</f>
        <v>-42.8</v>
      </c>
      <c r="M95" s="110">
        <f>-19.8-23</f>
        <v>-42.8</v>
      </c>
      <c r="N95" s="110">
        <v>-80</v>
      </c>
      <c r="O95" s="110">
        <v>-82</v>
      </c>
      <c r="P95" s="110">
        <v>-82</v>
      </c>
      <c r="Q95" s="110">
        <v>-82</v>
      </c>
      <c r="R95" s="110">
        <v>-93</v>
      </c>
      <c r="S95" s="110">
        <f>-45.7-57.5</f>
        <v>-103.2</v>
      </c>
      <c r="T95" s="110">
        <f>-49-63.6</f>
        <v>-112.6</v>
      </c>
      <c r="U95" s="110">
        <f>-25-31.9</f>
        <v>-56.9</v>
      </c>
      <c r="V95" s="110">
        <f>-23.1-33.6</f>
        <v>-56.7</v>
      </c>
      <c r="W95" s="110">
        <f>-21.4-30.9</f>
        <v>-52.3</v>
      </c>
      <c r="X95" s="110">
        <f>-20.2-30.7</f>
        <v>-50.9</v>
      </c>
      <c r="Y95" s="110">
        <f>-9.8-18.4</f>
        <v>-28.2</v>
      </c>
      <c r="Z95" s="110">
        <f>-8.3-16.8</f>
        <v>-25.1</v>
      </c>
      <c r="AA95" s="110">
        <f>-8.3-16.8</f>
        <v>-25.1</v>
      </c>
      <c r="AB95" s="110">
        <f>-2.9-13.4</f>
        <v>-16.3</v>
      </c>
      <c r="AC95" s="110">
        <v>-28.1</v>
      </c>
      <c r="AD95" s="110">
        <v>-40.9</v>
      </c>
      <c r="AE95" s="110">
        <v>-75.7</v>
      </c>
      <c r="AF95" s="110">
        <f>-29.3-42.6</f>
        <v>-71.900000000000006</v>
      </c>
      <c r="AG95" s="107">
        <v>240</v>
      </c>
      <c r="AH95" s="54">
        <f t="shared" si="50"/>
        <v>-121</v>
      </c>
      <c r="AI95" s="108">
        <f t="shared" si="51"/>
        <v>8.3333333333333301E-2</v>
      </c>
    </row>
    <row r="96" spans="1:88" x14ac:dyDescent="0.25">
      <c r="A96" s="109" t="s">
        <v>101</v>
      </c>
      <c r="B96" s="110">
        <v>6.9</v>
      </c>
      <c r="C96" s="110">
        <v>-2.9</v>
      </c>
      <c r="D96" s="110">
        <v>-4.7</v>
      </c>
      <c r="E96" s="110">
        <v>-3.6</v>
      </c>
      <c r="F96" s="110"/>
      <c r="G96" s="110">
        <v>1.7</v>
      </c>
      <c r="H96" s="110">
        <v>3.8</v>
      </c>
      <c r="I96" s="110">
        <v>6.5</v>
      </c>
      <c r="J96" s="110">
        <v>10.9</v>
      </c>
      <c r="K96" s="110">
        <v>11.5</v>
      </c>
      <c r="L96" s="110">
        <v>10.6</v>
      </c>
      <c r="M96" s="110">
        <v>10.6</v>
      </c>
      <c r="N96" s="110">
        <v>12.8</v>
      </c>
      <c r="O96" s="110">
        <v>22.9</v>
      </c>
      <c r="P96" s="110">
        <v>25.4</v>
      </c>
      <c r="Q96" s="110">
        <v>25.4</v>
      </c>
      <c r="R96" s="110">
        <v>25.1</v>
      </c>
      <c r="S96" s="110">
        <v>25.9</v>
      </c>
      <c r="T96" s="110">
        <v>25.9</v>
      </c>
      <c r="U96" s="110">
        <v>29.9</v>
      </c>
      <c r="V96" s="110">
        <v>36.1</v>
      </c>
      <c r="W96" s="110">
        <v>36.6</v>
      </c>
      <c r="X96" s="110">
        <v>36.799999999999997</v>
      </c>
      <c r="Y96" s="110">
        <v>39.4</v>
      </c>
      <c r="Z96" s="110">
        <v>40.700000000000003</v>
      </c>
      <c r="AA96" s="110">
        <v>40.700000000000003</v>
      </c>
      <c r="AB96" s="110">
        <v>57</v>
      </c>
      <c r="AC96" s="110">
        <v>46.4</v>
      </c>
      <c r="AD96" s="110">
        <v>51.1</v>
      </c>
      <c r="AE96" s="110">
        <v>41.8</v>
      </c>
      <c r="AF96" s="110">
        <v>39.700000000000003</v>
      </c>
      <c r="AG96" s="107">
        <v>60</v>
      </c>
      <c r="AH96" s="54">
        <f t="shared" si="50"/>
        <v>57</v>
      </c>
      <c r="AI96" s="108">
        <f t="shared" si="51"/>
        <v>0.83333333333333337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/>
      <c r="G97" s="112">
        <v>0</v>
      </c>
      <c r="H97" s="112">
        <v>0</v>
      </c>
      <c r="I97" s="112">
        <v>65.5</v>
      </c>
      <c r="J97" s="112">
        <v>60</v>
      </c>
      <c r="K97" s="112">
        <v>85.7</v>
      </c>
      <c r="L97" s="112">
        <v>89</v>
      </c>
      <c r="M97" s="112">
        <v>89</v>
      </c>
      <c r="N97" s="112">
        <v>83</v>
      </c>
      <c r="O97" s="112">
        <v>85.7</v>
      </c>
      <c r="P97" s="112">
        <v>87</v>
      </c>
      <c r="Q97" s="112">
        <v>87</v>
      </c>
      <c r="R97" s="112">
        <v>87</v>
      </c>
      <c r="S97" s="112">
        <v>82.1</v>
      </c>
      <c r="T97" s="112">
        <v>82.1</v>
      </c>
      <c r="U97" s="112">
        <v>93.7</v>
      </c>
      <c r="V97" s="112">
        <v>95.5</v>
      </c>
      <c r="W97" s="112">
        <v>91.3</v>
      </c>
      <c r="X97" s="112">
        <v>88.3</v>
      </c>
      <c r="Y97" s="112">
        <v>93.7</v>
      </c>
      <c r="Z97" s="112">
        <v>95.8</v>
      </c>
      <c r="AA97" s="112">
        <v>95.8</v>
      </c>
      <c r="AB97" s="112">
        <v>85.6</v>
      </c>
      <c r="AC97" s="112">
        <v>76.599999999999994</v>
      </c>
      <c r="AD97" s="112">
        <v>50</v>
      </c>
      <c r="AE97" s="112">
        <v>20</v>
      </c>
      <c r="AF97" s="112">
        <v>0</v>
      </c>
      <c r="AG97" s="113">
        <v>120</v>
      </c>
      <c r="AH97" s="54">
        <f t="shared" si="50"/>
        <v>95.8</v>
      </c>
      <c r="AI97" s="108">
        <f t="shared" si="51"/>
        <v>0.79166666666666663</v>
      </c>
    </row>
    <row r="98" spans="1:37" x14ac:dyDescent="0.25">
      <c r="A98" s="111" t="s">
        <v>103</v>
      </c>
      <c r="B98" s="112">
        <v>12.7</v>
      </c>
      <c r="C98" s="112">
        <v>32.1</v>
      </c>
      <c r="D98" s="112">
        <v>23</v>
      </c>
      <c r="E98" s="112">
        <v>14</v>
      </c>
      <c r="F98" s="112"/>
      <c r="G98" s="112">
        <v>17</v>
      </c>
      <c r="H98" s="112">
        <v>25</v>
      </c>
      <c r="I98" s="112">
        <v>60</v>
      </c>
      <c r="J98" s="112">
        <v>50</v>
      </c>
      <c r="K98" s="112">
        <v>66</v>
      </c>
      <c r="L98" s="112">
        <v>65.3</v>
      </c>
      <c r="M98" s="112">
        <v>65.3</v>
      </c>
      <c r="N98" s="112">
        <v>75.7</v>
      </c>
      <c r="O98" s="112">
        <v>94</v>
      </c>
      <c r="P98" s="112">
        <v>101.3</v>
      </c>
      <c r="Q98" s="112">
        <v>101.3</v>
      </c>
      <c r="R98" s="112">
        <v>98</v>
      </c>
      <c r="S98" s="112">
        <v>86.3</v>
      </c>
      <c r="T98" s="112">
        <v>86.3</v>
      </c>
      <c r="U98" s="112">
        <v>88</v>
      </c>
      <c r="V98" s="112">
        <v>85.5</v>
      </c>
      <c r="W98" s="112">
        <v>83.5</v>
      </c>
      <c r="X98" s="112">
        <v>81.7</v>
      </c>
      <c r="Y98" s="112">
        <v>74</v>
      </c>
      <c r="Z98" s="112">
        <v>74.099999999999994</v>
      </c>
      <c r="AA98" s="112">
        <v>74.099999999999994</v>
      </c>
      <c r="AB98" s="112">
        <v>62.2</v>
      </c>
      <c r="AC98" s="112">
        <v>53.2</v>
      </c>
      <c r="AD98" s="112">
        <v>31.2</v>
      </c>
      <c r="AE98" s="112">
        <v>12.6</v>
      </c>
      <c r="AF98" s="112">
        <v>28.9</v>
      </c>
      <c r="AG98" s="113"/>
      <c r="AH98" s="54">
        <f t="shared" si="50"/>
        <v>101.3</v>
      </c>
      <c r="AI98" s="108">
        <f t="shared" si="51"/>
        <v>0.45833333333333298</v>
      </c>
    </row>
    <row r="99" spans="1:37" x14ac:dyDescent="0.25">
      <c r="A99" s="111" t="s">
        <v>104</v>
      </c>
      <c r="B99" s="112">
        <v>58.5</v>
      </c>
      <c r="C99" s="112">
        <v>65.7</v>
      </c>
      <c r="D99" s="112">
        <v>59.6</v>
      </c>
      <c r="E99" s="112">
        <v>56.7</v>
      </c>
      <c r="F99" s="112"/>
      <c r="G99" s="112">
        <v>42</v>
      </c>
      <c r="H99" s="112">
        <v>25</v>
      </c>
      <c r="I99" s="112">
        <v>22</v>
      </c>
      <c r="J99" s="112">
        <v>10</v>
      </c>
      <c r="K99" s="112">
        <v>0</v>
      </c>
      <c r="L99" s="112">
        <v>30.6</v>
      </c>
      <c r="M99" s="112">
        <v>30.6</v>
      </c>
      <c r="N99" s="112">
        <v>-21.5</v>
      </c>
      <c r="O99" s="112">
        <v>8.4</v>
      </c>
      <c r="P99" s="112">
        <v>24.4</v>
      </c>
      <c r="Q99" s="112">
        <v>24.4</v>
      </c>
      <c r="R99" s="112">
        <v>3.7</v>
      </c>
      <c r="S99" s="112">
        <v>-0.8</v>
      </c>
      <c r="T99" s="112">
        <v>-0.8</v>
      </c>
      <c r="U99" s="112">
        <v>27</v>
      </c>
      <c r="V99" s="112">
        <v>48</v>
      </c>
      <c r="W99" s="112">
        <v>35.200000000000003</v>
      </c>
      <c r="X99" s="112">
        <v>43.9</v>
      </c>
      <c r="Y99" s="112">
        <v>44.5</v>
      </c>
      <c r="Z99" s="112">
        <v>31.9</v>
      </c>
      <c r="AA99" s="112">
        <v>31.9</v>
      </c>
      <c r="AB99" s="112">
        <v>42.6</v>
      </c>
      <c r="AC99" s="112">
        <v>33.1</v>
      </c>
      <c r="AD99" s="112">
        <v>14.8</v>
      </c>
      <c r="AE99" s="112">
        <v>26.1</v>
      </c>
      <c r="AF99" s="112">
        <v>50.2</v>
      </c>
      <c r="AG99" s="114"/>
      <c r="AH99" s="54">
        <f t="shared" si="50"/>
        <v>65.7</v>
      </c>
      <c r="AI99" s="108">
        <f t="shared" si="51"/>
        <v>4.1666666666666664E-2</v>
      </c>
    </row>
    <row r="100" spans="1:37" x14ac:dyDescent="0.25">
      <c r="A100" s="115" t="s">
        <v>105</v>
      </c>
      <c r="B100" s="95">
        <v>24.3</v>
      </c>
      <c r="C100" s="95">
        <v>23</v>
      </c>
      <c r="D100" s="95">
        <v>14.1</v>
      </c>
      <c r="E100" s="95">
        <v>7.9</v>
      </c>
      <c r="F100" s="95"/>
      <c r="G100" s="95">
        <v>8</v>
      </c>
      <c r="H100" s="95">
        <v>10</v>
      </c>
      <c r="I100" s="95">
        <v>6</v>
      </c>
      <c r="J100" s="95">
        <v>6</v>
      </c>
      <c r="K100" s="95">
        <v>12</v>
      </c>
      <c r="L100" s="95">
        <v>25.9</v>
      </c>
      <c r="M100" s="95">
        <v>25.9</v>
      </c>
      <c r="N100" s="95">
        <v>30.1</v>
      </c>
      <c r="O100" s="95">
        <v>6.7</v>
      </c>
      <c r="P100" s="95">
        <v>-19.3</v>
      </c>
      <c r="Q100" s="95">
        <v>-19.3</v>
      </c>
      <c r="R100" s="95">
        <v>-11.4</v>
      </c>
      <c r="S100" s="95">
        <v>2.2000000000000002</v>
      </c>
      <c r="T100" s="95">
        <v>12</v>
      </c>
      <c r="U100" s="95">
        <v>9.6999999999999993</v>
      </c>
      <c r="V100" s="95">
        <v>19.100000000000001</v>
      </c>
      <c r="W100" s="95">
        <v>6.2</v>
      </c>
      <c r="X100" s="95">
        <v>6.9</v>
      </c>
      <c r="Y100" s="95">
        <v>18</v>
      </c>
      <c r="Z100" s="95">
        <v>30.7</v>
      </c>
      <c r="AA100" s="95">
        <v>30.7</v>
      </c>
      <c r="AB100" s="95">
        <v>17.899999999999999</v>
      </c>
      <c r="AC100" s="95">
        <v>15.9</v>
      </c>
      <c r="AD100" s="95">
        <v>16.5</v>
      </c>
      <c r="AE100" s="95">
        <v>24.2</v>
      </c>
      <c r="AF100" s="95">
        <v>18.600000000000001</v>
      </c>
      <c r="AG100" s="114"/>
      <c r="AH100" s="54">
        <f t="shared" si="50"/>
        <v>30.7</v>
      </c>
      <c r="AI100" s="108">
        <f t="shared" si="51"/>
        <v>0.79166666666666663</v>
      </c>
    </row>
    <row r="101" spans="1:37" ht="15.75" thickBot="1" x14ac:dyDescent="0.3">
      <c r="A101" s="115" t="s">
        <v>236</v>
      </c>
      <c r="B101" s="95">
        <v>94.7</v>
      </c>
      <c r="C101" s="95">
        <v>85</v>
      </c>
      <c r="D101" s="95">
        <v>86.5</v>
      </c>
      <c r="E101" s="95">
        <v>90.5</v>
      </c>
      <c r="F101" s="95"/>
      <c r="G101" s="95">
        <v>95</v>
      </c>
      <c r="H101" s="95">
        <v>75</v>
      </c>
      <c r="I101" s="95">
        <v>49</v>
      </c>
      <c r="J101" s="95">
        <v>35</v>
      </c>
      <c r="K101" s="95">
        <v>23</v>
      </c>
      <c r="L101" s="95">
        <v>21.6</v>
      </c>
      <c r="M101" s="95">
        <v>21.6</v>
      </c>
      <c r="N101" s="95">
        <v>30.1</v>
      </c>
      <c r="O101" s="95">
        <v>30.1</v>
      </c>
      <c r="P101" s="95">
        <v>19.8</v>
      </c>
      <c r="Q101" s="95">
        <v>19.8</v>
      </c>
      <c r="R101" s="95">
        <v>35.299999999999997</v>
      </c>
      <c r="S101" s="95">
        <v>39.200000000000003</v>
      </c>
      <c r="T101" s="95">
        <v>44.1</v>
      </c>
      <c r="U101" s="95">
        <v>37.1</v>
      </c>
      <c r="V101" s="95">
        <v>38.200000000000003</v>
      </c>
      <c r="W101" s="95">
        <v>31.8</v>
      </c>
      <c r="X101" s="95">
        <v>14.9</v>
      </c>
      <c r="Y101" s="95">
        <v>12.1</v>
      </c>
      <c r="Z101" s="95">
        <v>13.9</v>
      </c>
      <c r="AA101" s="95">
        <v>13.9</v>
      </c>
      <c r="AB101" s="95">
        <v>10.5</v>
      </c>
      <c r="AC101" s="95">
        <v>13.6</v>
      </c>
      <c r="AD101" s="95">
        <v>35.700000000000003</v>
      </c>
      <c r="AE101" s="95">
        <v>58.6</v>
      </c>
      <c r="AF101" s="95">
        <v>55</v>
      </c>
      <c r="AG101" s="114"/>
      <c r="AH101" s="54">
        <f t="shared" si="50"/>
        <v>95</v>
      </c>
      <c r="AI101" s="108">
        <f t="shared" si="51"/>
        <v>0.20833333333333301</v>
      </c>
    </row>
    <row r="102" spans="1:37" ht="15.75" thickBot="1" x14ac:dyDescent="0.3">
      <c r="A102" s="116" t="s">
        <v>106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5"/>
      <c r="AK102" s="56"/>
    </row>
    <row r="103" spans="1:37" x14ac:dyDescent="0.25">
      <c r="A103" s="120" t="s">
        <v>107</v>
      </c>
      <c r="B103" s="121">
        <f t="shared" ref="B103:B108" si="52">AF103</f>
        <v>9.9</v>
      </c>
      <c r="C103" s="53">
        <v>9.9</v>
      </c>
      <c r="D103" s="121">
        <f t="shared" ref="D103:S108" si="53">C103</f>
        <v>9.9</v>
      </c>
      <c r="E103" s="121">
        <f t="shared" si="53"/>
        <v>9.9</v>
      </c>
      <c r="F103" s="121">
        <f t="shared" si="53"/>
        <v>9.9</v>
      </c>
      <c r="G103" s="121">
        <f t="shared" si="53"/>
        <v>9.9</v>
      </c>
      <c r="H103" s="121">
        <f t="shared" si="53"/>
        <v>9.9</v>
      </c>
      <c r="I103" s="121">
        <f t="shared" si="53"/>
        <v>9.9</v>
      </c>
      <c r="J103" s="121">
        <f t="shared" si="53"/>
        <v>9.9</v>
      </c>
      <c r="K103" s="121">
        <f t="shared" si="53"/>
        <v>9.9</v>
      </c>
      <c r="L103" s="121">
        <f t="shared" si="53"/>
        <v>9.9</v>
      </c>
      <c r="M103" s="121">
        <f t="shared" si="53"/>
        <v>9.9</v>
      </c>
      <c r="N103" s="121">
        <f t="shared" si="53"/>
        <v>9.9</v>
      </c>
      <c r="O103" s="121">
        <f t="shared" si="53"/>
        <v>9.9</v>
      </c>
      <c r="P103" s="121">
        <f t="shared" si="53"/>
        <v>9.9</v>
      </c>
      <c r="Q103" s="121">
        <f t="shared" si="53"/>
        <v>9.9</v>
      </c>
      <c r="R103" s="121">
        <f t="shared" si="53"/>
        <v>9.9</v>
      </c>
      <c r="S103" s="121">
        <f t="shared" si="53"/>
        <v>9.9</v>
      </c>
      <c r="T103" s="121">
        <f t="shared" ref="T103:AF108" si="54">S103</f>
        <v>9.9</v>
      </c>
      <c r="U103" s="121">
        <f t="shared" si="54"/>
        <v>9.9</v>
      </c>
      <c r="V103" s="121">
        <f t="shared" si="54"/>
        <v>9.9</v>
      </c>
      <c r="W103" s="121">
        <f t="shared" si="54"/>
        <v>9.9</v>
      </c>
      <c r="X103" s="121">
        <f t="shared" si="54"/>
        <v>9.9</v>
      </c>
      <c r="Y103" s="121">
        <f t="shared" si="54"/>
        <v>9.9</v>
      </c>
      <c r="Z103" s="121">
        <f t="shared" si="54"/>
        <v>9.9</v>
      </c>
      <c r="AA103" s="121">
        <f t="shared" si="54"/>
        <v>9.9</v>
      </c>
      <c r="AB103" s="121">
        <f t="shared" si="54"/>
        <v>9.9</v>
      </c>
      <c r="AC103" s="121">
        <f t="shared" si="54"/>
        <v>9.9</v>
      </c>
      <c r="AD103" s="121">
        <f t="shared" si="54"/>
        <v>9.9</v>
      </c>
      <c r="AE103" s="121">
        <f t="shared" si="54"/>
        <v>9.9</v>
      </c>
      <c r="AF103" s="121">
        <f t="shared" si="54"/>
        <v>9.9</v>
      </c>
      <c r="AG103" s="122">
        <v>9.94</v>
      </c>
      <c r="AH103" s="54"/>
      <c r="AI103" s="55"/>
      <c r="AK103" s="56"/>
    </row>
    <row r="104" spans="1:37" x14ac:dyDescent="0.25">
      <c r="A104" s="109" t="s">
        <v>108</v>
      </c>
      <c r="B104" s="123">
        <f t="shared" si="52"/>
        <v>9.6</v>
      </c>
      <c r="C104" s="124">
        <v>9.6</v>
      </c>
      <c r="D104" s="123">
        <f t="shared" si="53"/>
        <v>9.6</v>
      </c>
      <c r="E104" s="123">
        <f t="shared" si="53"/>
        <v>9.6</v>
      </c>
      <c r="F104" s="123">
        <f t="shared" si="53"/>
        <v>9.6</v>
      </c>
      <c r="G104" s="123">
        <f t="shared" si="53"/>
        <v>9.6</v>
      </c>
      <c r="H104" s="123">
        <f t="shared" si="53"/>
        <v>9.6</v>
      </c>
      <c r="I104" s="123">
        <f t="shared" si="53"/>
        <v>9.6</v>
      </c>
      <c r="J104" s="123">
        <f t="shared" si="53"/>
        <v>9.6</v>
      </c>
      <c r="K104" s="123">
        <f t="shared" si="53"/>
        <v>9.6</v>
      </c>
      <c r="L104" s="123">
        <f t="shared" si="53"/>
        <v>9.6</v>
      </c>
      <c r="M104" s="123">
        <f t="shared" si="53"/>
        <v>9.6</v>
      </c>
      <c r="N104" s="123">
        <f t="shared" si="53"/>
        <v>9.6</v>
      </c>
      <c r="O104" s="123">
        <f t="shared" si="53"/>
        <v>9.6</v>
      </c>
      <c r="P104" s="123">
        <f t="shared" si="53"/>
        <v>9.6</v>
      </c>
      <c r="Q104" s="123">
        <f t="shared" si="53"/>
        <v>9.6</v>
      </c>
      <c r="R104" s="123">
        <f t="shared" si="53"/>
        <v>9.6</v>
      </c>
      <c r="S104" s="123">
        <f t="shared" si="53"/>
        <v>9.6</v>
      </c>
      <c r="T104" s="123">
        <f t="shared" si="54"/>
        <v>9.6</v>
      </c>
      <c r="U104" s="123">
        <f t="shared" si="54"/>
        <v>9.6</v>
      </c>
      <c r="V104" s="123">
        <f t="shared" si="54"/>
        <v>9.6</v>
      </c>
      <c r="W104" s="123">
        <f t="shared" si="54"/>
        <v>9.6</v>
      </c>
      <c r="X104" s="123">
        <f t="shared" si="54"/>
        <v>9.6</v>
      </c>
      <c r="Y104" s="123">
        <f t="shared" si="54"/>
        <v>9.6</v>
      </c>
      <c r="Z104" s="123">
        <f t="shared" si="54"/>
        <v>9.6</v>
      </c>
      <c r="AA104" s="123">
        <f t="shared" si="54"/>
        <v>9.6</v>
      </c>
      <c r="AB104" s="123">
        <f t="shared" si="54"/>
        <v>9.6</v>
      </c>
      <c r="AC104" s="123">
        <f t="shared" si="54"/>
        <v>9.6</v>
      </c>
      <c r="AD104" s="123">
        <f t="shared" si="54"/>
        <v>9.6</v>
      </c>
      <c r="AE104" s="123">
        <f t="shared" si="54"/>
        <v>9.6</v>
      </c>
      <c r="AF104" s="123">
        <f t="shared" si="54"/>
        <v>9.6</v>
      </c>
      <c r="AG104" s="125">
        <v>9.9</v>
      </c>
      <c r="AH104" s="54"/>
      <c r="AI104" s="55"/>
      <c r="AK104" s="56"/>
    </row>
    <row r="105" spans="1:37" x14ac:dyDescent="0.25">
      <c r="A105" s="111" t="s">
        <v>109</v>
      </c>
      <c r="B105" s="123">
        <f t="shared" si="52"/>
        <v>9.98</v>
      </c>
      <c r="C105" s="124">
        <v>9.98</v>
      </c>
      <c r="D105" s="123">
        <f t="shared" si="53"/>
        <v>9.98</v>
      </c>
      <c r="E105" s="123">
        <f t="shared" si="53"/>
        <v>9.98</v>
      </c>
      <c r="F105" s="123">
        <f t="shared" si="53"/>
        <v>9.98</v>
      </c>
      <c r="G105" s="123">
        <f t="shared" si="53"/>
        <v>9.98</v>
      </c>
      <c r="H105" s="123">
        <f t="shared" si="53"/>
        <v>9.98</v>
      </c>
      <c r="I105" s="123">
        <f t="shared" si="53"/>
        <v>9.98</v>
      </c>
      <c r="J105" s="123">
        <f t="shared" si="53"/>
        <v>9.98</v>
      </c>
      <c r="K105" s="123">
        <f t="shared" si="53"/>
        <v>9.98</v>
      </c>
      <c r="L105" s="123">
        <f t="shared" si="53"/>
        <v>9.98</v>
      </c>
      <c r="M105" s="123">
        <f t="shared" si="53"/>
        <v>9.98</v>
      </c>
      <c r="N105" s="123">
        <f t="shared" si="53"/>
        <v>9.98</v>
      </c>
      <c r="O105" s="123">
        <f t="shared" si="53"/>
        <v>9.98</v>
      </c>
      <c r="P105" s="123">
        <f t="shared" si="53"/>
        <v>9.98</v>
      </c>
      <c r="Q105" s="123">
        <f t="shared" si="53"/>
        <v>9.98</v>
      </c>
      <c r="R105" s="123">
        <f t="shared" si="53"/>
        <v>9.98</v>
      </c>
      <c r="S105" s="123">
        <f t="shared" si="53"/>
        <v>9.98</v>
      </c>
      <c r="T105" s="123">
        <f t="shared" si="54"/>
        <v>9.98</v>
      </c>
      <c r="U105" s="123">
        <f t="shared" si="54"/>
        <v>9.98</v>
      </c>
      <c r="V105" s="123">
        <f t="shared" si="54"/>
        <v>9.98</v>
      </c>
      <c r="W105" s="123">
        <f t="shared" si="54"/>
        <v>9.98</v>
      </c>
      <c r="X105" s="123">
        <f t="shared" si="54"/>
        <v>9.98</v>
      </c>
      <c r="Y105" s="123">
        <f t="shared" si="54"/>
        <v>9.98</v>
      </c>
      <c r="Z105" s="123">
        <f t="shared" si="54"/>
        <v>9.98</v>
      </c>
      <c r="AA105" s="123">
        <f t="shared" si="54"/>
        <v>9.98</v>
      </c>
      <c r="AB105" s="123">
        <f t="shared" si="54"/>
        <v>9.98</v>
      </c>
      <c r="AC105" s="123">
        <f t="shared" si="54"/>
        <v>9.98</v>
      </c>
      <c r="AD105" s="123">
        <f t="shared" si="54"/>
        <v>9.98</v>
      </c>
      <c r="AE105" s="123">
        <f t="shared" si="54"/>
        <v>9.98</v>
      </c>
      <c r="AF105" s="123">
        <f t="shared" si="54"/>
        <v>9.98</v>
      </c>
      <c r="AG105" s="126">
        <v>9.6579999999999995</v>
      </c>
      <c r="AH105" s="54"/>
      <c r="AI105" s="55"/>
      <c r="AK105" s="56"/>
    </row>
    <row r="106" spans="1:37" x14ac:dyDescent="0.25">
      <c r="A106" s="111" t="s">
        <v>110</v>
      </c>
      <c r="B106" s="123">
        <f t="shared" si="52"/>
        <v>9.1</v>
      </c>
      <c r="C106" s="124">
        <v>9.1</v>
      </c>
      <c r="D106" s="123">
        <f t="shared" si="53"/>
        <v>9.1</v>
      </c>
      <c r="E106" s="123">
        <f t="shared" si="53"/>
        <v>9.1</v>
      </c>
      <c r="F106" s="123">
        <f t="shared" si="53"/>
        <v>9.1</v>
      </c>
      <c r="G106" s="123">
        <f t="shared" si="53"/>
        <v>9.1</v>
      </c>
      <c r="H106" s="123">
        <f t="shared" si="53"/>
        <v>9.1</v>
      </c>
      <c r="I106" s="123">
        <f t="shared" si="53"/>
        <v>9.1</v>
      </c>
      <c r="J106" s="123">
        <f t="shared" si="53"/>
        <v>9.1</v>
      </c>
      <c r="K106" s="123">
        <f t="shared" si="53"/>
        <v>9.1</v>
      </c>
      <c r="L106" s="123">
        <f t="shared" si="53"/>
        <v>9.1</v>
      </c>
      <c r="M106" s="123">
        <f t="shared" si="53"/>
        <v>9.1</v>
      </c>
      <c r="N106" s="123">
        <f t="shared" si="53"/>
        <v>9.1</v>
      </c>
      <c r="O106" s="123">
        <f t="shared" si="53"/>
        <v>9.1</v>
      </c>
      <c r="P106" s="123">
        <f t="shared" si="53"/>
        <v>9.1</v>
      </c>
      <c r="Q106" s="123">
        <f t="shared" si="53"/>
        <v>9.1</v>
      </c>
      <c r="R106" s="123">
        <f t="shared" si="53"/>
        <v>9.1</v>
      </c>
      <c r="S106" s="123">
        <f t="shared" si="53"/>
        <v>9.1</v>
      </c>
      <c r="T106" s="123">
        <f t="shared" si="54"/>
        <v>9.1</v>
      </c>
      <c r="U106" s="123">
        <f t="shared" si="54"/>
        <v>9.1</v>
      </c>
      <c r="V106" s="123">
        <f t="shared" si="54"/>
        <v>9.1</v>
      </c>
      <c r="W106" s="123">
        <f t="shared" si="54"/>
        <v>9.1</v>
      </c>
      <c r="X106" s="123">
        <f t="shared" si="54"/>
        <v>9.1</v>
      </c>
      <c r="Y106" s="123">
        <f t="shared" si="54"/>
        <v>9.1</v>
      </c>
      <c r="Z106" s="123">
        <f t="shared" si="54"/>
        <v>9.1</v>
      </c>
      <c r="AA106" s="123">
        <f t="shared" si="54"/>
        <v>9.1</v>
      </c>
      <c r="AB106" s="123">
        <f t="shared" si="54"/>
        <v>9.1</v>
      </c>
      <c r="AC106" s="123">
        <f t="shared" si="54"/>
        <v>9.1</v>
      </c>
      <c r="AD106" s="123">
        <f t="shared" si="54"/>
        <v>9.1</v>
      </c>
      <c r="AE106" s="123">
        <f t="shared" si="54"/>
        <v>9.1</v>
      </c>
      <c r="AF106" s="123">
        <f t="shared" si="54"/>
        <v>9.1</v>
      </c>
      <c r="AG106" s="126">
        <v>9.6</v>
      </c>
      <c r="AH106" s="54"/>
      <c r="AI106" s="55"/>
      <c r="AK106" s="56"/>
    </row>
    <row r="107" spans="1:37" x14ac:dyDescent="0.25">
      <c r="A107" s="111" t="s">
        <v>111</v>
      </c>
      <c r="B107" s="123">
        <f t="shared" si="52"/>
        <v>9.18</v>
      </c>
      <c r="C107" s="124">
        <v>9.18</v>
      </c>
      <c r="D107" s="123">
        <f t="shared" si="53"/>
        <v>9.18</v>
      </c>
      <c r="E107" s="123">
        <f t="shared" si="53"/>
        <v>9.18</v>
      </c>
      <c r="F107" s="123">
        <f t="shared" si="53"/>
        <v>9.18</v>
      </c>
      <c r="G107" s="123">
        <f t="shared" si="53"/>
        <v>9.18</v>
      </c>
      <c r="H107" s="123">
        <f t="shared" si="53"/>
        <v>9.18</v>
      </c>
      <c r="I107" s="123">
        <f t="shared" si="53"/>
        <v>9.18</v>
      </c>
      <c r="J107" s="123">
        <f t="shared" si="53"/>
        <v>9.18</v>
      </c>
      <c r="K107" s="123">
        <f t="shared" si="53"/>
        <v>9.18</v>
      </c>
      <c r="L107" s="123">
        <f t="shared" si="53"/>
        <v>9.18</v>
      </c>
      <c r="M107" s="123">
        <f t="shared" si="53"/>
        <v>9.18</v>
      </c>
      <c r="N107" s="123">
        <f t="shared" si="53"/>
        <v>9.18</v>
      </c>
      <c r="O107" s="123">
        <f t="shared" si="53"/>
        <v>9.18</v>
      </c>
      <c r="P107" s="123">
        <f t="shared" si="53"/>
        <v>9.18</v>
      </c>
      <c r="Q107" s="123">
        <f t="shared" si="53"/>
        <v>9.18</v>
      </c>
      <c r="R107" s="123">
        <f t="shared" si="53"/>
        <v>9.18</v>
      </c>
      <c r="S107" s="123">
        <f t="shared" si="53"/>
        <v>9.18</v>
      </c>
      <c r="T107" s="123">
        <f t="shared" si="54"/>
        <v>9.18</v>
      </c>
      <c r="U107" s="123">
        <f t="shared" si="54"/>
        <v>9.18</v>
      </c>
      <c r="V107" s="123">
        <f t="shared" si="54"/>
        <v>9.18</v>
      </c>
      <c r="W107" s="123">
        <f t="shared" si="54"/>
        <v>9.18</v>
      </c>
      <c r="X107" s="123">
        <f t="shared" si="54"/>
        <v>9.18</v>
      </c>
      <c r="Y107" s="123">
        <f t="shared" si="54"/>
        <v>9.18</v>
      </c>
      <c r="Z107" s="123">
        <f t="shared" si="54"/>
        <v>9.18</v>
      </c>
      <c r="AA107" s="123">
        <f t="shared" si="54"/>
        <v>9.18</v>
      </c>
      <c r="AB107" s="123">
        <f t="shared" si="54"/>
        <v>9.18</v>
      </c>
      <c r="AC107" s="123">
        <f t="shared" si="54"/>
        <v>9.18</v>
      </c>
      <c r="AD107" s="123">
        <f t="shared" si="54"/>
        <v>9.18</v>
      </c>
      <c r="AE107" s="123">
        <f t="shared" si="54"/>
        <v>9.18</v>
      </c>
      <c r="AF107" s="123">
        <f t="shared" si="54"/>
        <v>9.18</v>
      </c>
      <c r="AG107" s="126">
        <v>9.51</v>
      </c>
      <c r="AH107" s="54"/>
      <c r="AI107" s="55"/>
      <c r="AK107" s="56"/>
    </row>
    <row r="108" spans="1:37" x14ac:dyDescent="0.25">
      <c r="A108" s="111" t="s">
        <v>112</v>
      </c>
      <c r="B108" s="123">
        <f t="shared" si="52"/>
        <v>7</v>
      </c>
      <c r="C108" s="124">
        <v>7</v>
      </c>
      <c r="D108" s="123">
        <f t="shared" si="53"/>
        <v>7</v>
      </c>
      <c r="E108" s="123">
        <f t="shared" si="53"/>
        <v>7</v>
      </c>
      <c r="F108" s="123">
        <f t="shared" si="53"/>
        <v>7</v>
      </c>
      <c r="G108" s="123">
        <f t="shared" si="53"/>
        <v>7</v>
      </c>
      <c r="H108" s="123">
        <f t="shared" si="53"/>
        <v>7</v>
      </c>
      <c r="I108" s="123">
        <f t="shared" si="53"/>
        <v>7</v>
      </c>
      <c r="J108" s="123">
        <f t="shared" si="53"/>
        <v>7</v>
      </c>
      <c r="K108" s="123">
        <f t="shared" si="53"/>
        <v>7</v>
      </c>
      <c r="L108" s="123">
        <f t="shared" si="53"/>
        <v>7</v>
      </c>
      <c r="M108" s="123">
        <f t="shared" si="53"/>
        <v>7</v>
      </c>
      <c r="N108" s="123">
        <f t="shared" si="53"/>
        <v>7</v>
      </c>
      <c r="O108" s="123">
        <f t="shared" si="53"/>
        <v>7</v>
      </c>
      <c r="P108" s="123">
        <f t="shared" si="53"/>
        <v>7</v>
      </c>
      <c r="Q108" s="123">
        <f t="shared" si="53"/>
        <v>7</v>
      </c>
      <c r="R108" s="123">
        <f t="shared" si="53"/>
        <v>7</v>
      </c>
      <c r="S108" s="123">
        <f t="shared" si="53"/>
        <v>7</v>
      </c>
      <c r="T108" s="123">
        <f t="shared" si="54"/>
        <v>7</v>
      </c>
      <c r="U108" s="123">
        <f t="shared" si="54"/>
        <v>7</v>
      </c>
      <c r="V108" s="123">
        <f t="shared" si="54"/>
        <v>7</v>
      </c>
      <c r="W108" s="123">
        <f t="shared" si="54"/>
        <v>7</v>
      </c>
      <c r="X108" s="123">
        <f t="shared" si="54"/>
        <v>7</v>
      </c>
      <c r="Y108" s="123">
        <f t="shared" si="54"/>
        <v>7</v>
      </c>
      <c r="Z108" s="123">
        <f t="shared" si="54"/>
        <v>7</v>
      </c>
      <c r="AA108" s="123">
        <f t="shared" si="54"/>
        <v>7</v>
      </c>
      <c r="AB108" s="123">
        <f t="shared" si="54"/>
        <v>7</v>
      </c>
      <c r="AC108" s="123">
        <f t="shared" si="54"/>
        <v>7</v>
      </c>
      <c r="AD108" s="123">
        <f t="shared" si="54"/>
        <v>7</v>
      </c>
      <c r="AE108" s="123">
        <f t="shared" si="54"/>
        <v>7</v>
      </c>
      <c r="AF108" s="123">
        <f t="shared" si="54"/>
        <v>7</v>
      </c>
      <c r="AG108" s="126">
        <v>9.4</v>
      </c>
      <c r="AH108" s="54"/>
      <c r="AI108" s="55"/>
      <c r="AK108" s="56"/>
    </row>
    <row r="109" spans="1:37" x14ac:dyDescent="0.25">
      <c r="A109" s="111" t="s">
        <v>113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4"/>
      <c r="AI109" s="55"/>
      <c r="AK109" s="56"/>
    </row>
    <row r="110" spans="1:37" x14ac:dyDescent="0.25">
      <c r="A110" s="111" t="s">
        <v>114</v>
      </c>
      <c r="B110" s="123">
        <f>AF110</f>
        <v>2.25</v>
      </c>
      <c r="C110" s="124">
        <v>2.25</v>
      </c>
      <c r="D110" s="123">
        <f t="shared" ref="D110:S111" si="55">C110</f>
        <v>2.25</v>
      </c>
      <c r="E110" s="123">
        <f t="shared" si="55"/>
        <v>2.25</v>
      </c>
      <c r="F110" s="123">
        <f t="shared" si="55"/>
        <v>2.25</v>
      </c>
      <c r="G110" s="123">
        <f t="shared" si="55"/>
        <v>2.25</v>
      </c>
      <c r="H110" s="123">
        <f t="shared" si="55"/>
        <v>2.25</v>
      </c>
      <c r="I110" s="123">
        <f t="shared" si="55"/>
        <v>2.25</v>
      </c>
      <c r="J110" s="123">
        <f t="shared" si="55"/>
        <v>2.25</v>
      </c>
      <c r="K110" s="123">
        <f t="shared" si="55"/>
        <v>2.25</v>
      </c>
      <c r="L110" s="123">
        <f t="shared" si="55"/>
        <v>2.25</v>
      </c>
      <c r="M110" s="123">
        <f t="shared" si="55"/>
        <v>2.25</v>
      </c>
      <c r="N110" s="123">
        <f t="shared" si="55"/>
        <v>2.25</v>
      </c>
      <c r="O110" s="123">
        <f t="shared" si="55"/>
        <v>2.25</v>
      </c>
      <c r="P110" s="123">
        <f t="shared" si="55"/>
        <v>2.25</v>
      </c>
      <c r="Q110" s="123">
        <f t="shared" si="55"/>
        <v>2.25</v>
      </c>
      <c r="R110" s="123">
        <f t="shared" si="55"/>
        <v>2.25</v>
      </c>
      <c r="S110" s="123">
        <f t="shared" si="55"/>
        <v>2.25</v>
      </c>
      <c r="T110" s="123">
        <f t="shared" ref="T110:AF111" si="56">S110</f>
        <v>2.25</v>
      </c>
      <c r="U110" s="123">
        <f t="shared" si="56"/>
        <v>2.25</v>
      </c>
      <c r="V110" s="123">
        <f t="shared" si="56"/>
        <v>2.25</v>
      </c>
      <c r="W110" s="123">
        <f t="shared" si="56"/>
        <v>2.25</v>
      </c>
      <c r="X110" s="123">
        <f t="shared" si="56"/>
        <v>2.25</v>
      </c>
      <c r="Y110" s="123">
        <f t="shared" si="56"/>
        <v>2.25</v>
      </c>
      <c r="Z110" s="123">
        <f t="shared" si="56"/>
        <v>2.25</v>
      </c>
      <c r="AA110" s="123">
        <f t="shared" si="56"/>
        <v>2.25</v>
      </c>
      <c r="AB110" s="123">
        <f t="shared" si="56"/>
        <v>2.25</v>
      </c>
      <c r="AC110" s="123">
        <f t="shared" si="56"/>
        <v>2.25</v>
      </c>
      <c r="AD110" s="123">
        <f t="shared" si="56"/>
        <v>2.25</v>
      </c>
      <c r="AE110" s="123">
        <f t="shared" si="56"/>
        <v>2.25</v>
      </c>
      <c r="AF110" s="123">
        <f t="shared" si="56"/>
        <v>2.25</v>
      </c>
      <c r="AG110" s="126">
        <v>8.5</v>
      </c>
      <c r="AH110" s="54"/>
      <c r="AI110" s="55"/>
      <c r="AK110" s="56"/>
    </row>
    <row r="111" spans="1:37" x14ac:dyDescent="0.25">
      <c r="A111" s="111" t="s">
        <v>115</v>
      </c>
      <c r="B111" s="123">
        <f>AF111</f>
        <v>1.64</v>
      </c>
      <c r="C111" s="124">
        <v>1.64</v>
      </c>
      <c r="D111" s="123">
        <f t="shared" si="55"/>
        <v>1.64</v>
      </c>
      <c r="E111" s="123">
        <f t="shared" si="55"/>
        <v>1.64</v>
      </c>
      <c r="F111" s="123">
        <f t="shared" si="55"/>
        <v>1.64</v>
      </c>
      <c r="G111" s="123">
        <f t="shared" si="55"/>
        <v>1.64</v>
      </c>
      <c r="H111" s="123">
        <f t="shared" si="55"/>
        <v>1.64</v>
      </c>
      <c r="I111" s="123">
        <f t="shared" si="55"/>
        <v>1.64</v>
      </c>
      <c r="J111" s="123">
        <f t="shared" si="55"/>
        <v>1.64</v>
      </c>
      <c r="K111" s="123">
        <f t="shared" si="55"/>
        <v>1.64</v>
      </c>
      <c r="L111" s="123">
        <f t="shared" si="55"/>
        <v>1.64</v>
      </c>
      <c r="M111" s="123">
        <f t="shared" si="55"/>
        <v>1.64</v>
      </c>
      <c r="N111" s="123">
        <f t="shared" si="55"/>
        <v>1.64</v>
      </c>
      <c r="O111" s="123">
        <f t="shared" si="55"/>
        <v>1.64</v>
      </c>
      <c r="P111" s="123">
        <f t="shared" si="55"/>
        <v>1.64</v>
      </c>
      <c r="Q111" s="123">
        <f t="shared" si="55"/>
        <v>1.64</v>
      </c>
      <c r="R111" s="123">
        <f t="shared" si="55"/>
        <v>1.64</v>
      </c>
      <c r="S111" s="123">
        <f t="shared" si="55"/>
        <v>1.64</v>
      </c>
      <c r="T111" s="123">
        <f t="shared" si="56"/>
        <v>1.64</v>
      </c>
      <c r="U111" s="123">
        <f t="shared" si="56"/>
        <v>1.64</v>
      </c>
      <c r="V111" s="123">
        <f t="shared" si="56"/>
        <v>1.64</v>
      </c>
      <c r="W111" s="123">
        <f t="shared" si="56"/>
        <v>1.64</v>
      </c>
      <c r="X111" s="123">
        <f t="shared" si="56"/>
        <v>1.64</v>
      </c>
      <c r="Y111" s="123">
        <f t="shared" si="56"/>
        <v>1.64</v>
      </c>
      <c r="Z111" s="123">
        <f t="shared" si="56"/>
        <v>1.64</v>
      </c>
      <c r="AA111" s="123">
        <f t="shared" si="56"/>
        <v>1.64</v>
      </c>
      <c r="AB111" s="123">
        <f t="shared" si="56"/>
        <v>1.64</v>
      </c>
      <c r="AC111" s="123">
        <f t="shared" si="56"/>
        <v>1.64</v>
      </c>
      <c r="AD111" s="123">
        <f t="shared" si="56"/>
        <v>1.64</v>
      </c>
      <c r="AE111" s="123">
        <f t="shared" si="56"/>
        <v>1.64</v>
      </c>
      <c r="AF111" s="123">
        <f t="shared" si="56"/>
        <v>1.64</v>
      </c>
      <c r="AG111" s="126">
        <v>8.5</v>
      </c>
      <c r="AH111" s="54"/>
      <c r="AI111" s="55"/>
      <c r="AK111" s="56"/>
    </row>
    <row r="112" spans="1:37" x14ac:dyDescent="0.25">
      <c r="A112" s="111" t="s">
        <v>116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4"/>
      <c r="AI112" s="55"/>
      <c r="AK112" s="56"/>
    </row>
    <row r="113" spans="1:37" ht="13.5" customHeight="1" x14ac:dyDescent="0.25">
      <c r="A113" s="111" t="s">
        <v>117</v>
      </c>
      <c r="B113" s="123">
        <f t="shared" ref="B113:B130" si="57">AF113</f>
        <v>1.62</v>
      </c>
      <c r="C113" s="124">
        <v>1.62</v>
      </c>
      <c r="D113" s="123">
        <f t="shared" ref="D113:S120" si="58">C113</f>
        <v>1.62</v>
      </c>
      <c r="E113" s="123">
        <f t="shared" si="58"/>
        <v>1.62</v>
      </c>
      <c r="F113" s="123">
        <f t="shared" si="58"/>
        <v>1.62</v>
      </c>
      <c r="G113" s="123">
        <f t="shared" si="58"/>
        <v>1.62</v>
      </c>
      <c r="H113" s="123">
        <f t="shared" si="58"/>
        <v>1.62</v>
      </c>
      <c r="I113" s="123">
        <f t="shared" si="58"/>
        <v>1.62</v>
      </c>
      <c r="J113" s="123">
        <f t="shared" si="58"/>
        <v>1.62</v>
      </c>
      <c r="K113" s="123">
        <f t="shared" si="58"/>
        <v>1.62</v>
      </c>
      <c r="L113" s="123">
        <f t="shared" si="58"/>
        <v>1.62</v>
      </c>
      <c r="M113" s="123">
        <f t="shared" si="58"/>
        <v>1.62</v>
      </c>
      <c r="N113" s="123">
        <f t="shared" si="58"/>
        <v>1.62</v>
      </c>
      <c r="O113" s="123">
        <f t="shared" si="58"/>
        <v>1.62</v>
      </c>
      <c r="P113" s="123">
        <f t="shared" si="58"/>
        <v>1.62</v>
      </c>
      <c r="Q113" s="123">
        <f t="shared" si="58"/>
        <v>1.62</v>
      </c>
      <c r="R113" s="123">
        <f t="shared" si="58"/>
        <v>1.62</v>
      </c>
      <c r="S113" s="123">
        <f t="shared" si="58"/>
        <v>1.62</v>
      </c>
      <c r="T113" s="123">
        <f t="shared" ref="T113:AF128" si="59">S113</f>
        <v>1.62</v>
      </c>
      <c r="U113" s="123">
        <f t="shared" si="59"/>
        <v>1.62</v>
      </c>
      <c r="V113" s="123">
        <f t="shared" si="59"/>
        <v>1.62</v>
      </c>
      <c r="W113" s="123">
        <f t="shared" si="59"/>
        <v>1.62</v>
      </c>
      <c r="X113" s="123">
        <f t="shared" si="59"/>
        <v>1.62</v>
      </c>
      <c r="Y113" s="123">
        <f t="shared" si="59"/>
        <v>1.62</v>
      </c>
      <c r="Z113" s="123">
        <f t="shared" si="59"/>
        <v>1.62</v>
      </c>
      <c r="AA113" s="123">
        <f t="shared" si="59"/>
        <v>1.62</v>
      </c>
      <c r="AB113" s="123">
        <f t="shared" si="59"/>
        <v>1.62</v>
      </c>
      <c r="AC113" s="123">
        <f t="shared" si="59"/>
        <v>1.62</v>
      </c>
      <c r="AD113" s="123">
        <f t="shared" si="59"/>
        <v>1.62</v>
      </c>
      <c r="AE113" s="123">
        <f t="shared" si="59"/>
        <v>1.62</v>
      </c>
      <c r="AF113" s="123">
        <f t="shared" si="59"/>
        <v>1.62</v>
      </c>
      <c r="AG113" s="126">
        <v>8</v>
      </c>
      <c r="AH113" s="54"/>
      <c r="AI113" s="55"/>
      <c r="AK113" s="56"/>
    </row>
    <row r="114" spans="1:37" x14ac:dyDescent="0.25">
      <c r="A114" s="111" t="s">
        <v>118</v>
      </c>
      <c r="B114" s="123">
        <f t="shared" si="57"/>
        <v>8.36</v>
      </c>
      <c r="C114" s="124">
        <v>8.36</v>
      </c>
      <c r="D114" s="123">
        <f t="shared" si="58"/>
        <v>8.36</v>
      </c>
      <c r="E114" s="123">
        <f t="shared" si="58"/>
        <v>8.36</v>
      </c>
      <c r="F114" s="123">
        <f t="shared" si="58"/>
        <v>8.36</v>
      </c>
      <c r="G114" s="123">
        <f t="shared" si="58"/>
        <v>8.36</v>
      </c>
      <c r="H114" s="123">
        <f t="shared" si="58"/>
        <v>8.36</v>
      </c>
      <c r="I114" s="123">
        <f t="shared" si="58"/>
        <v>8.36</v>
      </c>
      <c r="J114" s="123">
        <f t="shared" si="58"/>
        <v>8.36</v>
      </c>
      <c r="K114" s="123">
        <f t="shared" si="58"/>
        <v>8.36</v>
      </c>
      <c r="L114" s="123">
        <f t="shared" si="58"/>
        <v>8.36</v>
      </c>
      <c r="M114" s="123">
        <f t="shared" si="58"/>
        <v>8.36</v>
      </c>
      <c r="N114" s="123">
        <f t="shared" si="58"/>
        <v>8.36</v>
      </c>
      <c r="O114" s="123">
        <f t="shared" si="58"/>
        <v>8.36</v>
      </c>
      <c r="P114" s="123">
        <f t="shared" si="58"/>
        <v>8.36</v>
      </c>
      <c r="Q114" s="123">
        <f t="shared" si="58"/>
        <v>8.36</v>
      </c>
      <c r="R114" s="123">
        <f t="shared" si="58"/>
        <v>8.36</v>
      </c>
      <c r="S114" s="123">
        <f t="shared" si="58"/>
        <v>8.36</v>
      </c>
      <c r="T114" s="123">
        <f t="shared" si="59"/>
        <v>8.36</v>
      </c>
      <c r="U114" s="123">
        <f t="shared" si="59"/>
        <v>8.36</v>
      </c>
      <c r="V114" s="123">
        <f t="shared" si="59"/>
        <v>8.36</v>
      </c>
      <c r="W114" s="123">
        <f t="shared" si="59"/>
        <v>8.36</v>
      </c>
      <c r="X114" s="123">
        <f t="shared" si="59"/>
        <v>8.36</v>
      </c>
      <c r="Y114" s="123">
        <f t="shared" si="59"/>
        <v>8.36</v>
      </c>
      <c r="Z114" s="123">
        <f t="shared" si="59"/>
        <v>8.36</v>
      </c>
      <c r="AA114" s="123">
        <f t="shared" si="59"/>
        <v>8.36</v>
      </c>
      <c r="AB114" s="123">
        <f t="shared" si="59"/>
        <v>8.36</v>
      </c>
      <c r="AC114" s="123">
        <f t="shared" si="59"/>
        <v>8.36</v>
      </c>
      <c r="AD114" s="123">
        <f t="shared" si="59"/>
        <v>8.36</v>
      </c>
      <c r="AE114" s="123">
        <f t="shared" si="59"/>
        <v>8.36</v>
      </c>
      <c r="AF114" s="123">
        <f t="shared" si="59"/>
        <v>8.36</v>
      </c>
      <c r="AG114" s="126">
        <v>8</v>
      </c>
      <c r="AH114" s="54"/>
      <c r="AI114" s="55"/>
      <c r="AK114" s="56"/>
    </row>
    <row r="115" spans="1:37" x14ac:dyDescent="0.25">
      <c r="A115" s="111" t="s">
        <v>119</v>
      </c>
      <c r="B115" s="123">
        <f t="shared" si="57"/>
        <v>5.4</v>
      </c>
      <c r="C115" s="124">
        <v>8</v>
      </c>
      <c r="D115" s="123">
        <f t="shared" si="58"/>
        <v>8</v>
      </c>
      <c r="E115" s="123">
        <f t="shared" si="58"/>
        <v>8</v>
      </c>
      <c r="F115" s="123">
        <f t="shared" si="58"/>
        <v>8</v>
      </c>
      <c r="G115" s="123">
        <f t="shared" si="58"/>
        <v>8</v>
      </c>
      <c r="H115" s="123">
        <f t="shared" si="58"/>
        <v>8</v>
      </c>
      <c r="I115" s="123">
        <f t="shared" si="58"/>
        <v>8</v>
      </c>
      <c r="J115" s="123">
        <v>5.4</v>
      </c>
      <c r="K115" s="123">
        <f t="shared" si="58"/>
        <v>5.4</v>
      </c>
      <c r="L115" s="123">
        <f t="shared" si="58"/>
        <v>5.4</v>
      </c>
      <c r="M115" s="123">
        <f t="shared" si="58"/>
        <v>5.4</v>
      </c>
      <c r="N115" s="123">
        <f t="shared" si="58"/>
        <v>5.4</v>
      </c>
      <c r="O115" s="123">
        <f t="shared" si="58"/>
        <v>5.4</v>
      </c>
      <c r="P115" s="123">
        <f t="shared" si="58"/>
        <v>5.4</v>
      </c>
      <c r="Q115" s="123">
        <f t="shared" si="58"/>
        <v>5.4</v>
      </c>
      <c r="R115" s="123">
        <f t="shared" si="58"/>
        <v>5.4</v>
      </c>
      <c r="S115" s="123">
        <f t="shared" si="58"/>
        <v>5.4</v>
      </c>
      <c r="T115" s="123">
        <f t="shared" si="59"/>
        <v>5.4</v>
      </c>
      <c r="U115" s="123">
        <f t="shared" si="59"/>
        <v>5.4</v>
      </c>
      <c r="V115" s="123">
        <f t="shared" si="59"/>
        <v>5.4</v>
      </c>
      <c r="W115" s="123">
        <f t="shared" si="59"/>
        <v>5.4</v>
      </c>
      <c r="X115" s="123">
        <f t="shared" si="59"/>
        <v>5.4</v>
      </c>
      <c r="Y115" s="123">
        <f t="shared" si="59"/>
        <v>5.4</v>
      </c>
      <c r="Z115" s="123">
        <f t="shared" si="59"/>
        <v>5.4</v>
      </c>
      <c r="AA115" s="123">
        <f t="shared" si="59"/>
        <v>5.4</v>
      </c>
      <c r="AB115" s="123">
        <f t="shared" si="59"/>
        <v>5.4</v>
      </c>
      <c r="AC115" s="123">
        <f t="shared" si="59"/>
        <v>5.4</v>
      </c>
      <c r="AD115" s="123">
        <f t="shared" si="59"/>
        <v>5.4</v>
      </c>
      <c r="AE115" s="123">
        <f t="shared" si="59"/>
        <v>5.4</v>
      </c>
      <c r="AF115" s="123">
        <f t="shared" si="59"/>
        <v>5.4</v>
      </c>
      <c r="AG115" s="126">
        <v>8</v>
      </c>
      <c r="AH115" s="54"/>
      <c r="AI115" s="55"/>
      <c r="AK115" s="56"/>
    </row>
    <row r="116" spans="1:37" x14ac:dyDescent="0.25">
      <c r="A116" s="111" t="s">
        <v>120</v>
      </c>
      <c r="B116" s="123">
        <f t="shared" si="57"/>
        <v>6.57</v>
      </c>
      <c r="C116" s="124">
        <v>6.57</v>
      </c>
      <c r="D116" s="123">
        <f t="shared" si="58"/>
        <v>6.57</v>
      </c>
      <c r="E116" s="123">
        <f t="shared" si="58"/>
        <v>6.57</v>
      </c>
      <c r="F116" s="123">
        <f t="shared" si="58"/>
        <v>6.57</v>
      </c>
      <c r="G116" s="123">
        <f t="shared" si="58"/>
        <v>6.57</v>
      </c>
      <c r="H116" s="123">
        <f t="shared" si="58"/>
        <v>6.57</v>
      </c>
      <c r="I116" s="123">
        <f t="shared" si="58"/>
        <v>6.57</v>
      </c>
      <c r="J116" s="123">
        <f t="shared" si="58"/>
        <v>6.57</v>
      </c>
      <c r="K116" s="123">
        <f t="shared" si="58"/>
        <v>6.57</v>
      </c>
      <c r="L116" s="123">
        <f t="shared" si="58"/>
        <v>6.57</v>
      </c>
      <c r="M116" s="123">
        <f t="shared" si="58"/>
        <v>6.57</v>
      </c>
      <c r="N116" s="123">
        <f t="shared" si="58"/>
        <v>6.57</v>
      </c>
      <c r="O116" s="123">
        <f t="shared" si="58"/>
        <v>6.57</v>
      </c>
      <c r="P116" s="123">
        <f t="shared" si="58"/>
        <v>6.57</v>
      </c>
      <c r="Q116" s="123">
        <f t="shared" si="58"/>
        <v>6.57</v>
      </c>
      <c r="R116" s="123">
        <f t="shared" si="58"/>
        <v>6.57</v>
      </c>
      <c r="S116" s="123">
        <f t="shared" si="58"/>
        <v>6.57</v>
      </c>
      <c r="T116" s="123">
        <f t="shared" si="59"/>
        <v>6.57</v>
      </c>
      <c r="U116" s="123">
        <f t="shared" si="59"/>
        <v>6.57</v>
      </c>
      <c r="V116" s="123">
        <f t="shared" si="59"/>
        <v>6.57</v>
      </c>
      <c r="W116" s="123">
        <f t="shared" si="59"/>
        <v>6.57</v>
      </c>
      <c r="X116" s="123">
        <f t="shared" si="59"/>
        <v>6.57</v>
      </c>
      <c r="Y116" s="123">
        <f t="shared" si="59"/>
        <v>6.57</v>
      </c>
      <c r="Z116" s="123">
        <f t="shared" si="59"/>
        <v>6.57</v>
      </c>
      <c r="AA116" s="123">
        <f t="shared" si="59"/>
        <v>6.57</v>
      </c>
      <c r="AB116" s="123">
        <f t="shared" si="59"/>
        <v>6.57</v>
      </c>
      <c r="AC116" s="123">
        <f t="shared" si="59"/>
        <v>6.57</v>
      </c>
      <c r="AD116" s="123">
        <f t="shared" si="59"/>
        <v>6.57</v>
      </c>
      <c r="AE116" s="123">
        <f t="shared" si="59"/>
        <v>6.57</v>
      </c>
      <c r="AF116" s="123">
        <f t="shared" si="59"/>
        <v>6.57</v>
      </c>
      <c r="AG116" s="126">
        <v>7.8</v>
      </c>
      <c r="AH116" s="54"/>
      <c r="AI116" s="55"/>
      <c r="AK116" s="56"/>
    </row>
    <row r="117" spans="1:37" x14ac:dyDescent="0.25">
      <c r="A117" s="111" t="s">
        <v>121</v>
      </c>
      <c r="B117" s="123">
        <f t="shared" si="57"/>
        <v>3.43</v>
      </c>
      <c r="C117" s="124">
        <v>3.43</v>
      </c>
      <c r="D117" s="123">
        <f t="shared" si="58"/>
        <v>3.43</v>
      </c>
      <c r="E117" s="123">
        <f t="shared" si="58"/>
        <v>3.43</v>
      </c>
      <c r="F117" s="123">
        <f t="shared" si="58"/>
        <v>3.43</v>
      </c>
      <c r="G117" s="123">
        <f t="shared" si="58"/>
        <v>3.43</v>
      </c>
      <c r="H117" s="123">
        <f t="shared" si="58"/>
        <v>3.43</v>
      </c>
      <c r="I117" s="123">
        <f t="shared" si="58"/>
        <v>3.43</v>
      </c>
      <c r="J117" s="123">
        <f t="shared" si="58"/>
        <v>3.43</v>
      </c>
      <c r="K117" s="123">
        <f t="shared" si="58"/>
        <v>3.43</v>
      </c>
      <c r="L117" s="123">
        <f t="shared" si="58"/>
        <v>3.43</v>
      </c>
      <c r="M117" s="123">
        <f t="shared" si="58"/>
        <v>3.43</v>
      </c>
      <c r="N117" s="123">
        <f t="shared" si="58"/>
        <v>3.43</v>
      </c>
      <c r="O117" s="123">
        <f t="shared" si="58"/>
        <v>3.43</v>
      </c>
      <c r="P117" s="123">
        <f t="shared" si="58"/>
        <v>3.43</v>
      </c>
      <c r="Q117" s="123">
        <f t="shared" si="58"/>
        <v>3.43</v>
      </c>
      <c r="R117" s="123">
        <f t="shared" si="58"/>
        <v>3.43</v>
      </c>
      <c r="S117" s="123">
        <f t="shared" si="58"/>
        <v>3.43</v>
      </c>
      <c r="T117" s="123">
        <f t="shared" si="59"/>
        <v>3.43</v>
      </c>
      <c r="U117" s="123">
        <f t="shared" si="59"/>
        <v>3.43</v>
      </c>
      <c r="V117" s="123">
        <f t="shared" si="59"/>
        <v>3.43</v>
      </c>
      <c r="W117" s="123">
        <f t="shared" si="59"/>
        <v>3.43</v>
      </c>
      <c r="X117" s="123">
        <f t="shared" si="59"/>
        <v>3.43</v>
      </c>
      <c r="Y117" s="123">
        <f t="shared" si="59"/>
        <v>3.43</v>
      </c>
      <c r="Z117" s="123">
        <f t="shared" si="59"/>
        <v>3.43</v>
      </c>
      <c r="AA117" s="123">
        <f t="shared" si="59"/>
        <v>3.43</v>
      </c>
      <c r="AB117" s="123">
        <f t="shared" si="59"/>
        <v>3.43</v>
      </c>
      <c r="AC117" s="123">
        <f t="shared" si="59"/>
        <v>3.43</v>
      </c>
      <c r="AD117" s="123">
        <f t="shared" si="59"/>
        <v>3.43</v>
      </c>
      <c r="AE117" s="123">
        <f t="shared" si="59"/>
        <v>3.43</v>
      </c>
      <c r="AF117" s="123">
        <f t="shared" si="59"/>
        <v>3.43</v>
      </c>
      <c r="AG117" s="126">
        <v>7.6</v>
      </c>
      <c r="AH117" s="54"/>
      <c r="AI117" s="55"/>
      <c r="AK117" s="56"/>
    </row>
    <row r="118" spans="1:37" x14ac:dyDescent="0.25">
      <c r="A118" s="111" t="s">
        <v>122</v>
      </c>
      <c r="B118" s="123">
        <f t="shared" si="57"/>
        <v>2.96</v>
      </c>
      <c r="C118" s="124">
        <v>2.96</v>
      </c>
      <c r="D118" s="123">
        <f t="shared" si="58"/>
        <v>2.96</v>
      </c>
      <c r="E118" s="123">
        <f t="shared" si="58"/>
        <v>2.96</v>
      </c>
      <c r="F118" s="123">
        <f t="shared" si="58"/>
        <v>2.96</v>
      </c>
      <c r="G118" s="123">
        <f t="shared" si="58"/>
        <v>2.96</v>
      </c>
      <c r="H118" s="123">
        <f t="shared" si="58"/>
        <v>2.96</v>
      </c>
      <c r="I118" s="123">
        <f t="shared" si="58"/>
        <v>2.96</v>
      </c>
      <c r="J118" s="123">
        <f t="shared" si="58"/>
        <v>2.96</v>
      </c>
      <c r="K118" s="123">
        <f t="shared" si="58"/>
        <v>2.96</v>
      </c>
      <c r="L118" s="123">
        <f t="shared" si="58"/>
        <v>2.96</v>
      </c>
      <c r="M118" s="123">
        <f t="shared" si="58"/>
        <v>2.96</v>
      </c>
      <c r="N118" s="123">
        <f t="shared" si="58"/>
        <v>2.96</v>
      </c>
      <c r="O118" s="123">
        <f t="shared" si="58"/>
        <v>2.96</v>
      </c>
      <c r="P118" s="123">
        <f t="shared" si="58"/>
        <v>2.96</v>
      </c>
      <c r="Q118" s="123">
        <f t="shared" si="58"/>
        <v>2.96</v>
      </c>
      <c r="R118" s="123">
        <f t="shared" si="58"/>
        <v>2.96</v>
      </c>
      <c r="S118" s="123">
        <f t="shared" si="58"/>
        <v>2.96</v>
      </c>
      <c r="T118" s="123">
        <f t="shared" si="59"/>
        <v>2.96</v>
      </c>
      <c r="U118" s="123">
        <f t="shared" si="59"/>
        <v>2.96</v>
      </c>
      <c r="V118" s="123">
        <f t="shared" si="59"/>
        <v>2.96</v>
      </c>
      <c r="W118" s="123">
        <f t="shared" si="59"/>
        <v>2.96</v>
      </c>
      <c r="X118" s="123">
        <f t="shared" si="59"/>
        <v>2.96</v>
      </c>
      <c r="Y118" s="123">
        <f t="shared" si="59"/>
        <v>2.96</v>
      </c>
      <c r="Z118" s="123">
        <f t="shared" si="59"/>
        <v>2.96</v>
      </c>
      <c r="AA118" s="123">
        <f t="shared" si="59"/>
        <v>2.96</v>
      </c>
      <c r="AB118" s="123">
        <f t="shared" si="59"/>
        <v>2.96</v>
      </c>
      <c r="AC118" s="123">
        <f t="shared" si="59"/>
        <v>2.96</v>
      </c>
      <c r="AD118" s="123">
        <f t="shared" si="59"/>
        <v>2.96</v>
      </c>
      <c r="AE118" s="123">
        <f t="shared" si="59"/>
        <v>2.96</v>
      </c>
      <c r="AF118" s="123">
        <f t="shared" si="59"/>
        <v>2.96</v>
      </c>
      <c r="AG118" s="126">
        <v>7.5</v>
      </c>
      <c r="AH118" s="54"/>
      <c r="AI118" s="55"/>
      <c r="AK118" s="56"/>
    </row>
    <row r="119" spans="1:37" x14ac:dyDescent="0.25">
      <c r="A119" s="111" t="s">
        <v>123</v>
      </c>
      <c r="B119" s="123">
        <f t="shared" si="57"/>
        <v>8</v>
      </c>
      <c r="C119" s="124">
        <v>8</v>
      </c>
      <c r="D119" s="123">
        <f t="shared" si="58"/>
        <v>8</v>
      </c>
      <c r="E119" s="123">
        <f t="shared" si="58"/>
        <v>8</v>
      </c>
      <c r="F119" s="123">
        <f t="shared" si="58"/>
        <v>8</v>
      </c>
      <c r="G119" s="123">
        <f t="shared" si="58"/>
        <v>8</v>
      </c>
      <c r="H119" s="123">
        <f t="shared" si="58"/>
        <v>8</v>
      </c>
      <c r="I119" s="123">
        <f t="shared" si="58"/>
        <v>8</v>
      </c>
      <c r="J119" s="123">
        <f t="shared" si="58"/>
        <v>8</v>
      </c>
      <c r="K119" s="123">
        <f t="shared" si="58"/>
        <v>8</v>
      </c>
      <c r="L119" s="123">
        <f t="shared" si="58"/>
        <v>8</v>
      </c>
      <c r="M119" s="123">
        <f t="shared" si="58"/>
        <v>8</v>
      </c>
      <c r="N119" s="123">
        <f t="shared" si="58"/>
        <v>8</v>
      </c>
      <c r="O119" s="123">
        <f t="shared" si="58"/>
        <v>8</v>
      </c>
      <c r="P119" s="123">
        <f t="shared" si="58"/>
        <v>8</v>
      </c>
      <c r="Q119" s="123">
        <f t="shared" si="58"/>
        <v>8</v>
      </c>
      <c r="R119" s="123">
        <f t="shared" si="58"/>
        <v>8</v>
      </c>
      <c r="S119" s="123">
        <f t="shared" si="58"/>
        <v>8</v>
      </c>
      <c r="T119" s="123">
        <f t="shared" si="59"/>
        <v>8</v>
      </c>
      <c r="U119" s="123">
        <f t="shared" si="59"/>
        <v>8</v>
      </c>
      <c r="V119" s="123">
        <f t="shared" si="59"/>
        <v>8</v>
      </c>
      <c r="W119" s="123">
        <f t="shared" si="59"/>
        <v>8</v>
      </c>
      <c r="X119" s="123">
        <f t="shared" si="59"/>
        <v>8</v>
      </c>
      <c r="Y119" s="123">
        <f t="shared" si="59"/>
        <v>8</v>
      </c>
      <c r="Z119" s="123">
        <f t="shared" si="59"/>
        <v>8</v>
      </c>
      <c r="AA119" s="123">
        <f t="shared" si="59"/>
        <v>8</v>
      </c>
      <c r="AB119" s="123">
        <f t="shared" si="59"/>
        <v>8</v>
      </c>
      <c r="AC119" s="123">
        <f t="shared" si="59"/>
        <v>8</v>
      </c>
      <c r="AD119" s="123">
        <f t="shared" si="59"/>
        <v>8</v>
      </c>
      <c r="AE119" s="123">
        <f t="shared" si="59"/>
        <v>8</v>
      </c>
      <c r="AF119" s="123">
        <f t="shared" si="59"/>
        <v>8</v>
      </c>
      <c r="AG119" s="126">
        <v>7.5</v>
      </c>
      <c r="AH119" s="54"/>
      <c r="AI119" s="55"/>
      <c r="AK119" s="56"/>
    </row>
    <row r="120" spans="1:37" x14ac:dyDescent="0.25">
      <c r="A120" s="111" t="s">
        <v>124</v>
      </c>
      <c r="B120" s="123">
        <f t="shared" si="57"/>
        <v>7</v>
      </c>
      <c r="C120" s="124">
        <v>7</v>
      </c>
      <c r="D120" s="123">
        <f>C120</f>
        <v>7</v>
      </c>
      <c r="E120" s="123">
        <f t="shared" si="58"/>
        <v>7</v>
      </c>
      <c r="F120" s="123">
        <f t="shared" si="58"/>
        <v>7</v>
      </c>
      <c r="G120" s="123">
        <f t="shared" si="58"/>
        <v>7</v>
      </c>
      <c r="H120" s="123">
        <f t="shared" si="58"/>
        <v>7</v>
      </c>
      <c r="I120" s="123">
        <f t="shared" si="58"/>
        <v>7</v>
      </c>
      <c r="J120" s="123">
        <f t="shared" si="58"/>
        <v>7</v>
      </c>
      <c r="K120" s="123">
        <f t="shared" si="58"/>
        <v>7</v>
      </c>
      <c r="L120" s="123">
        <f t="shared" si="58"/>
        <v>7</v>
      </c>
      <c r="M120" s="123">
        <f t="shared" si="58"/>
        <v>7</v>
      </c>
      <c r="N120" s="123">
        <f t="shared" si="58"/>
        <v>7</v>
      </c>
      <c r="O120" s="123">
        <f t="shared" si="58"/>
        <v>7</v>
      </c>
      <c r="P120" s="123">
        <f t="shared" si="58"/>
        <v>7</v>
      </c>
      <c r="Q120" s="123">
        <f t="shared" si="58"/>
        <v>7</v>
      </c>
      <c r="R120" s="123">
        <f t="shared" si="58"/>
        <v>7</v>
      </c>
      <c r="S120" s="123">
        <f t="shared" si="58"/>
        <v>7</v>
      </c>
      <c r="T120" s="123">
        <f t="shared" si="59"/>
        <v>7</v>
      </c>
      <c r="U120" s="123">
        <f t="shared" si="59"/>
        <v>7</v>
      </c>
      <c r="V120" s="123">
        <f t="shared" si="59"/>
        <v>7</v>
      </c>
      <c r="W120" s="123">
        <f t="shared" si="59"/>
        <v>7</v>
      </c>
      <c r="X120" s="123">
        <f t="shared" si="59"/>
        <v>7</v>
      </c>
      <c r="Y120" s="123">
        <f t="shared" si="59"/>
        <v>7</v>
      </c>
      <c r="Z120" s="123">
        <f t="shared" si="59"/>
        <v>7</v>
      </c>
      <c r="AA120" s="123">
        <f t="shared" si="59"/>
        <v>7</v>
      </c>
      <c r="AB120" s="123">
        <f t="shared" si="59"/>
        <v>7</v>
      </c>
      <c r="AC120" s="123">
        <f t="shared" si="59"/>
        <v>7</v>
      </c>
      <c r="AD120" s="123">
        <f t="shared" si="59"/>
        <v>7</v>
      </c>
      <c r="AE120" s="123">
        <f t="shared" si="59"/>
        <v>7</v>
      </c>
      <c r="AF120" s="123">
        <f t="shared" si="59"/>
        <v>7</v>
      </c>
      <c r="AG120" s="126">
        <v>7</v>
      </c>
      <c r="AH120" s="54"/>
      <c r="AI120" s="55"/>
      <c r="AK120" s="56"/>
    </row>
    <row r="121" spans="1:37" x14ac:dyDescent="0.25">
      <c r="A121" s="111" t="s">
        <v>125</v>
      </c>
      <c r="B121" s="123">
        <f t="shared" si="57"/>
        <v>3.47</v>
      </c>
      <c r="C121" s="124">
        <v>3.47</v>
      </c>
      <c r="D121" s="123">
        <f t="shared" ref="D121:S130" si="60">C121</f>
        <v>3.47</v>
      </c>
      <c r="E121" s="123">
        <f t="shared" si="60"/>
        <v>3.47</v>
      </c>
      <c r="F121" s="123">
        <f t="shared" si="60"/>
        <v>3.47</v>
      </c>
      <c r="G121" s="123">
        <f t="shared" si="60"/>
        <v>3.47</v>
      </c>
      <c r="H121" s="123">
        <f t="shared" si="60"/>
        <v>3.47</v>
      </c>
      <c r="I121" s="123">
        <f t="shared" si="60"/>
        <v>3.47</v>
      </c>
      <c r="J121" s="123">
        <f t="shared" si="60"/>
        <v>3.47</v>
      </c>
      <c r="K121" s="123">
        <f t="shared" si="60"/>
        <v>3.47</v>
      </c>
      <c r="L121" s="123">
        <f t="shared" si="60"/>
        <v>3.47</v>
      </c>
      <c r="M121" s="123">
        <f t="shared" si="60"/>
        <v>3.47</v>
      </c>
      <c r="N121" s="123">
        <f t="shared" si="60"/>
        <v>3.47</v>
      </c>
      <c r="O121" s="123">
        <f t="shared" si="60"/>
        <v>3.47</v>
      </c>
      <c r="P121" s="123">
        <f t="shared" si="60"/>
        <v>3.47</v>
      </c>
      <c r="Q121" s="123">
        <f t="shared" si="60"/>
        <v>3.47</v>
      </c>
      <c r="R121" s="123">
        <f t="shared" si="60"/>
        <v>3.47</v>
      </c>
      <c r="S121" s="123">
        <f t="shared" si="60"/>
        <v>3.47</v>
      </c>
      <c r="T121" s="123">
        <f t="shared" si="59"/>
        <v>3.47</v>
      </c>
      <c r="U121" s="123">
        <f t="shared" si="59"/>
        <v>3.47</v>
      </c>
      <c r="V121" s="123">
        <f t="shared" si="59"/>
        <v>3.47</v>
      </c>
      <c r="W121" s="123">
        <f t="shared" si="59"/>
        <v>3.47</v>
      </c>
      <c r="X121" s="123">
        <f t="shared" si="59"/>
        <v>3.47</v>
      </c>
      <c r="Y121" s="123">
        <f t="shared" si="59"/>
        <v>3.47</v>
      </c>
      <c r="Z121" s="123">
        <f t="shared" si="59"/>
        <v>3.47</v>
      </c>
      <c r="AA121" s="123">
        <f t="shared" si="59"/>
        <v>3.47</v>
      </c>
      <c r="AB121" s="123">
        <f t="shared" si="59"/>
        <v>3.47</v>
      </c>
      <c r="AC121" s="123">
        <f t="shared" si="59"/>
        <v>3.47</v>
      </c>
      <c r="AD121" s="123">
        <f t="shared" si="59"/>
        <v>3.47</v>
      </c>
      <c r="AE121" s="123">
        <f t="shared" si="59"/>
        <v>3.47</v>
      </c>
      <c r="AF121" s="123">
        <f t="shared" si="59"/>
        <v>3.47</v>
      </c>
      <c r="AG121" s="126">
        <v>7</v>
      </c>
      <c r="AH121" s="54"/>
      <c r="AI121" s="55"/>
      <c r="AK121" s="56"/>
    </row>
    <row r="122" spans="1:37" x14ac:dyDescent="0.25">
      <c r="A122" s="111" t="s">
        <v>126</v>
      </c>
      <c r="B122" s="123">
        <f t="shared" si="57"/>
        <v>2.1</v>
      </c>
      <c r="C122" s="124">
        <v>2.1</v>
      </c>
      <c r="D122" s="123">
        <f t="shared" si="60"/>
        <v>2.1</v>
      </c>
      <c r="E122" s="123">
        <f t="shared" si="60"/>
        <v>2.1</v>
      </c>
      <c r="F122" s="123">
        <f t="shared" si="60"/>
        <v>2.1</v>
      </c>
      <c r="G122" s="123">
        <f t="shared" si="60"/>
        <v>2.1</v>
      </c>
      <c r="H122" s="123">
        <f t="shared" si="60"/>
        <v>2.1</v>
      </c>
      <c r="I122" s="123">
        <f t="shared" si="60"/>
        <v>2.1</v>
      </c>
      <c r="J122" s="123">
        <f t="shared" si="60"/>
        <v>2.1</v>
      </c>
      <c r="K122" s="123">
        <f t="shared" si="60"/>
        <v>2.1</v>
      </c>
      <c r="L122" s="123">
        <f t="shared" si="60"/>
        <v>2.1</v>
      </c>
      <c r="M122" s="123">
        <f t="shared" si="60"/>
        <v>2.1</v>
      </c>
      <c r="N122" s="123">
        <f t="shared" si="60"/>
        <v>2.1</v>
      </c>
      <c r="O122" s="123">
        <f t="shared" si="60"/>
        <v>2.1</v>
      </c>
      <c r="P122" s="123">
        <f t="shared" si="60"/>
        <v>2.1</v>
      </c>
      <c r="Q122" s="123">
        <f t="shared" si="60"/>
        <v>2.1</v>
      </c>
      <c r="R122" s="123">
        <f t="shared" si="60"/>
        <v>2.1</v>
      </c>
      <c r="S122" s="123">
        <f t="shared" si="60"/>
        <v>2.1</v>
      </c>
      <c r="T122" s="123">
        <f t="shared" si="59"/>
        <v>2.1</v>
      </c>
      <c r="U122" s="123">
        <f t="shared" si="59"/>
        <v>2.1</v>
      </c>
      <c r="V122" s="123">
        <f t="shared" si="59"/>
        <v>2.1</v>
      </c>
      <c r="W122" s="123">
        <f t="shared" si="59"/>
        <v>2.1</v>
      </c>
      <c r="X122" s="123">
        <f t="shared" si="59"/>
        <v>2.1</v>
      </c>
      <c r="Y122" s="123">
        <f t="shared" si="59"/>
        <v>2.1</v>
      </c>
      <c r="Z122" s="123">
        <f t="shared" si="59"/>
        <v>2.1</v>
      </c>
      <c r="AA122" s="123">
        <f t="shared" si="59"/>
        <v>2.1</v>
      </c>
      <c r="AB122" s="123">
        <f t="shared" si="59"/>
        <v>2.1</v>
      </c>
      <c r="AC122" s="123">
        <f t="shared" si="59"/>
        <v>2.1</v>
      </c>
      <c r="AD122" s="123">
        <f t="shared" si="59"/>
        <v>2.1</v>
      </c>
      <c r="AE122" s="123">
        <f t="shared" si="59"/>
        <v>2.1</v>
      </c>
      <c r="AF122" s="123">
        <f t="shared" si="59"/>
        <v>2.1</v>
      </c>
      <c r="AG122" s="126">
        <v>7</v>
      </c>
      <c r="AH122" s="54"/>
      <c r="AI122" s="55"/>
      <c r="AK122" s="56"/>
    </row>
    <row r="123" spans="1:37" x14ac:dyDescent="0.25">
      <c r="A123" s="111" t="s">
        <v>127</v>
      </c>
      <c r="B123" s="123">
        <f t="shared" si="57"/>
        <v>9.3000000000000007</v>
      </c>
      <c r="C123" s="124">
        <v>9.3000000000000007</v>
      </c>
      <c r="D123" s="123">
        <f t="shared" si="60"/>
        <v>9.3000000000000007</v>
      </c>
      <c r="E123" s="123">
        <f t="shared" si="60"/>
        <v>9.3000000000000007</v>
      </c>
      <c r="F123" s="123">
        <f t="shared" si="60"/>
        <v>9.3000000000000007</v>
      </c>
      <c r="G123" s="123">
        <f t="shared" si="60"/>
        <v>9.3000000000000007</v>
      </c>
      <c r="H123" s="123">
        <f t="shared" si="60"/>
        <v>9.3000000000000007</v>
      </c>
      <c r="I123" s="123">
        <f t="shared" si="60"/>
        <v>9.3000000000000007</v>
      </c>
      <c r="J123" s="123">
        <f t="shared" si="60"/>
        <v>9.3000000000000007</v>
      </c>
      <c r="K123" s="123">
        <f t="shared" si="60"/>
        <v>9.3000000000000007</v>
      </c>
      <c r="L123" s="123">
        <f t="shared" si="60"/>
        <v>9.3000000000000007</v>
      </c>
      <c r="M123" s="123">
        <f t="shared" si="60"/>
        <v>9.3000000000000007</v>
      </c>
      <c r="N123" s="123">
        <f t="shared" si="60"/>
        <v>9.3000000000000007</v>
      </c>
      <c r="O123" s="123">
        <f t="shared" si="60"/>
        <v>9.3000000000000007</v>
      </c>
      <c r="P123" s="123">
        <f t="shared" si="60"/>
        <v>9.3000000000000007</v>
      </c>
      <c r="Q123" s="123">
        <f t="shared" si="60"/>
        <v>9.3000000000000007</v>
      </c>
      <c r="R123" s="123">
        <f t="shared" si="60"/>
        <v>9.3000000000000007</v>
      </c>
      <c r="S123" s="123">
        <f t="shared" si="60"/>
        <v>9.3000000000000007</v>
      </c>
      <c r="T123" s="123">
        <f t="shared" si="59"/>
        <v>9.3000000000000007</v>
      </c>
      <c r="U123" s="123">
        <f t="shared" si="59"/>
        <v>9.3000000000000007</v>
      </c>
      <c r="V123" s="123">
        <f t="shared" si="59"/>
        <v>9.3000000000000007</v>
      </c>
      <c r="W123" s="123">
        <f t="shared" si="59"/>
        <v>9.3000000000000007</v>
      </c>
      <c r="X123" s="123">
        <f t="shared" si="59"/>
        <v>9.3000000000000007</v>
      </c>
      <c r="Y123" s="123">
        <f t="shared" si="59"/>
        <v>9.3000000000000007</v>
      </c>
      <c r="Z123" s="123">
        <f t="shared" si="59"/>
        <v>9.3000000000000007</v>
      </c>
      <c r="AA123" s="123">
        <f t="shared" si="59"/>
        <v>9.3000000000000007</v>
      </c>
      <c r="AB123" s="123">
        <f t="shared" si="59"/>
        <v>9.3000000000000007</v>
      </c>
      <c r="AC123" s="123">
        <f t="shared" si="59"/>
        <v>9.3000000000000007</v>
      </c>
      <c r="AD123" s="123">
        <f t="shared" si="59"/>
        <v>9.3000000000000007</v>
      </c>
      <c r="AE123" s="123">
        <f t="shared" si="59"/>
        <v>9.3000000000000007</v>
      </c>
      <c r="AF123" s="123">
        <f t="shared" si="59"/>
        <v>9.3000000000000007</v>
      </c>
      <c r="AG123" s="126">
        <v>7</v>
      </c>
      <c r="AH123" s="54"/>
      <c r="AI123" s="55"/>
      <c r="AK123" s="56"/>
    </row>
    <row r="124" spans="1:37" x14ac:dyDescent="0.25">
      <c r="A124" s="111" t="s">
        <v>128</v>
      </c>
      <c r="B124" s="123">
        <f t="shared" si="57"/>
        <v>0</v>
      </c>
      <c r="C124" s="124">
        <v>0</v>
      </c>
      <c r="D124" s="123">
        <f t="shared" si="60"/>
        <v>0</v>
      </c>
      <c r="E124" s="123">
        <f t="shared" si="60"/>
        <v>0</v>
      </c>
      <c r="F124" s="123">
        <f t="shared" si="60"/>
        <v>0</v>
      </c>
      <c r="G124" s="123">
        <f t="shared" si="60"/>
        <v>0</v>
      </c>
      <c r="H124" s="123">
        <f t="shared" si="60"/>
        <v>0</v>
      </c>
      <c r="I124" s="123">
        <f t="shared" si="60"/>
        <v>0</v>
      </c>
      <c r="J124" s="123">
        <f t="shared" si="60"/>
        <v>0</v>
      </c>
      <c r="K124" s="123">
        <f t="shared" si="60"/>
        <v>0</v>
      </c>
      <c r="L124" s="123">
        <f t="shared" si="60"/>
        <v>0</v>
      </c>
      <c r="M124" s="123">
        <f t="shared" si="60"/>
        <v>0</v>
      </c>
      <c r="N124" s="123">
        <f t="shared" si="60"/>
        <v>0</v>
      </c>
      <c r="O124" s="123">
        <f t="shared" si="60"/>
        <v>0</v>
      </c>
      <c r="P124" s="123">
        <f t="shared" si="60"/>
        <v>0</v>
      </c>
      <c r="Q124" s="123">
        <f t="shared" si="60"/>
        <v>0</v>
      </c>
      <c r="R124" s="123">
        <f t="shared" si="60"/>
        <v>0</v>
      </c>
      <c r="S124" s="123">
        <f t="shared" si="60"/>
        <v>0</v>
      </c>
      <c r="T124" s="123">
        <f t="shared" si="59"/>
        <v>0</v>
      </c>
      <c r="U124" s="123">
        <f t="shared" si="59"/>
        <v>0</v>
      </c>
      <c r="V124" s="123">
        <f t="shared" si="59"/>
        <v>0</v>
      </c>
      <c r="W124" s="123">
        <f t="shared" si="59"/>
        <v>0</v>
      </c>
      <c r="X124" s="123">
        <f t="shared" si="59"/>
        <v>0</v>
      </c>
      <c r="Y124" s="123">
        <f t="shared" si="59"/>
        <v>0</v>
      </c>
      <c r="Z124" s="123">
        <f t="shared" si="59"/>
        <v>0</v>
      </c>
      <c r="AA124" s="123">
        <f t="shared" si="59"/>
        <v>0</v>
      </c>
      <c r="AB124" s="123">
        <f t="shared" si="59"/>
        <v>0</v>
      </c>
      <c r="AC124" s="123">
        <f t="shared" si="59"/>
        <v>0</v>
      </c>
      <c r="AD124" s="123">
        <f t="shared" si="59"/>
        <v>0</v>
      </c>
      <c r="AE124" s="123">
        <f t="shared" si="59"/>
        <v>0</v>
      </c>
      <c r="AF124" s="123">
        <f t="shared" si="59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129</v>
      </c>
      <c r="B125" s="123">
        <f t="shared" si="57"/>
        <v>0</v>
      </c>
      <c r="C125" s="124">
        <v>0</v>
      </c>
      <c r="D125" s="123">
        <f t="shared" si="60"/>
        <v>0</v>
      </c>
      <c r="E125" s="123">
        <f t="shared" si="60"/>
        <v>0</v>
      </c>
      <c r="F125" s="123">
        <f t="shared" si="60"/>
        <v>0</v>
      </c>
      <c r="G125" s="123">
        <f t="shared" si="60"/>
        <v>0</v>
      </c>
      <c r="H125" s="123">
        <f t="shared" si="60"/>
        <v>0</v>
      </c>
      <c r="I125" s="123">
        <f t="shared" si="60"/>
        <v>0</v>
      </c>
      <c r="J125" s="123">
        <f t="shared" si="60"/>
        <v>0</v>
      </c>
      <c r="K125" s="123">
        <f t="shared" si="60"/>
        <v>0</v>
      </c>
      <c r="L125" s="123">
        <f t="shared" si="60"/>
        <v>0</v>
      </c>
      <c r="M125" s="123">
        <f t="shared" si="60"/>
        <v>0</v>
      </c>
      <c r="N125" s="123">
        <f t="shared" si="60"/>
        <v>0</v>
      </c>
      <c r="O125" s="123">
        <f t="shared" si="60"/>
        <v>0</v>
      </c>
      <c r="P125" s="123">
        <f t="shared" si="60"/>
        <v>0</v>
      </c>
      <c r="Q125" s="123">
        <f t="shared" si="60"/>
        <v>0</v>
      </c>
      <c r="R125" s="123">
        <f t="shared" si="60"/>
        <v>0</v>
      </c>
      <c r="S125" s="123">
        <f t="shared" si="60"/>
        <v>0</v>
      </c>
      <c r="T125" s="123">
        <f t="shared" si="59"/>
        <v>0</v>
      </c>
      <c r="U125" s="123">
        <f t="shared" si="59"/>
        <v>0</v>
      </c>
      <c r="V125" s="123">
        <f t="shared" si="59"/>
        <v>0</v>
      </c>
      <c r="W125" s="123">
        <f t="shared" si="59"/>
        <v>0</v>
      </c>
      <c r="X125" s="123">
        <f t="shared" si="59"/>
        <v>0</v>
      </c>
      <c r="Y125" s="123">
        <f t="shared" si="59"/>
        <v>0</v>
      </c>
      <c r="Z125" s="123">
        <f t="shared" si="59"/>
        <v>0</v>
      </c>
      <c r="AA125" s="123">
        <f t="shared" si="59"/>
        <v>0</v>
      </c>
      <c r="AB125" s="123">
        <f t="shared" si="59"/>
        <v>0</v>
      </c>
      <c r="AC125" s="123">
        <f t="shared" si="59"/>
        <v>0</v>
      </c>
      <c r="AD125" s="123">
        <f t="shared" si="59"/>
        <v>0</v>
      </c>
      <c r="AE125" s="123">
        <f t="shared" si="59"/>
        <v>0</v>
      </c>
      <c r="AF125" s="123">
        <f t="shared" si="59"/>
        <v>0</v>
      </c>
      <c r="AG125" s="126">
        <v>6.6</v>
      </c>
      <c r="AH125" s="54"/>
      <c r="AI125" s="55"/>
      <c r="AK125" s="56"/>
    </row>
    <row r="126" spans="1:37" x14ac:dyDescent="0.25">
      <c r="A126" s="111" t="s">
        <v>130</v>
      </c>
      <c r="B126" s="123" t="str">
        <f t="shared" si="57"/>
        <v>;/</v>
      </c>
      <c r="C126" s="124">
        <v>5</v>
      </c>
      <c r="D126" s="123">
        <f t="shared" si="60"/>
        <v>5</v>
      </c>
      <c r="E126" s="123">
        <f t="shared" si="60"/>
        <v>5</v>
      </c>
      <c r="F126" s="123">
        <f t="shared" si="60"/>
        <v>5</v>
      </c>
      <c r="G126" s="123">
        <f t="shared" si="60"/>
        <v>5</v>
      </c>
      <c r="H126" s="123">
        <f t="shared" si="60"/>
        <v>5</v>
      </c>
      <c r="I126" s="123" t="s">
        <v>131</v>
      </c>
      <c r="J126" s="123" t="str">
        <f t="shared" si="60"/>
        <v>;/</v>
      </c>
      <c r="K126" s="123" t="str">
        <f t="shared" si="60"/>
        <v>;/</v>
      </c>
      <c r="L126" s="123" t="str">
        <f t="shared" si="60"/>
        <v>;/</v>
      </c>
      <c r="M126" s="123" t="str">
        <f t="shared" si="60"/>
        <v>;/</v>
      </c>
      <c r="N126" s="123" t="str">
        <f t="shared" si="60"/>
        <v>;/</v>
      </c>
      <c r="O126" s="123" t="str">
        <f t="shared" si="60"/>
        <v>;/</v>
      </c>
      <c r="P126" s="123" t="str">
        <f t="shared" si="60"/>
        <v>;/</v>
      </c>
      <c r="Q126" s="123" t="str">
        <f t="shared" si="60"/>
        <v>;/</v>
      </c>
      <c r="R126" s="123" t="str">
        <f t="shared" si="60"/>
        <v>;/</v>
      </c>
      <c r="S126" s="123" t="str">
        <f t="shared" si="60"/>
        <v>;/</v>
      </c>
      <c r="T126" s="123" t="str">
        <f t="shared" si="59"/>
        <v>;/</v>
      </c>
      <c r="U126" s="123" t="str">
        <f t="shared" si="59"/>
        <v>;/</v>
      </c>
      <c r="V126" s="123" t="str">
        <f t="shared" si="59"/>
        <v>;/</v>
      </c>
      <c r="W126" s="123" t="str">
        <f t="shared" si="59"/>
        <v>;/</v>
      </c>
      <c r="X126" s="123" t="str">
        <f t="shared" si="59"/>
        <v>;/</v>
      </c>
      <c r="Y126" s="123" t="str">
        <f t="shared" si="59"/>
        <v>;/</v>
      </c>
      <c r="Z126" s="123" t="str">
        <f t="shared" si="59"/>
        <v>;/</v>
      </c>
      <c r="AA126" s="123" t="str">
        <f t="shared" si="59"/>
        <v>;/</v>
      </c>
      <c r="AB126" s="123" t="str">
        <f t="shared" si="59"/>
        <v>;/</v>
      </c>
      <c r="AC126" s="123" t="str">
        <f t="shared" si="59"/>
        <v>;/</v>
      </c>
      <c r="AD126" s="123" t="str">
        <f t="shared" si="59"/>
        <v>;/</v>
      </c>
      <c r="AE126" s="123" t="str">
        <f t="shared" si="59"/>
        <v>;/</v>
      </c>
      <c r="AF126" s="123" t="str">
        <f t="shared" si="59"/>
        <v>;/</v>
      </c>
      <c r="AG126" s="126">
        <v>6.4</v>
      </c>
      <c r="AH126" s="54"/>
      <c r="AI126" s="55"/>
      <c r="AK126" s="56"/>
    </row>
    <row r="127" spans="1:37" x14ac:dyDescent="0.25">
      <c r="A127" s="111" t="s">
        <v>132</v>
      </c>
      <c r="B127" s="123">
        <f t="shared" si="57"/>
        <v>1</v>
      </c>
      <c r="C127" s="124">
        <v>1</v>
      </c>
      <c r="D127" s="123">
        <f t="shared" si="60"/>
        <v>1</v>
      </c>
      <c r="E127" s="123">
        <f t="shared" si="60"/>
        <v>1</v>
      </c>
      <c r="F127" s="123">
        <f t="shared" si="60"/>
        <v>1</v>
      </c>
      <c r="G127" s="123">
        <f t="shared" si="60"/>
        <v>1</v>
      </c>
      <c r="H127" s="123">
        <f t="shared" si="60"/>
        <v>1</v>
      </c>
      <c r="I127" s="123">
        <f t="shared" si="60"/>
        <v>1</v>
      </c>
      <c r="J127" s="123">
        <f t="shared" si="60"/>
        <v>1</v>
      </c>
      <c r="K127" s="123">
        <f t="shared" si="60"/>
        <v>1</v>
      </c>
      <c r="L127" s="123">
        <f t="shared" si="60"/>
        <v>1</v>
      </c>
      <c r="M127" s="123">
        <f t="shared" si="60"/>
        <v>1</v>
      </c>
      <c r="N127" s="123">
        <f t="shared" si="60"/>
        <v>1</v>
      </c>
      <c r="O127" s="123">
        <f t="shared" si="60"/>
        <v>1</v>
      </c>
      <c r="P127" s="123">
        <f t="shared" si="60"/>
        <v>1</v>
      </c>
      <c r="Q127" s="123">
        <f t="shared" si="60"/>
        <v>1</v>
      </c>
      <c r="R127" s="123">
        <f t="shared" si="60"/>
        <v>1</v>
      </c>
      <c r="S127" s="123">
        <f t="shared" si="60"/>
        <v>1</v>
      </c>
      <c r="T127" s="123">
        <f t="shared" si="59"/>
        <v>1</v>
      </c>
      <c r="U127" s="123">
        <f t="shared" si="59"/>
        <v>1</v>
      </c>
      <c r="V127" s="123">
        <f t="shared" si="59"/>
        <v>1</v>
      </c>
      <c r="W127" s="123">
        <f t="shared" si="59"/>
        <v>1</v>
      </c>
      <c r="X127" s="123">
        <f t="shared" si="59"/>
        <v>1</v>
      </c>
      <c r="Y127" s="123">
        <f t="shared" si="59"/>
        <v>1</v>
      </c>
      <c r="Z127" s="123">
        <f t="shared" si="59"/>
        <v>1</v>
      </c>
      <c r="AA127" s="123">
        <f t="shared" si="59"/>
        <v>1</v>
      </c>
      <c r="AB127" s="123">
        <f t="shared" si="59"/>
        <v>1</v>
      </c>
      <c r="AC127" s="123">
        <f t="shared" si="59"/>
        <v>1</v>
      </c>
      <c r="AD127" s="123">
        <f t="shared" si="59"/>
        <v>1</v>
      </c>
      <c r="AE127" s="123">
        <f t="shared" si="59"/>
        <v>1</v>
      </c>
      <c r="AF127" s="123">
        <f t="shared" si="59"/>
        <v>1</v>
      </c>
      <c r="AG127" s="126">
        <v>6</v>
      </c>
      <c r="AH127" s="54"/>
      <c r="AI127" s="55"/>
      <c r="AK127" s="56"/>
    </row>
    <row r="128" spans="1:37" x14ac:dyDescent="0.25">
      <c r="A128" s="111" t="s">
        <v>133</v>
      </c>
      <c r="B128" s="123">
        <f t="shared" si="57"/>
        <v>1.58</v>
      </c>
      <c r="C128" s="124">
        <v>1.58</v>
      </c>
      <c r="D128" s="123">
        <f t="shared" si="60"/>
        <v>1.58</v>
      </c>
      <c r="E128" s="123">
        <f t="shared" si="60"/>
        <v>1.58</v>
      </c>
      <c r="F128" s="123">
        <f t="shared" si="60"/>
        <v>1.58</v>
      </c>
      <c r="G128" s="123">
        <f t="shared" si="60"/>
        <v>1.58</v>
      </c>
      <c r="H128" s="123">
        <f t="shared" si="60"/>
        <v>1.58</v>
      </c>
      <c r="I128" s="123">
        <f t="shared" si="60"/>
        <v>1.58</v>
      </c>
      <c r="J128" s="123">
        <f t="shared" si="60"/>
        <v>1.58</v>
      </c>
      <c r="K128" s="123">
        <f t="shared" si="60"/>
        <v>1.58</v>
      </c>
      <c r="L128" s="123">
        <f t="shared" si="60"/>
        <v>1.58</v>
      </c>
      <c r="M128" s="123">
        <f t="shared" si="60"/>
        <v>1.58</v>
      </c>
      <c r="N128" s="123">
        <f t="shared" si="60"/>
        <v>1.58</v>
      </c>
      <c r="O128" s="123">
        <f t="shared" si="60"/>
        <v>1.58</v>
      </c>
      <c r="P128" s="123">
        <f t="shared" si="60"/>
        <v>1.58</v>
      </c>
      <c r="Q128" s="123">
        <f t="shared" si="60"/>
        <v>1.58</v>
      </c>
      <c r="R128" s="123">
        <f t="shared" si="60"/>
        <v>1.58</v>
      </c>
      <c r="S128" s="123">
        <f t="shared" si="60"/>
        <v>1.58</v>
      </c>
      <c r="T128" s="123">
        <f t="shared" si="59"/>
        <v>1.58</v>
      </c>
      <c r="U128" s="123">
        <f t="shared" si="59"/>
        <v>1.58</v>
      </c>
      <c r="V128" s="123">
        <f t="shared" si="59"/>
        <v>1.58</v>
      </c>
      <c r="W128" s="123">
        <f t="shared" si="59"/>
        <v>1.58</v>
      </c>
      <c r="X128" s="123">
        <f t="shared" si="59"/>
        <v>1.58</v>
      </c>
      <c r="Y128" s="123">
        <f t="shared" si="59"/>
        <v>1.58</v>
      </c>
      <c r="Z128" s="123">
        <f t="shared" si="59"/>
        <v>1.58</v>
      </c>
      <c r="AA128" s="123">
        <f t="shared" si="59"/>
        <v>1.58</v>
      </c>
      <c r="AB128" s="123">
        <f t="shared" si="59"/>
        <v>1.58</v>
      </c>
      <c r="AC128" s="123">
        <f t="shared" si="59"/>
        <v>1.58</v>
      </c>
      <c r="AD128" s="123">
        <f t="shared" si="59"/>
        <v>1.58</v>
      </c>
      <c r="AE128" s="123">
        <f t="shared" si="59"/>
        <v>1.58</v>
      </c>
      <c r="AF128" s="123">
        <f t="shared" si="59"/>
        <v>1.58</v>
      </c>
      <c r="AG128" s="126">
        <v>5.0999999999999996</v>
      </c>
      <c r="AH128" s="54"/>
      <c r="AI128" s="55"/>
      <c r="AK128" s="56"/>
    </row>
    <row r="129" spans="1:37" x14ac:dyDescent="0.25">
      <c r="A129" s="111" t="s">
        <v>134</v>
      </c>
      <c r="B129" s="123">
        <f t="shared" si="57"/>
        <v>1.46</v>
      </c>
      <c r="C129" s="124">
        <v>1.46</v>
      </c>
      <c r="D129" s="123">
        <f t="shared" si="60"/>
        <v>1.46</v>
      </c>
      <c r="E129" s="123">
        <f t="shared" si="60"/>
        <v>1.46</v>
      </c>
      <c r="F129" s="123">
        <f t="shared" si="60"/>
        <v>1.46</v>
      </c>
      <c r="G129" s="123">
        <f t="shared" si="60"/>
        <v>1.46</v>
      </c>
      <c r="H129" s="123">
        <f t="shared" si="60"/>
        <v>1.46</v>
      </c>
      <c r="I129" s="123">
        <f t="shared" si="60"/>
        <v>1.46</v>
      </c>
      <c r="J129" s="123">
        <f t="shared" si="60"/>
        <v>1.46</v>
      </c>
      <c r="K129" s="123">
        <f t="shared" si="60"/>
        <v>1.46</v>
      </c>
      <c r="L129" s="123">
        <f t="shared" si="60"/>
        <v>1.46</v>
      </c>
      <c r="M129" s="123">
        <f t="shared" si="60"/>
        <v>1.46</v>
      </c>
      <c r="N129" s="123">
        <f t="shared" si="60"/>
        <v>1.46</v>
      </c>
      <c r="O129" s="123">
        <f t="shared" si="60"/>
        <v>1.46</v>
      </c>
      <c r="P129" s="123">
        <f t="shared" si="60"/>
        <v>1.46</v>
      </c>
      <c r="Q129" s="123">
        <f t="shared" si="60"/>
        <v>1.46</v>
      </c>
      <c r="R129" s="123">
        <f t="shared" si="60"/>
        <v>1.46</v>
      </c>
      <c r="S129" s="123">
        <f t="shared" si="60"/>
        <v>1.46</v>
      </c>
      <c r="T129" s="123">
        <f t="shared" ref="T129:AF130" si="61">S129</f>
        <v>1.46</v>
      </c>
      <c r="U129" s="123">
        <f t="shared" si="61"/>
        <v>1.46</v>
      </c>
      <c r="V129" s="123">
        <f t="shared" si="61"/>
        <v>1.46</v>
      </c>
      <c r="W129" s="123">
        <f t="shared" si="61"/>
        <v>1.46</v>
      </c>
      <c r="X129" s="123">
        <f t="shared" si="61"/>
        <v>1.46</v>
      </c>
      <c r="Y129" s="123">
        <f t="shared" si="61"/>
        <v>1.46</v>
      </c>
      <c r="Z129" s="123">
        <f t="shared" si="61"/>
        <v>1.46</v>
      </c>
      <c r="AA129" s="123">
        <f t="shared" si="61"/>
        <v>1.46</v>
      </c>
      <c r="AB129" s="123">
        <f t="shared" si="61"/>
        <v>1.46</v>
      </c>
      <c r="AC129" s="123">
        <f t="shared" si="61"/>
        <v>1.46</v>
      </c>
      <c r="AD129" s="123">
        <f t="shared" si="61"/>
        <v>1.46</v>
      </c>
      <c r="AE129" s="123">
        <f t="shared" si="61"/>
        <v>1.46</v>
      </c>
      <c r="AF129" s="123">
        <f t="shared" si="61"/>
        <v>1.46</v>
      </c>
      <c r="AG129" s="126">
        <v>5</v>
      </c>
      <c r="AH129" s="54"/>
      <c r="AI129" s="55"/>
      <c r="AK129" s="56"/>
    </row>
    <row r="130" spans="1:37" x14ac:dyDescent="0.25">
      <c r="A130" s="109" t="s">
        <v>135</v>
      </c>
      <c r="B130" s="123">
        <f t="shared" si="57"/>
        <v>1.48</v>
      </c>
      <c r="C130" s="124">
        <v>1.48</v>
      </c>
      <c r="D130" s="123">
        <f t="shared" si="60"/>
        <v>1.48</v>
      </c>
      <c r="E130" s="123">
        <f t="shared" si="60"/>
        <v>1.48</v>
      </c>
      <c r="F130" s="123">
        <f t="shared" si="60"/>
        <v>1.48</v>
      </c>
      <c r="G130" s="123">
        <f t="shared" si="60"/>
        <v>1.48</v>
      </c>
      <c r="H130" s="123">
        <f t="shared" si="60"/>
        <v>1.48</v>
      </c>
      <c r="I130" s="123">
        <f t="shared" si="60"/>
        <v>1.48</v>
      </c>
      <c r="J130" s="123">
        <f t="shared" si="60"/>
        <v>1.48</v>
      </c>
      <c r="K130" s="123">
        <f t="shared" si="60"/>
        <v>1.48</v>
      </c>
      <c r="L130" s="123">
        <f t="shared" si="60"/>
        <v>1.48</v>
      </c>
      <c r="M130" s="123">
        <f t="shared" si="60"/>
        <v>1.48</v>
      </c>
      <c r="N130" s="123">
        <f t="shared" si="60"/>
        <v>1.48</v>
      </c>
      <c r="O130" s="123">
        <f t="shared" si="60"/>
        <v>1.48</v>
      </c>
      <c r="P130" s="123">
        <f t="shared" si="60"/>
        <v>1.48</v>
      </c>
      <c r="Q130" s="123">
        <f t="shared" si="60"/>
        <v>1.48</v>
      </c>
      <c r="R130" s="123">
        <f t="shared" si="60"/>
        <v>1.48</v>
      </c>
      <c r="S130" s="123">
        <f t="shared" si="60"/>
        <v>1.48</v>
      </c>
      <c r="T130" s="123">
        <f t="shared" si="61"/>
        <v>1.48</v>
      </c>
      <c r="U130" s="123">
        <f t="shared" si="61"/>
        <v>1.48</v>
      </c>
      <c r="V130" s="123">
        <f t="shared" si="61"/>
        <v>1.48</v>
      </c>
      <c r="W130" s="123">
        <f t="shared" si="61"/>
        <v>1.48</v>
      </c>
      <c r="X130" s="123">
        <f t="shared" si="61"/>
        <v>1.48</v>
      </c>
      <c r="Y130" s="123">
        <f t="shared" si="61"/>
        <v>1.48</v>
      </c>
      <c r="Z130" s="123">
        <f t="shared" si="61"/>
        <v>1.48</v>
      </c>
      <c r="AA130" s="123">
        <f t="shared" si="61"/>
        <v>1.48</v>
      </c>
      <c r="AB130" s="123">
        <f t="shared" si="61"/>
        <v>1.48</v>
      </c>
      <c r="AC130" s="123">
        <f t="shared" si="61"/>
        <v>1.48</v>
      </c>
      <c r="AD130" s="123">
        <f t="shared" si="61"/>
        <v>1.48</v>
      </c>
      <c r="AE130" s="123">
        <f t="shared" si="61"/>
        <v>1.48</v>
      </c>
      <c r="AF130" s="123">
        <f t="shared" si="61"/>
        <v>1.48</v>
      </c>
      <c r="AG130" s="125">
        <v>5</v>
      </c>
      <c r="AH130" s="54"/>
      <c r="AI130" s="55"/>
      <c r="AK130" s="56"/>
    </row>
    <row r="131" spans="1:37" x14ac:dyDescent="0.25">
      <c r="A131" s="111" t="s">
        <v>136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4"/>
      <c r="AI131" s="55"/>
      <c r="AK131" s="56"/>
    </row>
    <row r="132" spans="1:37" x14ac:dyDescent="0.25">
      <c r="A132" s="111" t="s">
        <v>137</v>
      </c>
      <c r="B132" s="123">
        <f t="shared" ref="B132:B139" si="62">AF132</f>
        <v>2.2000000000000002</v>
      </c>
      <c r="C132" s="124">
        <v>2.2000000000000002</v>
      </c>
      <c r="D132" s="123">
        <f t="shared" ref="D132:S139" si="63">C132</f>
        <v>2.2000000000000002</v>
      </c>
      <c r="E132" s="123">
        <f t="shared" si="63"/>
        <v>2.2000000000000002</v>
      </c>
      <c r="F132" s="123">
        <f t="shared" si="63"/>
        <v>2.2000000000000002</v>
      </c>
      <c r="G132" s="123">
        <f t="shared" si="63"/>
        <v>2.2000000000000002</v>
      </c>
      <c r="H132" s="123">
        <f t="shared" si="63"/>
        <v>2.2000000000000002</v>
      </c>
      <c r="I132" s="123">
        <f t="shared" si="63"/>
        <v>2.2000000000000002</v>
      </c>
      <c r="J132" s="123">
        <f t="shared" si="63"/>
        <v>2.2000000000000002</v>
      </c>
      <c r="K132" s="123">
        <f t="shared" si="63"/>
        <v>2.2000000000000002</v>
      </c>
      <c r="L132" s="123">
        <f t="shared" si="63"/>
        <v>2.2000000000000002</v>
      </c>
      <c r="M132" s="123">
        <f t="shared" si="63"/>
        <v>2.2000000000000002</v>
      </c>
      <c r="N132" s="123">
        <f t="shared" si="63"/>
        <v>2.2000000000000002</v>
      </c>
      <c r="O132" s="123">
        <f t="shared" si="63"/>
        <v>2.2000000000000002</v>
      </c>
      <c r="P132" s="123">
        <f t="shared" si="63"/>
        <v>2.2000000000000002</v>
      </c>
      <c r="Q132" s="123">
        <f t="shared" si="63"/>
        <v>2.2000000000000002</v>
      </c>
      <c r="R132" s="123">
        <f t="shared" si="63"/>
        <v>2.2000000000000002</v>
      </c>
      <c r="S132" s="123">
        <f t="shared" si="63"/>
        <v>2.2000000000000002</v>
      </c>
      <c r="T132" s="123">
        <f t="shared" ref="T132:AF139" si="64">S132</f>
        <v>2.2000000000000002</v>
      </c>
      <c r="U132" s="123">
        <f t="shared" si="64"/>
        <v>2.2000000000000002</v>
      </c>
      <c r="V132" s="123">
        <f t="shared" si="64"/>
        <v>2.2000000000000002</v>
      </c>
      <c r="W132" s="123">
        <f t="shared" si="64"/>
        <v>2.2000000000000002</v>
      </c>
      <c r="X132" s="123">
        <f t="shared" si="64"/>
        <v>2.2000000000000002</v>
      </c>
      <c r="Y132" s="123">
        <f t="shared" si="64"/>
        <v>2.2000000000000002</v>
      </c>
      <c r="Z132" s="123">
        <f t="shared" si="64"/>
        <v>2.2000000000000002</v>
      </c>
      <c r="AA132" s="123">
        <f t="shared" si="64"/>
        <v>2.2000000000000002</v>
      </c>
      <c r="AB132" s="123">
        <f t="shared" si="64"/>
        <v>2.2000000000000002</v>
      </c>
      <c r="AC132" s="123">
        <f t="shared" si="64"/>
        <v>2.2000000000000002</v>
      </c>
      <c r="AD132" s="123">
        <f t="shared" si="64"/>
        <v>2.2000000000000002</v>
      </c>
      <c r="AE132" s="123">
        <f t="shared" si="64"/>
        <v>2.2000000000000002</v>
      </c>
      <c r="AF132" s="123">
        <f t="shared" si="64"/>
        <v>2.2000000000000002</v>
      </c>
      <c r="AG132" s="126">
        <v>5</v>
      </c>
      <c r="AH132" s="54"/>
      <c r="AI132" s="55"/>
      <c r="AK132" s="56"/>
    </row>
    <row r="133" spans="1:37" x14ac:dyDescent="0.25">
      <c r="A133" s="111" t="s">
        <v>138</v>
      </c>
      <c r="B133" s="123">
        <f t="shared" si="62"/>
        <v>2</v>
      </c>
      <c r="C133" s="124">
        <v>2</v>
      </c>
      <c r="D133" s="123">
        <f t="shared" si="63"/>
        <v>2</v>
      </c>
      <c r="E133" s="123">
        <f t="shared" si="63"/>
        <v>2</v>
      </c>
      <c r="F133" s="123">
        <f t="shared" si="63"/>
        <v>2</v>
      </c>
      <c r="G133" s="123">
        <f t="shared" si="63"/>
        <v>2</v>
      </c>
      <c r="H133" s="123">
        <f t="shared" si="63"/>
        <v>2</v>
      </c>
      <c r="I133" s="123">
        <f t="shared" si="63"/>
        <v>2</v>
      </c>
      <c r="J133" s="123">
        <f t="shared" si="63"/>
        <v>2</v>
      </c>
      <c r="K133" s="123">
        <f t="shared" si="63"/>
        <v>2</v>
      </c>
      <c r="L133" s="123">
        <f t="shared" si="63"/>
        <v>2</v>
      </c>
      <c r="M133" s="123">
        <f t="shared" si="63"/>
        <v>2</v>
      </c>
      <c r="N133" s="123">
        <f t="shared" si="63"/>
        <v>2</v>
      </c>
      <c r="O133" s="123">
        <f t="shared" si="63"/>
        <v>2</v>
      </c>
      <c r="P133" s="123">
        <f t="shared" si="63"/>
        <v>2</v>
      </c>
      <c r="Q133" s="123">
        <f t="shared" si="63"/>
        <v>2</v>
      </c>
      <c r="R133" s="123">
        <f t="shared" si="63"/>
        <v>2</v>
      </c>
      <c r="S133" s="123">
        <f t="shared" si="63"/>
        <v>2</v>
      </c>
      <c r="T133" s="123">
        <f t="shared" si="64"/>
        <v>2</v>
      </c>
      <c r="U133" s="123">
        <f t="shared" si="64"/>
        <v>2</v>
      </c>
      <c r="V133" s="123">
        <f t="shared" si="64"/>
        <v>2</v>
      </c>
      <c r="W133" s="123">
        <f t="shared" si="64"/>
        <v>2</v>
      </c>
      <c r="X133" s="123">
        <f t="shared" si="64"/>
        <v>2</v>
      </c>
      <c r="Y133" s="123">
        <f t="shared" si="64"/>
        <v>2</v>
      </c>
      <c r="Z133" s="123">
        <f t="shared" si="64"/>
        <v>2</v>
      </c>
      <c r="AA133" s="123">
        <f t="shared" si="64"/>
        <v>2</v>
      </c>
      <c r="AB133" s="123">
        <f t="shared" si="64"/>
        <v>2</v>
      </c>
      <c r="AC133" s="123">
        <f t="shared" si="64"/>
        <v>2</v>
      </c>
      <c r="AD133" s="123">
        <f t="shared" si="64"/>
        <v>2</v>
      </c>
      <c r="AE133" s="123">
        <f t="shared" si="64"/>
        <v>2</v>
      </c>
      <c r="AF133" s="123">
        <f t="shared" si="64"/>
        <v>2</v>
      </c>
      <c r="AG133" s="126">
        <v>5</v>
      </c>
      <c r="AH133" s="54"/>
      <c r="AI133" s="55"/>
      <c r="AK133" s="56"/>
    </row>
    <row r="134" spans="1:37" x14ac:dyDescent="0.25">
      <c r="A134" s="111" t="s">
        <v>139</v>
      </c>
      <c r="B134" s="123">
        <f t="shared" si="62"/>
        <v>1.25</v>
      </c>
      <c r="C134" s="124">
        <v>1.25</v>
      </c>
      <c r="D134" s="123">
        <f t="shared" si="63"/>
        <v>1.25</v>
      </c>
      <c r="E134" s="123">
        <f t="shared" si="63"/>
        <v>1.25</v>
      </c>
      <c r="F134" s="123">
        <f t="shared" si="63"/>
        <v>1.25</v>
      </c>
      <c r="G134" s="123">
        <f t="shared" si="63"/>
        <v>1.25</v>
      </c>
      <c r="H134" s="123">
        <f t="shared" si="63"/>
        <v>1.25</v>
      </c>
      <c r="I134" s="123">
        <f t="shared" si="63"/>
        <v>1.25</v>
      </c>
      <c r="J134" s="123">
        <f t="shared" si="63"/>
        <v>1.25</v>
      </c>
      <c r="K134" s="123">
        <f t="shared" si="63"/>
        <v>1.25</v>
      </c>
      <c r="L134" s="123">
        <f t="shared" si="63"/>
        <v>1.25</v>
      </c>
      <c r="M134" s="123">
        <f t="shared" si="63"/>
        <v>1.25</v>
      </c>
      <c r="N134" s="123">
        <f t="shared" si="63"/>
        <v>1.25</v>
      </c>
      <c r="O134" s="123">
        <f t="shared" si="63"/>
        <v>1.25</v>
      </c>
      <c r="P134" s="123">
        <f t="shared" si="63"/>
        <v>1.25</v>
      </c>
      <c r="Q134" s="123">
        <f t="shared" si="63"/>
        <v>1.25</v>
      </c>
      <c r="R134" s="123">
        <f t="shared" si="63"/>
        <v>1.25</v>
      </c>
      <c r="S134" s="123">
        <f t="shared" si="63"/>
        <v>1.25</v>
      </c>
      <c r="T134" s="123">
        <f t="shared" si="64"/>
        <v>1.25</v>
      </c>
      <c r="U134" s="123">
        <f t="shared" si="64"/>
        <v>1.25</v>
      </c>
      <c r="V134" s="123">
        <f t="shared" si="64"/>
        <v>1.25</v>
      </c>
      <c r="W134" s="123">
        <f t="shared" si="64"/>
        <v>1.25</v>
      </c>
      <c r="X134" s="123">
        <f t="shared" si="64"/>
        <v>1.25</v>
      </c>
      <c r="Y134" s="123">
        <f t="shared" si="64"/>
        <v>1.25</v>
      </c>
      <c r="Z134" s="123">
        <f t="shared" si="64"/>
        <v>1.25</v>
      </c>
      <c r="AA134" s="123">
        <f t="shared" si="64"/>
        <v>1.25</v>
      </c>
      <c r="AB134" s="123">
        <f t="shared" si="64"/>
        <v>1.25</v>
      </c>
      <c r="AC134" s="123">
        <f t="shared" si="64"/>
        <v>1.25</v>
      </c>
      <c r="AD134" s="123">
        <f t="shared" si="64"/>
        <v>1.25</v>
      </c>
      <c r="AE134" s="123">
        <f t="shared" si="64"/>
        <v>1.25</v>
      </c>
      <c r="AF134" s="123">
        <f t="shared" si="64"/>
        <v>1.25</v>
      </c>
      <c r="AG134" s="126">
        <v>5</v>
      </c>
      <c r="AH134" s="54"/>
      <c r="AI134" s="55"/>
      <c r="AK134" s="56"/>
    </row>
    <row r="135" spans="1:37" x14ac:dyDescent="0.25">
      <c r="A135" s="111" t="s">
        <v>140</v>
      </c>
      <c r="B135" s="123">
        <f t="shared" si="62"/>
        <v>1.1499999999999999</v>
      </c>
      <c r="C135" s="124">
        <v>1.1499999999999999</v>
      </c>
      <c r="D135" s="123">
        <f t="shared" si="63"/>
        <v>1.1499999999999999</v>
      </c>
      <c r="E135" s="123">
        <f t="shared" si="63"/>
        <v>1.1499999999999999</v>
      </c>
      <c r="F135" s="123">
        <f t="shared" si="63"/>
        <v>1.1499999999999999</v>
      </c>
      <c r="G135" s="123">
        <f t="shared" si="63"/>
        <v>1.1499999999999999</v>
      </c>
      <c r="H135" s="123">
        <f t="shared" si="63"/>
        <v>1.1499999999999999</v>
      </c>
      <c r="I135" s="123">
        <f t="shared" si="63"/>
        <v>1.1499999999999999</v>
      </c>
      <c r="J135" s="123">
        <f t="shared" si="63"/>
        <v>1.1499999999999999</v>
      </c>
      <c r="K135" s="123">
        <f t="shared" si="63"/>
        <v>1.1499999999999999</v>
      </c>
      <c r="L135" s="123">
        <f t="shared" si="63"/>
        <v>1.1499999999999999</v>
      </c>
      <c r="M135" s="123">
        <f t="shared" si="63"/>
        <v>1.1499999999999999</v>
      </c>
      <c r="N135" s="123">
        <f t="shared" si="63"/>
        <v>1.1499999999999999</v>
      </c>
      <c r="O135" s="123">
        <f t="shared" si="63"/>
        <v>1.1499999999999999</v>
      </c>
      <c r="P135" s="123">
        <f t="shared" si="63"/>
        <v>1.1499999999999999</v>
      </c>
      <c r="Q135" s="123">
        <f t="shared" si="63"/>
        <v>1.1499999999999999</v>
      </c>
      <c r="R135" s="123">
        <f t="shared" si="63"/>
        <v>1.1499999999999999</v>
      </c>
      <c r="S135" s="123">
        <f t="shared" si="63"/>
        <v>1.1499999999999999</v>
      </c>
      <c r="T135" s="123">
        <f t="shared" si="64"/>
        <v>1.1499999999999999</v>
      </c>
      <c r="U135" s="123">
        <f t="shared" si="64"/>
        <v>1.1499999999999999</v>
      </c>
      <c r="V135" s="123">
        <f t="shared" si="64"/>
        <v>1.1499999999999999</v>
      </c>
      <c r="W135" s="123">
        <f t="shared" si="64"/>
        <v>1.1499999999999999</v>
      </c>
      <c r="X135" s="123">
        <f t="shared" si="64"/>
        <v>1.1499999999999999</v>
      </c>
      <c r="Y135" s="123">
        <f t="shared" si="64"/>
        <v>1.1499999999999999</v>
      </c>
      <c r="Z135" s="123">
        <f t="shared" si="64"/>
        <v>1.1499999999999999</v>
      </c>
      <c r="AA135" s="123">
        <f t="shared" si="64"/>
        <v>1.1499999999999999</v>
      </c>
      <c r="AB135" s="123">
        <f t="shared" si="64"/>
        <v>1.1499999999999999</v>
      </c>
      <c r="AC135" s="123">
        <f t="shared" si="64"/>
        <v>1.1499999999999999</v>
      </c>
      <c r="AD135" s="123">
        <f t="shared" si="64"/>
        <v>1.1499999999999999</v>
      </c>
      <c r="AE135" s="123">
        <f t="shared" si="64"/>
        <v>1.1499999999999999</v>
      </c>
      <c r="AF135" s="123">
        <f t="shared" si="64"/>
        <v>1.1499999999999999</v>
      </c>
      <c r="AG135" s="126">
        <v>5</v>
      </c>
      <c r="AH135" s="54"/>
      <c r="AI135" s="55"/>
      <c r="AK135" s="56"/>
    </row>
    <row r="136" spans="1:37" x14ac:dyDescent="0.25">
      <c r="A136" s="111" t="s">
        <v>141</v>
      </c>
      <c r="B136" s="123">
        <f t="shared" si="62"/>
        <v>2.133</v>
      </c>
      <c r="C136" s="124">
        <v>2.133</v>
      </c>
      <c r="D136" s="123">
        <f t="shared" si="63"/>
        <v>2.133</v>
      </c>
      <c r="E136" s="123">
        <f t="shared" si="63"/>
        <v>2.133</v>
      </c>
      <c r="F136" s="123">
        <f t="shared" si="63"/>
        <v>2.133</v>
      </c>
      <c r="G136" s="123">
        <f t="shared" si="63"/>
        <v>2.133</v>
      </c>
      <c r="H136" s="123">
        <f t="shared" si="63"/>
        <v>2.133</v>
      </c>
      <c r="I136" s="123">
        <f t="shared" si="63"/>
        <v>2.133</v>
      </c>
      <c r="J136" s="123">
        <f t="shared" si="63"/>
        <v>2.133</v>
      </c>
      <c r="K136" s="123">
        <f t="shared" si="63"/>
        <v>2.133</v>
      </c>
      <c r="L136" s="123">
        <f t="shared" si="63"/>
        <v>2.133</v>
      </c>
      <c r="M136" s="123">
        <f t="shared" si="63"/>
        <v>2.133</v>
      </c>
      <c r="N136" s="123">
        <f t="shared" si="63"/>
        <v>2.133</v>
      </c>
      <c r="O136" s="123">
        <f t="shared" si="63"/>
        <v>2.133</v>
      </c>
      <c r="P136" s="123">
        <f t="shared" si="63"/>
        <v>2.133</v>
      </c>
      <c r="Q136" s="123">
        <f t="shared" si="63"/>
        <v>2.133</v>
      </c>
      <c r="R136" s="123">
        <f t="shared" si="63"/>
        <v>2.133</v>
      </c>
      <c r="S136" s="123">
        <f t="shared" si="63"/>
        <v>2.133</v>
      </c>
      <c r="T136" s="123">
        <f t="shared" si="64"/>
        <v>2.133</v>
      </c>
      <c r="U136" s="123">
        <f t="shared" si="64"/>
        <v>2.133</v>
      </c>
      <c r="V136" s="123">
        <f t="shared" si="64"/>
        <v>2.133</v>
      </c>
      <c r="W136" s="123">
        <f t="shared" si="64"/>
        <v>2.133</v>
      </c>
      <c r="X136" s="123">
        <f t="shared" si="64"/>
        <v>2.133</v>
      </c>
      <c r="Y136" s="123">
        <f t="shared" si="64"/>
        <v>2.133</v>
      </c>
      <c r="Z136" s="123">
        <f t="shared" si="64"/>
        <v>2.133</v>
      </c>
      <c r="AA136" s="123">
        <f t="shared" si="64"/>
        <v>2.133</v>
      </c>
      <c r="AB136" s="123">
        <f t="shared" si="64"/>
        <v>2.133</v>
      </c>
      <c r="AC136" s="123">
        <f t="shared" si="64"/>
        <v>2.133</v>
      </c>
      <c r="AD136" s="123">
        <f t="shared" si="64"/>
        <v>2.133</v>
      </c>
      <c r="AE136" s="123">
        <f t="shared" si="64"/>
        <v>2.133</v>
      </c>
      <c r="AF136" s="123">
        <f t="shared" si="64"/>
        <v>2.133</v>
      </c>
      <c r="AG136" s="126">
        <v>4.9930000000000003</v>
      </c>
      <c r="AH136" s="54"/>
      <c r="AI136" s="55"/>
      <c r="AK136" s="56"/>
    </row>
    <row r="137" spans="1:37" x14ac:dyDescent="0.25">
      <c r="A137" s="111" t="s">
        <v>142</v>
      </c>
      <c r="B137" s="123">
        <f t="shared" si="62"/>
        <v>2.09</v>
      </c>
      <c r="C137" s="124">
        <v>2.09</v>
      </c>
      <c r="D137" s="123">
        <f t="shared" si="63"/>
        <v>2.09</v>
      </c>
      <c r="E137" s="123">
        <f t="shared" si="63"/>
        <v>2.09</v>
      </c>
      <c r="F137" s="123">
        <f t="shared" si="63"/>
        <v>2.09</v>
      </c>
      <c r="G137" s="123">
        <f t="shared" si="63"/>
        <v>2.09</v>
      </c>
      <c r="H137" s="123">
        <f t="shared" si="63"/>
        <v>2.09</v>
      </c>
      <c r="I137" s="123">
        <f t="shared" si="63"/>
        <v>2.09</v>
      </c>
      <c r="J137" s="123">
        <f t="shared" si="63"/>
        <v>2.09</v>
      </c>
      <c r="K137" s="123">
        <f t="shared" si="63"/>
        <v>2.09</v>
      </c>
      <c r="L137" s="123">
        <f t="shared" si="63"/>
        <v>2.09</v>
      </c>
      <c r="M137" s="123">
        <f t="shared" si="63"/>
        <v>2.09</v>
      </c>
      <c r="N137" s="123">
        <f t="shared" si="63"/>
        <v>2.09</v>
      </c>
      <c r="O137" s="123">
        <f t="shared" si="63"/>
        <v>2.09</v>
      </c>
      <c r="P137" s="123">
        <f t="shared" si="63"/>
        <v>2.09</v>
      </c>
      <c r="Q137" s="123">
        <f t="shared" si="63"/>
        <v>2.09</v>
      </c>
      <c r="R137" s="123">
        <f t="shared" si="63"/>
        <v>2.09</v>
      </c>
      <c r="S137" s="123">
        <f t="shared" si="63"/>
        <v>2.09</v>
      </c>
      <c r="T137" s="123">
        <f t="shared" si="64"/>
        <v>2.09</v>
      </c>
      <c r="U137" s="123">
        <f t="shared" si="64"/>
        <v>2.09</v>
      </c>
      <c r="V137" s="123">
        <f t="shared" si="64"/>
        <v>2.09</v>
      </c>
      <c r="W137" s="123">
        <f t="shared" si="64"/>
        <v>2.09</v>
      </c>
      <c r="X137" s="123">
        <f t="shared" si="64"/>
        <v>2.09</v>
      </c>
      <c r="Y137" s="123">
        <f t="shared" si="64"/>
        <v>2.09</v>
      </c>
      <c r="Z137" s="123">
        <f t="shared" si="64"/>
        <v>2.09</v>
      </c>
      <c r="AA137" s="123">
        <f t="shared" si="64"/>
        <v>2.09</v>
      </c>
      <c r="AB137" s="123">
        <f t="shared" si="64"/>
        <v>2.09</v>
      </c>
      <c r="AC137" s="123">
        <f t="shared" si="64"/>
        <v>2.09</v>
      </c>
      <c r="AD137" s="123">
        <f t="shared" si="64"/>
        <v>2.09</v>
      </c>
      <c r="AE137" s="123">
        <f t="shared" si="64"/>
        <v>2.09</v>
      </c>
      <c r="AF137" s="123">
        <f t="shared" si="64"/>
        <v>2.09</v>
      </c>
      <c r="AG137" s="126">
        <v>4.9800000000000004</v>
      </c>
      <c r="AH137" s="54"/>
      <c r="AI137" s="55"/>
      <c r="AK137" s="56"/>
    </row>
    <row r="138" spans="1:37" x14ac:dyDescent="0.25">
      <c r="A138" s="111" t="s">
        <v>143</v>
      </c>
      <c r="B138" s="123">
        <f t="shared" si="62"/>
        <v>1.1399999999999999</v>
      </c>
      <c r="C138" s="124">
        <v>1.1399999999999999</v>
      </c>
      <c r="D138" s="123">
        <f t="shared" si="63"/>
        <v>1.1399999999999999</v>
      </c>
      <c r="E138" s="123">
        <f t="shared" si="63"/>
        <v>1.1399999999999999</v>
      </c>
      <c r="F138" s="123">
        <f t="shared" si="63"/>
        <v>1.1399999999999999</v>
      </c>
      <c r="G138" s="123">
        <f t="shared" si="63"/>
        <v>1.1399999999999999</v>
      </c>
      <c r="H138" s="123">
        <f t="shared" si="63"/>
        <v>1.1399999999999999</v>
      </c>
      <c r="I138" s="123">
        <f t="shared" si="63"/>
        <v>1.1399999999999999</v>
      </c>
      <c r="J138" s="123">
        <f t="shared" si="63"/>
        <v>1.1399999999999999</v>
      </c>
      <c r="K138" s="123">
        <f t="shared" si="63"/>
        <v>1.1399999999999999</v>
      </c>
      <c r="L138" s="123">
        <f t="shared" si="63"/>
        <v>1.1399999999999999</v>
      </c>
      <c r="M138" s="123">
        <f t="shared" si="63"/>
        <v>1.1399999999999999</v>
      </c>
      <c r="N138" s="123">
        <f t="shared" si="63"/>
        <v>1.1399999999999999</v>
      </c>
      <c r="O138" s="123">
        <f t="shared" si="63"/>
        <v>1.1399999999999999</v>
      </c>
      <c r="P138" s="123">
        <f t="shared" si="63"/>
        <v>1.1399999999999999</v>
      </c>
      <c r="Q138" s="123">
        <f t="shared" si="63"/>
        <v>1.1399999999999999</v>
      </c>
      <c r="R138" s="123">
        <f t="shared" si="63"/>
        <v>1.1399999999999999</v>
      </c>
      <c r="S138" s="123">
        <f t="shared" si="63"/>
        <v>1.1399999999999999</v>
      </c>
      <c r="T138" s="123">
        <f t="shared" si="64"/>
        <v>1.1399999999999999</v>
      </c>
      <c r="U138" s="123">
        <f t="shared" si="64"/>
        <v>1.1399999999999999</v>
      </c>
      <c r="V138" s="123">
        <f t="shared" si="64"/>
        <v>1.1399999999999999</v>
      </c>
      <c r="W138" s="123">
        <f t="shared" si="64"/>
        <v>1.1399999999999999</v>
      </c>
      <c r="X138" s="123">
        <f t="shared" si="64"/>
        <v>1.1399999999999999</v>
      </c>
      <c r="Y138" s="123">
        <f t="shared" si="64"/>
        <v>1.1399999999999999</v>
      </c>
      <c r="Z138" s="123">
        <f t="shared" si="64"/>
        <v>1.1399999999999999</v>
      </c>
      <c r="AA138" s="123">
        <f t="shared" si="64"/>
        <v>1.1399999999999999</v>
      </c>
      <c r="AB138" s="123">
        <f t="shared" si="64"/>
        <v>1.1399999999999999</v>
      </c>
      <c r="AC138" s="123">
        <f t="shared" si="64"/>
        <v>1.1399999999999999</v>
      </c>
      <c r="AD138" s="123">
        <f t="shared" si="64"/>
        <v>1.1399999999999999</v>
      </c>
      <c r="AE138" s="123">
        <f t="shared" si="64"/>
        <v>1.1399999999999999</v>
      </c>
      <c r="AF138" s="123">
        <f t="shared" si="64"/>
        <v>1.1399999999999999</v>
      </c>
      <c r="AG138" s="126">
        <v>4.95</v>
      </c>
      <c r="AH138" s="54"/>
      <c r="AI138" s="55"/>
      <c r="AK138" s="56"/>
    </row>
    <row r="139" spans="1:37" x14ac:dyDescent="0.25">
      <c r="A139" s="111" t="s">
        <v>144</v>
      </c>
      <c r="B139" s="123">
        <f t="shared" si="62"/>
        <v>0.82</v>
      </c>
      <c r="C139" s="124">
        <v>0.82</v>
      </c>
      <c r="D139" s="123">
        <f t="shared" si="63"/>
        <v>0.82</v>
      </c>
      <c r="E139" s="123">
        <f t="shared" si="63"/>
        <v>0.82</v>
      </c>
      <c r="F139" s="123">
        <f t="shared" si="63"/>
        <v>0.82</v>
      </c>
      <c r="G139" s="123">
        <f t="shared" si="63"/>
        <v>0.82</v>
      </c>
      <c r="H139" s="123">
        <f t="shared" si="63"/>
        <v>0.82</v>
      </c>
      <c r="I139" s="123">
        <f t="shared" si="63"/>
        <v>0.82</v>
      </c>
      <c r="J139" s="123">
        <f t="shared" si="63"/>
        <v>0.82</v>
      </c>
      <c r="K139" s="123">
        <f t="shared" si="63"/>
        <v>0.82</v>
      </c>
      <c r="L139" s="123">
        <f t="shared" si="63"/>
        <v>0.82</v>
      </c>
      <c r="M139" s="123">
        <f t="shared" si="63"/>
        <v>0.82</v>
      </c>
      <c r="N139" s="123">
        <f t="shared" si="63"/>
        <v>0.82</v>
      </c>
      <c r="O139" s="123">
        <f t="shared" si="63"/>
        <v>0.82</v>
      </c>
      <c r="P139" s="123">
        <f t="shared" si="63"/>
        <v>0.82</v>
      </c>
      <c r="Q139" s="123">
        <f t="shared" si="63"/>
        <v>0.82</v>
      </c>
      <c r="R139" s="123">
        <f t="shared" si="63"/>
        <v>0.82</v>
      </c>
      <c r="S139" s="123">
        <f t="shared" si="63"/>
        <v>0.82</v>
      </c>
      <c r="T139" s="123">
        <f t="shared" si="64"/>
        <v>0.82</v>
      </c>
      <c r="U139" s="123">
        <f t="shared" si="64"/>
        <v>0.82</v>
      </c>
      <c r="V139" s="123">
        <f t="shared" si="64"/>
        <v>0.82</v>
      </c>
      <c r="W139" s="123">
        <f t="shared" si="64"/>
        <v>0.82</v>
      </c>
      <c r="X139" s="123">
        <f t="shared" si="64"/>
        <v>0.82</v>
      </c>
      <c r="Y139" s="123">
        <f t="shared" si="64"/>
        <v>0.82</v>
      </c>
      <c r="Z139" s="123">
        <f t="shared" si="64"/>
        <v>0.82</v>
      </c>
      <c r="AA139" s="123">
        <f t="shared" si="64"/>
        <v>0.82</v>
      </c>
      <c r="AB139" s="123">
        <f t="shared" si="64"/>
        <v>0.82</v>
      </c>
      <c r="AC139" s="123">
        <f t="shared" si="64"/>
        <v>0.82</v>
      </c>
      <c r="AD139" s="123">
        <f t="shared" si="64"/>
        <v>0.82</v>
      </c>
      <c r="AE139" s="123">
        <f t="shared" si="64"/>
        <v>0.82</v>
      </c>
      <c r="AF139" s="123">
        <f t="shared" si="64"/>
        <v>0.82</v>
      </c>
      <c r="AG139" s="126">
        <v>4.95</v>
      </c>
      <c r="AH139" s="54"/>
      <c r="AI139" s="55"/>
      <c r="AK139" s="56"/>
    </row>
    <row r="140" spans="1:37" x14ac:dyDescent="0.25">
      <c r="A140" s="111" t="s">
        <v>145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4"/>
      <c r="AI140" s="55"/>
      <c r="AK140" s="56"/>
    </row>
    <row r="141" spans="1:37" x14ac:dyDescent="0.25">
      <c r="A141" s="111" t="s">
        <v>146</v>
      </c>
      <c r="B141" s="123">
        <f t="shared" ref="B141:B147" si="65">AF141</f>
        <v>2</v>
      </c>
      <c r="C141" s="124">
        <v>2</v>
      </c>
      <c r="D141" s="123">
        <f t="shared" ref="D141:S147" si="66">C141</f>
        <v>2</v>
      </c>
      <c r="E141" s="123">
        <f t="shared" si="66"/>
        <v>2</v>
      </c>
      <c r="F141" s="123">
        <f t="shared" si="66"/>
        <v>2</v>
      </c>
      <c r="G141" s="123">
        <f t="shared" si="66"/>
        <v>2</v>
      </c>
      <c r="H141" s="123">
        <f t="shared" si="66"/>
        <v>2</v>
      </c>
      <c r="I141" s="123">
        <f t="shared" si="66"/>
        <v>2</v>
      </c>
      <c r="J141" s="123">
        <f t="shared" si="66"/>
        <v>2</v>
      </c>
      <c r="K141" s="123">
        <f t="shared" si="66"/>
        <v>2</v>
      </c>
      <c r="L141" s="123">
        <f t="shared" si="66"/>
        <v>2</v>
      </c>
      <c r="M141" s="123">
        <f t="shared" si="66"/>
        <v>2</v>
      </c>
      <c r="N141" s="123">
        <f t="shared" si="66"/>
        <v>2</v>
      </c>
      <c r="O141" s="123">
        <f t="shared" si="66"/>
        <v>2</v>
      </c>
      <c r="P141" s="123">
        <f t="shared" si="66"/>
        <v>2</v>
      </c>
      <c r="Q141" s="123">
        <f t="shared" si="66"/>
        <v>2</v>
      </c>
      <c r="R141" s="123">
        <f t="shared" si="66"/>
        <v>2</v>
      </c>
      <c r="S141" s="123">
        <f t="shared" si="66"/>
        <v>2</v>
      </c>
      <c r="T141" s="123">
        <f t="shared" ref="T141:AF147" si="67">S141</f>
        <v>2</v>
      </c>
      <c r="U141" s="123">
        <f t="shared" si="67"/>
        <v>2</v>
      </c>
      <c r="V141" s="123">
        <f t="shared" si="67"/>
        <v>2</v>
      </c>
      <c r="W141" s="123">
        <f t="shared" si="67"/>
        <v>2</v>
      </c>
      <c r="X141" s="123">
        <f t="shared" si="67"/>
        <v>2</v>
      </c>
      <c r="Y141" s="123">
        <f t="shared" si="67"/>
        <v>2</v>
      </c>
      <c r="Z141" s="123">
        <f t="shared" si="67"/>
        <v>2</v>
      </c>
      <c r="AA141" s="123">
        <f t="shared" si="67"/>
        <v>2</v>
      </c>
      <c r="AB141" s="123">
        <f t="shared" si="67"/>
        <v>2</v>
      </c>
      <c r="AC141" s="123">
        <f t="shared" si="67"/>
        <v>2</v>
      </c>
      <c r="AD141" s="123">
        <f t="shared" si="67"/>
        <v>2</v>
      </c>
      <c r="AE141" s="123">
        <f t="shared" si="67"/>
        <v>2</v>
      </c>
      <c r="AF141" s="123">
        <f t="shared" si="67"/>
        <v>2</v>
      </c>
      <c r="AG141" s="126">
        <v>4.8</v>
      </c>
      <c r="AH141" s="54"/>
      <c r="AI141" s="55"/>
      <c r="AK141" s="56"/>
    </row>
    <row r="142" spans="1:37" x14ac:dyDescent="0.25">
      <c r="A142" s="111" t="s">
        <v>147</v>
      </c>
      <c r="B142" s="123">
        <f t="shared" si="65"/>
        <v>5.61</v>
      </c>
      <c r="C142" s="124">
        <v>5.61</v>
      </c>
      <c r="D142" s="123">
        <f t="shared" si="66"/>
        <v>5.61</v>
      </c>
      <c r="E142" s="123">
        <f t="shared" si="66"/>
        <v>5.61</v>
      </c>
      <c r="F142" s="123">
        <f t="shared" si="66"/>
        <v>5.61</v>
      </c>
      <c r="G142" s="123">
        <f t="shared" si="66"/>
        <v>5.61</v>
      </c>
      <c r="H142" s="123">
        <f t="shared" si="66"/>
        <v>5.61</v>
      </c>
      <c r="I142" s="123">
        <f t="shared" si="66"/>
        <v>5.61</v>
      </c>
      <c r="J142" s="123">
        <f t="shared" si="66"/>
        <v>5.61</v>
      </c>
      <c r="K142" s="123">
        <f t="shared" si="66"/>
        <v>5.61</v>
      </c>
      <c r="L142" s="123">
        <f t="shared" si="66"/>
        <v>5.61</v>
      </c>
      <c r="M142" s="123">
        <f t="shared" si="66"/>
        <v>5.61</v>
      </c>
      <c r="N142" s="123">
        <f t="shared" si="66"/>
        <v>5.61</v>
      </c>
      <c r="O142" s="123">
        <f t="shared" si="66"/>
        <v>5.61</v>
      </c>
      <c r="P142" s="123">
        <f t="shared" si="66"/>
        <v>5.61</v>
      </c>
      <c r="Q142" s="123">
        <f t="shared" si="66"/>
        <v>5.61</v>
      </c>
      <c r="R142" s="123">
        <f t="shared" si="66"/>
        <v>5.61</v>
      </c>
      <c r="S142" s="123">
        <f t="shared" si="66"/>
        <v>5.61</v>
      </c>
      <c r="T142" s="123">
        <f t="shared" si="67"/>
        <v>5.61</v>
      </c>
      <c r="U142" s="123">
        <f t="shared" si="67"/>
        <v>5.61</v>
      </c>
      <c r="V142" s="123">
        <f t="shared" si="67"/>
        <v>5.61</v>
      </c>
      <c r="W142" s="123">
        <f t="shared" si="67"/>
        <v>5.61</v>
      </c>
      <c r="X142" s="123">
        <f t="shared" si="67"/>
        <v>5.61</v>
      </c>
      <c r="Y142" s="123">
        <f t="shared" si="67"/>
        <v>5.61</v>
      </c>
      <c r="Z142" s="123">
        <f t="shared" si="67"/>
        <v>5.61</v>
      </c>
      <c r="AA142" s="123">
        <f t="shared" si="67"/>
        <v>5.61</v>
      </c>
      <c r="AB142" s="123">
        <f t="shared" si="67"/>
        <v>5.61</v>
      </c>
      <c r="AC142" s="123">
        <f t="shared" si="67"/>
        <v>5.61</v>
      </c>
      <c r="AD142" s="123">
        <f t="shared" si="67"/>
        <v>5.61</v>
      </c>
      <c r="AE142" s="123">
        <f t="shared" si="67"/>
        <v>5.61</v>
      </c>
      <c r="AF142" s="123">
        <f t="shared" si="67"/>
        <v>5.61</v>
      </c>
      <c r="AG142" s="126">
        <v>4.8</v>
      </c>
      <c r="AH142" s="54"/>
      <c r="AI142" s="55"/>
      <c r="AK142" s="56"/>
    </row>
    <row r="143" spans="1:37" x14ac:dyDescent="0.25">
      <c r="A143" s="111" t="s">
        <v>148</v>
      </c>
      <c r="B143" s="123">
        <f t="shared" si="65"/>
        <v>1.25</v>
      </c>
      <c r="C143" s="124">
        <v>1.25</v>
      </c>
      <c r="D143" s="123">
        <f t="shared" si="66"/>
        <v>1.25</v>
      </c>
      <c r="E143" s="123">
        <f t="shared" si="66"/>
        <v>1.25</v>
      </c>
      <c r="F143" s="123">
        <f t="shared" si="66"/>
        <v>1.25</v>
      </c>
      <c r="G143" s="123">
        <f t="shared" si="66"/>
        <v>1.25</v>
      </c>
      <c r="H143" s="123">
        <f t="shared" si="66"/>
        <v>1.25</v>
      </c>
      <c r="I143" s="123">
        <f t="shared" si="66"/>
        <v>1.25</v>
      </c>
      <c r="J143" s="123">
        <f t="shared" si="66"/>
        <v>1.25</v>
      </c>
      <c r="K143" s="123">
        <f t="shared" si="66"/>
        <v>1.25</v>
      </c>
      <c r="L143" s="123">
        <f t="shared" si="66"/>
        <v>1.25</v>
      </c>
      <c r="M143" s="123">
        <f t="shared" si="66"/>
        <v>1.25</v>
      </c>
      <c r="N143" s="123">
        <f t="shared" si="66"/>
        <v>1.25</v>
      </c>
      <c r="O143" s="123">
        <f t="shared" si="66"/>
        <v>1.25</v>
      </c>
      <c r="P143" s="123">
        <f t="shared" si="66"/>
        <v>1.25</v>
      </c>
      <c r="Q143" s="123">
        <f t="shared" si="66"/>
        <v>1.25</v>
      </c>
      <c r="R143" s="123">
        <f t="shared" si="66"/>
        <v>1.25</v>
      </c>
      <c r="S143" s="123">
        <f t="shared" si="66"/>
        <v>1.25</v>
      </c>
      <c r="T143" s="123">
        <f t="shared" si="67"/>
        <v>1.25</v>
      </c>
      <c r="U143" s="123">
        <f t="shared" si="67"/>
        <v>1.25</v>
      </c>
      <c r="V143" s="123">
        <f t="shared" si="67"/>
        <v>1.25</v>
      </c>
      <c r="W143" s="123">
        <f t="shared" si="67"/>
        <v>1.25</v>
      </c>
      <c r="X143" s="123">
        <f t="shared" si="67"/>
        <v>1.25</v>
      </c>
      <c r="Y143" s="123">
        <f t="shared" si="67"/>
        <v>1.25</v>
      </c>
      <c r="Z143" s="123">
        <f t="shared" si="67"/>
        <v>1.25</v>
      </c>
      <c r="AA143" s="123">
        <f t="shared" si="67"/>
        <v>1.25</v>
      </c>
      <c r="AB143" s="123">
        <f t="shared" si="67"/>
        <v>1.25</v>
      </c>
      <c r="AC143" s="123">
        <f t="shared" si="67"/>
        <v>1.25</v>
      </c>
      <c r="AD143" s="123">
        <f t="shared" si="67"/>
        <v>1.25</v>
      </c>
      <c r="AE143" s="123">
        <f t="shared" si="67"/>
        <v>1.25</v>
      </c>
      <c r="AF143" s="123">
        <f t="shared" si="67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149</v>
      </c>
      <c r="B144" s="123">
        <f t="shared" si="65"/>
        <v>1.25</v>
      </c>
      <c r="C144" s="124">
        <v>1.25</v>
      </c>
      <c r="D144" s="123">
        <f t="shared" si="66"/>
        <v>1.25</v>
      </c>
      <c r="E144" s="123">
        <f t="shared" si="66"/>
        <v>1.25</v>
      </c>
      <c r="F144" s="123">
        <f t="shared" si="66"/>
        <v>1.25</v>
      </c>
      <c r="G144" s="123">
        <f t="shared" si="66"/>
        <v>1.25</v>
      </c>
      <c r="H144" s="123">
        <f t="shared" si="66"/>
        <v>1.25</v>
      </c>
      <c r="I144" s="123">
        <f t="shared" si="66"/>
        <v>1.25</v>
      </c>
      <c r="J144" s="123">
        <f t="shared" si="66"/>
        <v>1.25</v>
      </c>
      <c r="K144" s="123">
        <f t="shared" si="66"/>
        <v>1.25</v>
      </c>
      <c r="L144" s="123">
        <f t="shared" si="66"/>
        <v>1.25</v>
      </c>
      <c r="M144" s="123">
        <f t="shared" si="66"/>
        <v>1.25</v>
      </c>
      <c r="N144" s="123">
        <f t="shared" si="66"/>
        <v>1.25</v>
      </c>
      <c r="O144" s="123">
        <f t="shared" si="66"/>
        <v>1.25</v>
      </c>
      <c r="P144" s="123">
        <f t="shared" si="66"/>
        <v>1.25</v>
      </c>
      <c r="Q144" s="123">
        <f t="shared" si="66"/>
        <v>1.25</v>
      </c>
      <c r="R144" s="123">
        <f t="shared" si="66"/>
        <v>1.25</v>
      </c>
      <c r="S144" s="123">
        <f t="shared" si="66"/>
        <v>1.25</v>
      </c>
      <c r="T144" s="123">
        <f t="shared" si="67"/>
        <v>1.25</v>
      </c>
      <c r="U144" s="123">
        <f t="shared" si="67"/>
        <v>1.25</v>
      </c>
      <c r="V144" s="123">
        <f t="shared" si="67"/>
        <v>1.25</v>
      </c>
      <c r="W144" s="123">
        <f t="shared" si="67"/>
        <v>1.25</v>
      </c>
      <c r="X144" s="123">
        <f t="shared" si="67"/>
        <v>1.25</v>
      </c>
      <c r="Y144" s="123">
        <f t="shared" si="67"/>
        <v>1.25</v>
      </c>
      <c r="Z144" s="123">
        <f t="shared" si="67"/>
        <v>1.25</v>
      </c>
      <c r="AA144" s="123">
        <f t="shared" si="67"/>
        <v>1.25</v>
      </c>
      <c r="AB144" s="123">
        <f t="shared" si="67"/>
        <v>1.25</v>
      </c>
      <c r="AC144" s="123">
        <f t="shared" si="67"/>
        <v>1.25</v>
      </c>
      <c r="AD144" s="123">
        <f t="shared" si="67"/>
        <v>1.25</v>
      </c>
      <c r="AE144" s="123">
        <f t="shared" si="67"/>
        <v>1.25</v>
      </c>
      <c r="AF144" s="123">
        <f t="shared" si="67"/>
        <v>1.25</v>
      </c>
      <c r="AG144" s="126">
        <v>4.5</v>
      </c>
      <c r="AH144" s="54"/>
      <c r="AI144" s="55"/>
      <c r="AK144" s="56"/>
    </row>
    <row r="145" spans="1:37" x14ac:dyDescent="0.25">
      <c r="A145" s="111" t="s">
        <v>150</v>
      </c>
      <c r="B145" s="123">
        <f t="shared" si="65"/>
        <v>1.46</v>
      </c>
      <c r="C145" s="124">
        <v>1.46</v>
      </c>
      <c r="D145" s="123">
        <f t="shared" si="66"/>
        <v>1.46</v>
      </c>
      <c r="E145" s="123">
        <f t="shared" si="66"/>
        <v>1.46</v>
      </c>
      <c r="F145" s="123">
        <f t="shared" si="66"/>
        <v>1.46</v>
      </c>
      <c r="G145" s="123">
        <f t="shared" si="66"/>
        <v>1.46</v>
      </c>
      <c r="H145" s="123">
        <f t="shared" si="66"/>
        <v>1.46</v>
      </c>
      <c r="I145" s="123">
        <f t="shared" si="66"/>
        <v>1.46</v>
      </c>
      <c r="J145" s="123">
        <f t="shared" si="66"/>
        <v>1.46</v>
      </c>
      <c r="K145" s="123">
        <f t="shared" si="66"/>
        <v>1.46</v>
      </c>
      <c r="L145" s="123">
        <f t="shared" si="66"/>
        <v>1.46</v>
      </c>
      <c r="M145" s="123">
        <f t="shared" si="66"/>
        <v>1.46</v>
      </c>
      <c r="N145" s="123">
        <f t="shared" si="66"/>
        <v>1.46</v>
      </c>
      <c r="O145" s="123">
        <f t="shared" si="66"/>
        <v>1.46</v>
      </c>
      <c r="P145" s="123">
        <f t="shared" si="66"/>
        <v>1.46</v>
      </c>
      <c r="Q145" s="123">
        <f t="shared" si="66"/>
        <v>1.46</v>
      </c>
      <c r="R145" s="123">
        <f t="shared" si="66"/>
        <v>1.46</v>
      </c>
      <c r="S145" s="123">
        <f t="shared" si="66"/>
        <v>1.46</v>
      </c>
      <c r="T145" s="123">
        <f t="shared" si="67"/>
        <v>1.46</v>
      </c>
      <c r="U145" s="123">
        <f t="shared" si="67"/>
        <v>1.46</v>
      </c>
      <c r="V145" s="123">
        <f t="shared" si="67"/>
        <v>1.46</v>
      </c>
      <c r="W145" s="123">
        <f t="shared" si="67"/>
        <v>1.46</v>
      </c>
      <c r="X145" s="123">
        <f t="shared" si="67"/>
        <v>1.46</v>
      </c>
      <c r="Y145" s="123">
        <f t="shared" si="67"/>
        <v>1.46</v>
      </c>
      <c r="Z145" s="123">
        <f t="shared" si="67"/>
        <v>1.46</v>
      </c>
      <c r="AA145" s="123">
        <f t="shared" si="67"/>
        <v>1.46</v>
      </c>
      <c r="AB145" s="123">
        <f t="shared" si="67"/>
        <v>1.46</v>
      </c>
      <c r="AC145" s="123">
        <f t="shared" si="67"/>
        <v>1.46</v>
      </c>
      <c r="AD145" s="123">
        <f t="shared" si="67"/>
        <v>1.46</v>
      </c>
      <c r="AE145" s="123">
        <f t="shared" si="67"/>
        <v>1.46</v>
      </c>
      <c r="AF145" s="123">
        <f t="shared" si="67"/>
        <v>1.46</v>
      </c>
      <c r="AG145" s="126">
        <v>4.4550000000000001</v>
      </c>
      <c r="AH145" s="54"/>
      <c r="AI145" s="55"/>
      <c r="AK145" s="56"/>
    </row>
    <row r="146" spans="1:37" x14ac:dyDescent="0.25">
      <c r="A146" s="111" t="s">
        <v>151</v>
      </c>
      <c r="B146" s="123">
        <f t="shared" si="65"/>
        <v>3</v>
      </c>
      <c r="C146" s="124">
        <v>3</v>
      </c>
      <c r="D146" s="123">
        <f t="shared" si="66"/>
        <v>3</v>
      </c>
      <c r="E146" s="123">
        <f t="shared" si="66"/>
        <v>3</v>
      </c>
      <c r="F146" s="123">
        <f t="shared" si="66"/>
        <v>3</v>
      </c>
      <c r="G146" s="123">
        <f t="shared" si="66"/>
        <v>3</v>
      </c>
      <c r="H146" s="123">
        <f t="shared" si="66"/>
        <v>3</v>
      </c>
      <c r="I146" s="123">
        <f t="shared" si="66"/>
        <v>3</v>
      </c>
      <c r="J146" s="123">
        <f t="shared" si="66"/>
        <v>3</v>
      </c>
      <c r="K146" s="123">
        <f t="shared" si="66"/>
        <v>3</v>
      </c>
      <c r="L146" s="123">
        <f t="shared" si="66"/>
        <v>3</v>
      </c>
      <c r="M146" s="123">
        <f t="shared" si="66"/>
        <v>3</v>
      </c>
      <c r="N146" s="123">
        <f t="shared" si="66"/>
        <v>3</v>
      </c>
      <c r="O146" s="123">
        <f t="shared" si="66"/>
        <v>3</v>
      </c>
      <c r="P146" s="123">
        <f t="shared" si="66"/>
        <v>3</v>
      </c>
      <c r="Q146" s="123">
        <f t="shared" si="66"/>
        <v>3</v>
      </c>
      <c r="R146" s="123">
        <f t="shared" si="66"/>
        <v>3</v>
      </c>
      <c r="S146" s="123">
        <f t="shared" si="66"/>
        <v>3</v>
      </c>
      <c r="T146" s="123">
        <f t="shared" si="67"/>
        <v>3</v>
      </c>
      <c r="U146" s="123">
        <f t="shared" si="67"/>
        <v>3</v>
      </c>
      <c r="V146" s="123">
        <f t="shared" si="67"/>
        <v>3</v>
      </c>
      <c r="W146" s="123">
        <f t="shared" si="67"/>
        <v>3</v>
      </c>
      <c r="X146" s="123">
        <f t="shared" si="67"/>
        <v>3</v>
      </c>
      <c r="Y146" s="123">
        <f t="shared" si="67"/>
        <v>3</v>
      </c>
      <c r="Z146" s="123">
        <f t="shared" si="67"/>
        <v>3</v>
      </c>
      <c r="AA146" s="123">
        <f t="shared" si="67"/>
        <v>3</v>
      </c>
      <c r="AB146" s="123">
        <f t="shared" si="67"/>
        <v>3</v>
      </c>
      <c r="AC146" s="123">
        <f t="shared" si="67"/>
        <v>3</v>
      </c>
      <c r="AD146" s="123">
        <f t="shared" si="67"/>
        <v>3</v>
      </c>
      <c r="AE146" s="123">
        <f t="shared" si="67"/>
        <v>3</v>
      </c>
      <c r="AF146" s="123">
        <f t="shared" si="67"/>
        <v>3</v>
      </c>
      <c r="AG146" s="126">
        <v>4.41</v>
      </c>
      <c r="AH146" s="54"/>
      <c r="AI146" s="55"/>
      <c r="AK146" s="56"/>
    </row>
    <row r="147" spans="1:37" x14ac:dyDescent="0.25">
      <c r="A147" s="111" t="s">
        <v>152</v>
      </c>
      <c r="B147" s="123">
        <f t="shared" si="65"/>
        <v>3.3</v>
      </c>
      <c r="C147" s="124">
        <v>3.3</v>
      </c>
      <c r="D147" s="123">
        <f t="shared" si="66"/>
        <v>3.3</v>
      </c>
      <c r="E147" s="123">
        <f t="shared" si="66"/>
        <v>3.3</v>
      </c>
      <c r="F147" s="123">
        <f t="shared" si="66"/>
        <v>3.3</v>
      </c>
      <c r="G147" s="123">
        <f t="shared" si="66"/>
        <v>3.3</v>
      </c>
      <c r="H147" s="123">
        <f t="shared" si="66"/>
        <v>3.3</v>
      </c>
      <c r="I147" s="123">
        <f t="shared" si="66"/>
        <v>3.3</v>
      </c>
      <c r="J147" s="123">
        <f t="shared" si="66"/>
        <v>3.3</v>
      </c>
      <c r="K147" s="123">
        <f t="shared" si="66"/>
        <v>3.3</v>
      </c>
      <c r="L147" s="123">
        <f t="shared" si="66"/>
        <v>3.3</v>
      </c>
      <c r="M147" s="123">
        <f t="shared" si="66"/>
        <v>3.3</v>
      </c>
      <c r="N147" s="123">
        <f t="shared" si="66"/>
        <v>3.3</v>
      </c>
      <c r="O147" s="123">
        <f t="shared" si="66"/>
        <v>3.3</v>
      </c>
      <c r="P147" s="123">
        <f t="shared" si="66"/>
        <v>3.3</v>
      </c>
      <c r="Q147" s="123">
        <f t="shared" si="66"/>
        <v>3.3</v>
      </c>
      <c r="R147" s="123">
        <f t="shared" si="66"/>
        <v>3.3</v>
      </c>
      <c r="S147" s="123">
        <f t="shared" si="66"/>
        <v>3.3</v>
      </c>
      <c r="T147" s="123">
        <f t="shared" si="67"/>
        <v>3.3</v>
      </c>
      <c r="U147" s="123">
        <f t="shared" si="67"/>
        <v>3.3</v>
      </c>
      <c r="V147" s="123">
        <f t="shared" si="67"/>
        <v>3.3</v>
      </c>
      <c r="W147" s="123">
        <f t="shared" si="67"/>
        <v>3.3</v>
      </c>
      <c r="X147" s="123">
        <f t="shared" si="67"/>
        <v>3.3</v>
      </c>
      <c r="Y147" s="123">
        <f t="shared" si="67"/>
        <v>3.3</v>
      </c>
      <c r="Z147" s="123">
        <f t="shared" si="67"/>
        <v>3.3</v>
      </c>
      <c r="AA147" s="123">
        <f t="shared" si="67"/>
        <v>3.3</v>
      </c>
      <c r="AB147" s="123">
        <f t="shared" si="67"/>
        <v>3.3</v>
      </c>
      <c r="AC147" s="123">
        <f t="shared" si="67"/>
        <v>3.3</v>
      </c>
      <c r="AD147" s="123">
        <f t="shared" si="67"/>
        <v>3.3</v>
      </c>
      <c r="AE147" s="123">
        <f t="shared" si="67"/>
        <v>3.3</v>
      </c>
      <c r="AF147" s="123">
        <f t="shared" si="67"/>
        <v>3.3</v>
      </c>
      <c r="AG147" s="126">
        <v>4.4000000000000004</v>
      </c>
      <c r="AH147" s="54"/>
      <c r="AI147" s="55"/>
      <c r="AK147" s="56"/>
    </row>
    <row r="148" spans="1:37" x14ac:dyDescent="0.25">
      <c r="A148" s="111" t="s">
        <v>153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4"/>
      <c r="AI148" s="55"/>
      <c r="AK148" s="56"/>
    </row>
    <row r="149" spans="1:37" x14ac:dyDescent="0.25">
      <c r="A149" s="111" t="s">
        <v>154</v>
      </c>
      <c r="B149" s="123">
        <f>AF149</f>
        <v>1.76</v>
      </c>
      <c r="C149" s="124">
        <v>1.76</v>
      </c>
      <c r="D149" s="123">
        <f t="shared" ref="D149:S150" si="68">C149</f>
        <v>1.76</v>
      </c>
      <c r="E149" s="123">
        <f t="shared" si="68"/>
        <v>1.76</v>
      </c>
      <c r="F149" s="123">
        <f t="shared" si="68"/>
        <v>1.76</v>
      </c>
      <c r="G149" s="123">
        <f t="shared" si="68"/>
        <v>1.76</v>
      </c>
      <c r="H149" s="123">
        <f t="shared" si="68"/>
        <v>1.76</v>
      </c>
      <c r="I149" s="123">
        <f t="shared" si="68"/>
        <v>1.76</v>
      </c>
      <c r="J149" s="123">
        <f t="shared" si="68"/>
        <v>1.76</v>
      </c>
      <c r="K149" s="123">
        <f t="shared" si="68"/>
        <v>1.76</v>
      </c>
      <c r="L149" s="123">
        <f t="shared" si="68"/>
        <v>1.76</v>
      </c>
      <c r="M149" s="123">
        <f t="shared" si="68"/>
        <v>1.76</v>
      </c>
      <c r="N149" s="123">
        <f t="shared" si="68"/>
        <v>1.76</v>
      </c>
      <c r="O149" s="123">
        <f t="shared" si="68"/>
        <v>1.76</v>
      </c>
      <c r="P149" s="123">
        <f t="shared" si="68"/>
        <v>1.76</v>
      </c>
      <c r="Q149" s="123">
        <f t="shared" si="68"/>
        <v>1.76</v>
      </c>
      <c r="R149" s="123">
        <f t="shared" si="68"/>
        <v>1.76</v>
      </c>
      <c r="S149" s="123">
        <f t="shared" si="68"/>
        <v>1.76</v>
      </c>
      <c r="T149" s="123">
        <f t="shared" ref="T149:AF150" si="69">S149</f>
        <v>1.76</v>
      </c>
      <c r="U149" s="123">
        <f t="shared" si="69"/>
        <v>1.76</v>
      </c>
      <c r="V149" s="123">
        <f t="shared" si="69"/>
        <v>1.76</v>
      </c>
      <c r="W149" s="123">
        <f t="shared" si="69"/>
        <v>1.76</v>
      </c>
      <c r="X149" s="123">
        <f t="shared" si="69"/>
        <v>1.76</v>
      </c>
      <c r="Y149" s="123">
        <f t="shared" si="69"/>
        <v>1.76</v>
      </c>
      <c r="Z149" s="123">
        <f t="shared" si="69"/>
        <v>1.76</v>
      </c>
      <c r="AA149" s="123">
        <f t="shared" si="69"/>
        <v>1.76</v>
      </c>
      <c r="AB149" s="123">
        <f t="shared" si="69"/>
        <v>1.76</v>
      </c>
      <c r="AC149" s="123">
        <f t="shared" si="69"/>
        <v>1.76</v>
      </c>
      <c r="AD149" s="123">
        <f t="shared" si="69"/>
        <v>1.76</v>
      </c>
      <c r="AE149" s="123">
        <f t="shared" si="69"/>
        <v>1.76</v>
      </c>
      <c r="AF149" s="123">
        <f t="shared" si="69"/>
        <v>1.76</v>
      </c>
      <c r="AG149" s="126">
        <v>4.2</v>
      </c>
      <c r="AH149" s="54"/>
      <c r="AI149" s="55"/>
      <c r="AK149" s="56"/>
    </row>
    <row r="150" spans="1:37" x14ac:dyDescent="0.25">
      <c r="A150" s="111" t="s">
        <v>155</v>
      </c>
      <c r="B150" s="123">
        <f>AF150</f>
        <v>0</v>
      </c>
      <c r="C150" s="124">
        <v>0</v>
      </c>
      <c r="D150" s="123">
        <f t="shared" si="68"/>
        <v>0</v>
      </c>
      <c r="E150" s="123">
        <f t="shared" si="68"/>
        <v>0</v>
      </c>
      <c r="F150" s="123">
        <f t="shared" si="68"/>
        <v>0</v>
      </c>
      <c r="G150" s="123">
        <f t="shared" si="68"/>
        <v>0</v>
      </c>
      <c r="H150" s="123">
        <f t="shared" si="68"/>
        <v>0</v>
      </c>
      <c r="I150" s="123">
        <f t="shared" si="68"/>
        <v>0</v>
      </c>
      <c r="J150" s="123">
        <f t="shared" si="68"/>
        <v>0</v>
      </c>
      <c r="K150" s="123">
        <f t="shared" si="68"/>
        <v>0</v>
      </c>
      <c r="L150" s="123">
        <f t="shared" si="68"/>
        <v>0</v>
      </c>
      <c r="M150" s="123">
        <f t="shared" si="68"/>
        <v>0</v>
      </c>
      <c r="N150" s="123">
        <f t="shared" si="68"/>
        <v>0</v>
      </c>
      <c r="O150" s="123">
        <f t="shared" si="68"/>
        <v>0</v>
      </c>
      <c r="P150" s="123">
        <f t="shared" si="68"/>
        <v>0</v>
      </c>
      <c r="Q150" s="123">
        <f t="shared" si="68"/>
        <v>0</v>
      </c>
      <c r="R150" s="123">
        <f t="shared" si="68"/>
        <v>0</v>
      </c>
      <c r="S150" s="123">
        <f t="shared" si="68"/>
        <v>0</v>
      </c>
      <c r="T150" s="123">
        <f t="shared" si="69"/>
        <v>0</v>
      </c>
      <c r="U150" s="123">
        <f t="shared" si="69"/>
        <v>0</v>
      </c>
      <c r="V150" s="123">
        <f t="shared" si="69"/>
        <v>0</v>
      </c>
      <c r="W150" s="123">
        <f t="shared" si="69"/>
        <v>0</v>
      </c>
      <c r="X150" s="123">
        <f t="shared" si="69"/>
        <v>0</v>
      </c>
      <c r="Y150" s="123">
        <f t="shared" si="69"/>
        <v>0</v>
      </c>
      <c r="Z150" s="123">
        <f t="shared" si="69"/>
        <v>0</v>
      </c>
      <c r="AA150" s="123">
        <f t="shared" si="69"/>
        <v>0</v>
      </c>
      <c r="AB150" s="123">
        <f t="shared" si="69"/>
        <v>0</v>
      </c>
      <c r="AC150" s="123">
        <f t="shared" si="69"/>
        <v>0</v>
      </c>
      <c r="AD150" s="123">
        <f t="shared" si="69"/>
        <v>0</v>
      </c>
      <c r="AE150" s="123">
        <f t="shared" si="69"/>
        <v>0</v>
      </c>
      <c r="AF150" s="123">
        <f t="shared" si="69"/>
        <v>0</v>
      </c>
      <c r="AG150" s="126">
        <v>4</v>
      </c>
      <c r="AH150" s="54"/>
      <c r="AI150" s="55"/>
      <c r="AK150" s="56"/>
    </row>
    <row r="151" spans="1:37" x14ac:dyDescent="0.25">
      <c r="A151" s="111" t="s">
        <v>156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4"/>
      <c r="AI151" s="55"/>
      <c r="AK151" s="56"/>
    </row>
    <row r="152" spans="1:37" x14ac:dyDescent="0.25">
      <c r="A152" s="111" t="s">
        <v>157</v>
      </c>
      <c r="B152" s="123">
        <f>AF152</f>
        <v>0.1</v>
      </c>
      <c r="C152" s="124">
        <v>0.1</v>
      </c>
      <c r="D152" s="123">
        <f t="shared" ref="D152:S155" si="70">C152</f>
        <v>0.1</v>
      </c>
      <c r="E152" s="123">
        <f t="shared" si="70"/>
        <v>0.1</v>
      </c>
      <c r="F152" s="123">
        <f t="shared" si="70"/>
        <v>0.1</v>
      </c>
      <c r="G152" s="123">
        <f t="shared" si="70"/>
        <v>0.1</v>
      </c>
      <c r="H152" s="123">
        <f t="shared" si="70"/>
        <v>0.1</v>
      </c>
      <c r="I152" s="123">
        <f t="shared" si="70"/>
        <v>0.1</v>
      </c>
      <c r="J152" s="123">
        <f t="shared" si="70"/>
        <v>0.1</v>
      </c>
      <c r="K152" s="123">
        <f t="shared" si="70"/>
        <v>0.1</v>
      </c>
      <c r="L152" s="123">
        <f t="shared" si="70"/>
        <v>0.1</v>
      </c>
      <c r="M152" s="123">
        <f t="shared" si="70"/>
        <v>0.1</v>
      </c>
      <c r="N152" s="123">
        <f t="shared" si="70"/>
        <v>0.1</v>
      </c>
      <c r="O152" s="123">
        <f t="shared" si="70"/>
        <v>0.1</v>
      </c>
      <c r="P152" s="123">
        <f t="shared" si="70"/>
        <v>0.1</v>
      </c>
      <c r="Q152" s="123">
        <f t="shared" si="70"/>
        <v>0.1</v>
      </c>
      <c r="R152" s="123">
        <f t="shared" si="70"/>
        <v>0.1</v>
      </c>
      <c r="S152" s="123">
        <f t="shared" si="70"/>
        <v>0.1</v>
      </c>
      <c r="T152" s="123">
        <f t="shared" ref="T152:AF155" si="71">S152</f>
        <v>0.1</v>
      </c>
      <c r="U152" s="123">
        <f t="shared" si="71"/>
        <v>0.1</v>
      </c>
      <c r="V152" s="123">
        <f t="shared" si="71"/>
        <v>0.1</v>
      </c>
      <c r="W152" s="123">
        <f t="shared" si="71"/>
        <v>0.1</v>
      </c>
      <c r="X152" s="123">
        <f t="shared" si="71"/>
        <v>0.1</v>
      </c>
      <c r="Y152" s="123">
        <f t="shared" si="71"/>
        <v>0.1</v>
      </c>
      <c r="Z152" s="123">
        <f t="shared" si="71"/>
        <v>0.1</v>
      </c>
      <c r="AA152" s="123">
        <f t="shared" si="71"/>
        <v>0.1</v>
      </c>
      <c r="AB152" s="123">
        <f t="shared" si="71"/>
        <v>0.1</v>
      </c>
      <c r="AC152" s="123">
        <f t="shared" si="71"/>
        <v>0.1</v>
      </c>
      <c r="AD152" s="123">
        <f t="shared" si="71"/>
        <v>0.1</v>
      </c>
      <c r="AE152" s="123">
        <f t="shared" si="71"/>
        <v>0.1</v>
      </c>
      <c r="AF152" s="123">
        <f t="shared" si="71"/>
        <v>0.1</v>
      </c>
      <c r="AG152" s="126">
        <v>4</v>
      </c>
      <c r="AH152" s="54"/>
      <c r="AI152" s="55"/>
      <c r="AK152" s="56"/>
    </row>
    <row r="153" spans="1:37" x14ac:dyDescent="0.25">
      <c r="A153" s="111" t="s">
        <v>158</v>
      </c>
      <c r="B153" s="123">
        <f>AF153</f>
        <v>2.0499999999999998</v>
      </c>
      <c r="C153" s="124">
        <v>2.0499999999999998</v>
      </c>
      <c r="D153" s="123">
        <f t="shared" si="70"/>
        <v>2.0499999999999998</v>
      </c>
      <c r="E153" s="123">
        <f t="shared" si="70"/>
        <v>2.0499999999999998</v>
      </c>
      <c r="F153" s="123">
        <f t="shared" si="70"/>
        <v>2.0499999999999998</v>
      </c>
      <c r="G153" s="123">
        <f t="shared" si="70"/>
        <v>2.0499999999999998</v>
      </c>
      <c r="H153" s="123">
        <f t="shared" si="70"/>
        <v>2.0499999999999998</v>
      </c>
      <c r="I153" s="123">
        <f t="shared" si="70"/>
        <v>2.0499999999999998</v>
      </c>
      <c r="J153" s="123">
        <f t="shared" si="70"/>
        <v>2.0499999999999998</v>
      </c>
      <c r="K153" s="123">
        <f t="shared" si="70"/>
        <v>2.0499999999999998</v>
      </c>
      <c r="L153" s="123">
        <f t="shared" si="70"/>
        <v>2.0499999999999998</v>
      </c>
      <c r="M153" s="123">
        <f t="shared" si="70"/>
        <v>2.0499999999999998</v>
      </c>
      <c r="N153" s="123">
        <f t="shared" si="70"/>
        <v>2.0499999999999998</v>
      </c>
      <c r="O153" s="123">
        <f t="shared" si="70"/>
        <v>2.0499999999999998</v>
      </c>
      <c r="P153" s="123">
        <f t="shared" si="70"/>
        <v>2.0499999999999998</v>
      </c>
      <c r="Q153" s="123">
        <f t="shared" si="70"/>
        <v>2.0499999999999998</v>
      </c>
      <c r="R153" s="123">
        <f t="shared" si="70"/>
        <v>2.0499999999999998</v>
      </c>
      <c r="S153" s="123">
        <f t="shared" si="70"/>
        <v>2.0499999999999998</v>
      </c>
      <c r="T153" s="123">
        <f t="shared" si="71"/>
        <v>2.0499999999999998</v>
      </c>
      <c r="U153" s="123">
        <f t="shared" si="71"/>
        <v>2.0499999999999998</v>
      </c>
      <c r="V153" s="123">
        <f t="shared" si="71"/>
        <v>2.0499999999999998</v>
      </c>
      <c r="W153" s="123">
        <f t="shared" si="71"/>
        <v>2.0499999999999998</v>
      </c>
      <c r="X153" s="123">
        <f t="shared" si="71"/>
        <v>2.0499999999999998</v>
      </c>
      <c r="Y153" s="123">
        <f t="shared" si="71"/>
        <v>2.0499999999999998</v>
      </c>
      <c r="Z153" s="123">
        <f t="shared" si="71"/>
        <v>2.0499999999999998</v>
      </c>
      <c r="AA153" s="123">
        <f t="shared" si="71"/>
        <v>2.0499999999999998</v>
      </c>
      <c r="AB153" s="123">
        <f t="shared" si="71"/>
        <v>2.0499999999999998</v>
      </c>
      <c r="AC153" s="123">
        <f t="shared" si="71"/>
        <v>2.0499999999999998</v>
      </c>
      <c r="AD153" s="123">
        <f t="shared" si="71"/>
        <v>2.0499999999999998</v>
      </c>
      <c r="AE153" s="123">
        <f t="shared" si="71"/>
        <v>2.0499999999999998</v>
      </c>
      <c r="AF153" s="123">
        <f t="shared" si="71"/>
        <v>2.0499999999999998</v>
      </c>
      <c r="AG153" s="126">
        <v>4</v>
      </c>
      <c r="AH153" s="54"/>
      <c r="AI153" s="55"/>
      <c r="AK153" s="56"/>
    </row>
    <row r="154" spans="1:37" x14ac:dyDescent="0.25">
      <c r="A154" s="111" t="s">
        <v>159</v>
      </c>
      <c r="B154" s="123">
        <f>AF154</f>
        <v>2.7</v>
      </c>
      <c r="C154" s="124">
        <v>2.7</v>
      </c>
      <c r="D154" s="123">
        <f t="shared" si="70"/>
        <v>2.7</v>
      </c>
      <c r="E154" s="123">
        <f t="shared" si="70"/>
        <v>2.7</v>
      </c>
      <c r="F154" s="123">
        <f t="shared" si="70"/>
        <v>2.7</v>
      </c>
      <c r="G154" s="123">
        <f t="shared" si="70"/>
        <v>2.7</v>
      </c>
      <c r="H154" s="123">
        <f t="shared" si="70"/>
        <v>2.7</v>
      </c>
      <c r="I154" s="123">
        <f t="shared" si="70"/>
        <v>2.7</v>
      </c>
      <c r="J154" s="123">
        <f t="shared" si="70"/>
        <v>2.7</v>
      </c>
      <c r="K154" s="123">
        <f t="shared" si="70"/>
        <v>2.7</v>
      </c>
      <c r="L154" s="123">
        <f t="shared" si="70"/>
        <v>2.7</v>
      </c>
      <c r="M154" s="123">
        <f t="shared" si="70"/>
        <v>2.7</v>
      </c>
      <c r="N154" s="123">
        <f t="shared" si="70"/>
        <v>2.7</v>
      </c>
      <c r="O154" s="123">
        <f t="shared" si="70"/>
        <v>2.7</v>
      </c>
      <c r="P154" s="123">
        <f t="shared" si="70"/>
        <v>2.7</v>
      </c>
      <c r="Q154" s="123">
        <f t="shared" si="70"/>
        <v>2.7</v>
      </c>
      <c r="R154" s="123">
        <f t="shared" si="70"/>
        <v>2.7</v>
      </c>
      <c r="S154" s="123">
        <f t="shared" si="70"/>
        <v>2.7</v>
      </c>
      <c r="T154" s="123">
        <f t="shared" si="71"/>
        <v>2.7</v>
      </c>
      <c r="U154" s="123">
        <f t="shared" si="71"/>
        <v>2.7</v>
      </c>
      <c r="V154" s="123">
        <f t="shared" si="71"/>
        <v>2.7</v>
      </c>
      <c r="W154" s="123">
        <f t="shared" si="71"/>
        <v>2.7</v>
      </c>
      <c r="X154" s="123">
        <f t="shared" si="71"/>
        <v>2.7</v>
      </c>
      <c r="Y154" s="123">
        <f t="shared" si="71"/>
        <v>2.7</v>
      </c>
      <c r="Z154" s="123">
        <f t="shared" si="71"/>
        <v>2.7</v>
      </c>
      <c r="AA154" s="123">
        <f t="shared" si="71"/>
        <v>2.7</v>
      </c>
      <c r="AB154" s="123">
        <f t="shared" si="71"/>
        <v>2.7</v>
      </c>
      <c r="AC154" s="123">
        <f t="shared" si="71"/>
        <v>2.7</v>
      </c>
      <c r="AD154" s="123">
        <f t="shared" si="71"/>
        <v>2.7</v>
      </c>
      <c r="AE154" s="123">
        <f t="shared" si="71"/>
        <v>2.7</v>
      </c>
      <c r="AF154" s="123">
        <f t="shared" si="71"/>
        <v>2.7</v>
      </c>
      <c r="AG154" s="126">
        <v>4</v>
      </c>
      <c r="AH154" s="54"/>
      <c r="AI154" s="55"/>
      <c r="AK154" s="56"/>
    </row>
    <row r="155" spans="1:37" x14ac:dyDescent="0.25">
      <c r="A155" s="111" t="s">
        <v>160</v>
      </c>
      <c r="B155" s="123">
        <f>AF155</f>
        <v>2.15</v>
      </c>
      <c r="C155" s="124">
        <v>2.15</v>
      </c>
      <c r="D155" s="123">
        <f t="shared" si="70"/>
        <v>2.15</v>
      </c>
      <c r="E155" s="123">
        <f t="shared" si="70"/>
        <v>2.15</v>
      </c>
      <c r="F155" s="123">
        <f t="shared" si="70"/>
        <v>2.15</v>
      </c>
      <c r="G155" s="123">
        <f t="shared" si="70"/>
        <v>2.15</v>
      </c>
      <c r="H155" s="123">
        <f t="shared" si="70"/>
        <v>2.15</v>
      </c>
      <c r="I155" s="123">
        <f t="shared" si="70"/>
        <v>2.15</v>
      </c>
      <c r="J155" s="123">
        <f t="shared" si="70"/>
        <v>2.15</v>
      </c>
      <c r="K155" s="123">
        <f t="shared" si="70"/>
        <v>2.15</v>
      </c>
      <c r="L155" s="123">
        <f t="shared" si="70"/>
        <v>2.15</v>
      </c>
      <c r="M155" s="123">
        <f t="shared" si="70"/>
        <v>2.15</v>
      </c>
      <c r="N155" s="123">
        <f t="shared" si="70"/>
        <v>2.15</v>
      </c>
      <c r="O155" s="123">
        <f t="shared" si="70"/>
        <v>2.15</v>
      </c>
      <c r="P155" s="123">
        <f t="shared" si="70"/>
        <v>2.15</v>
      </c>
      <c r="Q155" s="123">
        <f t="shared" si="70"/>
        <v>2.15</v>
      </c>
      <c r="R155" s="123">
        <f t="shared" si="70"/>
        <v>2.15</v>
      </c>
      <c r="S155" s="123">
        <f t="shared" si="70"/>
        <v>2.15</v>
      </c>
      <c r="T155" s="123">
        <f t="shared" si="71"/>
        <v>2.15</v>
      </c>
      <c r="U155" s="123">
        <f t="shared" si="71"/>
        <v>2.15</v>
      </c>
      <c r="V155" s="123">
        <f t="shared" si="71"/>
        <v>2.15</v>
      </c>
      <c r="W155" s="123">
        <f t="shared" si="71"/>
        <v>2.15</v>
      </c>
      <c r="X155" s="123">
        <f t="shared" si="71"/>
        <v>2.15</v>
      </c>
      <c r="Y155" s="123">
        <f t="shared" si="71"/>
        <v>2.15</v>
      </c>
      <c r="Z155" s="123">
        <f t="shared" si="71"/>
        <v>2.15</v>
      </c>
      <c r="AA155" s="123">
        <f t="shared" si="71"/>
        <v>2.15</v>
      </c>
      <c r="AB155" s="123">
        <f t="shared" si="71"/>
        <v>2.15</v>
      </c>
      <c r="AC155" s="123">
        <f t="shared" si="71"/>
        <v>2.15</v>
      </c>
      <c r="AD155" s="123">
        <f t="shared" si="71"/>
        <v>2.15</v>
      </c>
      <c r="AE155" s="123">
        <f t="shared" si="71"/>
        <v>2.15</v>
      </c>
      <c r="AF155" s="123">
        <f t="shared" si="71"/>
        <v>2.15</v>
      </c>
      <c r="AG155" s="126">
        <v>4</v>
      </c>
      <c r="AH155" s="54"/>
      <c r="AI155" s="55"/>
      <c r="AK155" s="56"/>
    </row>
    <row r="156" spans="1:37" x14ac:dyDescent="0.25">
      <c r="A156" s="111" t="s">
        <v>161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4"/>
      <c r="AI156" s="55"/>
      <c r="AK156" s="56"/>
    </row>
    <row r="157" spans="1:37" x14ac:dyDescent="0.25">
      <c r="A157" s="111" t="s">
        <v>162</v>
      </c>
      <c r="B157" s="123">
        <f t="shared" ref="B157:B169" si="72">AF157</f>
        <v>0.9</v>
      </c>
      <c r="C157" s="124">
        <v>0.9</v>
      </c>
      <c r="D157" s="123">
        <f t="shared" ref="D157:S169" si="73">C157</f>
        <v>0.9</v>
      </c>
      <c r="E157" s="123">
        <f t="shared" si="73"/>
        <v>0.9</v>
      </c>
      <c r="F157" s="123">
        <f t="shared" si="73"/>
        <v>0.9</v>
      </c>
      <c r="G157" s="123">
        <f t="shared" si="73"/>
        <v>0.9</v>
      </c>
      <c r="H157" s="123">
        <f t="shared" si="73"/>
        <v>0.9</v>
      </c>
      <c r="I157" s="123">
        <f t="shared" si="73"/>
        <v>0.9</v>
      </c>
      <c r="J157" s="123">
        <f t="shared" si="73"/>
        <v>0.9</v>
      </c>
      <c r="K157" s="123">
        <f t="shared" si="73"/>
        <v>0.9</v>
      </c>
      <c r="L157" s="123">
        <f t="shared" si="73"/>
        <v>0.9</v>
      </c>
      <c r="M157" s="123">
        <f t="shared" si="73"/>
        <v>0.9</v>
      </c>
      <c r="N157" s="123">
        <f t="shared" si="73"/>
        <v>0.9</v>
      </c>
      <c r="O157" s="123">
        <f t="shared" si="73"/>
        <v>0.9</v>
      </c>
      <c r="P157" s="123">
        <f t="shared" si="73"/>
        <v>0.9</v>
      </c>
      <c r="Q157" s="123">
        <f t="shared" si="73"/>
        <v>0.9</v>
      </c>
      <c r="R157" s="123">
        <f t="shared" si="73"/>
        <v>0.9</v>
      </c>
      <c r="S157" s="123">
        <f t="shared" si="73"/>
        <v>0.9</v>
      </c>
      <c r="T157" s="123">
        <f t="shared" ref="S157:AF169" si="74">S157</f>
        <v>0.9</v>
      </c>
      <c r="U157" s="123">
        <f t="shared" si="74"/>
        <v>0.9</v>
      </c>
      <c r="V157" s="123">
        <f t="shared" si="74"/>
        <v>0.9</v>
      </c>
      <c r="W157" s="123">
        <f t="shared" si="74"/>
        <v>0.9</v>
      </c>
      <c r="X157" s="123">
        <f t="shared" si="74"/>
        <v>0.9</v>
      </c>
      <c r="Y157" s="123">
        <f t="shared" si="74"/>
        <v>0.9</v>
      </c>
      <c r="Z157" s="123">
        <f t="shared" si="74"/>
        <v>0.9</v>
      </c>
      <c r="AA157" s="123">
        <f t="shared" si="74"/>
        <v>0.9</v>
      </c>
      <c r="AB157" s="123">
        <f t="shared" si="74"/>
        <v>0.9</v>
      </c>
      <c r="AC157" s="123">
        <f t="shared" si="74"/>
        <v>0.9</v>
      </c>
      <c r="AD157" s="123">
        <f t="shared" si="74"/>
        <v>0.9</v>
      </c>
      <c r="AE157" s="123">
        <f t="shared" si="74"/>
        <v>0.9</v>
      </c>
      <c r="AF157" s="123">
        <f t="shared" si="74"/>
        <v>0.9</v>
      </c>
      <c r="AG157" s="126">
        <v>4</v>
      </c>
      <c r="AH157" s="54"/>
      <c r="AI157" s="55"/>
      <c r="AK157" s="56"/>
    </row>
    <row r="158" spans="1:37" x14ac:dyDescent="0.25">
      <c r="A158" s="111" t="s">
        <v>163</v>
      </c>
      <c r="B158" s="123">
        <f t="shared" si="72"/>
        <v>1.08</v>
      </c>
      <c r="C158" s="124">
        <v>1.08</v>
      </c>
      <c r="D158" s="123">
        <f t="shared" si="73"/>
        <v>1.08</v>
      </c>
      <c r="E158" s="123">
        <f t="shared" si="73"/>
        <v>1.08</v>
      </c>
      <c r="F158" s="123">
        <f t="shared" si="73"/>
        <v>1.08</v>
      </c>
      <c r="G158" s="123">
        <f t="shared" si="73"/>
        <v>1.08</v>
      </c>
      <c r="H158" s="123">
        <f t="shared" si="73"/>
        <v>1.08</v>
      </c>
      <c r="I158" s="123">
        <f t="shared" si="73"/>
        <v>1.08</v>
      </c>
      <c r="J158" s="123">
        <f t="shared" si="73"/>
        <v>1.08</v>
      </c>
      <c r="K158" s="123">
        <f t="shared" si="73"/>
        <v>1.08</v>
      </c>
      <c r="L158" s="123">
        <f t="shared" si="73"/>
        <v>1.08</v>
      </c>
      <c r="M158" s="123">
        <f t="shared" si="73"/>
        <v>1.08</v>
      </c>
      <c r="N158" s="123">
        <f t="shared" si="73"/>
        <v>1.08</v>
      </c>
      <c r="O158" s="123">
        <f t="shared" si="73"/>
        <v>1.08</v>
      </c>
      <c r="P158" s="123">
        <f t="shared" si="73"/>
        <v>1.08</v>
      </c>
      <c r="Q158" s="123">
        <f t="shared" si="73"/>
        <v>1.08</v>
      </c>
      <c r="R158" s="123">
        <f t="shared" si="73"/>
        <v>1.08</v>
      </c>
      <c r="S158" s="123">
        <f t="shared" si="73"/>
        <v>1.08</v>
      </c>
      <c r="T158" s="123">
        <f t="shared" si="74"/>
        <v>1.08</v>
      </c>
      <c r="U158" s="123">
        <f t="shared" si="74"/>
        <v>1.08</v>
      </c>
      <c r="V158" s="123">
        <f t="shared" si="74"/>
        <v>1.08</v>
      </c>
      <c r="W158" s="123">
        <f t="shared" si="74"/>
        <v>1.08</v>
      </c>
      <c r="X158" s="123">
        <f t="shared" si="74"/>
        <v>1.08</v>
      </c>
      <c r="Y158" s="123">
        <f t="shared" si="74"/>
        <v>1.08</v>
      </c>
      <c r="Z158" s="123">
        <f t="shared" si="74"/>
        <v>1.08</v>
      </c>
      <c r="AA158" s="123">
        <f t="shared" si="74"/>
        <v>1.08</v>
      </c>
      <c r="AB158" s="123">
        <f t="shared" si="74"/>
        <v>1.08</v>
      </c>
      <c r="AC158" s="123">
        <f t="shared" si="74"/>
        <v>1.08</v>
      </c>
      <c r="AD158" s="123">
        <f t="shared" si="74"/>
        <v>1.08</v>
      </c>
      <c r="AE158" s="123">
        <f t="shared" si="74"/>
        <v>1.08</v>
      </c>
      <c r="AF158" s="123">
        <f t="shared" si="74"/>
        <v>1.08</v>
      </c>
      <c r="AG158" s="126">
        <v>3.75</v>
      </c>
      <c r="AH158" s="54"/>
      <c r="AI158" s="55"/>
      <c r="AK158" s="56"/>
    </row>
    <row r="159" spans="1:37" x14ac:dyDescent="0.25">
      <c r="A159" s="111" t="s">
        <v>164</v>
      </c>
      <c r="B159" s="123">
        <f t="shared" si="72"/>
        <v>2.37</v>
      </c>
      <c r="C159" s="124">
        <v>2.37</v>
      </c>
      <c r="D159" s="123">
        <f t="shared" si="73"/>
        <v>2.37</v>
      </c>
      <c r="E159" s="123">
        <f t="shared" si="73"/>
        <v>2.37</v>
      </c>
      <c r="F159" s="123">
        <f t="shared" si="73"/>
        <v>2.37</v>
      </c>
      <c r="G159" s="123">
        <f t="shared" si="73"/>
        <v>2.37</v>
      </c>
      <c r="H159" s="123">
        <f t="shared" si="73"/>
        <v>2.37</v>
      </c>
      <c r="I159" s="123">
        <f t="shared" si="73"/>
        <v>2.37</v>
      </c>
      <c r="J159" s="123">
        <f t="shared" si="73"/>
        <v>2.37</v>
      </c>
      <c r="K159" s="123">
        <f t="shared" si="73"/>
        <v>2.37</v>
      </c>
      <c r="L159" s="123">
        <f t="shared" si="73"/>
        <v>2.37</v>
      </c>
      <c r="M159" s="123">
        <f t="shared" si="73"/>
        <v>2.37</v>
      </c>
      <c r="N159" s="123">
        <f t="shared" si="73"/>
        <v>2.37</v>
      </c>
      <c r="O159" s="123">
        <f t="shared" si="73"/>
        <v>2.37</v>
      </c>
      <c r="P159" s="123">
        <f t="shared" si="73"/>
        <v>2.37</v>
      </c>
      <c r="Q159" s="123">
        <f t="shared" si="73"/>
        <v>2.37</v>
      </c>
      <c r="R159" s="123">
        <f t="shared" si="73"/>
        <v>2.37</v>
      </c>
      <c r="S159" s="123">
        <f t="shared" si="73"/>
        <v>2.37</v>
      </c>
      <c r="T159" s="123">
        <f t="shared" si="74"/>
        <v>2.37</v>
      </c>
      <c r="U159" s="123">
        <f t="shared" si="74"/>
        <v>2.37</v>
      </c>
      <c r="V159" s="123">
        <f t="shared" si="74"/>
        <v>2.37</v>
      </c>
      <c r="W159" s="123">
        <f t="shared" si="74"/>
        <v>2.37</v>
      </c>
      <c r="X159" s="123">
        <f t="shared" si="74"/>
        <v>2.37</v>
      </c>
      <c r="Y159" s="123">
        <f t="shared" si="74"/>
        <v>2.37</v>
      </c>
      <c r="Z159" s="123">
        <f t="shared" si="74"/>
        <v>2.37</v>
      </c>
      <c r="AA159" s="123">
        <f t="shared" si="74"/>
        <v>2.37</v>
      </c>
      <c r="AB159" s="123">
        <f t="shared" si="74"/>
        <v>2.37</v>
      </c>
      <c r="AC159" s="123">
        <f t="shared" si="74"/>
        <v>2.37</v>
      </c>
      <c r="AD159" s="123">
        <f t="shared" si="74"/>
        <v>2.37</v>
      </c>
      <c r="AE159" s="123">
        <f t="shared" si="74"/>
        <v>2.37</v>
      </c>
      <c r="AF159" s="123">
        <f t="shared" si="74"/>
        <v>2.37</v>
      </c>
      <c r="AG159" s="126">
        <v>3.52</v>
      </c>
      <c r="AH159" s="54"/>
      <c r="AI159" s="55"/>
      <c r="AK159" s="56"/>
    </row>
    <row r="160" spans="1:37" x14ac:dyDescent="0.25">
      <c r="A160" s="111" t="s">
        <v>165</v>
      </c>
      <c r="B160" s="123">
        <f t="shared" si="72"/>
        <v>1.81</v>
      </c>
      <c r="C160" s="124">
        <v>1.81</v>
      </c>
      <c r="D160" s="123">
        <f t="shared" si="73"/>
        <v>1.81</v>
      </c>
      <c r="E160" s="123">
        <f t="shared" si="73"/>
        <v>1.81</v>
      </c>
      <c r="F160" s="123">
        <f t="shared" si="73"/>
        <v>1.81</v>
      </c>
      <c r="G160" s="123">
        <f t="shared" si="73"/>
        <v>1.81</v>
      </c>
      <c r="H160" s="123">
        <f t="shared" si="73"/>
        <v>1.81</v>
      </c>
      <c r="I160" s="123">
        <f t="shared" si="73"/>
        <v>1.81</v>
      </c>
      <c r="J160" s="123">
        <f t="shared" si="73"/>
        <v>1.81</v>
      </c>
      <c r="K160" s="123">
        <f t="shared" si="73"/>
        <v>1.81</v>
      </c>
      <c r="L160" s="123">
        <f t="shared" si="73"/>
        <v>1.81</v>
      </c>
      <c r="M160" s="123">
        <f t="shared" si="73"/>
        <v>1.81</v>
      </c>
      <c r="N160" s="123">
        <f t="shared" si="73"/>
        <v>1.81</v>
      </c>
      <c r="O160" s="123">
        <f t="shared" si="73"/>
        <v>1.81</v>
      </c>
      <c r="P160" s="123">
        <f t="shared" si="73"/>
        <v>1.81</v>
      </c>
      <c r="Q160" s="123">
        <f t="shared" si="73"/>
        <v>1.81</v>
      </c>
      <c r="R160" s="123">
        <f t="shared" si="73"/>
        <v>1.81</v>
      </c>
      <c r="S160" s="123">
        <f t="shared" si="73"/>
        <v>1.81</v>
      </c>
      <c r="T160" s="123">
        <f t="shared" si="74"/>
        <v>1.81</v>
      </c>
      <c r="U160" s="123">
        <f t="shared" si="74"/>
        <v>1.81</v>
      </c>
      <c r="V160" s="123">
        <f t="shared" si="74"/>
        <v>1.81</v>
      </c>
      <c r="W160" s="123">
        <f t="shared" si="74"/>
        <v>1.81</v>
      </c>
      <c r="X160" s="123">
        <f t="shared" si="74"/>
        <v>1.81</v>
      </c>
      <c r="Y160" s="123">
        <f t="shared" si="74"/>
        <v>1.81</v>
      </c>
      <c r="Z160" s="123">
        <f t="shared" si="74"/>
        <v>1.81</v>
      </c>
      <c r="AA160" s="123">
        <f t="shared" si="74"/>
        <v>1.81</v>
      </c>
      <c r="AB160" s="123">
        <f t="shared" si="74"/>
        <v>1.81</v>
      </c>
      <c r="AC160" s="123">
        <f t="shared" si="74"/>
        <v>1.81</v>
      </c>
      <c r="AD160" s="123">
        <f t="shared" si="74"/>
        <v>1.81</v>
      </c>
      <c r="AE160" s="123">
        <f t="shared" si="74"/>
        <v>1.81</v>
      </c>
      <c r="AF160" s="123">
        <f t="shared" si="74"/>
        <v>1.81</v>
      </c>
      <c r="AG160" s="126">
        <v>3.33</v>
      </c>
      <c r="AH160" s="54"/>
      <c r="AI160" s="55"/>
      <c r="AK160" s="56"/>
    </row>
    <row r="161" spans="1:37" x14ac:dyDescent="0.25">
      <c r="A161" s="111" t="s">
        <v>166</v>
      </c>
      <c r="B161" s="123">
        <f t="shared" si="72"/>
        <v>1.0900000000000001</v>
      </c>
      <c r="C161" s="124">
        <v>1.0900000000000001</v>
      </c>
      <c r="D161" s="123">
        <f t="shared" si="73"/>
        <v>1.0900000000000001</v>
      </c>
      <c r="E161" s="123">
        <f t="shared" si="73"/>
        <v>1.0900000000000001</v>
      </c>
      <c r="F161" s="123">
        <f t="shared" si="73"/>
        <v>1.0900000000000001</v>
      </c>
      <c r="G161" s="123">
        <f t="shared" si="73"/>
        <v>1.0900000000000001</v>
      </c>
      <c r="H161" s="123">
        <f t="shared" si="73"/>
        <v>1.0900000000000001</v>
      </c>
      <c r="I161" s="123">
        <f t="shared" si="73"/>
        <v>1.0900000000000001</v>
      </c>
      <c r="J161" s="123">
        <f t="shared" si="73"/>
        <v>1.0900000000000001</v>
      </c>
      <c r="K161" s="123">
        <f t="shared" si="73"/>
        <v>1.0900000000000001</v>
      </c>
      <c r="L161" s="123">
        <f t="shared" si="73"/>
        <v>1.0900000000000001</v>
      </c>
      <c r="M161" s="123">
        <f t="shared" si="73"/>
        <v>1.0900000000000001</v>
      </c>
      <c r="N161" s="123">
        <f t="shared" si="73"/>
        <v>1.0900000000000001</v>
      </c>
      <c r="O161" s="123">
        <f t="shared" si="73"/>
        <v>1.0900000000000001</v>
      </c>
      <c r="P161" s="123">
        <f t="shared" si="73"/>
        <v>1.0900000000000001</v>
      </c>
      <c r="Q161" s="123">
        <f t="shared" si="73"/>
        <v>1.0900000000000001</v>
      </c>
      <c r="R161" s="123">
        <f t="shared" si="73"/>
        <v>1.0900000000000001</v>
      </c>
      <c r="S161" s="123">
        <f t="shared" si="73"/>
        <v>1.0900000000000001</v>
      </c>
      <c r="T161" s="123">
        <f t="shared" si="74"/>
        <v>1.0900000000000001</v>
      </c>
      <c r="U161" s="123">
        <f t="shared" si="74"/>
        <v>1.0900000000000001</v>
      </c>
      <c r="V161" s="123">
        <f t="shared" si="74"/>
        <v>1.0900000000000001</v>
      </c>
      <c r="W161" s="123">
        <f t="shared" si="74"/>
        <v>1.0900000000000001</v>
      </c>
      <c r="X161" s="123">
        <f t="shared" si="74"/>
        <v>1.0900000000000001</v>
      </c>
      <c r="Y161" s="123">
        <f t="shared" si="74"/>
        <v>1.0900000000000001</v>
      </c>
      <c r="Z161" s="123">
        <f t="shared" si="74"/>
        <v>1.0900000000000001</v>
      </c>
      <c r="AA161" s="123">
        <f t="shared" si="74"/>
        <v>1.0900000000000001</v>
      </c>
      <c r="AB161" s="123">
        <f t="shared" si="74"/>
        <v>1.0900000000000001</v>
      </c>
      <c r="AC161" s="123">
        <f t="shared" si="74"/>
        <v>1.0900000000000001</v>
      </c>
      <c r="AD161" s="123">
        <f t="shared" si="74"/>
        <v>1.0900000000000001</v>
      </c>
      <c r="AE161" s="123">
        <f t="shared" si="74"/>
        <v>1.0900000000000001</v>
      </c>
      <c r="AF161" s="123">
        <f t="shared" si="74"/>
        <v>1.0900000000000001</v>
      </c>
      <c r="AG161" s="126">
        <v>3.2</v>
      </c>
      <c r="AH161" s="54"/>
      <c r="AI161" s="55"/>
      <c r="AK161" s="56"/>
    </row>
    <row r="162" spans="1:37" x14ac:dyDescent="0.25">
      <c r="A162" s="111" t="s">
        <v>167</v>
      </c>
      <c r="B162" s="123">
        <f t="shared" si="72"/>
        <v>1.58</v>
      </c>
      <c r="C162" s="124">
        <v>1.58</v>
      </c>
      <c r="D162" s="123">
        <f t="shared" si="73"/>
        <v>1.58</v>
      </c>
      <c r="E162" s="123">
        <f t="shared" si="73"/>
        <v>1.58</v>
      </c>
      <c r="F162" s="123">
        <f t="shared" si="73"/>
        <v>1.58</v>
      </c>
      <c r="G162" s="123">
        <f t="shared" si="73"/>
        <v>1.58</v>
      </c>
      <c r="H162" s="123">
        <f t="shared" si="73"/>
        <v>1.58</v>
      </c>
      <c r="I162" s="123">
        <f t="shared" si="73"/>
        <v>1.58</v>
      </c>
      <c r="J162" s="123">
        <f t="shared" si="73"/>
        <v>1.58</v>
      </c>
      <c r="K162" s="123">
        <f t="shared" si="73"/>
        <v>1.58</v>
      </c>
      <c r="L162" s="123">
        <f t="shared" si="73"/>
        <v>1.58</v>
      </c>
      <c r="M162" s="123">
        <f t="shared" si="73"/>
        <v>1.58</v>
      </c>
      <c r="N162" s="123">
        <f t="shared" si="73"/>
        <v>1.58</v>
      </c>
      <c r="O162" s="123">
        <f t="shared" si="73"/>
        <v>1.58</v>
      </c>
      <c r="P162" s="123">
        <f t="shared" si="73"/>
        <v>1.58</v>
      </c>
      <c r="Q162" s="123">
        <f t="shared" si="73"/>
        <v>1.58</v>
      </c>
      <c r="R162" s="123">
        <f t="shared" si="73"/>
        <v>1.58</v>
      </c>
      <c r="S162" s="123">
        <f t="shared" si="73"/>
        <v>1.58</v>
      </c>
      <c r="T162" s="123">
        <f t="shared" si="74"/>
        <v>1.58</v>
      </c>
      <c r="U162" s="123">
        <f t="shared" si="74"/>
        <v>1.58</v>
      </c>
      <c r="V162" s="123">
        <f t="shared" si="74"/>
        <v>1.58</v>
      </c>
      <c r="W162" s="123">
        <f t="shared" si="74"/>
        <v>1.58</v>
      </c>
      <c r="X162" s="123">
        <f t="shared" si="74"/>
        <v>1.58</v>
      </c>
      <c r="Y162" s="123">
        <f t="shared" si="74"/>
        <v>1.58</v>
      </c>
      <c r="Z162" s="123">
        <f t="shared" si="74"/>
        <v>1.58</v>
      </c>
      <c r="AA162" s="123">
        <f t="shared" si="74"/>
        <v>1.58</v>
      </c>
      <c r="AB162" s="123">
        <f t="shared" si="74"/>
        <v>1.58</v>
      </c>
      <c r="AC162" s="123">
        <f t="shared" si="74"/>
        <v>1.58</v>
      </c>
      <c r="AD162" s="123">
        <f t="shared" si="74"/>
        <v>1.58</v>
      </c>
      <c r="AE162" s="123">
        <f t="shared" si="74"/>
        <v>1.58</v>
      </c>
      <c r="AF162" s="123">
        <f t="shared" si="74"/>
        <v>1.58</v>
      </c>
      <c r="AG162" s="126">
        <v>3</v>
      </c>
      <c r="AH162" s="54"/>
      <c r="AI162" s="55"/>
      <c r="AK162" s="56"/>
    </row>
    <row r="163" spans="1:37" x14ac:dyDescent="0.25">
      <c r="A163" s="111" t="s">
        <v>168</v>
      </c>
      <c r="B163" s="123">
        <f t="shared" si="72"/>
        <v>2</v>
      </c>
      <c r="C163" s="124">
        <v>2</v>
      </c>
      <c r="D163" s="123">
        <f t="shared" si="73"/>
        <v>2</v>
      </c>
      <c r="E163" s="123">
        <f t="shared" si="73"/>
        <v>2</v>
      </c>
      <c r="F163" s="123">
        <f t="shared" si="73"/>
        <v>2</v>
      </c>
      <c r="G163" s="123">
        <f t="shared" si="73"/>
        <v>2</v>
      </c>
      <c r="H163" s="123">
        <f t="shared" si="73"/>
        <v>2</v>
      </c>
      <c r="I163" s="123">
        <f t="shared" si="73"/>
        <v>2</v>
      </c>
      <c r="J163" s="123">
        <f t="shared" si="73"/>
        <v>2</v>
      </c>
      <c r="K163" s="123">
        <f t="shared" si="73"/>
        <v>2</v>
      </c>
      <c r="L163" s="123">
        <f t="shared" si="73"/>
        <v>2</v>
      </c>
      <c r="M163" s="123">
        <f t="shared" si="73"/>
        <v>2</v>
      </c>
      <c r="N163" s="123">
        <f t="shared" si="73"/>
        <v>2</v>
      </c>
      <c r="O163" s="123">
        <f t="shared" si="73"/>
        <v>2</v>
      </c>
      <c r="P163" s="123">
        <f t="shared" si="73"/>
        <v>2</v>
      </c>
      <c r="Q163" s="123">
        <f t="shared" si="73"/>
        <v>2</v>
      </c>
      <c r="R163" s="123">
        <f t="shared" si="73"/>
        <v>2</v>
      </c>
      <c r="S163" s="123">
        <f t="shared" si="73"/>
        <v>2</v>
      </c>
      <c r="T163" s="123">
        <f t="shared" si="74"/>
        <v>2</v>
      </c>
      <c r="U163" s="123">
        <f t="shared" si="74"/>
        <v>2</v>
      </c>
      <c r="V163" s="123">
        <f t="shared" si="74"/>
        <v>2</v>
      </c>
      <c r="W163" s="123">
        <f t="shared" si="74"/>
        <v>2</v>
      </c>
      <c r="X163" s="123">
        <f t="shared" si="74"/>
        <v>2</v>
      </c>
      <c r="Y163" s="123">
        <f t="shared" si="74"/>
        <v>2</v>
      </c>
      <c r="Z163" s="123">
        <f t="shared" si="74"/>
        <v>2</v>
      </c>
      <c r="AA163" s="123">
        <f t="shared" si="74"/>
        <v>2</v>
      </c>
      <c r="AB163" s="123">
        <f t="shared" si="74"/>
        <v>2</v>
      </c>
      <c r="AC163" s="123">
        <f t="shared" si="74"/>
        <v>2</v>
      </c>
      <c r="AD163" s="123">
        <f t="shared" si="74"/>
        <v>2</v>
      </c>
      <c r="AE163" s="123">
        <f t="shared" si="74"/>
        <v>2</v>
      </c>
      <c r="AF163" s="123">
        <f t="shared" si="74"/>
        <v>2</v>
      </c>
      <c r="AG163" s="126">
        <v>3</v>
      </c>
      <c r="AH163" s="54"/>
      <c r="AI163" s="55"/>
      <c r="AK163" s="56"/>
    </row>
    <row r="164" spans="1:37" x14ac:dyDescent="0.25">
      <c r="A164" s="111" t="s">
        <v>169</v>
      </c>
      <c r="B164" s="123">
        <f t="shared" si="72"/>
        <v>0.47</v>
      </c>
      <c r="C164" s="124">
        <v>0.47</v>
      </c>
      <c r="D164" s="123">
        <f t="shared" si="73"/>
        <v>0.47</v>
      </c>
      <c r="E164" s="123">
        <f t="shared" si="73"/>
        <v>0.47</v>
      </c>
      <c r="F164" s="123">
        <f t="shared" si="73"/>
        <v>0.47</v>
      </c>
      <c r="G164" s="123">
        <f t="shared" si="73"/>
        <v>0.47</v>
      </c>
      <c r="H164" s="123">
        <f t="shared" si="73"/>
        <v>0.47</v>
      </c>
      <c r="I164" s="123">
        <f t="shared" si="73"/>
        <v>0.47</v>
      </c>
      <c r="J164" s="123">
        <f t="shared" si="73"/>
        <v>0.47</v>
      </c>
      <c r="K164" s="123">
        <f t="shared" si="73"/>
        <v>0.47</v>
      </c>
      <c r="L164" s="123">
        <f t="shared" si="73"/>
        <v>0.47</v>
      </c>
      <c r="M164" s="123">
        <f t="shared" si="73"/>
        <v>0.47</v>
      </c>
      <c r="N164" s="123">
        <f t="shared" si="73"/>
        <v>0.47</v>
      </c>
      <c r="O164" s="123">
        <f t="shared" si="73"/>
        <v>0.47</v>
      </c>
      <c r="P164" s="123">
        <f t="shared" si="73"/>
        <v>0.47</v>
      </c>
      <c r="Q164" s="123">
        <f t="shared" si="73"/>
        <v>0.47</v>
      </c>
      <c r="R164" s="123">
        <f t="shared" si="73"/>
        <v>0.47</v>
      </c>
      <c r="S164" s="123">
        <f t="shared" si="73"/>
        <v>0.47</v>
      </c>
      <c r="T164" s="123">
        <f t="shared" si="74"/>
        <v>0.47</v>
      </c>
      <c r="U164" s="123">
        <f t="shared" si="74"/>
        <v>0.47</v>
      </c>
      <c r="V164" s="123">
        <f t="shared" si="74"/>
        <v>0.47</v>
      </c>
      <c r="W164" s="123">
        <f t="shared" si="74"/>
        <v>0.47</v>
      </c>
      <c r="X164" s="123">
        <f t="shared" si="74"/>
        <v>0.47</v>
      </c>
      <c r="Y164" s="123">
        <f t="shared" si="74"/>
        <v>0.47</v>
      </c>
      <c r="Z164" s="123">
        <f t="shared" si="74"/>
        <v>0.47</v>
      </c>
      <c r="AA164" s="123">
        <f t="shared" si="74"/>
        <v>0.47</v>
      </c>
      <c r="AB164" s="123">
        <f t="shared" si="74"/>
        <v>0.47</v>
      </c>
      <c r="AC164" s="123">
        <f t="shared" si="74"/>
        <v>0.47</v>
      </c>
      <c r="AD164" s="123">
        <f t="shared" si="74"/>
        <v>0.47</v>
      </c>
      <c r="AE164" s="123">
        <f t="shared" si="74"/>
        <v>0.47</v>
      </c>
      <c r="AF164" s="123">
        <f t="shared" si="74"/>
        <v>0.47</v>
      </c>
      <c r="AG164" s="126">
        <v>3</v>
      </c>
      <c r="AH164" s="54"/>
      <c r="AI164" s="55"/>
      <c r="AK164" s="56"/>
    </row>
    <row r="165" spans="1:37" x14ac:dyDescent="0.25">
      <c r="A165" s="111" t="s">
        <v>170</v>
      </c>
      <c r="B165" s="123">
        <f t="shared" si="72"/>
        <v>0</v>
      </c>
      <c r="C165" s="124">
        <v>0</v>
      </c>
      <c r="D165" s="123">
        <f t="shared" si="73"/>
        <v>0</v>
      </c>
      <c r="E165" s="123">
        <f t="shared" si="73"/>
        <v>0</v>
      </c>
      <c r="F165" s="123">
        <f t="shared" si="73"/>
        <v>0</v>
      </c>
      <c r="G165" s="123">
        <f t="shared" si="73"/>
        <v>0</v>
      </c>
      <c r="H165" s="123">
        <f t="shared" si="73"/>
        <v>0</v>
      </c>
      <c r="I165" s="123">
        <f t="shared" si="73"/>
        <v>0</v>
      </c>
      <c r="J165" s="123">
        <f t="shared" si="73"/>
        <v>0</v>
      </c>
      <c r="K165" s="123">
        <f t="shared" si="73"/>
        <v>0</v>
      </c>
      <c r="L165" s="123">
        <f t="shared" si="73"/>
        <v>0</v>
      </c>
      <c r="M165" s="123">
        <f t="shared" si="73"/>
        <v>0</v>
      </c>
      <c r="N165" s="123">
        <f t="shared" si="73"/>
        <v>0</v>
      </c>
      <c r="O165" s="123">
        <f t="shared" si="73"/>
        <v>0</v>
      </c>
      <c r="P165" s="123">
        <f t="shared" si="73"/>
        <v>0</v>
      </c>
      <c r="Q165" s="123">
        <f t="shared" si="73"/>
        <v>0</v>
      </c>
      <c r="R165" s="123">
        <f t="shared" si="73"/>
        <v>0</v>
      </c>
      <c r="S165" s="123">
        <f t="shared" si="73"/>
        <v>0</v>
      </c>
      <c r="T165" s="123">
        <f t="shared" si="74"/>
        <v>0</v>
      </c>
      <c r="U165" s="123">
        <f t="shared" si="74"/>
        <v>0</v>
      </c>
      <c r="V165" s="123">
        <f t="shared" si="74"/>
        <v>0</v>
      </c>
      <c r="W165" s="123">
        <f t="shared" si="74"/>
        <v>0</v>
      </c>
      <c r="X165" s="123">
        <f t="shared" si="74"/>
        <v>0</v>
      </c>
      <c r="Y165" s="123">
        <f t="shared" si="74"/>
        <v>0</v>
      </c>
      <c r="Z165" s="123">
        <f t="shared" si="74"/>
        <v>0</v>
      </c>
      <c r="AA165" s="123">
        <f t="shared" si="74"/>
        <v>0</v>
      </c>
      <c r="AB165" s="123">
        <f t="shared" si="74"/>
        <v>0</v>
      </c>
      <c r="AC165" s="123">
        <f t="shared" si="74"/>
        <v>0</v>
      </c>
      <c r="AD165" s="123">
        <f t="shared" si="74"/>
        <v>0</v>
      </c>
      <c r="AE165" s="123">
        <f t="shared" si="74"/>
        <v>0</v>
      </c>
      <c r="AF165" s="123">
        <f t="shared" si="74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171</v>
      </c>
      <c r="B166" s="123">
        <f t="shared" si="72"/>
        <v>0</v>
      </c>
      <c r="C166" s="124">
        <v>0</v>
      </c>
      <c r="D166" s="123">
        <f t="shared" si="73"/>
        <v>0</v>
      </c>
      <c r="E166" s="123">
        <f t="shared" si="73"/>
        <v>0</v>
      </c>
      <c r="F166" s="123">
        <f t="shared" si="73"/>
        <v>0</v>
      </c>
      <c r="G166" s="123">
        <f t="shared" si="73"/>
        <v>0</v>
      </c>
      <c r="H166" s="123">
        <f t="shared" si="73"/>
        <v>0</v>
      </c>
      <c r="I166" s="123">
        <f t="shared" si="73"/>
        <v>0</v>
      </c>
      <c r="J166" s="123">
        <f t="shared" si="73"/>
        <v>0</v>
      </c>
      <c r="K166" s="123">
        <f t="shared" si="73"/>
        <v>0</v>
      </c>
      <c r="L166" s="123">
        <f t="shared" si="73"/>
        <v>0</v>
      </c>
      <c r="M166" s="123">
        <f t="shared" si="73"/>
        <v>0</v>
      </c>
      <c r="N166" s="123">
        <f t="shared" si="73"/>
        <v>0</v>
      </c>
      <c r="O166" s="123">
        <f t="shared" si="73"/>
        <v>0</v>
      </c>
      <c r="P166" s="123">
        <f t="shared" si="73"/>
        <v>0</v>
      </c>
      <c r="Q166" s="123">
        <f t="shared" si="73"/>
        <v>0</v>
      </c>
      <c r="R166" s="123">
        <f t="shared" si="73"/>
        <v>0</v>
      </c>
      <c r="S166" s="123">
        <f t="shared" si="74"/>
        <v>0</v>
      </c>
      <c r="T166" s="123">
        <f t="shared" si="74"/>
        <v>0</v>
      </c>
      <c r="U166" s="123">
        <f t="shared" si="74"/>
        <v>0</v>
      </c>
      <c r="V166" s="123">
        <f t="shared" si="74"/>
        <v>0</v>
      </c>
      <c r="W166" s="123">
        <f t="shared" si="74"/>
        <v>0</v>
      </c>
      <c r="X166" s="123">
        <f t="shared" si="74"/>
        <v>0</v>
      </c>
      <c r="Y166" s="123">
        <f t="shared" si="74"/>
        <v>0</v>
      </c>
      <c r="Z166" s="123">
        <f t="shared" si="74"/>
        <v>0</v>
      </c>
      <c r="AA166" s="123">
        <f t="shared" si="74"/>
        <v>0</v>
      </c>
      <c r="AB166" s="123">
        <f t="shared" si="74"/>
        <v>0</v>
      </c>
      <c r="AC166" s="123">
        <f t="shared" si="74"/>
        <v>0</v>
      </c>
      <c r="AD166" s="123">
        <f t="shared" si="74"/>
        <v>0</v>
      </c>
      <c r="AE166" s="123">
        <f t="shared" si="74"/>
        <v>0</v>
      </c>
      <c r="AF166" s="123">
        <f t="shared" si="74"/>
        <v>0</v>
      </c>
      <c r="AG166" s="126">
        <v>3</v>
      </c>
      <c r="AH166" s="54"/>
      <c r="AI166" s="55"/>
      <c r="AK166" s="56"/>
    </row>
    <row r="167" spans="1:37" x14ac:dyDescent="0.25">
      <c r="A167" s="111" t="s">
        <v>172</v>
      </c>
      <c r="B167" s="123">
        <f t="shared" si="72"/>
        <v>0.8</v>
      </c>
      <c r="C167" s="124">
        <v>0.8</v>
      </c>
      <c r="D167" s="123">
        <f t="shared" si="73"/>
        <v>0.8</v>
      </c>
      <c r="E167" s="123">
        <f t="shared" si="73"/>
        <v>0.8</v>
      </c>
      <c r="F167" s="123">
        <f t="shared" si="73"/>
        <v>0.8</v>
      </c>
      <c r="G167" s="123">
        <f t="shared" si="73"/>
        <v>0.8</v>
      </c>
      <c r="H167" s="123">
        <f t="shared" si="73"/>
        <v>0.8</v>
      </c>
      <c r="I167" s="123">
        <f t="shared" si="73"/>
        <v>0.8</v>
      </c>
      <c r="J167" s="123">
        <f t="shared" si="73"/>
        <v>0.8</v>
      </c>
      <c r="K167" s="123">
        <f t="shared" si="73"/>
        <v>0.8</v>
      </c>
      <c r="L167" s="123">
        <f t="shared" si="73"/>
        <v>0.8</v>
      </c>
      <c r="M167" s="123">
        <f t="shared" si="73"/>
        <v>0.8</v>
      </c>
      <c r="N167" s="123">
        <f t="shared" si="73"/>
        <v>0.8</v>
      </c>
      <c r="O167" s="123">
        <f t="shared" si="73"/>
        <v>0.8</v>
      </c>
      <c r="P167" s="123">
        <f t="shared" si="73"/>
        <v>0.8</v>
      </c>
      <c r="Q167" s="123">
        <f t="shared" si="73"/>
        <v>0.8</v>
      </c>
      <c r="R167" s="123">
        <f t="shared" si="73"/>
        <v>0.8</v>
      </c>
      <c r="S167" s="123">
        <f t="shared" si="74"/>
        <v>0.8</v>
      </c>
      <c r="T167" s="123">
        <f t="shared" si="74"/>
        <v>0.8</v>
      </c>
      <c r="U167" s="123">
        <f t="shared" si="74"/>
        <v>0.8</v>
      </c>
      <c r="V167" s="123">
        <f t="shared" si="74"/>
        <v>0.8</v>
      </c>
      <c r="W167" s="123">
        <f t="shared" si="74"/>
        <v>0.8</v>
      </c>
      <c r="X167" s="123">
        <f t="shared" si="74"/>
        <v>0.8</v>
      </c>
      <c r="Y167" s="123">
        <f t="shared" si="74"/>
        <v>0.8</v>
      </c>
      <c r="Z167" s="123">
        <f t="shared" si="74"/>
        <v>0.8</v>
      </c>
      <c r="AA167" s="123">
        <f t="shared" si="74"/>
        <v>0.8</v>
      </c>
      <c r="AB167" s="123">
        <f t="shared" si="74"/>
        <v>0.8</v>
      </c>
      <c r="AC167" s="123">
        <f t="shared" si="74"/>
        <v>0.8</v>
      </c>
      <c r="AD167" s="123">
        <f t="shared" si="74"/>
        <v>0.8</v>
      </c>
      <c r="AE167" s="123">
        <f t="shared" si="74"/>
        <v>0.8</v>
      </c>
      <c r="AF167" s="123">
        <f t="shared" si="74"/>
        <v>0.8</v>
      </c>
      <c r="AG167" s="126">
        <v>3</v>
      </c>
      <c r="AH167" s="54"/>
      <c r="AI167" s="55"/>
      <c r="AK167" s="56"/>
    </row>
    <row r="168" spans="1:37" x14ac:dyDescent="0.25">
      <c r="A168" s="111" t="s">
        <v>173</v>
      </c>
      <c r="B168" s="123">
        <f t="shared" si="72"/>
        <v>1.5</v>
      </c>
      <c r="C168" s="124">
        <v>1.5</v>
      </c>
      <c r="D168" s="123">
        <f t="shared" si="73"/>
        <v>1.5</v>
      </c>
      <c r="E168" s="123">
        <f t="shared" si="73"/>
        <v>1.5</v>
      </c>
      <c r="F168" s="123">
        <f t="shared" si="73"/>
        <v>1.5</v>
      </c>
      <c r="G168" s="123">
        <f t="shared" si="73"/>
        <v>1.5</v>
      </c>
      <c r="H168" s="123">
        <f t="shared" si="73"/>
        <v>1.5</v>
      </c>
      <c r="I168" s="123">
        <f t="shared" si="73"/>
        <v>1.5</v>
      </c>
      <c r="J168" s="123">
        <f t="shared" si="73"/>
        <v>1.5</v>
      </c>
      <c r="K168" s="123">
        <f t="shared" si="73"/>
        <v>1.5</v>
      </c>
      <c r="L168" s="123">
        <f t="shared" si="73"/>
        <v>1.5</v>
      </c>
      <c r="M168" s="123">
        <f t="shared" si="73"/>
        <v>1.5</v>
      </c>
      <c r="N168" s="123">
        <f t="shared" si="73"/>
        <v>1.5</v>
      </c>
      <c r="O168" s="123">
        <f t="shared" si="73"/>
        <v>1.5</v>
      </c>
      <c r="P168" s="123">
        <f t="shared" si="73"/>
        <v>1.5</v>
      </c>
      <c r="Q168" s="123">
        <f t="shared" si="73"/>
        <v>1.5</v>
      </c>
      <c r="R168" s="123">
        <f t="shared" si="73"/>
        <v>1.5</v>
      </c>
      <c r="S168" s="123">
        <f t="shared" si="74"/>
        <v>1.5</v>
      </c>
      <c r="T168" s="123">
        <f t="shared" si="74"/>
        <v>1.5</v>
      </c>
      <c r="U168" s="123">
        <f t="shared" si="74"/>
        <v>1.5</v>
      </c>
      <c r="V168" s="123">
        <f t="shared" si="74"/>
        <v>1.5</v>
      </c>
      <c r="W168" s="123">
        <f t="shared" si="74"/>
        <v>1.5</v>
      </c>
      <c r="X168" s="123">
        <f t="shared" si="74"/>
        <v>1.5</v>
      </c>
      <c r="Y168" s="123">
        <f t="shared" si="74"/>
        <v>1.5</v>
      </c>
      <c r="Z168" s="123">
        <f t="shared" si="74"/>
        <v>1.5</v>
      </c>
      <c r="AA168" s="123">
        <f t="shared" si="74"/>
        <v>1.5</v>
      </c>
      <c r="AB168" s="123">
        <f t="shared" si="74"/>
        <v>1.5</v>
      </c>
      <c r="AC168" s="123">
        <f t="shared" si="74"/>
        <v>1.5</v>
      </c>
      <c r="AD168" s="123">
        <f t="shared" si="74"/>
        <v>1.5</v>
      </c>
      <c r="AE168" s="123">
        <f t="shared" si="74"/>
        <v>1.5</v>
      </c>
      <c r="AF168" s="123">
        <f t="shared" si="74"/>
        <v>1.5</v>
      </c>
      <c r="AG168" s="126">
        <v>3</v>
      </c>
      <c r="AH168" s="54"/>
      <c r="AI168" s="55"/>
      <c r="AK168" s="56"/>
    </row>
    <row r="169" spans="1:37" x14ac:dyDescent="0.25">
      <c r="A169" s="111" t="s">
        <v>174</v>
      </c>
      <c r="B169" s="123">
        <f t="shared" si="72"/>
        <v>1</v>
      </c>
      <c r="C169" s="124">
        <v>1</v>
      </c>
      <c r="D169" s="123">
        <f t="shared" si="73"/>
        <v>1</v>
      </c>
      <c r="E169" s="123">
        <f t="shared" si="73"/>
        <v>1</v>
      </c>
      <c r="F169" s="123">
        <f t="shared" si="73"/>
        <v>1</v>
      </c>
      <c r="G169" s="123">
        <f t="shared" si="73"/>
        <v>1</v>
      </c>
      <c r="H169" s="123">
        <f t="shared" si="73"/>
        <v>1</v>
      </c>
      <c r="I169" s="123">
        <f t="shared" si="73"/>
        <v>1</v>
      </c>
      <c r="J169" s="123">
        <f t="shared" si="73"/>
        <v>1</v>
      </c>
      <c r="K169" s="123">
        <f t="shared" si="73"/>
        <v>1</v>
      </c>
      <c r="L169" s="123">
        <f t="shared" si="73"/>
        <v>1</v>
      </c>
      <c r="M169" s="123">
        <f t="shared" si="73"/>
        <v>1</v>
      </c>
      <c r="N169" s="123">
        <f t="shared" si="73"/>
        <v>1</v>
      </c>
      <c r="O169" s="123">
        <f t="shared" si="73"/>
        <v>1</v>
      </c>
      <c r="P169" s="123">
        <f t="shared" si="73"/>
        <v>1</v>
      </c>
      <c r="Q169" s="123">
        <f t="shared" si="73"/>
        <v>1</v>
      </c>
      <c r="R169" s="123">
        <f t="shared" si="73"/>
        <v>1</v>
      </c>
      <c r="S169" s="123">
        <f t="shared" si="74"/>
        <v>1</v>
      </c>
      <c r="T169" s="123">
        <f t="shared" si="74"/>
        <v>1</v>
      </c>
      <c r="U169" s="123">
        <f t="shared" si="74"/>
        <v>1</v>
      </c>
      <c r="V169" s="123">
        <f t="shared" si="74"/>
        <v>1</v>
      </c>
      <c r="W169" s="123">
        <f t="shared" si="74"/>
        <v>1</v>
      </c>
      <c r="X169" s="123">
        <f t="shared" si="74"/>
        <v>1</v>
      </c>
      <c r="Y169" s="123">
        <f t="shared" si="74"/>
        <v>1</v>
      </c>
      <c r="Z169" s="123">
        <f t="shared" si="74"/>
        <v>1</v>
      </c>
      <c r="AA169" s="123">
        <f t="shared" si="74"/>
        <v>1</v>
      </c>
      <c r="AB169" s="123">
        <f t="shared" si="74"/>
        <v>1</v>
      </c>
      <c r="AC169" s="123">
        <f t="shared" si="74"/>
        <v>1</v>
      </c>
      <c r="AD169" s="123">
        <f t="shared" si="74"/>
        <v>1</v>
      </c>
      <c r="AE169" s="123">
        <f t="shared" si="74"/>
        <v>1</v>
      </c>
      <c r="AF169" s="123">
        <f t="shared" si="74"/>
        <v>1</v>
      </c>
      <c r="AG169" s="126">
        <v>3</v>
      </c>
      <c r="AH169" s="54"/>
      <c r="AI169" s="55"/>
      <c r="AK169" s="56"/>
    </row>
    <row r="170" spans="1:37" x14ac:dyDescent="0.25">
      <c r="A170" s="111" t="s">
        <v>175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4"/>
      <c r="AI170" s="55"/>
      <c r="AK170" s="56"/>
    </row>
    <row r="171" spans="1:37" x14ac:dyDescent="0.25">
      <c r="A171" s="111" t="s">
        <v>176</v>
      </c>
      <c r="B171" s="123">
        <f t="shared" ref="B171:B178" si="75">AF171</f>
        <v>1</v>
      </c>
      <c r="C171" s="124">
        <v>1</v>
      </c>
      <c r="D171" s="123">
        <f t="shared" ref="D171:S178" si="76">C171</f>
        <v>1</v>
      </c>
      <c r="E171" s="123">
        <f t="shared" si="76"/>
        <v>1</v>
      </c>
      <c r="F171" s="123">
        <f t="shared" si="76"/>
        <v>1</v>
      </c>
      <c r="G171" s="123">
        <f t="shared" si="76"/>
        <v>1</v>
      </c>
      <c r="H171" s="123">
        <f t="shared" si="76"/>
        <v>1</v>
      </c>
      <c r="I171" s="123">
        <f t="shared" si="76"/>
        <v>1</v>
      </c>
      <c r="J171" s="123">
        <f t="shared" si="76"/>
        <v>1</v>
      </c>
      <c r="K171" s="123">
        <f t="shared" si="76"/>
        <v>1</v>
      </c>
      <c r="L171" s="123">
        <f t="shared" si="76"/>
        <v>1</v>
      </c>
      <c r="M171" s="123">
        <f t="shared" si="76"/>
        <v>1</v>
      </c>
      <c r="N171" s="123">
        <f t="shared" si="76"/>
        <v>1</v>
      </c>
      <c r="O171" s="123">
        <f t="shared" si="76"/>
        <v>1</v>
      </c>
      <c r="P171" s="123">
        <f t="shared" si="76"/>
        <v>1</v>
      </c>
      <c r="Q171" s="123">
        <f t="shared" si="76"/>
        <v>1</v>
      </c>
      <c r="R171" s="123">
        <f t="shared" si="76"/>
        <v>1</v>
      </c>
      <c r="S171" s="123">
        <f t="shared" si="76"/>
        <v>1</v>
      </c>
      <c r="T171" s="123">
        <f t="shared" ref="S171:AF178" si="77">S171</f>
        <v>1</v>
      </c>
      <c r="U171" s="123">
        <f t="shared" si="77"/>
        <v>1</v>
      </c>
      <c r="V171" s="123">
        <f t="shared" si="77"/>
        <v>1</v>
      </c>
      <c r="W171" s="123">
        <f t="shared" si="77"/>
        <v>1</v>
      </c>
      <c r="X171" s="123">
        <f t="shared" si="77"/>
        <v>1</v>
      </c>
      <c r="Y171" s="123">
        <f t="shared" si="77"/>
        <v>1</v>
      </c>
      <c r="Z171" s="123">
        <f t="shared" si="77"/>
        <v>1</v>
      </c>
      <c r="AA171" s="123">
        <f t="shared" si="77"/>
        <v>1</v>
      </c>
      <c r="AB171" s="123">
        <f t="shared" si="77"/>
        <v>1</v>
      </c>
      <c r="AC171" s="123">
        <f t="shared" si="77"/>
        <v>1</v>
      </c>
      <c r="AD171" s="123">
        <f t="shared" si="77"/>
        <v>1</v>
      </c>
      <c r="AE171" s="123">
        <f t="shared" si="77"/>
        <v>1</v>
      </c>
      <c r="AF171" s="123">
        <f t="shared" si="77"/>
        <v>1</v>
      </c>
      <c r="AG171" s="126">
        <v>2.5</v>
      </c>
      <c r="AH171" s="54"/>
      <c r="AI171" s="55"/>
      <c r="AK171" s="56"/>
    </row>
    <row r="172" spans="1:37" x14ac:dyDescent="0.25">
      <c r="A172" s="111" t="s">
        <v>177</v>
      </c>
      <c r="B172" s="123">
        <f t="shared" si="75"/>
        <v>0.42</v>
      </c>
      <c r="C172" s="124">
        <v>0.42</v>
      </c>
      <c r="D172" s="123">
        <f t="shared" si="76"/>
        <v>0.42</v>
      </c>
      <c r="E172" s="123">
        <f t="shared" si="76"/>
        <v>0.42</v>
      </c>
      <c r="F172" s="123">
        <f t="shared" si="76"/>
        <v>0.42</v>
      </c>
      <c r="G172" s="123">
        <f t="shared" si="76"/>
        <v>0.42</v>
      </c>
      <c r="H172" s="123">
        <f t="shared" si="76"/>
        <v>0.42</v>
      </c>
      <c r="I172" s="123">
        <f t="shared" si="76"/>
        <v>0.42</v>
      </c>
      <c r="J172" s="123">
        <f t="shared" si="76"/>
        <v>0.42</v>
      </c>
      <c r="K172" s="123">
        <f t="shared" si="76"/>
        <v>0.42</v>
      </c>
      <c r="L172" s="123">
        <f t="shared" si="76"/>
        <v>0.42</v>
      </c>
      <c r="M172" s="123">
        <f t="shared" si="76"/>
        <v>0.42</v>
      </c>
      <c r="N172" s="123">
        <f t="shared" si="76"/>
        <v>0.42</v>
      </c>
      <c r="O172" s="123">
        <f t="shared" si="76"/>
        <v>0.42</v>
      </c>
      <c r="P172" s="123">
        <f t="shared" si="76"/>
        <v>0.42</v>
      </c>
      <c r="Q172" s="123">
        <f t="shared" si="76"/>
        <v>0.42</v>
      </c>
      <c r="R172" s="123">
        <f t="shared" si="76"/>
        <v>0.42</v>
      </c>
      <c r="S172" s="123">
        <f t="shared" si="77"/>
        <v>0.42</v>
      </c>
      <c r="T172" s="123">
        <f t="shared" si="77"/>
        <v>0.42</v>
      </c>
      <c r="U172" s="123">
        <f t="shared" si="77"/>
        <v>0.42</v>
      </c>
      <c r="V172" s="123">
        <f t="shared" si="77"/>
        <v>0.42</v>
      </c>
      <c r="W172" s="123">
        <f t="shared" si="77"/>
        <v>0.42</v>
      </c>
      <c r="X172" s="123">
        <f t="shared" si="77"/>
        <v>0.42</v>
      </c>
      <c r="Y172" s="123">
        <f t="shared" si="77"/>
        <v>0.42</v>
      </c>
      <c r="Z172" s="123">
        <f t="shared" si="77"/>
        <v>0.42</v>
      </c>
      <c r="AA172" s="123">
        <f t="shared" si="77"/>
        <v>0.42</v>
      </c>
      <c r="AB172" s="123">
        <f t="shared" si="77"/>
        <v>0.42</v>
      </c>
      <c r="AC172" s="123">
        <f t="shared" si="77"/>
        <v>0.42</v>
      </c>
      <c r="AD172" s="123">
        <f t="shared" si="77"/>
        <v>0.42</v>
      </c>
      <c r="AE172" s="123">
        <f t="shared" si="77"/>
        <v>0.42</v>
      </c>
      <c r="AF172" s="123">
        <f t="shared" si="77"/>
        <v>0.42</v>
      </c>
      <c r="AG172" s="126">
        <v>2.5</v>
      </c>
      <c r="AH172" s="54"/>
      <c r="AI172" s="55"/>
      <c r="AK172" s="56"/>
    </row>
    <row r="173" spans="1:37" x14ac:dyDescent="0.25">
      <c r="A173" s="111" t="s">
        <v>178</v>
      </c>
      <c r="B173" s="123">
        <f t="shared" si="75"/>
        <v>0.46</v>
      </c>
      <c r="C173" s="124">
        <v>0.46</v>
      </c>
      <c r="D173" s="123">
        <f t="shared" si="76"/>
        <v>0.46</v>
      </c>
      <c r="E173" s="123">
        <f t="shared" si="76"/>
        <v>0.46</v>
      </c>
      <c r="F173" s="123">
        <f t="shared" si="76"/>
        <v>0.46</v>
      </c>
      <c r="G173" s="123">
        <f t="shared" si="76"/>
        <v>0.46</v>
      </c>
      <c r="H173" s="123">
        <f t="shared" si="76"/>
        <v>0.46</v>
      </c>
      <c r="I173" s="123">
        <f t="shared" si="76"/>
        <v>0.46</v>
      </c>
      <c r="J173" s="123">
        <f t="shared" si="76"/>
        <v>0.46</v>
      </c>
      <c r="K173" s="123">
        <f t="shared" si="76"/>
        <v>0.46</v>
      </c>
      <c r="L173" s="123">
        <f t="shared" si="76"/>
        <v>0.46</v>
      </c>
      <c r="M173" s="123">
        <f t="shared" si="76"/>
        <v>0.46</v>
      </c>
      <c r="N173" s="123">
        <f t="shared" si="76"/>
        <v>0.46</v>
      </c>
      <c r="O173" s="123">
        <f t="shared" si="76"/>
        <v>0.46</v>
      </c>
      <c r="P173" s="123">
        <f t="shared" si="76"/>
        <v>0.46</v>
      </c>
      <c r="Q173" s="123">
        <f t="shared" si="76"/>
        <v>0.46</v>
      </c>
      <c r="R173" s="123">
        <f t="shared" si="76"/>
        <v>0.46</v>
      </c>
      <c r="S173" s="123">
        <f t="shared" si="77"/>
        <v>0.46</v>
      </c>
      <c r="T173" s="123">
        <f t="shared" si="77"/>
        <v>0.46</v>
      </c>
      <c r="U173" s="123">
        <f t="shared" si="77"/>
        <v>0.46</v>
      </c>
      <c r="V173" s="123">
        <f t="shared" si="77"/>
        <v>0.46</v>
      </c>
      <c r="W173" s="123">
        <f t="shared" si="77"/>
        <v>0.46</v>
      </c>
      <c r="X173" s="123">
        <f t="shared" si="77"/>
        <v>0.46</v>
      </c>
      <c r="Y173" s="123">
        <f t="shared" si="77"/>
        <v>0.46</v>
      </c>
      <c r="Z173" s="123">
        <f t="shared" si="77"/>
        <v>0.46</v>
      </c>
      <c r="AA173" s="123">
        <f t="shared" si="77"/>
        <v>0.46</v>
      </c>
      <c r="AB173" s="123">
        <f t="shared" si="77"/>
        <v>0.46</v>
      </c>
      <c r="AC173" s="123">
        <f t="shared" si="77"/>
        <v>0.46</v>
      </c>
      <c r="AD173" s="123">
        <f t="shared" si="77"/>
        <v>0.46</v>
      </c>
      <c r="AE173" s="123">
        <f t="shared" si="77"/>
        <v>0.46</v>
      </c>
      <c r="AF173" s="123">
        <f t="shared" si="77"/>
        <v>0.46</v>
      </c>
      <c r="AG173" s="126">
        <v>2.4</v>
      </c>
      <c r="AH173" s="54"/>
      <c r="AI173" s="55"/>
      <c r="AK173" s="56"/>
    </row>
    <row r="174" spans="1:37" x14ac:dyDescent="0.25">
      <c r="A174" s="111" t="s">
        <v>179</v>
      </c>
      <c r="B174" s="123">
        <f t="shared" si="75"/>
        <v>0.85</v>
      </c>
      <c r="C174" s="124">
        <v>0.85</v>
      </c>
      <c r="D174" s="123">
        <f t="shared" si="76"/>
        <v>0.85</v>
      </c>
      <c r="E174" s="123">
        <f t="shared" si="76"/>
        <v>0.85</v>
      </c>
      <c r="F174" s="123">
        <f t="shared" si="76"/>
        <v>0.85</v>
      </c>
      <c r="G174" s="123">
        <f t="shared" si="76"/>
        <v>0.85</v>
      </c>
      <c r="H174" s="123">
        <f t="shared" si="76"/>
        <v>0.85</v>
      </c>
      <c r="I174" s="123">
        <f t="shared" si="76"/>
        <v>0.85</v>
      </c>
      <c r="J174" s="123">
        <f t="shared" si="76"/>
        <v>0.85</v>
      </c>
      <c r="K174" s="123">
        <f t="shared" si="76"/>
        <v>0.85</v>
      </c>
      <c r="L174" s="123">
        <f t="shared" si="76"/>
        <v>0.85</v>
      </c>
      <c r="M174" s="123">
        <f t="shared" si="76"/>
        <v>0.85</v>
      </c>
      <c r="N174" s="123">
        <f t="shared" si="76"/>
        <v>0.85</v>
      </c>
      <c r="O174" s="123">
        <f t="shared" si="76"/>
        <v>0.85</v>
      </c>
      <c r="P174" s="123">
        <f t="shared" si="76"/>
        <v>0.85</v>
      </c>
      <c r="Q174" s="123">
        <f t="shared" si="76"/>
        <v>0.85</v>
      </c>
      <c r="R174" s="123">
        <f t="shared" si="76"/>
        <v>0.85</v>
      </c>
      <c r="S174" s="123">
        <f t="shared" si="77"/>
        <v>0.85</v>
      </c>
      <c r="T174" s="123">
        <f t="shared" si="77"/>
        <v>0.85</v>
      </c>
      <c r="U174" s="123">
        <f t="shared" si="77"/>
        <v>0.85</v>
      </c>
      <c r="V174" s="123">
        <f t="shared" si="77"/>
        <v>0.85</v>
      </c>
      <c r="W174" s="123">
        <f t="shared" si="77"/>
        <v>0.85</v>
      </c>
      <c r="X174" s="123">
        <f t="shared" si="77"/>
        <v>0.85</v>
      </c>
      <c r="Y174" s="123">
        <f t="shared" si="77"/>
        <v>0.85</v>
      </c>
      <c r="Z174" s="123">
        <f t="shared" si="77"/>
        <v>0.85</v>
      </c>
      <c r="AA174" s="123">
        <f t="shared" si="77"/>
        <v>0.85</v>
      </c>
      <c r="AB174" s="123">
        <f t="shared" si="77"/>
        <v>0.85</v>
      </c>
      <c r="AC174" s="123">
        <f t="shared" si="77"/>
        <v>0.85</v>
      </c>
      <c r="AD174" s="123">
        <f t="shared" si="77"/>
        <v>0.85</v>
      </c>
      <c r="AE174" s="123">
        <f t="shared" si="77"/>
        <v>0.85</v>
      </c>
      <c r="AF174" s="123">
        <f t="shared" si="77"/>
        <v>0.85</v>
      </c>
      <c r="AG174" s="126">
        <v>2.4</v>
      </c>
      <c r="AH174" s="54"/>
      <c r="AI174" s="55"/>
      <c r="AK174" s="56"/>
    </row>
    <row r="175" spans="1:37" x14ac:dyDescent="0.25">
      <c r="A175" s="111" t="s">
        <v>180</v>
      </c>
      <c r="B175" s="123">
        <f t="shared" si="75"/>
        <v>0.9</v>
      </c>
      <c r="C175" s="124">
        <v>0.9</v>
      </c>
      <c r="D175" s="123">
        <f t="shared" si="76"/>
        <v>0.9</v>
      </c>
      <c r="E175" s="123">
        <f t="shared" si="76"/>
        <v>0.9</v>
      </c>
      <c r="F175" s="123">
        <f t="shared" si="76"/>
        <v>0.9</v>
      </c>
      <c r="G175" s="123">
        <f t="shared" si="76"/>
        <v>0.9</v>
      </c>
      <c r="H175" s="123">
        <f t="shared" si="76"/>
        <v>0.9</v>
      </c>
      <c r="I175" s="123">
        <f t="shared" si="76"/>
        <v>0.9</v>
      </c>
      <c r="J175" s="123">
        <f t="shared" si="76"/>
        <v>0.9</v>
      </c>
      <c r="K175" s="123">
        <f t="shared" si="76"/>
        <v>0.9</v>
      </c>
      <c r="L175" s="123">
        <f t="shared" si="76"/>
        <v>0.9</v>
      </c>
      <c r="M175" s="123">
        <f t="shared" si="76"/>
        <v>0.9</v>
      </c>
      <c r="N175" s="123">
        <f t="shared" si="76"/>
        <v>0.9</v>
      </c>
      <c r="O175" s="123">
        <f t="shared" si="76"/>
        <v>0.9</v>
      </c>
      <c r="P175" s="123">
        <f t="shared" si="76"/>
        <v>0.9</v>
      </c>
      <c r="Q175" s="123">
        <f t="shared" si="76"/>
        <v>0.9</v>
      </c>
      <c r="R175" s="123">
        <f t="shared" si="76"/>
        <v>0.9</v>
      </c>
      <c r="S175" s="123">
        <f t="shared" si="77"/>
        <v>0.9</v>
      </c>
      <c r="T175" s="123">
        <f t="shared" si="77"/>
        <v>0.9</v>
      </c>
      <c r="U175" s="123">
        <f t="shared" si="77"/>
        <v>0.9</v>
      </c>
      <c r="V175" s="123">
        <f t="shared" si="77"/>
        <v>0.9</v>
      </c>
      <c r="W175" s="123">
        <f t="shared" si="77"/>
        <v>0.9</v>
      </c>
      <c r="X175" s="123">
        <f t="shared" si="77"/>
        <v>0.9</v>
      </c>
      <c r="Y175" s="123">
        <f t="shared" si="77"/>
        <v>0.9</v>
      </c>
      <c r="Z175" s="123">
        <f t="shared" si="77"/>
        <v>0.9</v>
      </c>
      <c r="AA175" s="123">
        <f t="shared" si="77"/>
        <v>0.9</v>
      </c>
      <c r="AB175" s="123">
        <f t="shared" si="77"/>
        <v>0.9</v>
      </c>
      <c r="AC175" s="123">
        <f t="shared" si="77"/>
        <v>0.9</v>
      </c>
      <c r="AD175" s="123">
        <f t="shared" si="77"/>
        <v>0.9</v>
      </c>
      <c r="AE175" s="123">
        <f t="shared" si="77"/>
        <v>0.9</v>
      </c>
      <c r="AF175" s="123">
        <f t="shared" si="77"/>
        <v>0.9</v>
      </c>
      <c r="AG175" s="126">
        <v>2.2000000000000002</v>
      </c>
      <c r="AH175" s="54"/>
      <c r="AI175" s="55"/>
      <c r="AK175" s="56"/>
    </row>
    <row r="176" spans="1:37" x14ac:dyDescent="0.25">
      <c r="A176" s="111" t="s">
        <v>181</v>
      </c>
      <c r="B176" s="123">
        <f t="shared" si="75"/>
        <v>0.44</v>
      </c>
      <c r="C176" s="124">
        <v>0.44</v>
      </c>
      <c r="D176" s="123">
        <f t="shared" si="76"/>
        <v>0.44</v>
      </c>
      <c r="E176" s="123">
        <f t="shared" si="76"/>
        <v>0.44</v>
      </c>
      <c r="F176" s="123">
        <f t="shared" si="76"/>
        <v>0.44</v>
      </c>
      <c r="G176" s="123">
        <f t="shared" si="76"/>
        <v>0.44</v>
      </c>
      <c r="H176" s="123">
        <f t="shared" si="76"/>
        <v>0.44</v>
      </c>
      <c r="I176" s="123">
        <f t="shared" si="76"/>
        <v>0.44</v>
      </c>
      <c r="J176" s="123">
        <f t="shared" si="76"/>
        <v>0.44</v>
      </c>
      <c r="K176" s="123">
        <f t="shared" si="76"/>
        <v>0.44</v>
      </c>
      <c r="L176" s="123">
        <f t="shared" si="76"/>
        <v>0.44</v>
      </c>
      <c r="M176" s="123">
        <f t="shared" si="76"/>
        <v>0.44</v>
      </c>
      <c r="N176" s="123">
        <f t="shared" si="76"/>
        <v>0.44</v>
      </c>
      <c r="O176" s="123">
        <f t="shared" si="76"/>
        <v>0.44</v>
      </c>
      <c r="P176" s="123">
        <f t="shared" si="76"/>
        <v>0.44</v>
      </c>
      <c r="Q176" s="123">
        <f t="shared" si="76"/>
        <v>0.44</v>
      </c>
      <c r="R176" s="123">
        <f t="shared" si="76"/>
        <v>0.44</v>
      </c>
      <c r="S176" s="123">
        <f t="shared" si="77"/>
        <v>0.44</v>
      </c>
      <c r="T176" s="123">
        <f t="shared" si="77"/>
        <v>0.44</v>
      </c>
      <c r="U176" s="123">
        <f t="shared" si="77"/>
        <v>0.44</v>
      </c>
      <c r="V176" s="123">
        <f t="shared" si="77"/>
        <v>0.44</v>
      </c>
      <c r="W176" s="123">
        <f t="shared" si="77"/>
        <v>0.44</v>
      </c>
      <c r="X176" s="123">
        <f t="shared" si="77"/>
        <v>0.44</v>
      </c>
      <c r="Y176" s="123">
        <f t="shared" si="77"/>
        <v>0.44</v>
      </c>
      <c r="Z176" s="123">
        <f t="shared" si="77"/>
        <v>0.44</v>
      </c>
      <c r="AA176" s="123">
        <f t="shared" si="77"/>
        <v>0.44</v>
      </c>
      <c r="AB176" s="123">
        <f t="shared" si="77"/>
        <v>0.44</v>
      </c>
      <c r="AC176" s="123">
        <f t="shared" si="77"/>
        <v>0.44</v>
      </c>
      <c r="AD176" s="123">
        <f t="shared" si="77"/>
        <v>0.44</v>
      </c>
      <c r="AE176" s="123">
        <f t="shared" si="77"/>
        <v>0.44</v>
      </c>
      <c r="AF176" s="123">
        <f t="shared" si="77"/>
        <v>0.44</v>
      </c>
      <c r="AG176" s="126">
        <v>2</v>
      </c>
      <c r="AH176" s="54"/>
      <c r="AI176" s="55"/>
      <c r="AK176" s="56"/>
    </row>
    <row r="177" spans="1:37" x14ac:dyDescent="0.25">
      <c r="A177" s="111" t="s">
        <v>182</v>
      </c>
      <c r="B177" s="123">
        <f t="shared" si="75"/>
        <v>2.1</v>
      </c>
      <c r="C177" s="124">
        <v>2.1</v>
      </c>
      <c r="D177" s="123">
        <f t="shared" si="76"/>
        <v>2.1</v>
      </c>
      <c r="E177" s="123">
        <f t="shared" si="76"/>
        <v>2.1</v>
      </c>
      <c r="F177" s="123">
        <f t="shared" si="76"/>
        <v>2.1</v>
      </c>
      <c r="G177" s="123">
        <f t="shared" si="76"/>
        <v>2.1</v>
      </c>
      <c r="H177" s="123">
        <f t="shared" si="76"/>
        <v>2.1</v>
      </c>
      <c r="I177" s="123">
        <f t="shared" si="76"/>
        <v>2.1</v>
      </c>
      <c r="J177" s="123">
        <f t="shared" si="76"/>
        <v>2.1</v>
      </c>
      <c r="K177" s="123">
        <f t="shared" si="76"/>
        <v>2.1</v>
      </c>
      <c r="L177" s="123">
        <f t="shared" si="76"/>
        <v>2.1</v>
      </c>
      <c r="M177" s="123">
        <f t="shared" si="76"/>
        <v>2.1</v>
      </c>
      <c r="N177" s="123">
        <f t="shared" si="76"/>
        <v>2.1</v>
      </c>
      <c r="O177" s="123">
        <f t="shared" si="76"/>
        <v>2.1</v>
      </c>
      <c r="P177" s="123">
        <f t="shared" si="76"/>
        <v>2.1</v>
      </c>
      <c r="Q177" s="123">
        <f t="shared" si="76"/>
        <v>2.1</v>
      </c>
      <c r="R177" s="123">
        <f t="shared" si="76"/>
        <v>2.1</v>
      </c>
      <c r="S177" s="123">
        <f t="shared" si="77"/>
        <v>2.1</v>
      </c>
      <c r="T177" s="123">
        <f t="shared" si="77"/>
        <v>2.1</v>
      </c>
      <c r="U177" s="123">
        <f t="shared" si="77"/>
        <v>2.1</v>
      </c>
      <c r="V177" s="123">
        <f t="shared" si="77"/>
        <v>2.1</v>
      </c>
      <c r="W177" s="123">
        <f t="shared" si="77"/>
        <v>2.1</v>
      </c>
      <c r="X177" s="123">
        <f t="shared" si="77"/>
        <v>2.1</v>
      </c>
      <c r="Y177" s="123">
        <f t="shared" si="77"/>
        <v>2.1</v>
      </c>
      <c r="Z177" s="123">
        <f t="shared" si="77"/>
        <v>2.1</v>
      </c>
      <c r="AA177" s="123">
        <f t="shared" si="77"/>
        <v>2.1</v>
      </c>
      <c r="AB177" s="123">
        <f t="shared" si="77"/>
        <v>2.1</v>
      </c>
      <c r="AC177" s="123">
        <f t="shared" si="77"/>
        <v>2.1</v>
      </c>
      <c r="AD177" s="123">
        <f t="shared" si="77"/>
        <v>2.1</v>
      </c>
      <c r="AE177" s="123">
        <f t="shared" si="77"/>
        <v>2.1</v>
      </c>
      <c r="AF177" s="123">
        <f t="shared" si="77"/>
        <v>2.1</v>
      </c>
      <c r="AG177" s="126">
        <v>2</v>
      </c>
      <c r="AH177" s="54"/>
      <c r="AI177" s="55"/>
      <c r="AK177" s="56"/>
    </row>
    <row r="178" spans="1:37" x14ac:dyDescent="0.25">
      <c r="A178" s="111" t="s">
        <v>183</v>
      </c>
      <c r="B178" s="123">
        <f t="shared" si="75"/>
        <v>0.9</v>
      </c>
      <c r="C178" s="124">
        <v>0.9</v>
      </c>
      <c r="D178" s="123">
        <f t="shared" si="76"/>
        <v>0.9</v>
      </c>
      <c r="E178" s="123">
        <f t="shared" si="76"/>
        <v>0.9</v>
      </c>
      <c r="F178" s="123">
        <f t="shared" si="76"/>
        <v>0.9</v>
      </c>
      <c r="G178" s="123">
        <f t="shared" si="76"/>
        <v>0.9</v>
      </c>
      <c r="H178" s="123">
        <f t="shared" si="76"/>
        <v>0.9</v>
      </c>
      <c r="I178" s="123">
        <f t="shared" si="76"/>
        <v>0.9</v>
      </c>
      <c r="J178" s="123">
        <f t="shared" si="76"/>
        <v>0.9</v>
      </c>
      <c r="K178" s="123">
        <f t="shared" si="76"/>
        <v>0.9</v>
      </c>
      <c r="L178" s="123">
        <f t="shared" si="76"/>
        <v>0.9</v>
      </c>
      <c r="M178" s="123">
        <f t="shared" si="76"/>
        <v>0.9</v>
      </c>
      <c r="N178" s="123">
        <f t="shared" si="76"/>
        <v>0.9</v>
      </c>
      <c r="O178" s="123">
        <f t="shared" si="76"/>
        <v>0.9</v>
      </c>
      <c r="P178" s="123">
        <f t="shared" si="76"/>
        <v>0.9</v>
      </c>
      <c r="Q178" s="123">
        <f t="shared" si="76"/>
        <v>0.9</v>
      </c>
      <c r="R178" s="123">
        <f t="shared" si="76"/>
        <v>0.9</v>
      </c>
      <c r="S178" s="123">
        <f t="shared" si="77"/>
        <v>0.9</v>
      </c>
      <c r="T178" s="123">
        <f t="shared" si="77"/>
        <v>0.9</v>
      </c>
      <c r="U178" s="123">
        <f t="shared" si="77"/>
        <v>0.9</v>
      </c>
      <c r="V178" s="123">
        <f t="shared" si="77"/>
        <v>0.9</v>
      </c>
      <c r="W178" s="123">
        <f t="shared" si="77"/>
        <v>0.9</v>
      </c>
      <c r="X178" s="123">
        <f t="shared" si="77"/>
        <v>0.9</v>
      </c>
      <c r="Y178" s="123">
        <f t="shared" si="77"/>
        <v>0.9</v>
      </c>
      <c r="Z178" s="123">
        <f t="shared" si="77"/>
        <v>0.9</v>
      </c>
      <c r="AA178" s="123">
        <f t="shared" si="77"/>
        <v>0.9</v>
      </c>
      <c r="AB178" s="123">
        <f t="shared" si="77"/>
        <v>0.9</v>
      </c>
      <c r="AC178" s="123">
        <f t="shared" si="77"/>
        <v>0.9</v>
      </c>
      <c r="AD178" s="123">
        <f t="shared" si="77"/>
        <v>0.9</v>
      </c>
      <c r="AE178" s="123">
        <f t="shared" si="77"/>
        <v>0.9</v>
      </c>
      <c r="AF178" s="123">
        <f t="shared" si="77"/>
        <v>0.9</v>
      </c>
      <c r="AG178" s="126">
        <v>2</v>
      </c>
      <c r="AH178" s="54"/>
      <c r="AI178" s="55"/>
      <c r="AK178" s="56"/>
    </row>
    <row r="179" spans="1:37" x14ac:dyDescent="0.25">
      <c r="A179" s="111" t="s">
        <v>184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4"/>
      <c r="AI179" s="55"/>
      <c r="AK179" s="56"/>
    </row>
    <row r="180" spans="1:37" x14ac:dyDescent="0.25">
      <c r="A180" s="111" t="s">
        <v>185</v>
      </c>
      <c r="B180" s="123">
        <f t="shared" ref="B180:B192" si="78">AF180</f>
        <v>0.57999999999999996</v>
      </c>
      <c r="C180" s="124">
        <v>0.57999999999999996</v>
      </c>
      <c r="D180" s="123">
        <f t="shared" ref="D180:S192" si="79">C180</f>
        <v>0.57999999999999996</v>
      </c>
      <c r="E180" s="123">
        <f t="shared" si="79"/>
        <v>0.57999999999999996</v>
      </c>
      <c r="F180" s="123">
        <f t="shared" si="79"/>
        <v>0.57999999999999996</v>
      </c>
      <c r="G180" s="123">
        <f t="shared" si="79"/>
        <v>0.57999999999999996</v>
      </c>
      <c r="H180" s="123">
        <f t="shared" si="79"/>
        <v>0.57999999999999996</v>
      </c>
      <c r="I180" s="123">
        <f t="shared" si="79"/>
        <v>0.57999999999999996</v>
      </c>
      <c r="J180" s="123">
        <f t="shared" si="79"/>
        <v>0.57999999999999996</v>
      </c>
      <c r="K180" s="123">
        <f t="shared" si="79"/>
        <v>0.57999999999999996</v>
      </c>
      <c r="L180" s="123">
        <f t="shared" si="79"/>
        <v>0.57999999999999996</v>
      </c>
      <c r="M180" s="123">
        <f t="shared" si="79"/>
        <v>0.57999999999999996</v>
      </c>
      <c r="N180" s="123">
        <f t="shared" si="79"/>
        <v>0.57999999999999996</v>
      </c>
      <c r="O180" s="123">
        <f t="shared" si="79"/>
        <v>0.57999999999999996</v>
      </c>
      <c r="P180" s="123">
        <f t="shared" si="79"/>
        <v>0.57999999999999996</v>
      </c>
      <c r="Q180" s="123">
        <f t="shared" si="79"/>
        <v>0.57999999999999996</v>
      </c>
      <c r="R180" s="123">
        <f t="shared" si="79"/>
        <v>0.57999999999999996</v>
      </c>
      <c r="S180" s="123">
        <f t="shared" si="79"/>
        <v>0.57999999999999996</v>
      </c>
      <c r="T180" s="123">
        <f t="shared" ref="S180:AF192" si="80">S180</f>
        <v>0.57999999999999996</v>
      </c>
      <c r="U180" s="123">
        <f t="shared" si="80"/>
        <v>0.57999999999999996</v>
      </c>
      <c r="V180" s="123">
        <f t="shared" si="80"/>
        <v>0.57999999999999996</v>
      </c>
      <c r="W180" s="123">
        <f t="shared" si="80"/>
        <v>0.57999999999999996</v>
      </c>
      <c r="X180" s="123">
        <f t="shared" si="80"/>
        <v>0.57999999999999996</v>
      </c>
      <c r="Y180" s="123">
        <f t="shared" si="80"/>
        <v>0.57999999999999996</v>
      </c>
      <c r="Z180" s="123">
        <f t="shared" si="80"/>
        <v>0.57999999999999996</v>
      </c>
      <c r="AA180" s="123">
        <f t="shared" si="80"/>
        <v>0.57999999999999996</v>
      </c>
      <c r="AB180" s="123">
        <f t="shared" si="80"/>
        <v>0.57999999999999996</v>
      </c>
      <c r="AC180" s="123">
        <f t="shared" si="80"/>
        <v>0.57999999999999996</v>
      </c>
      <c r="AD180" s="123">
        <f t="shared" si="80"/>
        <v>0.57999999999999996</v>
      </c>
      <c r="AE180" s="123">
        <f t="shared" si="80"/>
        <v>0.57999999999999996</v>
      </c>
      <c r="AF180" s="123">
        <f t="shared" si="80"/>
        <v>0.57999999999999996</v>
      </c>
      <c r="AG180" s="126">
        <v>1.8</v>
      </c>
      <c r="AH180" s="54"/>
      <c r="AI180" s="55"/>
      <c r="AK180" s="56"/>
    </row>
    <row r="181" spans="1:37" x14ac:dyDescent="0.25">
      <c r="A181" s="111" t="s">
        <v>186</v>
      </c>
      <c r="B181" s="123">
        <f t="shared" si="78"/>
        <v>0.8</v>
      </c>
      <c r="C181" s="124">
        <v>0.8</v>
      </c>
      <c r="D181" s="123">
        <f t="shared" si="79"/>
        <v>0.8</v>
      </c>
      <c r="E181" s="123">
        <f t="shared" si="79"/>
        <v>0.8</v>
      </c>
      <c r="F181" s="123">
        <f t="shared" si="79"/>
        <v>0.8</v>
      </c>
      <c r="G181" s="123">
        <f t="shared" si="79"/>
        <v>0.8</v>
      </c>
      <c r="H181" s="123">
        <f t="shared" si="79"/>
        <v>0.8</v>
      </c>
      <c r="I181" s="123">
        <f t="shared" si="79"/>
        <v>0.8</v>
      </c>
      <c r="J181" s="123">
        <f t="shared" si="79"/>
        <v>0.8</v>
      </c>
      <c r="K181" s="123">
        <f t="shared" si="79"/>
        <v>0.8</v>
      </c>
      <c r="L181" s="123">
        <f t="shared" si="79"/>
        <v>0.8</v>
      </c>
      <c r="M181" s="123">
        <f t="shared" si="79"/>
        <v>0.8</v>
      </c>
      <c r="N181" s="123">
        <f t="shared" si="79"/>
        <v>0.8</v>
      </c>
      <c r="O181" s="123">
        <f t="shared" si="79"/>
        <v>0.8</v>
      </c>
      <c r="P181" s="123">
        <f t="shared" si="79"/>
        <v>0.8</v>
      </c>
      <c r="Q181" s="123">
        <f t="shared" si="79"/>
        <v>0.8</v>
      </c>
      <c r="R181" s="123">
        <f t="shared" si="79"/>
        <v>0.8</v>
      </c>
      <c r="S181" s="123">
        <f t="shared" si="79"/>
        <v>0.8</v>
      </c>
      <c r="T181" s="123">
        <f t="shared" si="80"/>
        <v>0.8</v>
      </c>
      <c r="U181" s="123">
        <f t="shared" si="80"/>
        <v>0.8</v>
      </c>
      <c r="V181" s="123">
        <f t="shared" si="80"/>
        <v>0.8</v>
      </c>
      <c r="W181" s="123">
        <f t="shared" si="80"/>
        <v>0.8</v>
      </c>
      <c r="X181" s="123">
        <f t="shared" si="80"/>
        <v>0.8</v>
      </c>
      <c r="Y181" s="123">
        <f t="shared" si="80"/>
        <v>0.8</v>
      </c>
      <c r="Z181" s="123">
        <f t="shared" si="80"/>
        <v>0.8</v>
      </c>
      <c r="AA181" s="123">
        <f t="shared" si="80"/>
        <v>0.8</v>
      </c>
      <c r="AB181" s="123">
        <f t="shared" si="80"/>
        <v>0.8</v>
      </c>
      <c r="AC181" s="123">
        <f t="shared" si="80"/>
        <v>0.8</v>
      </c>
      <c r="AD181" s="123">
        <f t="shared" si="80"/>
        <v>0.8</v>
      </c>
      <c r="AE181" s="123">
        <f t="shared" si="80"/>
        <v>0.8</v>
      </c>
      <c r="AF181" s="123">
        <f t="shared" si="80"/>
        <v>0.8</v>
      </c>
      <c r="AG181" s="126">
        <v>1.65</v>
      </c>
      <c r="AH181" s="54"/>
      <c r="AI181" s="55"/>
      <c r="AK181" s="56"/>
    </row>
    <row r="182" spans="1:37" x14ac:dyDescent="0.25">
      <c r="A182" s="111" t="s">
        <v>187</v>
      </c>
      <c r="B182" s="123">
        <f t="shared" si="78"/>
        <v>0</v>
      </c>
      <c r="C182" s="124">
        <v>0</v>
      </c>
      <c r="D182" s="123">
        <f t="shared" si="79"/>
        <v>0</v>
      </c>
      <c r="E182" s="123">
        <f t="shared" si="79"/>
        <v>0</v>
      </c>
      <c r="F182" s="123">
        <f t="shared" si="79"/>
        <v>0</v>
      </c>
      <c r="G182" s="123">
        <f t="shared" si="79"/>
        <v>0</v>
      </c>
      <c r="H182" s="123">
        <f t="shared" si="79"/>
        <v>0</v>
      </c>
      <c r="I182" s="123">
        <f t="shared" si="79"/>
        <v>0</v>
      </c>
      <c r="J182" s="123">
        <f t="shared" si="79"/>
        <v>0</v>
      </c>
      <c r="K182" s="123">
        <f t="shared" si="79"/>
        <v>0</v>
      </c>
      <c r="L182" s="123">
        <f t="shared" si="79"/>
        <v>0</v>
      </c>
      <c r="M182" s="123">
        <f t="shared" si="79"/>
        <v>0</v>
      </c>
      <c r="N182" s="123">
        <f t="shared" si="79"/>
        <v>0</v>
      </c>
      <c r="O182" s="123">
        <f t="shared" si="79"/>
        <v>0</v>
      </c>
      <c r="P182" s="123">
        <f t="shared" si="79"/>
        <v>0</v>
      </c>
      <c r="Q182" s="123">
        <f t="shared" si="79"/>
        <v>0</v>
      </c>
      <c r="R182" s="123">
        <f t="shared" si="79"/>
        <v>0</v>
      </c>
      <c r="S182" s="123">
        <f t="shared" si="79"/>
        <v>0</v>
      </c>
      <c r="T182" s="123">
        <f t="shared" si="80"/>
        <v>0</v>
      </c>
      <c r="U182" s="123">
        <f t="shared" si="80"/>
        <v>0</v>
      </c>
      <c r="V182" s="123">
        <f t="shared" si="80"/>
        <v>0</v>
      </c>
      <c r="W182" s="123">
        <f t="shared" si="80"/>
        <v>0</v>
      </c>
      <c r="X182" s="123">
        <f t="shared" si="80"/>
        <v>0</v>
      </c>
      <c r="Y182" s="123">
        <f t="shared" si="80"/>
        <v>0</v>
      </c>
      <c r="Z182" s="123">
        <f t="shared" si="80"/>
        <v>0</v>
      </c>
      <c r="AA182" s="123">
        <f t="shared" si="80"/>
        <v>0</v>
      </c>
      <c r="AB182" s="123">
        <f t="shared" si="80"/>
        <v>0</v>
      </c>
      <c r="AC182" s="123">
        <f t="shared" si="80"/>
        <v>0</v>
      </c>
      <c r="AD182" s="123">
        <f t="shared" si="80"/>
        <v>0</v>
      </c>
      <c r="AE182" s="123">
        <f t="shared" si="80"/>
        <v>0</v>
      </c>
      <c r="AF182" s="123">
        <f t="shared" si="80"/>
        <v>0</v>
      </c>
      <c r="AG182" s="126">
        <v>1.5</v>
      </c>
      <c r="AH182" s="54"/>
      <c r="AI182" s="55"/>
      <c r="AK182" s="56"/>
    </row>
    <row r="183" spans="1:37" x14ac:dyDescent="0.25">
      <c r="A183" s="111" t="s">
        <v>188</v>
      </c>
      <c r="B183" s="123">
        <f t="shared" si="78"/>
        <v>0.6</v>
      </c>
      <c r="C183" s="124">
        <v>0.6</v>
      </c>
      <c r="D183" s="123">
        <f t="shared" si="79"/>
        <v>0.6</v>
      </c>
      <c r="E183" s="123">
        <f t="shared" si="79"/>
        <v>0.6</v>
      </c>
      <c r="F183" s="123">
        <f t="shared" si="79"/>
        <v>0.6</v>
      </c>
      <c r="G183" s="123">
        <f t="shared" si="79"/>
        <v>0.6</v>
      </c>
      <c r="H183" s="123">
        <f t="shared" si="79"/>
        <v>0.6</v>
      </c>
      <c r="I183" s="123">
        <f t="shared" si="79"/>
        <v>0.6</v>
      </c>
      <c r="J183" s="123">
        <f t="shared" si="79"/>
        <v>0.6</v>
      </c>
      <c r="K183" s="123">
        <f t="shared" si="79"/>
        <v>0.6</v>
      </c>
      <c r="L183" s="123">
        <f t="shared" si="79"/>
        <v>0.6</v>
      </c>
      <c r="M183" s="123">
        <f t="shared" si="79"/>
        <v>0.6</v>
      </c>
      <c r="N183" s="123">
        <f t="shared" si="79"/>
        <v>0.6</v>
      </c>
      <c r="O183" s="123">
        <f t="shared" si="79"/>
        <v>0.6</v>
      </c>
      <c r="P183" s="123">
        <f t="shared" si="79"/>
        <v>0.6</v>
      </c>
      <c r="Q183" s="123">
        <f t="shared" si="79"/>
        <v>0.6</v>
      </c>
      <c r="R183" s="123">
        <f t="shared" si="79"/>
        <v>0.6</v>
      </c>
      <c r="S183" s="123">
        <f t="shared" si="79"/>
        <v>0.6</v>
      </c>
      <c r="T183" s="123">
        <f t="shared" si="80"/>
        <v>0.6</v>
      </c>
      <c r="U183" s="123">
        <f t="shared" si="80"/>
        <v>0.6</v>
      </c>
      <c r="V183" s="123">
        <f t="shared" si="80"/>
        <v>0.6</v>
      </c>
      <c r="W183" s="123">
        <f t="shared" si="80"/>
        <v>0.6</v>
      </c>
      <c r="X183" s="123">
        <f t="shared" si="80"/>
        <v>0.6</v>
      </c>
      <c r="Y183" s="123">
        <f t="shared" si="80"/>
        <v>0.6</v>
      </c>
      <c r="Z183" s="123">
        <f t="shared" si="80"/>
        <v>0.6</v>
      </c>
      <c r="AA183" s="123">
        <f t="shared" si="80"/>
        <v>0.6</v>
      </c>
      <c r="AB183" s="123">
        <f t="shared" si="80"/>
        <v>0.6</v>
      </c>
      <c r="AC183" s="123">
        <f t="shared" si="80"/>
        <v>0.6</v>
      </c>
      <c r="AD183" s="123">
        <f t="shared" si="80"/>
        <v>0.6</v>
      </c>
      <c r="AE183" s="123">
        <f t="shared" si="80"/>
        <v>0.6</v>
      </c>
      <c r="AF183" s="123">
        <f t="shared" si="80"/>
        <v>0.6</v>
      </c>
      <c r="AG183" s="126">
        <v>0.998</v>
      </c>
      <c r="AH183" s="54"/>
      <c r="AI183" s="55"/>
      <c r="AK183" s="56"/>
    </row>
    <row r="184" spans="1:37" x14ac:dyDescent="0.25">
      <c r="A184" s="111" t="s">
        <v>189</v>
      </c>
      <c r="B184" s="123">
        <f t="shared" si="78"/>
        <v>0.6</v>
      </c>
      <c r="C184" s="124">
        <v>0.6</v>
      </c>
      <c r="D184" s="123">
        <f t="shared" si="79"/>
        <v>0.6</v>
      </c>
      <c r="E184" s="123">
        <f t="shared" si="79"/>
        <v>0.6</v>
      </c>
      <c r="F184" s="123">
        <f t="shared" si="79"/>
        <v>0.6</v>
      </c>
      <c r="G184" s="123">
        <f t="shared" si="79"/>
        <v>0.6</v>
      </c>
      <c r="H184" s="123">
        <f t="shared" si="79"/>
        <v>0.6</v>
      </c>
      <c r="I184" s="123">
        <f t="shared" si="79"/>
        <v>0.6</v>
      </c>
      <c r="J184" s="123">
        <f t="shared" si="79"/>
        <v>0.6</v>
      </c>
      <c r="K184" s="123">
        <f t="shared" si="79"/>
        <v>0.6</v>
      </c>
      <c r="L184" s="123">
        <f t="shared" si="79"/>
        <v>0.6</v>
      </c>
      <c r="M184" s="123">
        <f t="shared" si="79"/>
        <v>0.6</v>
      </c>
      <c r="N184" s="123">
        <f t="shared" si="79"/>
        <v>0.6</v>
      </c>
      <c r="O184" s="123">
        <f t="shared" si="79"/>
        <v>0.6</v>
      </c>
      <c r="P184" s="123">
        <f t="shared" si="79"/>
        <v>0.6</v>
      </c>
      <c r="Q184" s="123">
        <f t="shared" si="79"/>
        <v>0.6</v>
      </c>
      <c r="R184" s="123">
        <f t="shared" si="79"/>
        <v>0.6</v>
      </c>
      <c r="S184" s="123">
        <f t="shared" si="79"/>
        <v>0.6</v>
      </c>
      <c r="T184" s="123">
        <f t="shared" si="80"/>
        <v>0.6</v>
      </c>
      <c r="U184" s="123">
        <f t="shared" si="80"/>
        <v>0.6</v>
      </c>
      <c r="V184" s="123">
        <f t="shared" si="80"/>
        <v>0.6</v>
      </c>
      <c r="W184" s="123">
        <f t="shared" si="80"/>
        <v>0.6</v>
      </c>
      <c r="X184" s="123">
        <f t="shared" si="80"/>
        <v>0.6</v>
      </c>
      <c r="Y184" s="123">
        <f t="shared" si="80"/>
        <v>0.6</v>
      </c>
      <c r="Z184" s="123">
        <f t="shared" si="80"/>
        <v>0.6</v>
      </c>
      <c r="AA184" s="123">
        <f t="shared" si="80"/>
        <v>0.6</v>
      </c>
      <c r="AB184" s="123">
        <f t="shared" si="80"/>
        <v>0.6</v>
      </c>
      <c r="AC184" s="123">
        <f t="shared" si="80"/>
        <v>0.6</v>
      </c>
      <c r="AD184" s="123">
        <f t="shared" si="80"/>
        <v>0.6</v>
      </c>
      <c r="AE184" s="123">
        <f t="shared" si="80"/>
        <v>0.6</v>
      </c>
      <c r="AF184" s="123">
        <f t="shared" si="80"/>
        <v>0.6</v>
      </c>
      <c r="AG184" s="126">
        <v>0.997</v>
      </c>
      <c r="AH184" s="54"/>
      <c r="AI184" s="55"/>
      <c r="AK184" s="56"/>
    </row>
    <row r="185" spans="1:37" x14ac:dyDescent="0.25">
      <c r="A185" s="111" t="s">
        <v>190</v>
      </c>
      <c r="B185" s="123">
        <f t="shared" si="78"/>
        <v>0.35</v>
      </c>
      <c r="C185" s="124">
        <v>0.35</v>
      </c>
      <c r="D185" s="123">
        <f t="shared" si="79"/>
        <v>0.35</v>
      </c>
      <c r="E185" s="123">
        <f t="shared" si="79"/>
        <v>0.35</v>
      </c>
      <c r="F185" s="123">
        <f t="shared" si="79"/>
        <v>0.35</v>
      </c>
      <c r="G185" s="123">
        <f t="shared" si="79"/>
        <v>0.35</v>
      </c>
      <c r="H185" s="123">
        <f t="shared" si="79"/>
        <v>0.35</v>
      </c>
      <c r="I185" s="123">
        <f t="shared" si="79"/>
        <v>0.35</v>
      </c>
      <c r="J185" s="123">
        <f t="shared" si="79"/>
        <v>0.35</v>
      </c>
      <c r="K185" s="123">
        <f t="shared" si="79"/>
        <v>0.35</v>
      </c>
      <c r="L185" s="123">
        <f t="shared" si="79"/>
        <v>0.35</v>
      </c>
      <c r="M185" s="123">
        <f t="shared" si="79"/>
        <v>0.35</v>
      </c>
      <c r="N185" s="123">
        <f t="shared" si="79"/>
        <v>0.35</v>
      </c>
      <c r="O185" s="123">
        <f t="shared" si="79"/>
        <v>0.35</v>
      </c>
      <c r="P185" s="123">
        <f t="shared" si="79"/>
        <v>0.35</v>
      </c>
      <c r="Q185" s="123">
        <f t="shared" si="79"/>
        <v>0.35</v>
      </c>
      <c r="R185" s="123">
        <f t="shared" si="79"/>
        <v>0.35</v>
      </c>
      <c r="S185" s="123">
        <f t="shared" si="79"/>
        <v>0.35</v>
      </c>
      <c r="T185" s="123">
        <f t="shared" si="80"/>
        <v>0.35</v>
      </c>
      <c r="U185" s="123">
        <f t="shared" si="80"/>
        <v>0.35</v>
      </c>
      <c r="V185" s="123">
        <f t="shared" si="80"/>
        <v>0.35</v>
      </c>
      <c r="W185" s="123">
        <f t="shared" si="80"/>
        <v>0.35</v>
      </c>
      <c r="X185" s="123">
        <f t="shared" si="80"/>
        <v>0.35</v>
      </c>
      <c r="Y185" s="123">
        <f t="shared" si="80"/>
        <v>0.35</v>
      </c>
      <c r="Z185" s="123">
        <f t="shared" si="80"/>
        <v>0.35</v>
      </c>
      <c r="AA185" s="123">
        <f t="shared" si="80"/>
        <v>0.35</v>
      </c>
      <c r="AB185" s="123">
        <f t="shared" si="80"/>
        <v>0.35</v>
      </c>
      <c r="AC185" s="123">
        <f t="shared" si="80"/>
        <v>0.35</v>
      </c>
      <c r="AD185" s="123">
        <f t="shared" si="80"/>
        <v>0.35</v>
      </c>
      <c r="AE185" s="123">
        <f t="shared" si="80"/>
        <v>0.35</v>
      </c>
      <c r="AF185" s="123">
        <f t="shared" si="80"/>
        <v>0.35</v>
      </c>
      <c r="AG185" s="126">
        <v>0.997</v>
      </c>
      <c r="AH185" s="54"/>
      <c r="AI185" s="55"/>
      <c r="AK185" s="56"/>
    </row>
    <row r="186" spans="1:37" x14ac:dyDescent="0.25">
      <c r="A186" s="111" t="s">
        <v>191</v>
      </c>
      <c r="B186" s="123">
        <f t="shared" si="78"/>
        <v>0.28999999999999998</v>
      </c>
      <c r="C186" s="124">
        <v>0.28999999999999998</v>
      </c>
      <c r="D186" s="123">
        <f t="shared" si="79"/>
        <v>0.28999999999999998</v>
      </c>
      <c r="E186" s="123">
        <f t="shared" si="79"/>
        <v>0.28999999999999998</v>
      </c>
      <c r="F186" s="123">
        <f t="shared" si="79"/>
        <v>0.28999999999999998</v>
      </c>
      <c r="G186" s="123">
        <f t="shared" si="79"/>
        <v>0.28999999999999998</v>
      </c>
      <c r="H186" s="123">
        <f t="shared" si="79"/>
        <v>0.28999999999999998</v>
      </c>
      <c r="I186" s="123">
        <f t="shared" si="79"/>
        <v>0.28999999999999998</v>
      </c>
      <c r="J186" s="123">
        <f t="shared" si="79"/>
        <v>0.28999999999999998</v>
      </c>
      <c r="K186" s="123">
        <f t="shared" si="79"/>
        <v>0.28999999999999998</v>
      </c>
      <c r="L186" s="123">
        <f t="shared" si="79"/>
        <v>0.28999999999999998</v>
      </c>
      <c r="M186" s="123">
        <f t="shared" si="79"/>
        <v>0.28999999999999998</v>
      </c>
      <c r="N186" s="123">
        <f t="shared" si="79"/>
        <v>0.28999999999999998</v>
      </c>
      <c r="O186" s="123">
        <f t="shared" si="79"/>
        <v>0.28999999999999998</v>
      </c>
      <c r="P186" s="123">
        <f t="shared" si="79"/>
        <v>0.28999999999999998</v>
      </c>
      <c r="Q186" s="123">
        <f t="shared" si="79"/>
        <v>0.28999999999999998</v>
      </c>
      <c r="R186" s="123">
        <f t="shared" si="79"/>
        <v>0.28999999999999998</v>
      </c>
      <c r="S186" s="123">
        <f t="shared" si="79"/>
        <v>0.28999999999999998</v>
      </c>
      <c r="T186" s="123">
        <f t="shared" si="80"/>
        <v>0.28999999999999998</v>
      </c>
      <c r="U186" s="123">
        <f t="shared" si="80"/>
        <v>0.28999999999999998</v>
      </c>
      <c r="V186" s="123">
        <f t="shared" si="80"/>
        <v>0.28999999999999998</v>
      </c>
      <c r="W186" s="123">
        <f t="shared" si="80"/>
        <v>0.28999999999999998</v>
      </c>
      <c r="X186" s="123">
        <f t="shared" si="80"/>
        <v>0.28999999999999998</v>
      </c>
      <c r="Y186" s="123">
        <f t="shared" si="80"/>
        <v>0.28999999999999998</v>
      </c>
      <c r="Z186" s="123">
        <f t="shared" si="80"/>
        <v>0.28999999999999998</v>
      </c>
      <c r="AA186" s="123">
        <f t="shared" si="80"/>
        <v>0.28999999999999998</v>
      </c>
      <c r="AB186" s="123">
        <f t="shared" si="80"/>
        <v>0.28999999999999998</v>
      </c>
      <c r="AC186" s="123">
        <f t="shared" si="80"/>
        <v>0.28999999999999998</v>
      </c>
      <c r="AD186" s="123">
        <f t="shared" si="80"/>
        <v>0.28999999999999998</v>
      </c>
      <c r="AE186" s="123">
        <f t="shared" si="80"/>
        <v>0.28999999999999998</v>
      </c>
      <c r="AF186" s="123">
        <f t="shared" si="80"/>
        <v>0.28999999999999998</v>
      </c>
      <c r="AG186" s="126">
        <v>0.996</v>
      </c>
      <c r="AH186" s="54"/>
      <c r="AI186" s="55"/>
      <c r="AK186" s="56"/>
    </row>
    <row r="187" spans="1:37" x14ac:dyDescent="0.25">
      <c r="A187" s="111" t="s">
        <v>192</v>
      </c>
      <c r="B187" s="123">
        <f t="shared" si="78"/>
        <v>0.06</v>
      </c>
      <c r="C187" s="124">
        <v>0.06</v>
      </c>
      <c r="D187" s="123">
        <f t="shared" si="79"/>
        <v>0.06</v>
      </c>
      <c r="E187" s="123">
        <f t="shared" si="79"/>
        <v>0.06</v>
      </c>
      <c r="F187" s="123">
        <f t="shared" si="79"/>
        <v>0.06</v>
      </c>
      <c r="G187" s="123">
        <f t="shared" si="79"/>
        <v>0.06</v>
      </c>
      <c r="H187" s="123">
        <f t="shared" si="79"/>
        <v>0.06</v>
      </c>
      <c r="I187" s="123">
        <f t="shared" si="79"/>
        <v>0.06</v>
      </c>
      <c r="J187" s="123">
        <f t="shared" si="79"/>
        <v>0.06</v>
      </c>
      <c r="K187" s="123">
        <f t="shared" si="79"/>
        <v>0.06</v>
      </c>
      <c r="L187" s="123">
        <f t="shared" si="79"/>
        <v>0.06</v>
      </c>
      <c r="M187" s="123">
        <f t="shared" si="79"/>
        <v>0.06</v>
      </c>
      <c r="N187" s="123">
        <f t="shared" si="79"/>
        <v>0.06</v>
      </c>
      <c r="O187" s="123">
        <f t="shared" si="79"/>
        <v>0.06</v>
      </c>
      <c r="P187" s="123">
        <f t="shared" si="79"/>
        <v>0.06</v>
      </c>
      <c r="Q187" s="123">
        <f t="shared" si="79"/>
        <v>0.06</v>
      </c>
      <c r="R187" s="123">
        <f t="shared" si="79"/>
        <v>0.06</v>
      </c>
      <c r="S187" s="123">
        <f t="shared" si="79"/>
        <v>0.06</v>
      </c>
      <c r="T187" s="123">
        <f t="shared" si="80"/>
        <v>0.06</v>
      </c>
      <c r="U187" s="123">
        <f t="shared" si="80"/>
        <v>0.06</v>
      </c>
      <c r="V187" s="123">
        <f t="shared" si="80"/>
        <v>0.06</v>
      </c>
      <c r="W187" s="123">
        <f t="shared" si="80"/>
        <v>0.06</v>
      </c>
      <c r="X187" s="123">
        <f t="shared" si="80"/>
        <v>0.06</v>
      </c>
      <c r="Y187" s="123">
        <f t="shared" si="80"/>
        <v>0.06</v>
      </c>
      <c r="Z187" s="123">
        <f t="shared" si="80"/>
        <v>0.06</v>
      </c>
      <c r="AA187" s="123">
        <f t="shared" si="80"/>
        <v>0.06</v>
      </c>
      <c r="AB187" s="123">
        <f t="shared" si="80"/>
        <v>0.06</v>
      </c>
      <c r="AC187" s="123">
        <f t="shared" si="80"/>
        <v>0.06</v>
      </c>
      <c r="AD187" s="123">
        <f t="shared" si="80"/>
        <v>0.06</v>
      </c>
      <c r="AE187" s="123">
        <f t="shared" si="80"/>
        <v>0.06</v>
      </c>
      <c r="AF187" s="123">
        <f t="shared" si="80"/>
        <v>0.06</v>
      </c>
      <c r="AG187" s="126">
        <v>0.996</v>
      </c>
      <c r="AH187" s="54"/>
      <c r="AI187" s="55"/>
      <c r="AK187" s="56"/>
    </row>
    <row r="188" spans="1:37" x14ac:dyDescent="0.25">
      <c r="A188" s="111" t="s">
        <v>193</v>
      </c>
      <c r="B188" s="123">
        <f t="shared" si="78"/>
        <v>0.11</v>
      </c>
      <c r="C188" s="124">
        <v>0.11</v>
      </c>
      <c r="D188" s="123">
        <f t="shared" si="79"/>
        <v>0.11</v>
      </c>
      <c r="E188" s="123">
        <f t="shared" si="79"/>
        <v>0.11</v>
      </c>
      <c r="F188" s="123">
        <f t="shared" si="79"/>
        <v>0.11</v>
      </c>
      <c r="G188" s="123">
        <f t="shared" si="79"/>
        <v>0.11</v>
      </c>
      <c r="H188" s="123">
        <f t="shared" si="79"/>
        <v>0.11</v>
      </c>
      <c r="I188" s="123">
        <f t="shared" si="79"/>
        <v>0.11</v>
      </c>
      <c r="J188" s="123">
        <f t="shared" si="79"/>
        <v>0.11</v>
      </c>
      <c r="K188" s="123">
        <f t="shared" si="79"/>
        <v>0.11</v>
      </c>
      <c r="L188" s="123">
        <f t="shared" si="79"/>
        <v>0.11</v>
      </c>
      <c r="M188" s="123">
        <f t="shared" si="79"/>
        <v>0.11</v>
      </c>
      <c r="N188" s="123">
        <f t="shared" si="79"/>
        <v>0.11</v>
      </c>
      <c r="O188" s="123">
        <f t="shared" si="79"/>
        <v>0.11</v>
      </c>
      <c r="P188" s="123">
        <f t="shared" si="79"/>
        <v>0.11</v>
      </c>
      <c r="Q188" s="123">
        <f t="shared" si="79"/>
        <v>0.11</v>
      </c>
      <c r="R188" s="123">
        <f t="shared" si="79"/>
        <v>0.11</v>
      </c>
      <c r="S188" s="123">
        <f t="shared" si="79"/>
        <v>0.11</v>
      </c>
      <c r="T188" s="123">
        <f t="shared" si="80"/>
        <v>0.11</v>
      </c>
      <c r="U188" s="123">
        <f t="shared" si="80"/>
        <v>0.11</v>
      </c>
      <c r="V188" s="123">
        <f t="shared" si="80"/>
        <v>0.11</v>
      </c>
      <c r="W188" s="123">
        <f t="shared" si="80"/>
        <v>0.11</v>
      </c>
      <c r="X188" s="123">
        <f t="shared" si="80"/>
        <v>0.11</v>
      </c>
      <c r="Y188" s="123">
        <f t="shared" si="80"/>
        <v>0.11</v>
      </c>
      <c r="Z188" s="123">
        <f t="shared" si="80"/>
        <v>0.11</v>
      </c>
      <c r="AA188" s="123">
        <f t="shared" si="80"/>
        <v>0.11</v>
      </c>
      <c r="AB188" s="123">
        <f t="shared" si="80"/>
        <v>0.11</v>
      </c>
      <c r="AC188" s="123">
        <f t="shared" si="80"/>
        <v>0.11</v>
      </c>
      <c r="AD188" s="123">
        <f t="shared" si="80"/>
        <v>0.11</v>
      </c>
      <c r="AE188" s="123">
        <f t="shared" si="80"/>
        <v>0.11</v>
      </c>
      <c r="AF188" s="123">
        <f t="shared" si="80"/>
        <v>0.11</v>
      </c>
      <c r="AG188" s="126">
        <v>0.996</v>
      </c>
      <c r="AH188" s="54"/>
      <c r="AI188" s="55"/>
      <c r="AK188" s="56"/>
    </row>
    <row r="189" spans="1:37" x14ac:dyDescent="0.25">
      <c r="A189" s="111" t="s">
        <v>194</v>
      </c>
      <c r="B189" s="123">
        <f t="shared" si="78"/>
        <v>0.1</v>
      </c>
      <c r="C189" s="124">
        <v>0.1</v>
      </c>
      <c r="D189" s="123">
        <f t="shared" si="79"/>
        <v>0.1</v>
      </c>
      <c r="E189" s="123">
        <f t="shared" si="79"/>
        <v>0.1</v>
      </c>
      <c r="F189" s="123">
        <f t="shared" si="79"/>
        <v>0.1</v>
      </c>
      <c r="G189" s="123">
        <f t="shared" si="79"/>
        <v>0.1</v>
      </c>
      <c r="H189" s="123">
        <f t="shared" si="79"/>
        <v>0.1</v>
      </c>
      <c r="I189" s="123">
        <f t="shared" si="79"/>
        <v>0.1</v>
      </c>
      <c r="J189" s="123">
        <f t="shared" si="79"/>
        <v>0.1</v>
      </c>
      <c r="K189" s="123">
        <f t="shared" si="79"/>
        <v>0.1</v>
      </c>
      <c r="L189" s="123">
        <f t="shared" si="79"/>
        <v>0.1</v>
      </c>
      <c r="M189" s="123">
        <f t="shared" si="79"/>
        <v>0.1</v>
      </c>
      <c r="N189" s="123">
        <f t="shared" si="79"/>
        <v>0.1</v>
      </c>
      <c r="O189" s="123">
        <f t="shared" si="79"/>
        <v>0.1</v>
      </c>
      <c r="P189" s="123">
        <f t="shared" si="79"/>
        <v>0.1</v>
      </c>
      <c r="Q189" s="123">
        <f t="shared" si="79"/>
        <v>0.1</v>
      </c>
      <c r="R189" s="123">
        <f t="shared" si="79"/>
        <v>0.1</v>
      </c>
      <c r="S189" s="123">
        <f t="shared" si="80"/>
        <v>0.1</v>
      </c>
      <c r="T189" s="123">
        <f t="shared" si="80"/>
        <v>0.1</v>
      </c>
      <c r="U189" s="123">
        <f t="shared" si="80"/>
        <v>0.1</v>
      </c>
      <c r="V189" s="123">
        <f t="shared" si="80"/>
        <v>0.1</v>
      </c>
      <c r="W189" s="123">
        <f t="shared" si="80"/>
        <v>0.1</v>
      </c>
      <c r="X189" s="123">
        <f t="shared" si="80"/>
        <v>0.1</v>
      </c>
      <c r="Y189" s="123">
        <f t="shared" si="80"/>
        <v>0.1</v>
      </c>
      <c r="Z189" s="123">
        <f t="shared" si="80"/>
        <v>0.1</v>
      </c>
      <c r="AA189" s="123">
        <f t="shared" si="80"/>
        <v>0.1</v>
      </c>
      <c r="AB189" s="123">
        <f t="shared" si="80"/>
        <v>0.1</v>
      </c>
      <c r="AC189" s="123">
        <f t="shared" si="80"/>
        <v>0.1</v>
      </c>
      <c r="AD189" s="123">
        <f t="shared" si="80"/>
        <v>0.1</v>
      </c>
      <c r="AE189" s="123">
        <f t="shared" si="80"/>
        <v>0.1</v>
      </c>
      <c r="AF189" s="123">
        <f t="shared" si="80"/>
        <v>0.1</v>
      </c>
      <c r="AG189" s="126">
        <v>0.995</v>
      </c>
      <c r="AH189" s="54"/>
      <c r="AI189" s="55"/>
      <c r="AK189" s="56"/>
    </row>
    <row r="190" spans="1:37" x14ac:dyDescent="0.25">
      <c r="A190" s="111" t="s">
        <v>195</v>
      </c>
      <c r="B190" s="123">
        <f t="shared" si="78"/>
        <v>0.09</v>
      </c>
      <c r="C190" s="124">
        <v>0.09</v>
      </c>
      <c r="D190" s="123">
        <f t="shared" si="79"/>
        <v>0.09</v>
      </c>
      <c r="E190" s="123">
        <f t="shared" si="79"/>
        <v>0.09</v>
      </c>
      <c r="F190" s="123">
        <f t="shared" si="79"/>
        <v>0.09</v>
      </c>
      <c r="G190" s="123">
        <f t="shared" si="79"/>
        <v>0.09</v>
      </c>
      <c r="H190" s="123">
        <f t="shared" si="79"/>
        <v>0.09</v>
      </c>
      <c r="I190" s="123">
        <f t="shared" si="79"/>
        <v>0.09</v>
      </c>
      <c r="J190" s="123">
        <f t="shared" si="79"/>
        <v>0.09</v>
      </c>
      <c r="K190" s="123">
        <f t="shared" si="79"/>
        <v>0.09</v>
      </c>
      <c r="L190" s="123">
        <f t="shared" si="79"/>
        <v>0.09</v>
      </c>
      <c r="M190" s="123">
        <f t="shared" si="79"/>
        <v>0.09</v>
      </c>
      <c r="N190" s="123">
        <f t="shared" si="79"/>
        <v>0.09</v>
      </c>
      <c r="O190" s="123">
        <f t="shared" si="79"/>
        <v>0.09</v>
      </c>
      <c r="P190" s="123">
        <f t="shared" si="79"/>
        <v>0.09</v>
      </c>
      <c r="Q190" s="123">
        <f t="shared" si="79"/>
        <v>0.09</v>
      </c>
      <c r="R190" s="123">
        <f t="shared" si="79"/>
        <v>0.09</v>
      </c>
      <c r="S190" s="123">
        <f t="shared" si="80"/>
        <v>0.09</v>
      </c>
      <c r="T190" s="123">
        <f t="shared" si="80"/>
        <v>0.09</v>
      </c>
      <c r="U190" s="123">
        <f t="shared" si="80"/>
        <v>0.09</v>
      </c>
      <c r="V190" s="123">
        <f t="shared" si="80"/>
        <v>0.09</v>
      </c>
      <c r="W190" s="123">
        <f t="shared" si="80"/>
        <v>0.09</v>
      </c>
      <c r="X190" s="123">
        <f t="shared" si="80"/>
        <v>0.09</v>
      </c>
      <c r="Y190" s="123">
        <f t="shared" si="80"/>
        <v>0.09</v>
      </c>
      <c r="Z190" s="123">
        <f t="shared" si="80"/>
        <v>0.09</v>
      </c>
      <c r="AA190" s="123">
        <f t="shared" si="80"/>
        <v>0.09</v>
      </c>
      <c r="AB190" s="123">
        <f t="shared" si="80"/>
        <v>0.09</v>
      </c>
      <c r="AC190" s="123">
        <f t="shared" si="80"/>
        <v>0.09</v>
      </c>
      <c r="AD190" s="123">
        <f t="shared" si="80"/>
        <v>0.09</v>
      </c>
      <c r="AE190" s="123">
        <f t="shared" si="80"/>
        <v>0.09</v>
      </c>
      <c r="AF190" s="123">
        <f t="shared" si="80"/>
        <v>0.09</v>
      </c>
      <c r="AG190" s="126">
        <v>0.99299999999999999</v>
      </c>
      <c r="AH190" s="54"/>
      <c r="AI190" s="55"/>
      <c r="AK190" s="56"/>
    </row>
    <row r="191" spans="1:37" x14ac:dyDescent="0.25">
      <c r="A191" s="111" t="s">
        <v>196</v>
      </c>
      <c r="B191" s="123">
        <f t="shared" si="78"/>
        <v>0.04</v>
      </c>
      <c r="C191" s="53">
        <v>0.04</v>
      </c>
      <c r="D191" s="123">
        <f t="shared" si="79"/>
        <v>0.04</v>
      </c>
      <c r="E191" s="123">
        <f t="shared" si="79"/>
        <v>0.04</v>
      </c>
      <c r="F191" s="123">
        <f t="shared" si="79"/>
        <v>0.04</v>
      </c>
      <c r="G191" s="123">
        <f t="shared" si="79"/>
        <v>0.04</v>
      </c>
      <c r="H191" s="123">
        <f t="shared" si="79"/>
        <v>0.04</v>
      </c>
      <c r="I191" s="123">
        <f t="shared" si="79"/>
        <v>0.04</v>
      </c>
      <c r="J191" s="123">
        <f t="shared" si="79"/>
        <v>0.04</v>
      </c>
      <c r="K191" s="123">
        <f t="shared" si="79"/>
        <v>0.04</v>
      </c>
      <c r="L191" s="123">
        <f t="shared" si="79"/>
        <v>0.04</v>
      </c>
      <c r="M191" s="123">
        <f t="shared" si="79"/>
        <v>0.04</v>
      </c>
      <c r="N191" s="123">
        <f t="shared" si="79"/>
        <v>0.04</v>
      </c>
      <c r="O191" s="123">
        <f t="shared" si="79"/>
        <v>0.04</v>
      </c>
      <c r="P191" s="123">
        <f t="shared" si="79"/>
        <v>0.04</v>
      </c>
      <c r="Q191" s="123">
        <f t="shared" si="79"/>
        <v>0.04</v>
      </c>
      <c r="R191" s="123">
        <f t="shared" si="79"/>
        <v>0.04</v>
      </c>
      <c r="S191" s="123">
        <f t="shared" si="80"/>
        <v>0.04</v>
      </c>
      <c r="T191" s="123">
        <f t="shared" si="80"/>
        <v>0.04</v>
      </c>
      <c r="U191" s="123">
        <f t="shared" si="80"/>
        <v>0.04</v>
      </c>
      <c r="V191" s="123">
        <f t="shared" si="80"/>
        <v>0.04</v>
      </c>
      <c r="W191" s="123">
        <f t="shared" si="80"/>
        <v>0.04</v>
      </c>
      <c r="X191" s="123">
        <f t="shared" si="80"/>
        <v>0.04</v>
      </c>
      <c r="Y191" s="123">
        <f t="shared" si="80"/>
        <v>0.04</v>
      </c>
      <c r="Z191" s="123">
        <f t="shared" si="80"/>
        <v>0.04</v>
      </c>
      <c r="AA191" s="123">
        <f t="shared" si="80"/>
        <v>0.04</v>
      </c>
      <c r="AB191" s="123">
        <f t="shared" si="80"/>
        <v>0.04</v>
      </c>
      <c r="AC191" s="123">
        <f t="shared" si="80"/>
        <v>0.04</v>
      </c>
      <c r="AD191" s="123">
        <f t="shared" si="80"/>
        <v>0.04</v>
      </c>
      <c r="AE191" s="123">
        <f t="shared" si="80"/>
        <v>0.04</v>
      </c>
      <c r="AF191" s="123">
        <f t="shared" si="80"/>
        <v>0.04</v>
      </c>
      <c r="AG191" s="126">
        <v>0.99</v>
      </c>
      <c r="AH191" s="54"/>
      <c r="AI191" s="55"/>
      <c r="AK191" s="56"/>
    </row>
    <row r="192" spans="1:37" x14ac:dyDescent="0.25">
      <c r="A192" s="111" t="s">
        <v>197</v>
      </c>
      <c r="B192" s="123">
        <f t="shared" si="78"/>
        <v>2.3E-2</v>
      </c>
      <c r="C192" s="53">
        <v>2.3E-2</v>
      </c>
      <c r="D192" s="123">
        <f>C192</f>
        <v>2.3E-2</v>
      </c>
      <c r="E192" s="123">
        <f t="shared" si="79"/>
        <v>2.3E-2</v>
      </c>
      <c r="F192" s="123">
        <f t="shared" si="79"/>
        <v>2.3E-2</v>
      </c>
      <c r="G192" s="123">
        <f t="shared" si="79"/>
        <v>2.3E-2</v>
      </c>
      <c r="H192" s="123">
        <f t="shared" si="79"/>
        <v>2.3E-2</v>
      </c>
      <c r="I192" s="123">
        <f t="shared" si="79"/>
        <v>2.3E-2</v>
      </c>
      <c r="J192" s="123">
        <f t="shared" si="79"/>
        <v>2.3E-2</v>
      </c>
      <c r="K192" s="123">
        <f t="shared" si="79"/>
        <v>2.3E-2</v>
      </c>
      <c r="L192" s="123">
        <f t="shared" si="79"/>
        <v>2.3E-2</v>
      </c>
      <c r="M192" s="123">
        <f t="shared" si="79"/>
        <v>2.3E-2</v>
      </c>
      <c r="N192" s="123">
        <f t="shared" si="79"/>
        <v>2.3E-2</v>
      </c>
      <c r="O192" s="123">
        <f t="shared" si="79"/>
        <v>2.3E-2</v>
      </c>
      <c r="P192" s="123">
        <f t="shared" si="79"/>
        <v>2.3E-2</v>
      </c>
      <c r="Q192" s="123">
        <f t="shared" si="79"/>
        <v>2.3E-2</v>
      </c>
      <c r="R192" s="123">
        <f t="shared" si="79"/>
        <v>2.3E-2</v>
      </c>
      <c r="S192" s="123">
        <f t="shared" si="80"/>
        <v>2.3E-2</v>
      </c>
      <c r="T192" s="123">
        <f t="shared" si="80"/>
        <v>2.3E-2</v>
      </c>
      <c r="U192" s="123">
        <f t="shared" si="80"/>
        <v>2.3E-2</v>
      </c>
      <c r="V192" s="123">
        <f t="shared" si="80"/>
        <v>2.3E-2</v>
      </c>
      <c r="W192" s="123">
        <f t="shared" si="80"/>
        <v>2.3E-2</v>
      </c>
      <c r="X192" s="123">
        <f t="shared" si="80"/>
        <v>2.3E-2</v>
      </c>
      <c r="Y192" s="123">
        <f t="shared" si="80"/>
        <v>2.3E-2</v>
      </c>
      <c r="Z192" s="123">
        <f t="shared" si="80"/>
        <v>2.3E-2</v>
      </c>
      <c r="AA192" s="123">
        <f t="shared" si="80"/>
        <v>2.3E-2</v>
      </c>
      <c r="AB192" s="123">
        <f t="shared" si="80"/>
        <v>2.3E-2</v>
      </c>
      <c r="AC192" s="123">
        <f t="shared" si="80"/>
        <v>2.3E-2</v>
      </c>
      <c r="AD192" s="123">
        <f t="shared" si="80"/>
        <v>2.3E-2</v>
      </c>
      <c r="AE192" s="123">
        <f t="shared" si="80"/>
        <v>2.3E-2</v>
      </c>
      <c r="AF192" s="123">
        <f t="shared" si="80"/>
        <v>2.3E-2</v>
      </c>
      <c r="AG192" s="126">
        <v>0.97899999999999998</v>
      </c>
      <c r="AH192" s="54"/>
      <c r="AI192" s="55"/>
      <c r="AK192" s="56"/>
    </row>
    <row r="193" spans="1:37" ht="15.75" thickBot="1" x14ac:dyDescent="0.3">
      <c r="A193" s="127" t="s">
        <v>198</v>
      </c>
      <c r="B193" s="128">
        <f>SUM(B103:B192)</f>
        <v>187.10600000000005</v>
      </c>
      <c r="C193" s="128">
        <f t="shared" ref="C193:AG193" si="81">SUM(C103:C192)</f>
        <v>194.70600000000002</v>
      </c>
      <c r="D193" s="128">
        <f t="shared" si="81"/>
        <v>194.70600000000002</v>
      </c>
      <c r="E193" s="128">
        <f t="shared" si="81"/>
        <v>194.70600000000002</v>
      </c>
      <c r="F193" s="128">
        <f t="shared" si="81"/>
        <v>194.70600000000002</v>
      </c>
      <c r="G193" s="128">
        <f t="shared" si="81"/>
        <v>194.70600000000002</v>
      </c>
      <c r="H193" s="128">
        <f t="shared" si="81"/>
        <v>194.70600000000002</v>
      </c>
      <c r="I193" s="128">
        <f t="shared" si="81"/>
        <v>189.70600000000005</v>
      </c>
      <c r="J193" s="128">
        <f t="shared" si="81"/>
        <v>187.10600000000005</v>
      </c>
      <c r="K193" s="128">
        <f t="shared" si="81"/>
        <v>187.10600000000005</v>
      </c>
      <c r="L193" s="128">
        <f t="shared" si="81"/>
        <v>187.10600000000005</v>
      </c>
      <c r="M193" s="128">
        <f t="shared" si="81"/>
        <v>187.10600000000005</v>
      </c>
      <c r="N193" s="128">
        <f t="shared" si="81"/>
        <v>187.10600000000005</v>
      </c>
      <c r="O193" s="128">
        <f t="shared" si="81"/>
        <v>187.10600000000005</v>
      </c>
      <c r="P193" s="128">
        <f t="shared" si="81"/>
        <v>187.10600000000005</v>
      </c>
      <c r="Q193" s="128">
        <f t="shared" si="81"/>
        <v>187.10600000000005</v>
      </c>
      <c r="R193" s="128">
        <f t="shared" si="81"/>
        <v>187.10600000000005</v>
      </c>
      <c r="S193" s="128">
        <f t="shared" si="81"/>
        <v>187.10600000000005</v>
      </c>
      <c r="T193" s="128">
        <f t="shared" si="81"/>
        <v>187.10600000000005</v>
      </c>
      <c r="U193" s="128">
        <f t="shared" si="81"/>
        <v>187.10600000000005</v>
      </c>
      <c r="V193" s="128">
        <f t="shared" si="81"/>
        <v>187.10600000000005</v>
      </c>
      <c r="W193" s="128">
        <f t="shared" si="81"/>
        <v>187.10600000000005</v>
      </c>
      <c r="X193" s="128">
        <f t="shared" si="81"/>
        <v>187.10600000000005</v>
      </c>
      <c r="Y193" s="128">
        <f t="shared" si="81"/>
        <v>187.10600000000005</v>
      </c>
      <c r="Z193" s="128">
        <f t="shared" si="81"/>
        <v>187.10600000000005</v>
      </c>
      <c r="AA193" s="128">
        <f t="shared" si="81"/>
        <v>187.10600000000005</v>
      </c>
      <c r="AB193" s="128">
        <f t="shared" si="81"/>
        <v>187.10600000000005</v>
      </c>
      <c r="AC193" s="128">
        <f t="shared" si="81"/>
        <v>187.10600000000005</v>
      </c>
      <c r="AD193" s="128">
        <f t="shared" si="81"/>
        <v>187.10600000000005</v>
      </c>
      <c r="AE193" s="128">
        <f t="shared" si="81"/>
        <v>187.10600000000005</v>
      </c>
      <c r="AF193" s="128">
        <f t="shared" si="81"/>
        <v>187.10600000000005</v>
      </c>
      <c r="AG193" s="129">
        <f t="shared" si="81"/>
        <v>412.72299999999984</v>
      </c>
      <c r="AH193" s="54"/>
      <c r="AI193" s="55"/>
      <c r="AK193" s="56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4"/>
      <c r="AI194" s="55"/>
      <c r="AK194" s="56"/>
    </row>
    <row r="195" spans="1:37" x14ac:dyDescent="0.25">
      <c r="A195" s="105" t="s">
        <v>199</v>
      </c>
      <c r="B195" s="130">
        <f t="shared" ref="B195:B200" si="82">AF195</f>
        <v>0.3</v>
      </c>
      <c r="C195" s="130">
        <v>0.3</v>
      </c>
      <c r="D195" s="130">
        <f t="shared" ref="D195:S200" si="83">C195</f>
        <v>0.3</v>
      </c>
      <c r="E195" s="130">
        <f t="shared" si="83"/>
        <v>0.3</v>
      </c>
      <c r="F195" s="130">
        <f t="shared" si="83"/>
        <v>0.3</v>
      </c>
      <c r="G195" s="130">
        <f t="shared" si="83"/>
        <v>0.3</v>
      </c>
      <c r="H195" s="130">
        <f t="shared" si="83"/>
        <v>0.3</v>
      </c>
      <c r="I195" s="130">
        <f t="shared" si="83"/>
        <v>0.3</v>
      </c>
      <c r="J195" s="130">
        <f t="shared" si="83"/>
        <v>0.3</v>
      </c>
      <c r="K195" s="130">
        <f t="shared" si="83"/>
        <v>0.3</v>
      </c>
      <c r="L195" s="130">
        <f t="shared" si="83"/>
        <v>0.3</v>
      </c>
      <c r="M195" s="130">
        <f t="shared" si="83"/>
        <v>0.3</v>
      </c>
      <c r="N195" s="130">
        <f t="shared" si="83"/>
        <v>0.3</v>
      </c>
      <c r="O195" s="130">
        <f t="shared" si="83"/>
        <v>0.3</v>
      </c>
      <c r="P195" s="130">
        <f t="shared" si="83"/>
        <v>0.3</v>
      </c>
      <c r="Q195" s="130">
        <f t="shared" si="83"/>
        <v>0.3</v>
      </c>
      <c r="R195" s="130">
        <f t="shared" si="83"/>
        <v>0.3</v>
      </c>
      <c r="S195" s="130">
        <f t="shared" si="83"/>
        <v>0.3</v>
      </c>
      <c r="T195" s="130">
        <f t="shared" ref="T195:AF200" si="84">S195</f>
        <v>0.3</v>
      </c>
      <c r="U195" s="130">
        <f t="shared" si="84"/>
        <v>0.3</v>
      </c>
      <c r="V195" s="130">
        <f t="shared" si="84"/>
        <v>0.3</v>
      </c>
      <c r="W195" s="130">
        <f t="shared" si="84"/>
        <v>0.3</v>
      </c>
      <c r="X195" s="130">
        <f t="shared" si="84"/>
        <v>0.3</v>
      </c>
      <c r="Y195" s="130">
        <f t="shared" si="84"/>
        <v>0.3</v>
      </c>
      <c r="Z195" s="130">
        <f t="shared" si="84"/>
        <v>0.3</v>
      </c>
      <c r="AA195" s="130">
        <f t="shared" si="84"/>
        <v>0.3</v>
      </c>
      <c r="AB195" s="130">
        <f t="shared" si="84"/>
        <v>0.3</v>
      </c>
      <c r="AC195" s="130">
        <f t="shared" si="84"/>
        <v>0.3</v>
      </c>
      <c r="AD195" s="130">
        <f t="shared" si="84"/>
        <v>0.3</v>
      </c>
      <c r="AE195" s="130">
        <f t="shared" si="84"/>
        <v>0.3</v>
      </c>
      <c r="AF195" s="130">
        <f t="shared" si="84"/>
        <v>0.3</v>
      </c>
      <c r="AG195" s="131">
        <v>2.4</v>
      </c>
      <c r="AH195" s="54"/>
      <c r="AI195" s="55"/>
      <c r="AK195" s="56"/>
    </row>
    <row r="196" spans="1:37" x14ac:dyDescent="0.25">
      <c r="A196" s="109" t="s">
        <v>200</v>
      </c>
      <c r="B196" s="123">
        <f t="shared" si="82"/>
        <v>0.4</v>
      </c>
      <c r="C196" s="123">
        <v>0.4</v>
      </c>
      <c r="D196" s="123">
        <f t="shared" si="83"/>
        <v>0.4</v>
      </c>
      <c r="E196" s="123">
        <f t="shared" si="83"/>
        <v>0.4</v>
      </c>
      <c r="F196" s="123">
        <f t="shared" si="83"/>
        <v>0.4</v>
      </c>
      <c r="G196" s="123">
        <f t="shared" si="83"/>
        <v>0.4</v>
      </c>
      <c r="H196" s="123">
        <f t="shared" si="83"/>
        <v>0.4</v>
      </c>
      <c r="I196" s="123">
        <f t="shared" si="83"/>
        <v>0.4</v>
      </c>
      <c r="J196" s="123">
        <f t="shared" si="83"/>
        <v>0.4</v>
      </c>
      <c r="K196" s="123">
        <f t="shared" si="83"/>
        <v>0.4</v>
      </c>
      <c r="L196" s="123">
        <f t="shared" si="83"/>
        <v>0.4</v>
      </c>
      <c r="M196" s="123">
        <f t="shared" si="83"/>
        <v>0.4</v>
      </c>
      <c r="N196" s="123">
        <f t="shared" si="83"/>
        <v>0.4</v>
      </c>
      <c r="O196" s="123">
        <f t="shared" si="83"/>
        <v>0.4</v>
      </c>
      <c r="P196" s="123">
        <f t="shared" si="83"/>
        <v>0.4</v>
      </c>
      <c r="Q196" s="123">
        <f t="shared" si="83"/>
        <v>0.4</v>
      </c>
      <c r="R196" s="123">
        <f t="shared" si="83"/>
        <v>0.4</v>
      </c>
      <c r="S196" s="123">
        <f t="shared" si="83"/>
        <v>0.4</v>
      </c>
      <c r="T196" s="123">
        <f t="shared" si="84"/>
        <v>0.4</v>
      </c>
      <c r="U196" s="123">
        <f t="shared" si="84"/>
        <v>0.4</v>
      </c>
      <c r="V196" s="123">
        <f t="shared" si="84"/>
        <v>0.4</v>
      </c>
      <c r="W196" s="123">
        <f>V196</f>
        <v>0.4</v>
      </c>
      <c r="X196" s="123">
        <f>W196</f>
        <v>0.4</v>
      </c>
      <c r="Y196" s="123">
        <f t="shared" si="84"/>
        <v>0.4</v>
      </c>
      <c r="Z196" s="123">
        <f t="shared" si="84"/>
        <v>0.4</v>
      </c>
      <c r="AA196" s="123">
        <f t="shared" si="84"/>
        <v>0.4</v>
      </c>
      <c r="AB196" s="123">
        <f t="shared" si="84"/>
        <v>0.4</v>
      </c>
      <c r="AC196" s="123">
        <f t="shared" si="84"/>
        <v>0.4</v>
      </c>
      <c r="AD196" s="123">
        <f t="shared" si="84"/>
        <v>0.4</v>
      </c>
      <c r="AE196" s="123">
        <f t="shared" si="84"/>
        <v>0.4</v>
      </c>
      <c r="AF196" s="123">
        <f t="shared" si="84"/>
        <v>0.4</v>
      </c>
      <c r="AG196" s="132">
        <v>2</v>
      </c>
      <c r="AH196" s="54"/>
      <c r="AI196" s="55"/>
      <c r="AK196" s="56"/>
    </row>
    <row r="197" spans="1:37" x14ac:dyDescent="0.25">
      <c r="A197" s="109" t="s">
        <v>201</v>
      </c>
      <c r="B197" s="123">
        <f t="shared" si="82"/>
        <v>1.5</v>
      </c>
      <c r="C197" s="123">
        <v>1.5</v>
      </c>
      <c r="D197" s="123">
        <f t="shared" si="83"/>
        <v>1.5</v>
      </c>
      <c r="E197" s="123">
        <f t="shared" si="83"/>
        <v>1.5</v>
      </c>
      <c r="F197" s="123">
        <f t="shared" si="83"/>
        <v>1.5</v>
      </c>
      <c r="G197" s="123">
        <f t="shared" si="83"/>
        <v>1.5</v>
      </c>
      <c r="H197" s="123">
        <f t="shared" si="83"/>
        <v>1.5</v>
      </c>
      <c r="I197" s="123">
        <f t="shared" si="83"/>
        <v>1.5</v>
      </c>
      <c r="J197" s="123">
        <f t="shared" si="83"/>
        <v>1.5</v>
      </c>
      <c r="K197" s="123">
        <f t="shared" si="83"/>
        <v>1.5</v>
      </c>
      <c r="L197" s="123">
        <f t="shared" si="83"/>
        <v>1.5</v>
      </c>
      <c r="M197" s="123">
        <f t="shared" si="83"/>
        <v>1.5</v>
      </c>
      <c r="N197" s="123">
        <f t="shared" si="83"/>
        <v>1.5</v>
      </c>
      <c r="O197" s="123">
        <f t="shared" si="83"/>
        <v>1.5</v>
      </c>
      <c r="P197" s="123">
        <f t="shared" si="83"/>
        <v>1.5</v>
      </c>
      <c r="Q197" s="123">
        <f t="shared" si="83"/>
        <v>1.5</v>
      </c>
      <c r="R197" s="123">
        <f t="shared" si="83"/>
        <v>1.5</v>
      </c>
      <c r="S197" s="123">
        <f t="shared" si="83"/>
        <v>1.5</v>
      </c>
      <c r="T197" s="123">
        <f t="shared" si="84"/>
        <v>1.5</v>
      </c>
      <c r="U197" s="123">
        <f t="shared" si="84"/>
        <v>1.5</v>
      </c>
      <c r="V197" s="123">
        <f t="shared" si="84"/>
        <v>1.5</v>
      </c>
      <c r="W197" s="123">
        <f t="shared" si="84"/>
        <v>1.5</v>
      </c>
      <c r="X197" s="123">
        <f t="shared" si="84"/>
        <v>1.5</v>
      </c>
      <c r="Y197" s="123">
        <f t="shared" si="84"/>
        <v>1.5</v>
      </c>
      <c r="Z197" s="123">
        <f t="shared" si="84"/>
        <v>1.5</v>
      </c>
      <c r="AA197" s="123">
        <f t="shared" si="84"/>
        <v>1.5</v>
      </c>
      <c r="AB197" s="123">
        <f t="shared" si="84"/>
        <v>1.5</v>
      </c>
      <c r="AC197" s="123">
        <f t="shared" si="84"/>
        <v>1.5</v>
      </c>
      <c r="AD197" s="123">
        <f t="shared" si="84"/>
        <v>1.5</v>
      </c>
      <c r="AE197" s="123">
        <f t="shared" si="84"/>
        <v>1.5</v>
      </c>
      <c r="AF197" s="123">
        <f t="shared" si="84"/>
        <v>1.5</v>
      </c>
      <c r="AG197" s="132">
        <v>1.5</v>
      </c>
      <c r="AH197" s="54"/>
      <c r="AI197" s="55"/>
      <c r="AK197" s="56"/>
    </row>
    <row r="198" spans="1:37" x14ac:dyDescent="0.25">
      <c r="A198" s="109" t="s">
        <v>202</v>
      </c>
      <c r="B198" s="123">
        <f t="shared" si="82"/>
        <v>0.3</v>
      </c>
      <c r="C198" s="123">
        <v>0.3</v>
      </c>
      <c r="D198" s="123">
        <f t="shared" si="83"/>
        <v>0.3</v>
      </c>
      <c r="E198" s="123">
        <f t="shared" si="83"/>
        <v>0.3</v>
      </c>
      <c r="F198" s="123">
        <f t="shared" si="83"/>
        <v>0.3</v>
      </c>
      <c r="G198" s="123">
        <f t="shared" si="83"/>
        <v>0.3</v>
      </c>
      <c r="H198" s="123">
        <f t="shared" si="83"/>
        <v>0.3</v>
      </c>
      <c r="I198" s="123">
        <f t="shared" si="83"/>
        <v>0.3</v>
      </c>
      <c r="J198" s="123">
        <f t="shared" si="83"/>
        <v>0.3</v>
      </c>
      <c r="K198" s="123">
        <f t="shared" si="83"/>
        <v>0.3</v>
      </c>
      <c r="L198" s="123">
        <f t="shared" si="83"/>
        <v>0.3</v>
      </c>
      <c r="M198" s="123">
        <f t="shared" si="83"/>
        <v>0.3</v>
      </c>
      <c r="N198" s="123">
        <f t="shared" si="83"/>
        <v>0.3</v>
      </c>
      <c r="O198" s="123">
        <f t="shared" si="83"/>
        <v>0.3</v>
      </c>
      <c r="P198" s="123">
        <f t="shared" si="83"/>
        <v>0.3</v>
      </c>
      <c r="Q198" s="123">
        <f t="shared" si="83"/>
        <v>0.3</v>
      </c>
      <c r="R198" s="123">
        <f t="shared" si="83"/>
        <v>0.3</v>
      </c>
      <c r="S198" s="123">
        <f t="shared" si="83"/>
        <v>0.3</v>
      </c>
      <c r="T198" s="123">
        <f t="shared" si="84"/>
        <v>0.3</v>
      </c>
      <c r="U198" s="123">
        <f t="shared" si="84"/>
        <v>0.3</v>
      </c>
      <c r="V198" s="123">
        <f t="shared" si="84"/>
        <v>0.3</v>
      </c>
      <c r="W198" s="123">
        <f t="shared" si="84"/>
        <v>0.3</v>
      </c>
      <c r="X198" s="123">
        <f t="shared" si="84"/>
        <v>0.3</v>
      </c>
      <c r="Y198" s="123">
        <f t="shared" si="84"/>
        <v>0.3</v>
      </c>
      <c r="Z198" s="123">
        <f t="shared" si="84"/>
        <v>0.3</v>
      </c>
      <c r="AA198" s="123">
        <f t="shared" si="84"/>
        <v>0.3</v>
      </c>
      <c r="AB198" s="123">
        <f t="shared" si="84"/>
        <v>0.3</v>
      </c>
      <c r="AC198" s="123">
        <f t="shared" si="84"/>
        <v>0.3</v>
      </c>
      <c r="AD198" s="123">
        <f t="shared" si="84"/>
        <v>0.3</v>
      </c>
      <c r="AE198" s="123">
        <f t="shared" si="84"/>
        <v>0.3</v>
      </c>
      <c r="AF198" s="123">
        <f t="shared" si="84"/>
        <v>0.3</v>
      </c>
      <c r="AG198" s="132">
        <v>1</v>
      </c>
      <c r="AH198" s="54"/>
      <c r="AI198" s="55"/>
      <c r="AK198" s="56"/>
    </row>
    <row r="199" spans="1:37" x14ac:dyDescent="0.25">
      <c r="A199" s="109" t="s">
        <v>203</v>
      </c>
      <c r="B199" s="123">
        <f t="shared" si="82"/>
        <v>0.4</v>
      </c>
      <c r="C199" s="123">
        <v>0.4</v>
      </c>
      <c r="D199" s="123">
        <f t="shared" si="83"/>
        <v>0.4</v>
      </c>
      <c r="E199" s="123">
        <f t="shared" si="83"/>
        <v>0.4</v>
      </c>
      <c r="F199" s="123">
        <f t="shared" si="83"/>
        <v>0.4</v>
      </c>
      <c r="G199" s="123">
        <f t="shared" si="83"/>
        <v>0.4</v>
      </c>
      <c r="H199" s="123">
        <f t="shared" si="83"/>
        <v>0.4</v>
      </c>
      <c r="I199" s="123">
        <f t="shared" si="83"/>
        <v>0.4</v>
      </c>
      <c r="J199" s="123">
        <f t="shared" si="83"/>
        <v>0.4</v>
      </c>
      <c r="K199" s="123">
        <f t="shared" si="83"/>
        <v>0.4</v>
      </c>
      <c r="L199" s="123">
        <f t="shared" si="83"/>
        <v>0.4</v>
      </c>
      <c r="M199" s="123">
        <f t="shared" si="83"/>
        <v>0.4</v>
      </c>
      <c r="N199" s="123">
        <f t="shared" si="83"/>
        <v>0.4</v>
      </c>
      <c r="O199" s="123">
        <f t="shared" si="83"/>
        <v>0.4</v>
      </c>
      <c r="P199" s="123">
        <f t="shared" si="83"/>
        <v>0.4</v>
      </c>
      <c r="Q199" s="123">
        <f t="shared" si="83"/>
        <v>0.4</v>
      </c>
      <c r="R199" s="123">
        <f t="shared" si="83"/>
        <v>0.4</v>
      </c>
      <c r="S199" s="123">
        <f t="shared" si="83"/>
        <v>0.4</v>
      </c>
      <c r="T199" s="123">
        <f t="shared" si="84"/>
        <v>0.4</v>
      </c>
      <c r="U199" s="123">
        <f t="shared" si="84"/>
        <v>0.4</v>
      </c>
      <c r="V199" s="123">
        <f t="shared" si="84"/>
        <v>0.4</v>
      </c>
      <c r="W199" s="123">
        <f t="shared" si="84"/>
        <v>0.4</v>
      </c>
      <c r="X199" s="123">
        <f t="shared" si="84"/>
        <v>0.4</v>
      </c>
      <c r="Y199" s="123">
        <f t="shared" si="84"/>
        <v>0.4</v>
      </c>
      <c r="Z199" s="123">
        <f t="shared" si="84"/>
        <v>0.4</v>
      </c>
      <c r="AA199" s="123">
        <f t="shared" si="84"/>
        <v>0.4</v>
      </c>
      <c r="AB199" s="123">
        <f t="shared" si="84"/>
        <v>0.4</v>
      </c>
      <c r="AC199" s="123">
        <f t="shared" si="84"/>
        <v>0.4</v>
      </c>
      <c r="AD199" s="123">
        <f t="shared" si="84"/>
        <v>0.4</v>
      </c>
      <c r="AE199" s="123">
        <f t="shared" si="84"/>
        <v>0.4</v>
      </c>
      <c r="AF199" s="123">
        <f t="shared" si="84"/>
        <v>0.4</v>
      </c>
      <c r="AG199" s="132">
        <v>1</v>
      </c>
      <c r="AH199" s="54"/>
      <c r="AI199" s="55"/>
      <c r="AK199" s="56"/>
    </row>
    <row r="200" spans="1:37" ht="15.75" thickBot="1" x14ac:dyDescent="0.3">
      <c r="A200" s="111" t="s">
        <v>204</v>
      </c>
      <c r="B200" s="133">
        <f t="shared" si="82"/>
        <v>0.64</v>
      </c>
      <c r="C200" s="133">
        <v>0.64</v>
      </c>
      <c r="D200" s="133">
        <f t="shared" si="83"/>
        <v>0.64</v>
      </c>
      <c r="E200" s="133">
        <f t="shared" si="83"/>
        <v>0.64</v>
      </c>
      <c r="F200" s="133">
        <f t="shared" si="83"/>
        <v>0.64</v>
      </c>
      <c r="G200" s="133">
        <f t="shared" si="83"/>
        <v>0.64</v>
      </c>
      <c r="H200" s="133">
        <f t="shared" si="83"/>
        <v>0.64</v>
      </c>
      <c r="I200" s="133">
        <f t="shared" si="83"/>
        <v>0.64</v>
      </c>
      <c r="J200" s="133">
        <f t="shared" si="83"/>
        <v>0.64</v>
      </c>
      <c r="K200" s="133">
        <f t="shared" si="83"/>
        <v>0.64</v>
      </c>
      <c r="L200" s="133">
        <f t="shared" si="83"/>
        <v>0.64</v>
      </c>
      <c r="M200" s="133">
        <f t="shared" si="83"/>
        <v>0.64</v>
      </c>
      <c r="N200" s="133">
        <f t="shared" si="83"/>
        <v>0.64</v>
      </c>
      <c r="O200" s="133">
        <f t="shared" si="83"/>
        <v>0.64</v>
      </c>
      <c r="P200" s="133">
        <f t="shared" si="83"/>
        <v>0.64</v>
      </c>
      <c r="Q200" s="133">
        <f t="shared" si="83"/>
        <v>0.64</v>
      </c>
      <c r="R200" s="133">
        <f t="shared" si="83"/>
        <v>0.64</v>
      </c>
      <c r="S200" s="133">
        <f t="shared" si="83"/>
        <v>0.64</v>
      </c>
      <c r="T200" s="133">
        <f t="shared" si="84"/>
        <v>0.64</v>
      </c>
      <c r="U200" s="133">
        <f t="shared" si="84"/>
        <v>0.64</v>
      </c>
      <c r="V200" s="133">
        <f t="shared" si="84"/>
        <v>0.64</v>
      </c>
      <c r="W200" s="133">
        <f t="shared" si="84"/>
        <v>0.64</v>
      </c>
      <c r="X200" s="133">
        <f t="shared" si="84"/>
        <v>0.64</v>
      </c>
      <c r="Y200" s="133">
        <f t="shared" si="84"/>
        <v>0.64</v>
      </c>
      <c r="Z200" s="133">
        <f t="shared" si="84"/>
        <v>0.64</v>
      </c>
      <c r="AA200" s="133">
        <f t="shared" si="84"/>
        <v>0.64</v>
      </c>
      <c r="AB200" s="133">
        <f t="shared" si="84"/>
        <v>0.64</v>
      </c>
      <c r="AC200" s="133">
        <f t="shared" si="84"/>
        <v>0.64</v>
      </c>
      <c r="AD200" s="133">
        <f t="shared" si="84"/>
        <v>0.64</v>
      </c>
      <c r="AE200" s="133">
        <f t="shared" si="84"/>
        <v>0.64</v>
      </c>
      <c r="AF200" s="133">
        <f t="shared" si="84"/>
        <v>0.64</v>
      </c>
      <c r="AG200" s="134">
        <v>0.66</v>
      </c>
      <c r="AH200" s="54"/>
      <c r="AI200" s="55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85">SUM(D195:D200)</f>
        <v>3.54</v>
      </c>
      <c r="E201" s="136">
        <f t="shared" si="85"/>
        <v>3.54</v>
      </c>
      <c r="F201" s="136">
        <f t="shared" si="85"/>
        <v>3.54</v>
      </c>
      <c r="G201" s="136">
        <f t="shared" si="85"/>
        <v>3.54</v>
      </c>
      <c r="H201" s="136">
        <f t="shared" si="85"/>
        <v>3.54</v>
      </c>
      <c r="I201" s="136">
        <f t="shared" si="85"/>
        <v>3.54</v>
      </c>
      <c r="J201" s="136">
        <f t="shared" si="85"/>
        <v>3.54</v>
      </c>
      <c r="K201" s="136">
        <f t="shared" si="85"/>
        <v>3.54</v>
      </c>
      <c r="L201" s="136">
        <f t="shared" si="85"/>
        <v>3.54</v>
      </c>
      <c r="M201" s="136">
        <f>SUM(M195:M200)</f>
        <v>3.54</v>
      </c>
      <c r="N201" s="136">
        <f t="shared" ref="N201:S201" si="86">SUM(N195:N200)</f>
        <v>3.54</v>
      </c>
      <c r="O201" s="136">
        <f t="shared" si="86"/>
        <v>3.54</v>
      </c>
      <c r="P201" s="136">
        <f t="shared" si="86"/>
        <v>3.54</v>
      </c>
      <c r="Q201" s="136">
        <f t="shared" si="86"/>
        <v>3.54</v>
      </c>
      <c r="R201" s="136">
        <f t="shared" si="86"/>
        <v>3.54</v>
      </c>
      <c r="S201" s="136">
        <f t="shared" si="86"/>
        <v>3.54</v>
      </c>
      <c r="T201" s="136">
        <f>SUM(T195:T200)</f>
        <v>3.54</v>
      </c>
      <c r="U201" s="136">
        <f t="shared" ref="U201:AG201" si="87">SUM(U195:U200)</f>
        <v>3.54</v>
      </c>
      <c r="V201" s="136">
        <f t="shared" si="87"/>
        <v>3.54</v>
      </c>
      <c r="W201" s="136">
        <f t="shared" si="87"/>
        <v>3.54</v>
      </c>
      <c r="X201" s="136">
        <f t="shared" si="87"/>
        <v>3.54</v>
      </c>
      <c r="Y201" s="136">
        <f t="shared" si="87"/>
        <v>3.54</v>
      </c>
      <c r="Z201" s="136">
        <f t="shared" si="87"/>
        <v>3.54</v>
      </c>
      <c r="AA201" s="136">
        <f t="shared" si="87"/>
        <v>3.54</v>
      </c>
      <c r="AB201" s="136">
        <f t="shared" si="87"/>
        <v>3.54</v>
      </c>
      <c r="AC201" s="136">
        <f t="shared" si="87"/>
        <v>3.54</v>
      </c>
      <c r="AD201" s="136">
        <f t="shared" si="87"/>
        <v>3.54</v>
      </c>
      <c r="AE201" s="136">
        <f t="shared" si="87"/>
        <v>3.54</v>
      </c>
      <c r="AF201" s="136">
        <f t="shared" si="87"/>
        <v>3.54</v>
      </c>
      <c r="AG201" s="137">
        <f t="shared" si="87"/>
        <v>8.56</v>
      </c>
      <c r="AH201" s="54"/>
      <c r="AI201" s="55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205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4"/>
      <c r="AI203" s="55"/>
    </row>
    <row r="204" spans="1:37" x14ac:dyDescent="0.25">
      <c r="A204" s="140" t="s">
        <v>206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4"/>
      <c r="AI204" s="55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x14ac:dyDescent="0.25">
      <c r="A206" s="92" t="s">
        <v>208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4"/>
      <c r="AI206" s="55"/>
    </row>
    <row r="207" spans="1:37" ht="15.75" thickBot="1" x14ac:dyDescent="0.3">
      <c r="A207" s="146" t="s">
        <v>209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4"/>
      <c r="AI207" s="55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210</v>
      </c>
      <c r="B210" s="150">
        <f>MAX(G75:N75)</f>
        <v>1212.74</v>
      </c>
      <c r="C210" s="151">
        <f>INDEX(G9:N9,1,MATCH(MAX(G75:N75),G75:N75,0))</f>
        <v>0.3125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29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9" t="s">
        <v>211</v>
      </c>
      <c r="B212" s="199"/>
      <c r="C212" s="47"/>
      <c r="D212" s="152" t="str">
        <f ca="1">"Pie Chart of Daily Peak Demand(Inclusive of Export) of Nepal ("&amp;A4&amp;" "&amp;B4&amp;")"</f>
        <v>Pie Chart of Daily Peak Demand(Inclusive of Export) of Nepal (Nepali Date: 2079/02/29)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2079/02/29)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212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213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214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215</v>
      </c>
      <c r="T215" s="161">
        <f t="shared" ref="T215:AX215" si="88">B75</f>
        <v>1581.4400000000003</v>
      </c>
      <c r="U215" s="161">
        <f t="shared" si="88"/>
        <v>1553.2400000000002</v>
      </c>
      <c r="V215" s="161">
        <f t="shared" si="88"/>
        <v>1547.5400000000004</v>
      </c>
      <c r="W215" s="161">
        <f t="shared" si="88"/>
        <v>1545.8400000000001</v>
      </c>
      <c r="X215" s="161">
        <f t="shared" si="88"/>
        <v>544.54</v>
      </c>
      <c r="Y215" s="161">
        <f t="shared" si="88"/>
        <v>1134.6400000000003</v>
      </c>
      <c r="Z215" s="161">
        <f t="shared" si="88"/>
        <v>1137.6400000000003</v>
      </c>
      <c r="AA215" s="161">
        <f t="shared" si="88"/>
        <v>1076.0400000000002</v>
      </c>
      <c r="AB215" s="161">
        <f t="shared" si="88"/>
        <v>1122.7400000000002</v>
      </c>
      <c r="AC215" s="161">
        <f t="shared" si="88"/>
        <v>1159.6400000000001</v>
      </c>
      <c r="AD215" s="161">
        <f t="shared" si="88"/>
        <v>1212.74</v>
      </c>
      <c r="AE215" s="161">
        <f t="shared" si="88"/>
        <v>1208.74</v>
      </c>
      <c r="AF215" s="161">
        <f t="shared" si="88"/>
        <v>1212.5400000000002</v>
      </c>
      <c r="AG215" s="161">
        <f t="shared" si="88"/>
        <v>1204.5400000000002</v>
      </c>
      <c r="AH215" s="161">
        <f t="shared" si="88"/>
        <v>1196.7400000000002</v>
      </c>
      <c r="AI215" s="161">
        <f t="shared" si="88"/>
        <v>1185.0400000000002</v>
      </c>
      <c r="AJ215" s="161">
        <f t="shared" si="88"/>
        <v>1227.74</v>
      </c>
      <c r="AK215" s="161">
        <f t="shared" si="88"/>
        <v>1245.24</v>
      </c>
      <c r="AL215" s="161">
        <f t="shared" si="88"/>
        <v>1324.44</v>
      </c>
      <c r="AM215" s="161">
        <f t="shared" si="88"/>
        <v>1302.24</v>
      </c>
      <c r="AN215" s="161">
        <f t="shared" si="88"/>
        <v>1324.74</v>
      </c>
      <c r="AO215" s="161">
        <f t="shared" si="88"/>
        <v>1322.34</v>
      </c>
      <c r="AP215" s="161">
        <f t="shared" si="88"/>
        <v>1297.3400000000001</v>
      </c>
      <c r="AQ215" s="161">
        <f t="shared" si="88"/>
        <v>1310.84</v>
      </c>
      <c r="AR215" s="161">
        <f t="shared" si="88"/>
        <v>1416.5400000000002</v>
      </c>
      <c r="AS215" s="161">
        <f t="shared" si="88"/>
        <v>1531.3400000000001</v>
      </c>
      <c r="AT215" s="161">
        <f t="shared" si="88"/>
        <v>1475.8400000000001</v>
      </c>
      <c r="AU215" s="161">
        <f t="shared" si="88"/>
        <v>1426.2400000000002</v>
      </c>
      <c r="AV215" s="161">
        <f t="shared" si="88"/>
        <v>1429.3400000000001</v>
      </c>
      <c r="AW215" s="161">
        <f t="shared" si="88"/>
        <v>1335.4400000000003</v>
      </c>
      <c r="AX215" s="161">
        <f t="shared" si="88"/>
        <v>1262.8400000000001</v>
      </c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220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205</v>
      </c>
      <c r="B236" s="164">
        <f t="shared" ref="B236:AE236" si="89">C200</f>
        <v>0.64</v>
      </c>
      <c r="C236" s="164">
        <f t="shared" si="89"/>
        <v>0.64</v>
      </c>
      <c r="D236" s="164">
        <f t="shared" si="89"/>
        <v>0.64</v>
      </c>
      <c r="E236" s="164">
        <f t="shared" si="89"/>
        <v>0.64</v>
      </c>
      <c r="F236" s="164">
        <f t="shared" si="89"/>
        <v>0.64</v>
      </c>
      <c r="G236" s="164">
        <f t="shared" si="89"/>
        <v>0.64</v>
      </c>
      <c r="H236" s="164">
        <f t="shared" si="89"/>
        <v>0.64</v>
      </c>
      <c r="I236" s="164">
        <f t="shared" si="89"/>
        <v>0.64</v>
      </c>
      <c r="J236" s="164">
        <f t="shared" si="89"/>
        <v>0.64</v>
      </c>
      <c r="K236" s="164">
        <f t="shared" si="89"/>
        <v>0.64</v>
      </c>
      <c r="L236" s="164">
        <f t="shared" si="89"/>
        <v>0.64</v>
      </c>
      <c r="M236" s="164">
        <f t="shared" si="89"/>
        <v>0.64</v>
      </c>
      <c r="N236" s="164">
        <f t="shared" si="89"/>
        <v>0.64</v>
      </c>
      <c r="O236" s="164">
        <f t="shared" si="89"/>
        <v>0.64</v>
      </c>
      <c r="P236" s="164">
        <f t="shared" si="89"/>
        <v>0.64</v>
      </c>
      <c r="Q236" s="164">
        <f t="shared" si="89"/>
        <v>0.64</v>
      </c>
      <c r="R236" s="164">
        <f t="shared" si="89"/>
        <v>0.64</v>
      </c>
      <c r="S236" s="164">
        <f t="shared" si="89"/>
        <v>0.64</v>
      </c>
      <c r="T236" s="164">
        <f t="shared" si="89"/>
        <v>0.64</v>
      </c>
      <c r="U236" s="164">
        <f t="shared" si="89"/>
        <v>0.64</v>
      </c>
      <c r="V236" s="164">
        <f t="shared" si="89"/>
        <v>0.64</v>
      </c>
      <c r="W236" s="164">
        <f t="shared" si="89"/>
        <v>0.64</v>
      </c>
      <c r="X236" s="164">
        <f t="shared" si="89"/>
        <v>0.64</v>
      </c>
      <c r="Y236" s="164">
        <f t="shared" si="89"/>
        <v>0.64</v>
      </c>
      <c r="Z236" s="164">
        <f t="shared" si="89"/>
        <v>0.64</v>
      </c>
      <c r="AA236" s="164">
        <f t="shared" si="89"/>
        <v>0.64</v>
      </c>
      <c r="AB236" s="164">
        <f t="shared" si="89"/>
        <v>0.64</v>
      </c>
      <c r="AC236" s="164">
        <f t="shared" si="89"/>
        <v>0.64</v>
      </c>
      <c r="AD236" s="164">
        <f t="shared" si="89"/>
        <v>0.64</v>
      </c>
      <c r="AE236" s="164">
        <f t="shared" si="89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90">IF(C204&lt;100,"",C204-520)</f>
        <v/>
      </c>
      <c r="D237" s="107" t="str">
        <f t="shared" si="90"/>
        <v/>
      </c>
      <c r="E237" s="107" t="str">
        <f t="shared" si="90"/>
        <v/>
      </c>
      <c r="F237" s="107" t="str">
        <f t="shared" si="90"/>
        <v/>
      </c>
      <c r="G237" s="107" t="str">
        <f t="shared" si="90"/>
        <v/>
      </c>
      <c r="H237" s="107" t="str">
        <f t="shared" si="90"/>
        <v/>
      </c>
      <c r="I237" s="107" t="str">
        <f t="shared" si="90"/>
        <v/>
      </c>
      <c r="J237" s="107" t="str">
        <f t="shared" si="90"/>
        <v/>
      </c>
      <c r="K237" s="107" t="str">
        <f t="shared" si="90"/>
        <v/>
      </c>
      <c r="L237" s="107" t="str">
        <f t="shared" si="90"/>
        <v/>
      </c>
      <c r="M237" s="107" t="str">
        <f t="shared" si="90"/>
        <v/>
      </c>
      <c r="N237" s="107" t="str">
        <f t="shared" si="90"/>
        <v/>
      </c>
      <c r="O237" s="107" t="str">
        <f t="shared" si="90"/>
        <v/>
      </c>
      <c r="P237" s="107" t="str">
        <f t="shared" si="90"/>
        <v/>
      </c>
      <c r="Q237" s="107" t="str">
        <f t="shared" si="90"/>
        <v/>
      </c>
      <c r="R237" s="107" t="str">
        <f t="shared" si="90"/>
        <v/>
      </c>
      <c r="S237" s="107" t="str">
        <f t="shared" si="90"/>
        <v/>
      </c>
      <c r="T237" s="107" t="str">
        <f t="shared" si="90"/>
        <v/>
      </c>
      <c r="U237" s="107" t="str">
        <f t="shared" si="90"/>
        <v/>
      </c>
      <c r="V237" s="107" t="str">
        <f t="shared" si="90"/>
        <v/>
      </c>
      <c r="W237" s="107" t="str">
        <f t="shared" si="90"/>
        <v/>
      </c>
      <c r="X237" s="107" t="str">
        <f t="shared" si="90"/>
        <v/>
      </c>
      <c r="Y237" s="107" t="str">
        <f t="shared" si="90"/>
        <v/>
      </c>
      <c r="Z237" s="107" t="str">
        <f t="shared" si="90"/>
        <v/>
      </c>
      <c r="AA237" s="107" t="str">
        <f t="shared" si="90"/>
        <v/>
      </c>
      <c r="AB237" s="107" t="str">
        <f t="shared" si="90"/>
        <v/>
      </c>
      <c r="AC237" s="107" t="str">
        <f t="shared" si="90"/>
        <v/>
      </c>
      <c r="AD237" s="107" t="str">
        <f t="shared" si="90"/>
        <v/>
      </c>
      <c r="AE237" s="107" t="str">
        <f t="shared" si="90"/>
        <v/>
      </c>
      <c r="AF237" s="107" t="str">
        <f t="shared" si="90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91">IF(B205&lt;100,"",B205-620)</f>
        <v/>
      </c>
      <c r="C238" s="107" t="str">
        <f t="shared" si="91"/>
        <v/>
      </c>
      <c r="D238" s="107" t="str">
        <f t="shared" si="91"/>
        <v/>
      </c>
      <c r="E238" s="107" t="str">
        <f t="shared" si="91"/>
        <v/>
      </c>
      <c r="F238" s="107" t="str">
        <f t="shared" si="91"/>
        <v/>
      </c>
      <c r="G238" s="107" t="str">
        <f t="shared" si="91"/>
        <v/>
      </c>
      <c r="H238" s="107" t="str">
        <f t="shared" si="91"/>
        <v/>
      </c>
      <c r="I238" s="107" t="str">
        <f t="shared" si="91"/>
        <v/>
      </c>
      <c r="J238" s="107" t="str">
        <f t="shared" si="91"/>
        <v/>
      </c>
      <c r="K238" s="107" t="str">
        <f t="shared" si="91"/>
        <v/>
      </c>
      <c r="L238" s="107" t="str">
        <f t="shared" si="91"/>
        <v/>
      </c>
      <c r="M238" s="107" t="str">
        <f t="shared" si="91"/>
        <v/>
      </c>
      <c r="N238" s="107" t="str">
        <f t="shared" si="91"/>
        <v/>
      </c>
      <c r="O238" s="107" t="str">
        <f t="shared" si="91"/>
        <v/>
      </c>
      <c r="P238" s="107" t="str">
        <f t="shared" si="91"/>
        <v/>
      </c>
      <c r="Q238" s="107" t="str">
        <f t="shared" si="91"/>
        <v/>
      </c>
      <c r="R238" s="107" t="str">
        <f t="shared" si="91"/>
        <v/>
      </c>
      <c r="S238" s="107" t="str">
        <f t="shared" si="91"/>
        <v/>
      </c>
      <c r="T238" s="107" t="str">
        <f t="shared" si="91"/>
        <v/>
      </c>
      <c r="U238" s="107" t="str">
        <f t="shared" si="91"/>
        <v/>
      </c>
      <c r="V238" s="107" t="str">
        <f t="shared" si="91"/>
        <v/>
      </c>
      <c r="W238" s="107" t="str">
        <f t="shared" si="91"/>
        <v/>
      </c>
      <c r="X238" s="107" t="str">
        <f t="shared" si="91"/>
        <v/>
      </c>
      <c r="Y238" s="107" t="str">
        <f t="shared" si="91"/>
        <v/>
      </c>
      <c r="Z238" s="107" t="str">
        <f t="shared" si="91"/>
        <v/>
      </c>
      <c r="AA238" s="107" t="str">
        <f t="shared" si="91"/>
        <v/>
      </c>
      <c r="AB238" s="107" t="str">
        <f t="shared" si="91"/>
        <v/>
      </c>
      <c r="AC238" s="107" t="str">
        <f t="shared" si="91"/>
        <v/>
      </c>
      <c r="AD238" s="107" t="str">
        <f t="shared" si="91"/>
        <v/>
      </c>
      <c r="AE238" s="107" t="str">
        <f t="shared" si="91"/>
        <v/>
      </c>
      <c r="AF238" s="107" t="str">
        <f t="shared" si="91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92">IF(B206&lt;100,"",B206-330)</f>
        <v/>
      </c>
      <c r="C239" s="107" t="str">
        <f t="shared" si="92"/>
        <v/>
      </c>
      <c r="D239" s="107" t="str">
        <f t="shared" si="92"/>
        <v/>
      </c>
      <c r="E239" s="107" t="str">
        <f t="shared" si="92"/>
        <v/>
      </c>
      <c r="F239" s="107" t="str">
        <f t="shared" si="92"/>
        <v/>
      </c>
      <c r="G239" s="107" t="str">
        <f t="shared" si="92"/>
        <v/>
      </c>
      <c r="H239" s="107" t="str">
        <f t="shared" si="92"/>
        <v/>
      </c>
      <c r="I239" s="107" t="str">
        <f t="shared" si="92"/>
        <v/>
      </c>
      <c r="J239" s="107" t="str">
        <f t="shared" si="92"/>
        <v/>
      </c>
      <c r="K239" s="107" t="str">
        <f t="shared" si="92"/>
        <v/>
      </c>
      <c r="L239" s="107" t="str">
        <f t="shared" si="92"/>
        <v/>
      </c>
      <c r="M239" s="107" t="str">
        <f t="shared" si="92"/>
        <v/>
      </c>
      <c r="N239" s="107" t="str">
        <f t="shared" si="92"/>
        <v/>
      </c>
      <c r="O239" s="107" t="str">
        <f t="shared" si="92"/>
        <v/>
      </c>
      <c r="P239" s="107" t="str">
        <f t="shared" si="92"/>
        <v/>
      </c>
      <c r="Q239" s="107" t="str">
        <f t="shared" si="92"/>
        <v/>
      </c>
      <c r="R239" s="107" t="str">
        <f t="shared" si="92"/>
        <v/>
      </c>
      <c r="S239" s="107" t="str">
        <f t="shared" si="92"/>
        <v/>
      </c>
      <c r="T239" s="107" t="str">
        <f t="shared" si="92"/>
        <v/>
      </c>
      <c r="U239" s="107" t="str">
        <f t="shared" si="92"/>
        <v/>
      </c>
      <c r="V239" s="107" t="str">
        <f t="shared" si="92"/>
        <v/>
      </c>
      <c r="W239" s="107" t="str">
        <f t="shared" si="92"/>
        <v/>
      </c>
      <c r="X239" s="107" t="str">
        <f t="shared" si="92"/>
        <v/>
      </c>
      <c r="Y239" s="107" t="str">
        <f t="shared" si="92"/>
        <v/>
      </c>
      <c r="Z239" s="107" t="str">
        <f t="shared" si="92"/>
        <v/>
      </c>
      <c r="AA239" s="107" t="str">
        <f t="shared" si="92"/>
        <v/>
      </c>
      <c r="AB239" s="107" t="str">
        <f t="shared" si="92"/>
        <v/>
      </c>
      <c r="AC239" s="107" t="str">
        <f t="shared" si="92"/>
        <v/>
      </c>
      <c r="AD239" s="107" t="str">
        <f t="shared" si="92"/>
        <v/>
      </c>
      <c r="AE239" s="107" t="str">
        <f t="shared" si="92"/>
        <v/>
      </c>
      <c r="AF239" s="107" t="str">
        <f t="shared" si="92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93">IF(C207&lt;100,"",C207-1500)</f>
        <v/>
      </c>
      <c r="D240" s="107" t="str">
        <f t="shared" si="93"/>
        <v/>
      </c>
      <c r="E240" s="107" t="str">
        <f t="shared" si="93"/>
        <v/>
      </c>
      <c r="F240" s="107" t="str">
        <f t="shared" si="93"/>
        <v/>
      </c>
      <c r="G240" s="107" t="str">
        <f t="shared" si="93"/>
        <v/>
      </c>
      <c r="H240" s="107" t="str">
        <f t="shared" si="93"/>
        <v/>
      </c>
      <c r="I240" s="107" t="str">
        <f t="shared" si="93"/>
        <v/>
      </c>
      <c r="J240" s="107" t="str">
        <f t="shared" si="93"/>
        <v/>
      </c>
      <c r="K240" s="107" t="str">
        <f t="shared" si="93"/>
        <v/>
      </c>
      <c r="L240" s="107" t="str">
        <f t="shared" si="93"/>
        <v/>
      </c>
      <c r="M240" s="107" t="str">
        <f t="shared" si="93"/>
        <v/>
      </c>
      <c r="N240" s="107" t="str">
        <f t="shared" si="93"/>
        <v/>
      </c>
      <c r="O240" s="107" t="str">
        <f t="shared" si="93"/>
        <v/>
      </c>
      <c r="P240" s="107" t="str">
        <f t="shared" si="93"/>
        <v/>
      </c>
      <c r="Q240" s="107" t="str">
        <f t="shared" si="93"/>
        <v/>
      </c>
      <c r="R240" s="107" t="str">
        <f t="shared" si="93"/>
        <v/>
      </c>
      <c r="S240" s="107" t="str">
        <f t="shared" si="93"/>
        <v/>
      </c>
      <c r="T240" s="107" t="str">
        <f t="shared" si="93"/>
        <v/>
      </c>
      <c r="U240" s="107" t="str">
        <f t="shared" si="93"/>
        <v/>
      </c>
      <c r="V240" s="107" t="str">
        <f t="shared" si="93"/>
        <v/>
      </c>
      <c r="W240" s="107" t="str">
        <f t="shared" si="93"/>
        <v/>
      </c>
      <c r="X240" s="107" t="str">
        <f t="shared" si="93"/>
        <v/>
      </c>
      <c r="Y240" s="107" t="str">
        <f t="shared" si="93"/>
        <v/>
      </c>
      <c r="Z240" s="107" t="str">
        <f t="shared" si="93"/>
        <v/>
      </c>
      <c r="AA240" s="107" t="str">
        <f t="shared" si="93"/>
        <v/>
      </c>
      <c r="AB240" s="107" t="str">
        <f t="shared" si="93"/>
        <v/>
      </c>
      <c r="AC240" s="107" t="str">
        <f t="shared" si="93"/>
        <v/>
      </c>
      <c r="AD240" s="107" t="str">
        <f t="shared" si="93"/>
        <v/>
      </c>
      <c r="AE240" s="107" t="str">
        <f t="shared" si="93"/>
        <v/>
      </c>
      <c r="AF240" s="107" t="str">
        <f t="shared" si="93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X82:AF82 J74:AF74 C94:AF100 AD11:AF11">
    <cfRule type="expression" dxfId="797" priority="221">
      <formula>B$9&gt;=20/24</formula>
    </cfRule>
    <cfRule type="expression" dxfId="796" priority="222">
      <formula>AND(B$9&gt;=14/24,B$9&lt;20/24)</formula>
    </cfRule>
    <cfRule type="expression" dxfId="795" priority="223">
      <formula>AND(B$9&gt;=8/24,B$9&lt;14/24)</formula>
    </cfRule>
    <cfRule type="expression" dxfId="794" priority="224">
      <formula>B$9&lt;8/24</formula>
    </cfRule>
  </conditionalFormatting>
  <conditionalFormatting sqref="AL4:AL6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AB37:AF37">
    <cfRule type="expression" dxfId="793" priority="216">
      <formula>AB$9&gt;=20/24</formula>
    </cfRule>
    <cfRule type="expression" dxfId="792" priority="217">
      <formula>AND(AB$9&gt;=14/24,AB$9&lt;20/24)</formula>
    </cfRule>
    <cfRule type="expression" dxfId="791" priority="218">
      <formula>AND(AB$9&gt;=8/24,AB$9&lt;14/24)</formula>
    </cfRule>
    <cfRule type="expression" dxfId="790" priority="219">
      <formula>AB$9&lt;8/24</formula>
    </cfRule>
  </conditionalFormatting>
  <conditionalFormatting sqref="AG51 AB37:AF37 K11:AF11">
    <cfRule type="expression" dxfId="789" priority="215">
      <formula>K11&gt;$AG11</formula>
    </cfRule>
  </conditionalFormatting>
  <conditionalFormatting sqref="A102:A158 A84:A97 A11:A14 A16:A32 A45:A72 A80:A82 A74:A78 A35:A43 A171:A201">
    <cfRule type="expression" dxfId="788" priority="214">
      <formula>$AH11=0</formula>
    </cfRule>
  </conditionalFormatting>
  <conditionalFormatting sqref="A98">
    <cfRule type="expression" dxfId="787" priority="213">
      <formula>$AH98=0</formula>
    </cfRule>
  </conditionalFormatting>
  <conditionalFormatting sqref="AL32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786" priority="211">
      <formula>$AH34=0</formula>
    </cfRule>
  </conditionalFormatting>
  <conditionalFormatting sqref="A83">
    <cfRule type="expression" dxfId="785" priority="210">
      <formula>$AH83=0</formula>
    </cfRule>
  </conditionalFormatting>
  <conditionalFormatting sqref="A15">
    <cfRule type="expression" dxfId="784" priority="209">
      <formula>$AH15=0</formula>
    </cfRule>
  </conditionalFormatting>
  <conditionalFormatting sqref="A165:A170">
    <cfRule type="expression" dxfId="783" priority="208">
      <formula>$AH165=0</formula>
    </cfRule>
  </conditionalFormatting>
  <conditionalFormatting sqref="A159:A164">
    <cfRule type="expression" dxfId="782" priority="207">
      <formula>$AH159=0</formula>
    </cfRule>
  </conditionalFormatting>
  <conditionalFormatting sqref="A44">
    <cfRule type="expression" dxfId="781" priority="206">
      <formula>$AH44=0</formula>
    </cfRule>
  </conditionalFormatting>
  <conditionalFormatting sqref="A79">
    <cfRule type="expression" dxfId="780" priority="205">
      <formula>$AH79=0</formula>
    </cfRule>
  </conditionalFormatting>
  <conditionalFormatting sqref="A73">
    <cfRule type="expression" dxfId="779" priority="204">
      <formula>$AH73=0</formula>
    </cfRule>
  </conditionalFormatting>
  <conditionalFormatting sqref="AL34:AL35 AL7:AL31">
    <cfRule type="iconSet" priority="227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778" priority="200">
      <formula>C$9&gt;=20/24</formula>
    </cfRule>
    <cfRule type="expression" dxfId="777" priority="201">
      <formula>AND(C$9&gt;=14/24,C$9&lt;20/24)</formula>
    </cfRule>
    <cfRule type="expression" dxfId="776" priority="202">
      <formula>AND(C$9&gt;=8/24,C$9&lt;14/24)</formula>
    </cfRule>
    <cfRule type="expression" dxfId="775" priority="203">
      <formula>C$9&lt;8/24</formula>
    </cfRule>
  </conditionalFormatting>
  <conditionalFormatting sqref="AL33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74" priority="228">
      <formula>C$9&gt;=20/24</formula>
    </cfRule>
    <cfRule type="expression" dxfId="773" priority="229">
      <formula>AND(C$9&gt;=14/24,C$9&lt;20/24)</formula>
    </cfRule>
    <cfRule type="expression" dxfId="772" priority="230">
      <formula>AND(C$9&gt;=8/24,C$9&lt;14/24)</formula>
    </cfRule>
    <cfRule type="expression" dxfId="771" priority="231">
      <formula>C$9&lt;8/24</formula>
    </cfRule>
  </conditionalFormatting>
  <conditionalFormatting sqref="A202">
    <cfRule type="expression" dxfId="770" priority="232">
      <formula>$AH202=0</formula>
    </cfRule>
  </conditionalFormatting>
  <conditionalFormatting sqref="AG214">
    <cfRule type="expression" dxfId="769" priority="233">
      <formula>B$9&gt;=20/24</formula>
    </cfRule>
    <cfRule type="expression" dxfId="768" priority="234">
      <formula>AND(B$9&gt;=14/24,B$9&lt;20/24)</formula>
    </cfRule>
    <cfRule type="expression" dxfId="767" priority="235">
      <formula>AND(B$9&gt;=8/24,B$9&lt;14/24)</formula>
    </cfRule>
    <cfRule type="expression" dxfId="766" priority="236">
      <formula>B$9&lt;8/24</formula>
    </cfRule>
  </conditionalFormatting>
  <conditionalFormatting sqref="S8">
    <cfRule type="expression" dxfId="765" priority="194">
      <formula>U$9&gt;=20/24</formula>
    </cfRule>
    <cfRule type="expression" dxfId="764" priority="195">
      <formula>AND(U$9&gt;=14/24,U$9&lt;20/24)</formula>
    </cfRule>
    <cfRule type="expression" dxfId="763" priority="196">
      <formula>AND(U$9&gt;=8/24,U$9&lt;14/24)</formula>
    </cfRule>
    <cfRule type="expression" dxfId="762" priority="197">
      <formula>U$9&lt;8/24</formula>
    </cfRule>
  </conditionalFormatting>
  <conditionalFormatting sqref="AB8">
    <cfRule type="expression" dxfId="761" priority="190">
      <formula>AD$9&gt;=20/24</formula>
    </cfRule>
    <cfRule type="expression" dxfId="760" priority="191">
      <formula>AND(AD$9&gt;=14/24,AD$9&lt;20/24)</formula>
    </cfRule>
    <cfRule type="expression" dxfId="759" priority="192">
      <formula>AND(AD$9&gt;=8/24,AD$9&lt;14/24)</formula>
    </cfRule>
    <cfRule type="expression" dxfId="758" priority="193">
      <formula>AD$9&lt;8/24</formula>
    </cfRule>
  </conditionalFormatting>
  <conditionalFormatting sqref="AH214:AX214">
    <cfRule type="expression" dxfId="757" priority="237">
      <formula>AG$9&gt;=20/24</formula>
    </cfRule>
    <cfRule type="expression" dxfId="756" priority="238">
      <formula>AND(AG$9&gt;=14/24,AG$9&lt;20/24)</formula>
    </cfRule>
    <cfRule type="expression" dxfId="755" priority="239">
      <formula>AND(AG$9&gt;=8/24,AG$9&lt;14/24)</formula>
    </cfRule>
    <cfRule type="expression" dxfId="754" priority="240">
      <formula>AG$9&lt;8/24</formula>
    </cfRule>
  </conditionalFormatting>
  <conditionalFormatting sqref="T214">
    <cfRule type="expression" dxfId="753" priority="241">
      <formula>AX$9&gt;=20/24</formula>
    </cfRule>
    <cfRule type="expression" dxfId="752" priority="242">
      <formula>AND(AX$9&gt;=14/24,AX$9&lt;20/24)</formula>
    </cfRule>
    <cfRule type="expression" dxfId="751" priority="243">
      <formula>AND(AX$9&gt;=8/24,AX$9&lt;14/24)</formula>
    </cfRule>
    <cfRule type="expression" dxfId="750" priority="244">
      <formula>AX$9&lt;8/24</formula>
    </cfRule>
  </conditionalFormatting>
  <conditionalFormatting sqref="A99:A100">
    <cfRule type="expression" dxfId="749" priority="189">
      <formula>$AH99=0</formula>
    </cfRule>
  </conditionalFormatting>
  <conditionalFormatting sqref="F11:J11 E40:N41 C57:AF57 AA40:AF41">
    <cfRule type="expression" dxfId="748" priority="185">
      <formula>C$9&gt;=20/24</formula>
    </cfRule>
    <cfRule type="expression" dxfId="747" priority="186">
      <formula>AND(C$9&gt;=14/24,C$9&lt;20/24)</formula>
    </cfRule>
    <cfRule type="expression" dxfId="746" priority="187">
      <formula>AND(C$9&gt;=8/24,C$9&lt;14/24)</formula>
    </cfRule>
    <cfRule type="expression" dxfId="745" priority="188">
      <formula>C$9&lt;8/24</formula>
    </cfRule>
  </conditionalFormatting>
  <conditionalFormatting sqref="AA39:AF39 E39:N39">
    <cfRule type="expression" dxfId="744" priority="181">
      <formula>E$9&gt;=20/24</formula>
    </cfRule>
    <cfRule type="expression" dxfId="743" priority="182">
      <formula>AND(E$9&gt;=14/24,E$9&lt;20/24)</formula>
    </cfRule>
    <cfRule type="expression" dxfId="742" priority="183">
      <formula>AND(E$9&gt;=8/24,E$9&lt;14/24)</formula>
    </cfRule>
    <cfRule type="expression" dxfId="741" priority="184">
      <formula>E$9&lt;8/24</formula>
    </cfRule>
  </conditionalFormatting>
  <conditionalFormatting sqref="F11:J11 E39:N41 AA39:AF41">
    <cfRule type="expression" dxfId="740" priority="180">
      <formula>E11&gt;$AG11</formula>
    </cfRule>
  </conditionalFormatting>
  <conditionalFormatting sqref="C83:AF83 C75:AF78 C69:AF72 G68:AF68 C80:AF81 E79:AF79 F67:L67 F61:L63 C58:R59 F60:R60 M61:R67 C85:AF91 F12:AF14 F36:AF36 C53:AF56 S58:AF67">
    <cfRule type="expression" dxfId="739" priority="176">
      <formula>C$9&gt;=20/24</formula>
    </cfRule>
    <cfRule type="expression" dxfId="738" priority="177">
      <formula>AND(C$9&gt;=14/24,C$9&lt;20/24)</formula>
    </cfRule>
    <cfRule type="expression" dxfId="737" priority="178">
      <formula>AND(C$9&gt;=8/24,C$9&lt;14/24)</formula>
    </cfRule>
    <cfRule type="expression" dxfId="736" priority="179">
      <formula>C$9&lt;8/24</formula>
    </cfRule>
  </conditionalFormatting>
  <conditionalFormatting sqref="C38:AF38 F44:J44 E43:J43 K43:L44 E42:N42 F36:R36 C37:R37 S36:AA37 AB42:AF43 S27:AF27 F12:AF15 AB36:AF36 C51:AF56">
    <cfRule type="expression" dxfId="735" priority="167">
      <formula>C12&gt;$AG12</formula>
    </cfRule>
  </conditionalFormatting>
  <conditionalFormatting sqref="F15:AF15">
    <cfRule type="expression" dxfId="734" priority="159">
      <formula>F$9&gt;=20/24</formula>
    </cfRule>
    <cfRule type="expression" dxfId="733" priority="160">
      <formula>AND(F$9&gt;=14/24,F$9&lt;20/24)</formula>
    </cfRule>
    <cfRule type="expression" dxfId="732" priority="161">
      <formula>AND(F$9&gt;=8/24,F$9&lt;14/24)</formula>
    </cfRule>
    <cfRule type="expression" dxfId="731" priority="162">
      <formula>F$9&lt;8/24</formula>
    </cfRule>
  </conditionalFormatting>
  <conditionalFormatting sqref="AA42:AA43">
    <cfRule type="expression" dxfId="730" priority="146">
      <formula>AA$9&gt;=20/24</formula>
    </cfRule>
    <cfRule type="expression" dxfId="729" priority="147">
      <formula>AND(AA$9&gt;=14/24,AA$9&lt;20/24)</formula>
    </cfRule>
    <cfRule type="expression" dxfId="728" priority="148">
      <formula>AND(AA$9&gt;=8/24,AA$9&lt;14/24)</formula>
    </cfRule>
    <cfRule type="expression" dxfId="727" priority="149">
      <formula>AA$9&lt;8/24</formula>
    </cfRule>
  </conditionalFormatting>
  <conditionalFormatting sqref="AA42:AA43">
    <cfRule type="expression" dxfId="726" priority="145">
      <formula>AA42&gt;$AG42</formula>
    </cfRule>
  </conditionalFormatting>
  <conditionalFormatting sqref="O39:Z50 AA44:AF50">
    <cfRule type="expression" dxfId="725" priority="141">
      <formula>O$9&gt;=20/24</formula>
    </cfRule>
    <cfRule type="expression" dxfId="724" priority="142">
      <formula>AND(O$9&gt;=14/24,O$9&lt;20/24)</formula>
    </cfRule>
    <cfRule type="expression" dxfId="723" priority="143">
      <formula>AND(O$9&gt;=8/24,O$9&lt;14/24)</formula>
    </cfRule>
    <cfRule type="expression" dxfId="722" priority="144">
      <formula>O$9&lt;8/24</formula>
    </cfRule>
  </conditionalFormatting>
  <conditionalFormatting sqref="O39:Z50 AA44:AF50">
    <cfRule type="expression" dxfId="721" priority="140">
      <formula>O39&gt;$AG39</formula>
    </cfRule>
  </conditionalFormatting>
  <conditionalFormatting sqref="S27:AF27">
    <cfRule type="expression" dxfId="720" priority="136">
      <formula>S$9&gt;=20/24</formula>
    </cfRule>
    <cfRule type="expression" dxfId="719" priority="137">
      <formula>AND(S$9&gt;=14/24,S$9&lt;20/24)</formula>
    </cfRule>
    <cfRule type="expression" dxfId="718" priority="138">
      <formula>AND(S$9&gt;=8/24,S$9&lt;14/24)</formula>
    </cfRule>
    <cfRule type="expression" dxfId="717" priority="139">
      <formula>S$9&lt;8/24</formula>
    </cfRule>
  </conditionalFormatting>
  <conditionalFormatting sqref="C74:I74 F16:R31 S16:AF26 S28:AF31">
    <cfRule type="expression" dxfId="716" priority="132">
      <formula>C$9&gt;=20/24</formula>
    </cfRule>
    <cfRule type="expression" dxfId="715" priority="133">
      <formula>AND(C$9&gt;=14/24,C$9&lt;20/24)</formula>
    </cfRule>
    <cfRule type="expression" dxfId="714" priority="134">
      <formula>AND(C$9&gt;=8/24,C$9&lt;14/24)</formula>
    </cfRule>
    <cfRule type="expression" dxfId="713" priority="135">
      <formula>C$9&lt;8/24</formula>
    </cfRule>
  </conditionalFormatting>
  <conditionalFormatting sqref="F32:AF32">
    <cfRule type="expression" dxfId="712" priority="128">
      <formula>F$9&gt;=20/24</formula>
    </cfRule>
    <cfRule type="expression" dxfId="711" priority="129">
      <formula>AND(F$9&gt;=14/24,F$9&lt;20/24)</formula>
    </cfRule>
    <cfRule type="expression" dxfId="710" priority="130">
      <formula>AND(F$9&gt;=8/24,F$9&lt;14/24)</formula>
    </cfRule>
    <cfRule type="expression" dxfId="709" priority="131">
      <formula>F$9&lt;8/24</formula>
    </cfRule>
  </conditionalFormatting>
  <conditionalFormatting sqref="F35:AF35">
    <cfRule type="expression" dxfId="708" priority="124">
      <formula>F$9&gt;=20/24</formula>
    </cfRule>
    <cfRule type="expression" dxfId="707" priority="125">
      <formula>AND(F$9&gt;=14/24,F$9&lt;20/24)</formula>
    </cfRule>
    <cfRule type="expression" dxfId="706" priority="126">
      <formula>AND(F$9&gt;=8/24,F$9&lt;14/24)</formula>
    </cfRule>
    <cfRule type="expression" dxfId="705" priority="127">
      <formula>F$9&lt;8/24</formula>
    </cfRule>
  </conditionalFormatting>
  <conditionalFormatting sqref="F16:R32 S16:AF26 F34:AF35 S28:AF32">
    <cfRule type="expression" dxfId="704" priority="123">
      <formula>F16&gt;$AG16</formula>
    </cfRule>
  </conditionalFormatting>
  <conditionalFormatting sqref="F34:AF34">
    <cfRule type="expression" dxfId="703" priority="119">
      <formula>F$9&gt;=20/24</formula>
    </cfRule>
    <cfRule type="expression" dxfId="702" priority="120">
      <formula>AND(F$9&gt;=14/24,F$9&lt;20/24)</formula>
    </cfRule>
    <cfRule type="expression" dxfId="701" priority="121">
      <formula>AND(F$9&gt;=8/24,F$9&lt;14/24)</formula>
    </cfRule>
    <cfRule type="expression" dxfId="700" priority="122">
      <formula>F$9&lt;8/24</formula>
    </cfRule>
  </conditionalFormatting>
  <conditionalFormatting sqref="F33:AF33">
    <cfRule type="expression" dxfId="699" priority="111">
      <formula>F$9&gt;=20/24</formula>
    </cfRule>
    <cfRule type="expression" dxfId="698" priority="112">
      <formula>AND(F$9&gt;=14/24,F$9&lt;20/24)</formula>
    </cfRule>
    <cfRule type="expression" dxfId="697" priority="113">
      <formula>AND(F$9&gt;=8/24,F$9&lt;14/24)</formula>
    </cfRule>
    <cfRule type="expression" dxfId="696" priority="114">
      <formula>F$9&lt;8/24</formula>
    </cfRule>
  </conditionalFormatting>
  <conditionalFormatting sqref="F33:AF33">
    <cfRule type="expression" dxfId="695" priority="110">
      <formula>F33&gt;$AG33</formula>
    </cfRule>
  </conditionalFormatting>
  <conditionalFormatting sqref="C40:D41">
    <cfRule type="expression" dxfId="694" priority="106">
      <formula>C$9&gt;=20/24</formula>
    </cfRule>
    <cfRule type="expression" dxfId="693" priority="107">
      <formula>AND(C$9&gt;=14/24,C$9&lt;20/24)</formula>
    </cfRule>
    <cfRule type="expression" dxfId="692" priority="108">
      <formula>AND(C$9&gt;=8/24,C$9&lt;14/24)</formula>
    </cfRule>
    <cfRule type="expression" dxfId="691" priority="109">
      <formula>C$9&lt;8/24</formula>
    </cfRule>
  </conditionalFormatting>
  <conditionalFormatting sqref="C39:D39">
    <cfRule type="expression" dxfId="690" priority="102">
      <formula>C$9&gt;=20/24</formula>
    </cfRule>
    <cfRule type="expression" dxfId="689" priority="103">
      <formula>AND(C$9&gt;=14/24,C$9&lt;20/24)</formula>
    </cfRule>
    <cfRule type="expression" dxfId="688" priority="104">
      <formula>AND(C$9&gt;=8/24,C$9&lt;14/24)</formula>
    </cfRule>
    <cfRule type="expression" dxfId="687" priority="105">
      <formula>C$9&lt;8/24</formula>
    </cfRule>
  </conditionalFormatting>
  <conditionalFormatting sqref="C39:D41">
    <cfRule type="expression" dxfId="686" priority="101">
      <formula>C39&gt;$AG39</formula>
    </cfRule>
  </conditionalFormatting>
  <conditionalFormatting sqref="F64:L66">
    <cfRule type="expression" dxfId="685" priority="97">
      <formula>F$9&gt;=20/24</formula>
    </cfRule>
    <cfRule type="expression" dxfId="684" priority="98">
      <formula>AND(F$9&gt;=14/24,F$9&lt;20/24)</formula>
    </cfRule>
    <cfRule type="expression" dxfId="683" priority="99">
      <formula>AND(F$9&gt;=8/24,F$9&lt;14/24)</formula>
    </cfRule>
    <cfRule type="expression" dxfId="682" priority="100">
      <formula>F$9&lt;8/24</formula>
    </cfRule>
  </conditionalFormatting>
  <conditionalFormatting sqref="C42:D43">
    <cfRule type="expression" dxfId="681" priority="96">
      <formula>C42&gt;$AG42</formula>
    </cfRule>
  </conditionalFormatting>
  <conditionalFormatting sqref="F45:N50">
    <cfRule type="expression" dxfId="680" priority="92">
      <formula>F$9&gt;=20/24</formula>
    </cfRule>
    <cfRule type="expression" dxfId="679" priority="93">
      <formula>AND(F$9&gt;=14/24,F$9&lt;20/24)</formula>
    </cfRule>
    <cfRule type="expression" dxfId="678" priority="94">
      <formula>AND(F$9&gt;=8/24,F$9&lt;14/24)</formula>
    </cfRule>
    <cfRule type="expression" dxfId="677" priority="95">
      <formula>F$9&lt;8/24</formula>
    </cfRule>
  </conditionalFormatting>
  <conditionalFormatting sqref="F45:N50">
    <cfRule type="expression" dxfId="676" priority="91">
      <formula>F45&gt;$AG45</formula>
    </cfRule>
  </conditionalFormatting>
  <conditionalFormatting sqref="B74 B94:B100 B82:W82 B11:E11">
    <cfRule type="expression" dxfId="675" priority="78">
      <formula>B$9&gt;=20/24</formula>
    </cfRule>
    <cfRule type="expression" dxfId="674" priority="79">
      <formula>AND(B$9&gt;=14/24,B$9&lt;20/24)</formula>
    </cfRule>
    <cfRule type="expression" dxfId="673" priority="80">
      <formula>AND(B$9&gt;=8/24,B$9&lt;14/24)</formula>
    </cfRule>
    <cfRule type="expression" dxfId="672" priority="81">
      <formula>B$9&lt;8/24</formula>
    </cfRule>
  </conditionalFormatting>
  <conditionalFormatting sqref="B37">
    <cfRule type="expression" dxfId="671" priority="74">
      <formula>B$9&gt;=20/24</formula>
    </cfRule>
    <cfRule type="expression" dxfId="670" priority="75">
      <formula>AND(B$9&gt;=14/24,B$9&lt;20/24)</formula>
    </cfRule>
    <cfRule type="expression" dxfId="669" priority="76">
      <formula>AND(B$9&gt;=8/24,B$9&lt;14/24)</formula>
    </cfRule>
    <cfRule type="expression" dxfId="668" priority="77">
      <formula>B$9&lt;8/24</formula>
    </cfRule>
  </conditionalFormatting>
  <conditionalFormatting sqref="B37 B11:E11">
    <cfRule type="expression" dxfId="667" priority="73">
      <formula>B11&gt;$AG11</formula>
    </cfRule>
  </conditionalFormatting>
  <conditionalFormatting sqref="B84">
    <cfRule type="expression" dxfId="666" priority="69">
      <formula>B$9&gt;=20/24</formula>
    </cfRule>
    <cfRule type="expression" dxfId="665" priority="70">
      <formula>AND(B$9&gt;=14/24,B$9&lt;20/24)</formula>
    </cfRule>
    <cfRule type="expression" dxfId="664" priority="71">
      <formula>AND(B$9&gt;=8/24,B$9&lt;14/24)</formula>
    </cfRule>
    <cfRule type="expression" dxfId="663" priority="72">
      <formula>B$9&lt;8/24</formula>
    </cfRule>
  </conditionalFormatting>
  <conditionalFormatting sqref="B40:B41 B57 B36:E36">
    <cfRule type="expression" dxfId="662" priority="65">
      <formula>B$9&gt;=20/24</formula>
    </cfRule>
    <cfRule type="expression" dxfId="661" priority="66">
      <formula>AND(B$9&gt;=14/24,B$9&lt;20/24)</formula>
    </cfRule>
    <cfRule type="expression" dxfId="660" priority="67">
      <formula>AND(B$9&gt;=8/24,B$9&lt;14/24)</formula>
    </cfRule>
    <cfRule type="expression" dxfId="659" priority="68">
      <formula>B$9&lt;8/24</formula>
    </cfRule>
  </conditionalFormatting>
  <conditionalFormatting sqref="B39">
    <cfRule type="expression" dxfId="658" priority="61">
      <formula>B$9&gt;=20/24</formula>
    </cfRule>
    <cfRule type="expression" dxfId="657" priority="62">
      <formula>AND(B$9&gt;=14/24,B$9&lt;20/24)</formula>
    </cfRule>
    <cfRule type="expression" dxfId="656" priority="63">
      <formula>AND(B$9&gt;=8/24,B$9&lt;14/24)</formula>
    </cfRule>
    <cfRule type="expression" dxfId="655" priority="64">
      <formula>B$9&lt;8/24</formula>
    </cfRule>
  </conditionalFormatting>
  <conditionalFormatting sqref="B39:B41 B36:E36">
    <cfRule type="expression" dxfId="654" priority="60">
      <formula>B36&gt;$AG36</formula>
    </cfRule>
  </conditionalFormatting>
  <conditionalFormatting sqref="B83 B75:B81 B85:B91 B53:B56 B58:B73 C68:F68 C79:D79 C60:E67 B16:E16 B28:E31 B18:E22 B24:E26 C73:AF73 B12:E14">
    <cfRule type="expression" dxfId="653" priority="56">
      <formula>B$9&gt;=20/24</formula>
    </cfRule>
    <cfRule type="expression" dxfId="652" priority="57">
      <formula>AND(B$9&gt;=14/24,B$9&lt;20/24)</formula>
    </cfRule>
    <cfRule type="expression" dxfId="651" priority="58">
      <formula>AND(B$9&gt;=8/24,B$9&lt;14/24)</formula>
    </cfRule>
    <cfRule type="expression" dxfId="650" priority="59">
      <formula>B$9&lt;8/24</formula>
    </cfRule>
  </conditionalFormatting>
  <conditionalFormatting sqref="B32:E32">
    <cfRule type="expression" dxfId="649" priority="52">
      <formula>B$9&gt;=20/24</formula>
    </cfRule>
    <cfRule type="expression" dxfId="648" priority="53">
      <formula>AND(B$9&gt;=14/24,B$9&lt;20/24)</formula>
    </cfRule>
    <cfRule type="expression" dxfId="647" priority="54">
      <formula>AND(B$9&gt;=8/24,B$9&lt;14/24)</formula>
    </cfRule>
    <cfRule type="expression" dxfId="646" priority="55">
      <formula>B$9&lt;8/24</formula>
    </cfRule>
  </conditionalFormatting>
  <conditionalFormatting sqref="B35:E35">
    <cfRule type="expression" dxfId="645" priority="48">
      <formula>B$9&gt;=20/24</formula>
    </cfRule>
    <cfRule type="expression" dxfId="644" priority="49">
      <formula>AND(B$9&gt;=14/24,B$9&lt;20/24)</formula>
    </cfRule>
    <cfRule type="expression" dxfId="643" priority="50">
      <formula>AND(B$9&gt;=8/24,B$9&lt;14/24)</formula>
    </cfRule>
    <cfRule type="expression" dxfId="642" priority="51">
      <formula>B$9&lt;8/24</formula>
    </cfRule>
  </conditionalFormatting>
  <conditionalFormatting sqref="B38 B42:B43 B51:B56 B34:E35 B18:E22 B24:E32 B12:E16">
    <cfRule type="expression" dxfId="641" priority="47">
      <formula>B12&gt;$AG12</formula>
    </cfRule>
  </conditionalFormatting>
  <conditionalFormatting sqref="B34:E34">
    <cfRule type="expression" dxfId="640" priority="43">
      <formula>B$9&gt;=20/24</formula>
    </cfRule>
    <cfRule type="expression" dxfId="639" priority="44">
      <formula>AND(B$9&gt;=14/24,B$9&lt;20/24)</formula>
    </cfRule>
    <cfRule type="expression" dxfId="638" priority="45">
      <formula>AND(B$9&gt;=8/24,B$9&lt;14/24)</formula>
    </cfRule>
    <cfRule type="expression" dxfId="637" priority="46">
      <formula>B$9&lt;8/24</formula>
    </cfRule>
  </conditionalFormatting>
  <conditionalFormatting sqref="B15:E15">
    <cfRule type="expression" dxfId="636" priority="39">
      <formula>B$9&gt;=20/24</formula>
    </cfRule>
    <cfRule type="expression" dxfId="635" priority="40">
      <formula>AND(B$9&gt;=14/24,B$9&lt;20/24)</formula>
    </cfRule>
    <cfRule type="expression" dxfId="634" priority="41">
      <formula>AND(B$9&gt;=8/24,B$9&lt;14/24)</formula>
    </cfRule>
    <cfRule type="expression" dxfId="633" priority="42">
      <formula>B$9&lt;8/24</formula>
    </cfRule>
  </conditionalFormatting>
  <conditionalFormatting sqref="B33:E33">
    <cfRule type="expression" dxfId="632" priority="35">
      <formula>B$9&gt;=20/24</formula>
    </cfRule>
    <cfRule type="expression" dxfId="631" priority="36">
      <formula>AND(B$9&gt;=14/24,B$9&lt;20/24)</formula>
    </cfRule>
    <cfRule type="expression" dxfId="630" priority="37">
      <formula>AND(B$9&gt;=8/24,B$9&lt;14/24)</formula>
    </cfRule>
    <cfRule type="expression" dxfId="629" priority="38">
      <formula>B$9&lt;8/24</formula>
    </cfRule>
  </conditionalFormatting>
  <conditionalFormatting sqref="B33:E33">
    <cfRule type="expression" dxfId="628" priority="34">
      <formula>B33&gt;$AG33</formula>
    </cfRule>
  </conditionalFormatting>
  <conditionalFormatting sqref="B44:E50">
    <cfRule type="expression" dxfId="627" priority="30">
      <formula>B$9&gt;=20/24</formula>
    </cfRule>
    <cfRule type="expression" dxfId="626" priority="31">
      <formula>AND(B$9&gt;=14/24,B$9&lt;20/24)</formula>
    </cfRule>
    <cfRule type="expression" dxfId="625" priority="32">
      <formula>AND(B$9&gt;=8/24,B$9&lt;14/24)</formula>
    </cfRule>
    <cfRule type="expression" dxfId="624" priority="33">
      <formula>B$9&lt;8/24</formula>
    </cfRule>
  </conditionalFormatting>
  <conditionalFormatting sqref="B44:E50">
    <cfRule type="expression" dxfId="623" priority="29">
      <formula>B44&gt;$AG44</formula>
    </cfRule>
  </conditionalFormatting>
  <conditionalFormatting sqref="B27:E27">
    <cfRule type="expression" dxfId="622" priority="25">
      <formula>B$9&gt;=20/24</formula>
    </cfRule>
    <cfRule type="expression" dxfId="621" priority="26">
      <formula>AND(B$9&gt;=14/24,B$9&lt;20/24)</formula>
    </cfRule>
    <cfRule type="expression" dxfId="620" priority="27">
      <formula>AND(B$9&gt;=8/24,B$9&lt;14/24)</formula>
    </cfRule>
    <cfRule type="expression" dxfId="619" priority="28">
      <formula>B$9&lt;8/24</formula>
    </cfRule>
  </conditionalFormatting>
  <conditionalFormatting sqref="B17:E17 B23:E23">
    <cfRule type="expression" dxfId="618" priority="21">
      <formula>B$9&gt;=20/24</formula>
    </cfRule>
    <cfRule type="expression" dxfId="617" priority="22">
      <formula>AND(B$9&gt;=14/24,B$9&lt;20/24)</formula>
    </cfRule>
    <cfRule type="expression" dxfId="616" priority="23">
      <formula>AND(B$9&gt;=8/24,B$9&lt;14/24)</formula>
    </cfRule>
    <cfRule type="expression" dxfId="615" priority="24">
      <formula>B$9&lt;8/24</formula>
    </cfRule>
  </conditionalFormatting>
  <conditionalFormatting sqref="B17:E17 B23:E23">
    <cfRule type="expression" dxfId="614" priority="20">
      <formula>B17&gt;$AG17</formula>
    </cfRule>
  </conditionalFormatting>
  <conditionalFormatting sqref="M11:AC11">
    <cfRule type="expression" dxfId="613" priority="7">
      <formula>M$9&gt;=20/24</formula>
    </cfRule>
    <cfRule type="expression" dxfId="612" priority="8">
      <formula>AND(M$9&gt;=14/24,M$9&lt;20/24)</formula>
    </cfRule>
    <cfRule type="expression" dxfId="611" priority="9">
      <formula>AND(M$9&gt;=8/24,M$9&lt;14/24)</formula>
    </cfRule>
    <cfRule type="expression" dxfId="610" priority="10">
      <formula>M$9&lt;8/24</formula>
    </cfRule>
  </conditionalFormatting>
  <conditionalFormatting sqref="M11:AC11">
    <cfRule type="expression" dxfId="609" priority="6">
      <formula>M11&gt;$AG11</formula>
    </cfRule>
  </conditionalFormatting>
  <conditionalFormatting sqref="M43:N44">
    <cfRule type="expression" dxfId="608" priority="2">
      <formula>M$9&gt;=20/24</formula>
    </cfRule>
    <cfRule type="expression" dxfId="607" priority="3">
      <formula>AND(M$9&gt;=14/24,M$9&lt;20/24)</formula>
    </cfRule>
    <cfRule type="expression" dxfId="606" priority="4">
      <formula>AND(M$9&gt;=8/24,M$9&lt;14/24)</formula>
    </cfRule>
    <cfRule type="expression" dxfId="605" priority="5">
      <formula>M$9&lt;8/24</formula>
    </cfRule>
  </conditionalFormatting>
  <conditionalFormatting sqref="M43:N44">
    <cfRule type="expression" dxfId="604" priority="1">
      <formula>M43&gt;$AG43</formula>
    </cfRule>
  </conditionalFormatting>
  <pageMargins left="0.7" right="0.7" top="0.75" bottom="0.75" header="0.3" footer="0.3"/>
  <pageSetup scale="19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9" id="{BDC0F457-F00B-4D68-AD68-0C95FDA6374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16" id="{DD9A30CC-F825-45BE-8204-574BC5D0F80B}">
            <xm:f>'28'!B$9&gt;=20/24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" id="{7F77D34D-C191-4070-B09A-AD909A12C451}">
            <xm:f>AND('28'!B$9&gt;=14/24,'28'!B$9&lt;20/24)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" id="{B7ED530A-D849-40DB-9C0B-F7A78ACB671D}">
            <xm:f>AND('28'!B$9&gt;=8/24,'28'!B$9&lt;14/24)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" id="{CD925C41-CE7C-4624-B3D1-5B0D9555BF22}">
            <xm:f>'28'!B$9&lt;8/24</xm:f>
            <x14:dxf>
              <fill>
                <patternFill>
                  <bgColor rgb="FFFFFF66"/>
                </patternFill>
              </fill>
            </x14:dxf>
          </x14:cfRule>
          <xm:sqref>B101:AF101</xm:sqref>
        </x14:conditionalFormatting>
        <x14:conditionalFormatting xmlns:xm="http://schemas.microsoft.com/office/excel/2006/main">
          <x14:cfRule type="expression" priority="11" id="{C134F89C-D4B2-4F3C-81EF-07B175708B10}">
            <xm:f>'28'!$AH101=0</xm:f>
            <x14:dxf>
              <fill>
                <patternFill>
                  <bgColor rgb="FF51E2F1"/>
                </patternFill>
              </fill>
            </x14:dxf>
          </x14:cfRule>
          <xm:sqref>A101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J473"/>
  <sheetViews>
    <sheetView zoomScaleNormal="10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P7" sqref="P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7109375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2079/02/30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-310.2</v>
      </c>
      <c r="C5" s="32">
        <f t="shared" si="0"/>
        <v>-327.3</v>
      </c>
      <c r="D5" s="32">
        <f t="shared" si="0"/>
        <v>-337.5</v>
      </c>
      <c r="E5" s="32">
        <f t="shared" si="0"/>
        <v>-335</v>
      </c>
      <c r="F5" s="32">
        <f t="shared" si="0"/>
        <v>-325.68</v>
      </c>
      <c r="G5" s="32">
        <f t="shared" si="0"/>
        <v>-328</v>
      </c>
      <c r="H5" s="32">
        <f t="shared" si="0"/>
        <v>-315.90999999999997</v>
      </c>
      <c r="I5" s="32">
        <f t="shared" si="0"/>
        <v>-243.60000000000002</v>
      </c>
      <c r="J5" s="32">
        <f t="shared" si="0"/>
        <v>-222</v>
      </c>
      <c r="K5" s="32">
        <f t="shared" si="0"/>
        <v>-211</v>
      </c>
      <c r="L5" s="32">
        <f t="shared" si="0"/>
        <v>-196.82999999999998</v>
      </c>
      <c r="M5" s="32">
        <f t="shared" si="0"/>
        <v>-196.39999999999998</v>
      </c>
      <c r="N5" s="32">
        <f t="shared" si="0"/>
        <v>-229.8</v>
      </c>
      <c r="O5" s="32">
        <f t="shared" si="0"/>
        <v>-207.2</v>
      </c>
      <c r="P5" s="32">
        <f t="shared" si="0"/>
        <v>0</v>
      </c>
      <c r="Q5" s="32">
        <f t="shared" si="0"/>
        <v>-225.2</v>
      </c>
      <c r="R5" s="32">
        <f t="shared" si="0"/>
        <v>-109</v>
      </c>
      <c r="S5" s="32">
        <f t="shared" si="0"/>
        <v>-143.19999999999999</v>
      </c>
      <c r="T5" s="32">
        <f t="shared" si="0"/>
        <v>-138.9</v>
      </c>
      <c r="U5" s="32">
        <f t="shared" si="0"/>
        <v>-122.69999999999999</v>
      </c>
      <c r="V5" s="32">
        <f t="shared" si="0"/>
        <v>-119</v>
      </c>
      <c r="W5" s="32">
        <f t="shared" si="0"/>
        <v>-186</v>
      </c>
      <c r="X5" s="32">
        <f t="shared" si="0"/>
        <v>-161.6</v>
      </c>
      <c r="Y5" s="32">
        <f t="shared" si="0"/>
        <v>-109.10000000000001</v>
      </c>
      <c r="Z5" s="32">
        <f t="shared" si="0"/>
        <v>-128.29999999999998</v>
      </c>
      <c r="AA5" s="32">
        <f t="shared" si="0"/>
        <v>-125.79999999999998</v>
      </c>
      <c r="AB5" s="32">
        <f t="shared" si="0"/>
        <v>-171.39999999999998</v>
      </c>
      <c r="AC5" s="32">
        <f t="shared" si="0"/>
        <v>-205.8</v>
      </c>
      <c r="AD5" s="32">
        <f t="shared" si="0"/>
        <v>-265.5</v>
      </c>
      <c r="AE5" s="32">
        <f t="shared" si="0"/>
        <v>-255.5</v>
      </c>
      <c r="AF5" s="32">
        <f>B68</f>
        <v>-311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1344MW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Load=0</v>
      </c>
      <c r="B7" s="37">
        <f>B75</f>
        <v>1229.9400000000003</v>
      </c>
      <c r="C7" s="37">
        <f t="shared" ref="C7:AF7" si="1">C75</f>
        <v>1224.3400000000001</v>
      </c>
      <c r="D7" s="37">
        <f t="shared" si="1"/>
        <v>1207.9400000000003</v>
      </c>
      <c r="E7" s="37">
        <f t="shared" si="1"/>
        <v>1166.0400000000002</v>
      </c>
      <c r="F7" s="37">
        <f t="shared" si="1"/>
        <v>1130.7400000000002</v>
      </c>
      <c r="G7" s="37">
        <f t="shared" si="1"/>
        <v>1092.7600000000002</v>
      </c>
      <c r="H7" s="37">
        <f t="shared" si="1"/>
        <v>1121.2400000000002</v>
      </c>
      <c r="I7" s="37">
        <f t="shared" si="1"/>
        <v>1154.7300000000002</v>
      </c>
      <c r="J7" s="37">
        <f t="shared" si="1"/>
        <v>1228.94</v>
      </c>
      <c r="K7" s="37">
        <f t="shared" si="1"/>
        <v>1253.7400000000002</v>
      </c>
      <c r="L7" s="37">
        <f t="shared" si="1"/>
        <v>1291.54</v>
      </c>
      <c r="M7" s="37">
        <f t="shared" si="1"/>
        <v>1331.51</v>
      </c>
      <c r="N7" s="37">
        <f t="shared" si="1"/>
        <v>1344.44</v>
      </c>
      <c r="O7" s="37">
        <f t="shared" si="1"/>
        <v>1350.84</v>
      </c>
      <c r="P7" s="37">
        <f t="shared" si="1"/>
        <v>1387.94</v>
      </c>
      <c r="Q7" s="37">
        <f t="shared" si="1"/>
        <v>0</v>
      </c>
      <c r="R7" s="37">
        <f t="shared" si="1"/>
        <v>1393.3400000000001</v>
      </c>
      <c r="S7" s="37">
        <f t="shared" si="1"/>
        <v>1478.8400000000001</v>
      </c>
      <c r="T7" s="37">
        <f t="shared" si="1"/>
        <v>1477.7400000000002</v>
      </c>
      <c r="U7" s="37">
        <f t="shared" si="1"/>
        <v>1480.94</v>
      </c>
      <c r="V7" s="37">
        <f t="shared" si="1"/>
        <v>1482.14</v>
      </c>
      <c r="W7" s="37">
        <f t="shared" si="1"/>
        <v>1495.8400000000001</v>
      </c>
      <c r="X7" s="37">
        <f t="shared" si="1"/>
        <v>1428.8400000000001</v>
      </c>
      <c r="Y7" s="37">
        <f t="shared" si="1"/>
        <v>1433.2400000000002</v>
      </c>
      <c r="Z7" s="37">
        <f t="shared" si="1"/>
        <v>1459.5400000000002</v>
      </c>
      <c r="AA7" s="37">
        <f t="shared" si="1"/>
        <v>1520.3400000000001</v>
      </c>
      <c r="AB7" s="37">
        <f t="shared" si="1"/>
        <v>1520.1400000000003</v>
      </c>
      <c r="AC7" s="37">
        <f t="shared" si="1"/>
        <v>1510.5400000000002</v>
      </c>
      <c r="AD7" s="37">
        <f t="shared" si="1"/>
        <v>1566.1400000000003</v>
      </c>
      <c r="AE7" s="37">
        <f t="shared" si="1"/>
        <v>1507.0400000000002</v>
      </c>
      <c r="AF7" s="37">
        <f t="shared" si="1"/>
        <v>1415.6400000000003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456</v>
      </c>
      <c r="C11" s="70">
        <v>456</v>
      </c>
      <c r="D11" s="70">
        <v>456</v>
      </c>
      <c r="E11" s="70">
        <v>456</v>
      </c>
      <c r="F11" s="70">
        <v>456</v>
      </c>
      <c r="G11" s="70">
        <v>456</v>
      </c>
      <c r="H11" s="70">
        <v>456</v>
      </c>
      <c r="I11" s="70">
        <v>456</v>
      </c>
      <c r="J11" s="70">
        <v>456</v>
      </c>
      <c r="K11" s="70">
        <v>456</v>
      </c>
      <c r="L11" s="70">
        <v>456</v>
      </c>
      <c r="M11" s="51">
        <v>456</v>
      </c>
      <c r="N11" s="51">
        <v>456</v>
      </c>
      <c r="O11" s="51">
        <v>456</v>
      </c>
      <c r="P11" s="51">
        <v>456</v>
      </c>
      <c r="Q11" s="51" t="s">
        <v>221</v>
      </c>
      <c r="R11" s="51">
        <v>456</v>
      </c>
      <c r="S11" s="49">
        <v>400</v>
      </c>
      <c r="T11" s="49">
        <v>350</v>
      </c>
      <c r="U11" s="49">
        <v>350</v>
      </c>
      <c r="V11" s="49">
        <v>350</v>
      </c>
      <c r="W11" s="49">
        <v>350</v>
      </c>
      <c r="X11" s="49">
        <v>350</v>
      </c>
      <c r="Y11" s="49">
        <v>330</v>
      </c>
      <c r="Z11" s="49">
        <v>330</v>
      </c>
      <c r="AA11" s="49">
        <v>410</v>
      </c>
      <c r="AB11" s="49">
        <v>395</v>
      </c>
      <c r="AC11" s="49">
        <v>430</v>
      </c>
      <c r="AD11" s="49">
        <v>456</v>
      </c>
      <c r="AE11" s="49">
        <v>456</v>
      </c>
      <c r="AF11" s="49">
        <v>456</v>
      </c>
      <c r="AG11" s="53">
        <v>456</v>
      </c>
      <c r="AH11" s="54">
        <f>MAX(B11:AF11)</f>
        <v>456</v>
      </c>
      <c r="AI11" s="55">
        <f>MIN(B11:AF11)</f>
        <v>330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 t="s">
        <v>222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60</v>
      </c>
      <c r="Y12" s="51">
        <v>60</v>
      </c>
      <c r="Z12" s="51">
        <v>60</v>
      </c>
      <c r="AA12" s="51">
        <v>60</v>
      </c>
      <c r="AB12" s="51">
        <v>60</v>
      </c>
      <c r="AC12" s="51">
        <v>60</v>
      </c>
      <c r="AD12" s="51">
        <v>60</v>
      </c>
      <c r="AE12" s="51">
        <v>60</v>
      </c>
      <c r="AF12" s="51">
        <v>60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60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33.9</v>
      </c>
      <c r="C13" s="51">
        <v>33.9</v>
      </c>
      <c r="D13" s="51">
        <v>33.9</v>
      </c>
      <c r="E13" s="51">
        <v>33.9</v>
      </c>
      <c r="F13" s="51">
        <v>33.9</v>
      </c>
      <c r="G13" s="51">
        <v>33.9</v>
      </c>
      <c r="H13" s="51">
        <v>33.9</v>
      </c>
      <c r="I13" s="51">
        <v>33.9</v>
      </c>
      <c r="J13" s="51">
        <v>33.9</v>
      </c>
      <c r="K13" s="51">
        <v>33.9</v>
      </c>
      <c r="L13" s="51">
        <v>33.9</v>
      </c>
      <c r="M13" s="51">
        <v>33.9</v>
      </c>
      <c r="N13" s="51">
        <v>33.9</v>
      </c>
      <c r="O13" s="51">
        <v>33.9</v>
      </c>
      <c r="P13" s="51">
        <v>33.9</v>
      </c>
      <c r="Q13" s="51" t="s">
        <v>221</v>
      </c>
      <c r="R13" s="51">
        <v>29</v>
      </c>
      <c r="S13" s="51">
        <v>29</v>
      </c>
      <c r="T13" s="51">
        <v>29</v>
      </c>
      <c r="U13" s="51">
        <v>29</v>
      </c>
      <c r="V13" s="51">
        <v>29</v>
      </c>
      <c r="W13" s="51">
        <v>29</v>
      </c>
      <c r="X13" s="51">
        <v>29</v>
      </c>
      <c r="Y13" s="51">
        <v>29</v>
      </c>
      <c r="Z13" s="51">
        <v>29</v>
      </c>
      <c r="AA13" s="51">
        <v>29</v>
      </c>
      <c r="AB13" s="51">
        <v>29</v>
      </c>
      <c r="AC13" s="51">
        <v>29</v>
      </c>
      <c r="AD13" s="51">
        <v>29</v>
      </c>
      <c r="AE13" s="51">
        <v>29</v>
      </c>
      <c r="AF13" s="51">
        <v>29</v>
      </c>
      <c r="AG13" s="58">
        <v>52.4</v>
      </c>
      <c r="AH13" s="54">
        <f t="shared" si="2"/>
        <v>33.9</v>
      </c>
      <c r="AI13" s="55">
        <f t="shared" si="3"/>
        <v>29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 t="s">
        <v>223</v>
      </c>
      <c r="R14" s="51">
        <v>50.6</v>
      </c>
      <c r="S14" s="51">
        <v>50.6</v>
      </c>
      <c r="T14" s="51">
        <v>50.6</v>
      </c>
      <c r="U14" s="51">
        <v>50.6</v>
      </c>
      <c r="V14" s="51">
        <v>50.6</v>
      </c>
      <c r="W14" s="51">
        <v>50.6</v>
      </c>
      <c r="X14" s="51">
        <v>50.6</v>
      </c>
      <c r="Y14" s="51">
        <v>50.6</v>
      </c>
      <c r="Z14" s="51">
        <v>50.6</v>
      </c>
      <c r="AA14" s="51">
        <v>50.6</v>
      </c>
      <c r="AB14" s="51">
        <v>50.6</v>
      </c>
      <c r="AC14" s="51">
        <v>50.6</v>
      </c>
      <c r="AD14" s="51">
        <v>50.6</v>
      </c>
      <c r="AE14" s="51">
        <v>50.6</v>
      </c>
      <c r="AF14" s="51">
        <v>50.6</v>
      </c>
      <c r="AG14" s="58">
        <v>50</v>
      </c>
      <c r="AH14" s="54">
        <f t="shared" si="2"/>
        <v>50.6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45.7</v>
      </c>
      <c r="O15" s="51">
        <v>45.7</v>
      </c>
      <c r="P15" s="51">
        <v>45.7</v>
      </c>
      <c r="Q15" s="51" t="s">
        <v>224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45.7</v>
      </c>
      <c r="AF15" s="51">
        <v>45.7</v>
      </c>
      <c r="AG15" s="59">
        <v>45</v>
      </c>
      <c r="AH15" s="54">
        <f t="shared" si="2"/>
        <v>45.7</v>
      </c>
      <c r="AI15" s="55">
        <f t="shared" si="3"/>
        <v>45.7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40</v>
      </c>
      <c r="C16" s="51">
        <v>40</v>
      </c>
      <c r="D16" s="51">
        <v>40</v>
      </c>
      <c r="E16" s="51">
        <v>40</v>
      </c>
      <c r="F16" s="51">
        <v>0</v>
      </c>
      <c r="G16" s="51">
        <v>35</v>
      </c>
      <c r="H16" s="51">
        <v>35</v>
      </c>
      <c r="I16" s="51">
        <v>35</v>
      </c>
      <c r="J16" s="51">
        <v>35</v>
      </c>
      <c r="K16" s="51">
        <v>0</v>
      </c>
      <c r="L16" s="51">
        <v>28</v>
      </c>
      <c r="M16" s="51">
        <v>38</v>
      </c>
      <c r="N16" s="51">
        <v>40</v>
      </c>
      <c r="O16" s="51">
        <v>40</v>
      </c>
      <c r="P16" s="51">
        <v>37</v>
      </c>
      <c r="Q16" s="51" t="s">
        <v>225</v>
      </c>
      <c r="R16" s="51">
        <v>37</v>
      </c>
      <c r="S16" s="51">
        <v>37</v>
      </c>
      <c r="T16" s="51">
        <v>37</v>
      </c>
      <c r="U16" s="51">
        <v>37</v>
      </c>
      <c r="V16" s="51">
        <v>37</v>
      </c>
      <c r="W16" s="51">
        <v>37</v>
      </c>
      <c r="X16" s="51">
        <v>37</v>
      </c>
      <c r="Y16" s="51">
        <v>37</v>
      </c>
      <c r="Z16" s="51">
        <v>37</v>
      </c>
      <c r="AA16" s="51">
        <v>37</v>
      </c>
      <c r="AB16" s="51">
        <v>37</v>
      </c>
      <c r="AC16" s="51">
        <v>37</v>
      </c>
      <c r="AD16" s="51">
        <v>37</v>
      </c>
      <c r="AE16" s="51">
        <v>37</v>
      </c>
      <c r="AF16" s="51">
        <v>37</v>
      </c>
      <c r="AG16" s="58">
        <v>45</v>
      </c>
      <c r="AH16" s="54">
        <f t="shared" si="2"/>
        <v>40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20</v>
      </c>
      <c r="C17" s="51">
        <v>20</v>
      </c>
      <c r="D17" s="51">
        <v>20</v>
      </c>
      <c r="E17" s="51">
        <v>20</v>
      </c>
      <c r="F17" s="51">
        <v>20</v>
      </c>
      <c r="G17" s="51">
        <v>20</v>
      </c>
      <c r="H17" s="51">
        <v>20</v>
      </c>
      <c r="I17" s="51">
        <v>20</v>
      </c>
      <c r="J17" s="51">
        <v>20</v>
      </c>
      <c r="K17" s="51">
        <v>20</v>
      </c>
      <c r="L17" s="51">
        <v>20</v>
      </c>
      <c r="M17" s="51">
        <v>20</v>
      </c>
      <c r="N17" s="51">
        <v>20</v>
      </c>
      <c r="O17" s="51">
        <v>20</v>
      </c>
      <c r="P17" s="51">
        <v>20</v>
      </c>
      <c r="Q17" s="51"/>
      <c r="R17" s="51">
        <v>20</v>
      </c>
      <c r="S17" s="51">
        <v>20</v>
      </c>
      <c r="T17" s="51">
        <v>20</v>
      </c>
      <c r="U17" s="51">
        <v>20</v>
      </c>
      <c r="V17" s="51">
        <v>20</v>
      </c>
      <c r="W17" s="51">
        <v>20</v>
      </c>
      <c r="X17" s="51">
        <v>20</v>
      </c>
      <c r="Y17" s="51">
        <v>20</v>
      </c>
      <c r="Z17" s="51">
        <v>20</v>
      </c>
      <c r="AA17" s="51">
        <v>20</v>
      </c>
      <c r="AB17" s="51">
        <v>20</v>
      </c>
      <c r="AC17" s="51">
        <v>20</v>
      </c>
      <c r="AD17" s="51">
        <v>20</v>
      </c>
      <c r="AE17" s="51">
        <v>20</v>
      </c>
      <c r="AF17" s="51">
        <v>20</v>
      </c>
      <c r="AG17" s="58">
        <v>42</v>
      </c>
      <c r="AH17" s="54">
        <f t="shared" si="2"/>
        <v>20</v>
      </c>
      <c r="AI17" s="55">
        <f t="shared" si="3"/>
        <v>20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16</v>
      </c>
      <c r="C18" s="51">
        <v>16</v>
      </c>
      <c r="D18" s="51">
        <v>16</v>
      </c>
      <c r="E18" s="51">
        <v>16</v>
      </c>
      <c r="F18" s="51">
        <v>16</v>
      </c>
      <c r="G18" s="51">
        <v>16</v>
      </c>
      <c r="H18" s="51">
        <v>16</v>
      </c>
      <c r="I18" s="51">
        <v>16</v>
      </c>
      <c r="J18" s="51">
        <v>16</v>
      </c>
      <c r="K18" s="51">
        <v>16</v>
      </c>
      <c r="L18" s="51">
        <v>16</v>
      </c>
      <c r="M18" s="51">
        <v>16</v>
      </c>
      <c r="N18" s="51">
        <v>16</v>
      </c>
      <c r="O18" s="51">
        <v>16</v>
      </c>
      <c r="P18" s="51">
        <v>16</v>
      </c>
      <c r="Q18" s="51"/>
      <c r="R18" s="51">
        <v>16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8">
        <v>36</v>
      </c>
      <c r="AH18" s="54">
        <f t="shared" si="2"/>
        <v>16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26.3</v>
      </c>
      <c r="C19" s="51">
        <v>26.3</v>
      </c>
      <c r="D19" s="51">
        <v>26.3</v>
      </c>
      <c r="E19" s="51">
        <v>26.3</v>
      </c>
      <c r="F19" s="51">
        <v>0</v>
      </c>
      <c r="G19" s="51">
        <v>26.4</v>
      </c>
      <c r="H19" s="51">
        <v>26.4</v>
      </c>
      <c r="I19" s="51">
        <v>26.4</v>
      </c>
      <c r="J19" s="51">
        <v>26.4</v>
      </c>
      <c r="K19" s="51">
        <v>0</v>
      </c>
      <c r="L19" s="51">
        <v>26</v>
      </c>
      <c r="M19" s="51">
        <v>26</v>
      </c>
      <c r="N19" s="51">
        <v>26</v>
      </c>
      <c r="O19" s="51">
        <v>26</v>
      </c>
      <c r="P19" s="51">
        <v>26</v>
      </c>
      <c r="Q19" s="51" t="s">
        <v>223</v>
      </c>
      <c r="R19" s="51">
        <v>26</v>
      </c>
      <c r="S19" s="51">
        <v>26</v>
      </c>
      <c r="T19" s="51">
        <v>26</v>
      </c>
      <c r="U19" s="51">
        <v>26</v>
      </c>
      <c r="V19" s="51">
        <v>26</v>
      </c>
      <c r="W19" s="51">
        <v>26</v>
      </c>
      <c r="X19" s="51">
        <v>26</v>
      </c>
      <c r="Y19" s="51">
        <v>26</v>
      </c>
      <c r="Z19" s="51">
        <v>26</v>
      </c>
      <c r="AA19" s="51">
        <v>26</v>
      </c>
      <c r="AB19" s="51">
        <v>26</v>
      </c>
      <c r="AC19" s="51">
        <v>26</v>
      </c>
      <c r="AD19" s="51">
        <v>26</v>
      </c>
      <c r="AE19" s="51">
        <v>26</v>
      </c>
      <c r="AF19" s="51">
        <v>26</v>
      </c>
      <c r="AG19" s="58">
        <v>30</v>
      </c>
      <c r="AH19" s="54">
        <f t="shared" si="2"/>
        <v>26.4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15</v>
      </c>
      <c r="C20" s="51">
        <v>15</v>
      </c>
      <c r="D20" s="51">
        <v>15</v>
      </c>
      <c r="E20" s="51">
        <v>15</v>
      </c>
      <c r="F20" s="51">
        <v>15</v>
      </c>
      <c r="G20" s="51">
        <v>15</v>
      </c>
      <c r="H20" s="51">
        <v>15</v>
      </c>
      <c r="I20" s="51">
        <v>15</v>
      </c>
      <c r="J20" s="51">
        <v>15</v>
      </c>
      <c r="K20" s="51">
        <v>15</v>
      </c>
      <c r="L20" s="51">
        <v>15</v>
      </c>
      <c r="M20" s="51">
        <v>15</v>
      </c>
      <c r="N20" s="51">
        <v>15</v>
      </c>
      <c r="O20" s="51">
        <v>15</v>
      </c>
      <c r="P20" s="51">
        <v>15</v>
      </c>
      <c r="Q20" s="51" t="s">
        <v>229</v>
      </c>
      <c r="R20" s="51">
        <v>15</v>
      </c>
      <c r="S20" s="51">
        <v>15</v>
      </c>
      <c r="T20" s="51">
        <v>15</v>
      </c>
      <c r="U20" s="51">
        <v>15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8">
        <v>27</v>
      </c>
      <c r="AH20" s="54">
        <f t="shared" si="2"/>
        <v>15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 t="s">
        <v>227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24.7</v>
      </c>
      <c r="C22" s="51">
        <v>24.7</v>
      </c>
      <c r="D22" s="51">
        <v>24.7</v>
      </c>
      <c r="E22" s="51">
        <v>24.7</v>
      </c>
      <c r="F22" s="51">
        <v>24.7</v>
      </c>
      <c r="G22" s="51">
        <v>24.7</v>
      </c>
      <c r="H22" s="51">
        <v>24.7</v>
      </c>
      <c r="I22" s="51">
        <v>24.7</v>
      </c>
      <c r="J22" s="51">
        <v>24.7</v>
      </c>
      <c r="K22" s="51">
        <v>24.7</v>
      </c>
      <c r="L22" s="51">
        <v>24.7</v>
      </c>
      <c r="M22" s="51">
        <v>24.7</v>
      </c>
      <c r="N22" s="51">
        <v>24.7</v>
      </c>
      <c r="O22" s="51">
        <v>24.7</v>
      </c>
      <c r="P22" s="51">
        <v>22</v>
      </c>
      <c r="Q22" s="51" t="s">
        <v>241</v>
      </c>
      <c r="R22" s="51">
        <v>24.7</v>
      </c>
      <c r="S22" s="51">
        <v>24.7</v>
      </c>
      <c r="T22" s="51">
        <v>24.7</v>
      </c>
      <c r="U22" s="51">
        <v>24.7</v>
      </c>
      <c r="V22" s="51">
        <v>24.7</v>
      </c>
      <c r="W22" s="51">
        <v>24.7</v>
      </c>
      <c r="X22" s="51">
        <v>24.7</v>
      </c>
      <c r="Y22" s="51">
        <v>24.7</v>
      </c>
      <c r="Z22" s="51">
        <v>24.7</v>
      </c>
      <c r="AA22" s="51">
        <v>24.7</v>
      </c>
      <c r="AB22" s="51">
        <v>24.7</v>
      </c>
      <c r="AC22" s="51">
        <v>24.7</v>
      </c>
      <c r="AD22" s="51">
        <v>24.7</v>
      </c>
      <c r="AE22" s="51">
        <v>24.7</v>
      </c>
      <c r="AF22" s="51">
        <v>24.7</v>
      </c>
      <c r="AG22" s="58">
        <v>25</v>
      </c>
      <c r="AH22" s="54">
        <f t="shared" si="2"/>
        <v>24.7</v>
      </c>
      <c r="AI22" s="55">
        <f t="shared" si="3"/>
        <v>22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10</v>
      </c>
      <c r="I23" s="51">
        <v>10</v>
      </c>
      <c r="J23" s="51">
        <v>10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 t="s">
        <v>227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10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15.7</v>
      </c>
      <c r="C24" s="51">
        <v>15.7</v>
      </c>
      <c r="D24" s="51">
        <v>15.7</v>
      </c>
      <c r="E24" s="51">
        <v>15.7</v>
      </c>
      <c r="F24" s="51">
        <v>15.7</v>
      </c>
      <c r="G24" s="51">
        <v>15.7</v>
      </c>
      <c r="H24" s="51">
        <v>15.7</v>
      </c>
      <c r="I24" s="51">
        <v>15.7</v>
      </c>
      <c r="J24" s="51">
        <v>15.7</v>
      </c>
      <c r="K24" s="51">
        <v>15.7</v>
      </c>
      <c r="L24" s="51">
        <v>15.7</v>
      </c>
      <c r="M24" s="51">
        <v>15.7</v>
      </c>
      <c r="N24" s="51">
        <v>15.7</v>
      </c>
      <c r="O24" s="51">
        <v>15.7</v>
      </c>
      <c r="P24" s="51">
        <v>15.7</v>
      </c>
      <c r="Q24" s="51" t="s">
        <v>245</v>
      </c>
      <c r="R24" s="51">
        <v>15.7</v>
      </c>
      <c r="S24" s="51">
        <v>15.7</v>
      </c>
      <c r="T24" s="51">
        <v>15.7</v>
      </c>
      <c r="U24" s="51">
        <v>15.7</v>
      </c>
      <c r="V24" s="51">
        <v>15.7</v>
      </c>
      <c r="W24" s="51">
        <v>15.7</v>
      </c>
      <c r="X24" s="51">
        <v>15.7</v>
      </c>
      <c r="Y24" s="51">
        <v>15.7</v>
      </c>
      <c r="Z24" s="51">
        <v>15.7</v>
      </c>
      <c r="AA24" s="51">
        <v>15.7</v>
      </c>
      <c r="AB24" s="51">
        <v>15.7</v>
      </c>
      <c r="AC24" s="51">
        <v>15.7</v>
      </c>
      <c r="AD24" s="51">
        <v>15.7</v>
      </c>
      <c r="AE24" s="51">
        <v>15.7</v>
      </c>
      <c r="AF24" s="51">
        <v>15.7</v>
      </c>
      <c r="AG24" s="58">
        <v>25</v>
      </c>
      <c r="AH24" s="54">
        <f t="shared" si="2"/>
        <v>15.7</v>
      </c>
      <c r="AI24" s="55">
        <f t="shared" si="3"/>
        <v>15.7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14</v>
      </c>
      <c r="I25" s="51">
        <v>14</v>
      </c>
      <c r="J25" s="51">
        <v>14</v>
      </c>
      <c r="K25" s="51">
        <v>14</v>
      </c>
      <c r="L25" s="51">
        <v>14</v>
      </c>
      <c r="M25" s="51">
        <v>14</v>
      </c>
      <c r="N25" s="51">
        <v>14</v>
      </c>
      <c r="O25" s="51">
        <v>14</v>
      </c>
      <c r="P25" s="51">
        <v>14</v>
      </c>
      <c r="Q25" s="51" t="s">
        <v>246</v>
      </c>
      <c r="R25" s="51">
        <v>14</v>
      </c>
      <c r="S25" s="51">
        <v>14</v>
      </c>
      <c r="T25" s="51">
        <v>14</v>
      </c>
      <c r="U25" s="51">
        <v>14</v>
      </c>
      <c r="V25" s="51">
        <v>14</v>
      </c>
      <c r="W25" s="51">
        <v>14</v>
      </c>
      <c r="X25" s="51">
        <v>14</v>
      </c>
      <c r="Y25" s="51">
        <v>14</v>
      </c>
      <c r="Z25" s="51">
        <v>14</v>
      </c>
      <c r="AA25" s="51">
        <v>14</v>
      </c>
      <c r="AB25" s="51">
        <v>14</v>
      </c>
      <c r="AC25" s="51">
        <v>14</v>
      </c>
      <c r="AD25" s="51">
        <v>14</v>
      </c>
      <c r="AE25" s="51">
        <v>14</v>
      </c>
      <c r="AF25" s="51">
        <v>14</v>
      </c>
      <c r="AG25" s="58">
        <v>24.2</v>
      </c>
      <c r="AH25" s="54">
        <f t="shared" si="2"/>
        <v>14</v>
      </c>
      <c r="AI25" s="55">
        <f t="shared" si="3"/>
        <v>14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0</v>
      </c>
      <c r="G26" s="51">
        <v>5</v>
      </c>
      <c r="H26" s="51">
        <v>5</v>
      </c>
      <c r="I26" s="51">
        <v>5</v>
      </c>
      <c r="J26" s="51">
        <v>5</v>
      </c>
      <c r="K26" s="51">
        <v>0</v>
      </c>
      <c r="L26" s="51">
        <v>5</v>
      </c>
      <c r="M26" s="51">
        <v>5</v>
      </c>
      <c r="N26" s="51">
        <v>5</v>
      </c>
      <c r="O26" s="51">
        <v>5</v>
      </c>
      <c r="P26" s="51">
        <v>5</v>
      </c>
      <c r="Q26" s="51"/>
      <c r="R26" s="51">
        <v>5</v>
      </c>
      <c r="S26" s="51">
        <v>5</v>
      </c>
      <c r="T26" s="51">
        <v>5</v>
      </c>
      <c r="U26" s="51">
        <v>5</v>
      </c>
      <c r="V26" s="51">
        <v>5</v>
      </c>
      <c r="W26" s="51">
        <v>5</v>
      </c>
      <c r="X26" s="51">
        <v>5</v>
      </c>
      <c r="Y26" s="51">
        <v>5</v>
      </c>
      <c r="Z26" s="51">
        <v>5</v>
      </c>
      <c r="AA26" s="51">
        <v>5</v>
      </c>
      <c r="AB26" s="51">
        <v>5</v>
      </c>
      <c r="AC26" s="51">
        <v>5</v>
      </c>
      <c r="AD26" s="51">
        <v>5</v>
      </c>
      <c r="AE26" s="51">
        <v>5</v>
      </c>
      <c r="AF26" s="51">
        <v>5</v>
      </c>
      <c r="AG26" s="58">
        <v>20</v>
      </c>
      <c r="AH26" s="54">
        <f t="shared" si="2"/>
        <v>10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8</v>
      </c>
      <c r="I27" s="51">
        <v>8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/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8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/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0</v>
      </c>
      <c r="G29" s="51">
        <v>7</v>
      </c>
      <c r="H29" s="51">
        <v>7</v>
      </c>
      <c r="I29" s="51">
        <v>7</v>
      </c>
      <c r="J29" s="51">
        <v>7</v>
      </c>
      <c r="K29" s="51">
        <v>0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/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0</v>
      </c>
      <c r="G30" s="51">
        <v>12</v>
      </c>
      <c r="H30" s="51">
        <v>12</v>
      </c>
      <c r="I30" s="51">
        <v>12</v>
      </c>
      <c r="J30" s="51">
        <v>12</v>
      </c>
      <c r="K30" s="51">
        <v>0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/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/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9">
        <v>22</v>
      </c>
      <c r="AH31" s="54">
        <f t="shared" si="2"/>
        <v>0</v>
      </c>
      <c r="AI31" s="55">
        <f t="shared" si="3"/>
        <v>0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0</v>
      </c>
      <c r="G32" s="51">
        <v>7</v>
      </c>
      <c r="H32" s="51">
        <v>7</v>
      </c>
      <c r="I32" s="51">
        <v>7</v>
      </c>
      <c r="J32" s="51">
        <v>7</v>
      </c>
      <c r="K32" s="51">
        <v>0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/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/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8</v>
      </c>
      <c r="C34" s="51">
        <v>8</v>
      </c>
      <c r="D34" s="51">
        <v>8</v>
      </c>
      <c r="E34" s="51">
        <v>8</v>
      </c>
      <c r="F34" s="51">
        <v>0</v>
      </c>
      <c r="G34" s="51">
        <v>8</v>
      </c>
      <c r="H34" s="51">
        <v>8</v>
      </c>
      <c r="I34" s="51">
        <v>8</v>
      </c>
      <c r="J34" s="51">
        <v>8</v>
      </c>
      <c r="K34" s="51">
        <v>0</v>
      </c>
      <c r="L34" s="51">
        <v>8</v>
      </c>
      <c r="M34" s="51">
        <v>8</v>
      </c>
      <c r="N34" s="51">
        <v>8</v>
      </c>
      <c r="O34" s="51">
        <v>8</v>
      </c>
      <c r="P34" s="51">
        <v>8</v>
      </c>
      <c r="Q34" s="51"/>
      <c r="R34" s="51">
        <v>8</v>
      </c>
      <c r="S34" s="51">
        <v>8</v>
      </c>
      <c r="T34" s="51">
        <v>8</v>
      </c>
      <c r="U34" s="51">
        <v>8</v>
      </c>
      <c r="V34" s="51">
        <v>8</v>
      </c>
      <c r="W34" s="51">
        <v>8</v>
      </c>
      <c r="X34" s="51">
        <v>8</v>
      </c>
      <c r="Y34" s="51">
        <v>8</v>
      </c>
      <c r="Z34" s="51">
        <v>8</v>
      </c>
      <c r="AA34" s="51">
        <v>8</v>
      </c>
      <c r="AB34" s="51">
        <v>8</v>
      </c>
      <c r="AC34" s="51">
        <v>8</v>
      </c>
      <c r="AD34" s="51">
        <v>8</v>
      </c>
      <c r="AE34" s="51">
        <v>8</v>
      </c>
      <c r="AF34" s="51">
        <v>8</v>
      </c>
      <c r="AG34" s="63">
        <v>20</v>
      </c>
      <c r="AH34" s="54">
        <f t="shared" si="2"/>
        <v>8</v>
      </c>
      <c r="AI34" s="55">
        <f t="shared" si="3"/>
        <v>0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/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200</v>
      </c>
      <c r="C36" s="65">
        <v>200</v>
      </c>
      <c r="D36" s="65">
        <v>200</v>
      </c>
      <c r="E36" s="65">
        <v>200</v>
      </c>
      <c r="F36" s="65">
        <v>160</v>
      </c>
      <c r="G36" s="65">
        <v>200</v>
      </c>
      <c r="H36" s="65">
        <v>200</v>
      </c>
      <c r="I36" s="65">
        <v>200</v>
      </c>
      <c r="J36" s="65">
        <v>200</v>
      </c>
      <c r="K36" s="65">
        <v>200</v>
      </c>
      <c r="L36" s="65">
        <v>200</v>
      </c>
      <c r="M36" s="65">
        <v>200</v>
      </c>
      <c r="N36" s="65">
        <v>200</v>
      </c>
      <c r="O36" s="65">
        <v>200</v>
      </c>
      <c r="P36" s="65">
        <v>200</v>
      </c>
      <c r="Q36" s="65"/>
      <c r="R36" s="65">
        <v>200</v>
      </c>
      <c r="S36" s="65">
        <v>200</v>
      </c>
      <c r="T36" s="65">
        <v>200</v>
      </c>
      <c r="U36" s="65">
        <v>200</v>
      </c>
      <c r="V36" s="65">
        <v>200</v>
      </c>
      <c r="W36" s="65">
        <v>200</v>
      </c>
      <c r="X36" s="65">
        <v>200</v>
      </c>
      <c r="Y36" s="65">
        <v>200</v>
      </c>
      <c r="Z36" s="65">
        <v>200</v>
      </c>
      <c r="AA36" s="65">
        <v>200</v>
      </c>
      <c r="AB36" s="65">
        <v>200</v>
      </c>
      <c r="AC36" s="65">
        <v>200</v>
      </c>
      <c r="AD36" s="65">
        <v>200</v>
      </c>
      <c r="AE36" s="65">
        <v>200</v>
      </c>
      <c r="AF36" s="65">
        <v>200</v>
      </c>
      <c r="AG36" s="63">
        <v>85</v>
      </c>
      <c r="AH36" s="54">
        <f t="shared" si="2"/>
        <v>200</v>
      </c>
      <c r="AI36" s="55">
        <f t="shared" si="3"/>
        <v>160</v>
      </c>
      <c r="AK36" s="56"/>
    </row>
    <row r="37" spans="1:88" ht="15.75" thickBot="1" x14ac:dyDescent="0.3">
      <c r="A37" s="66" t="s">
        <v>45</v>
      </c>
      <c r="B37" s="67">
        <f>86.7+67.5</f>
        <v>154.19999999999999</v>
      </c>
      <c r="C37" s="65">
        <f>67.9+89</f>
        <v>156.9</v>
      </c>
      <c r="D37" s="65">
        <f>89.5+68.5</f>
        <v>158</v>
      </c>
      <c r="E37" s="65">
        <f>89.4+68.7</f>
        <v>158.10000000000002</v>
      </c>
      <c r="F37" s="65">
        <f>69+89.1</f>
        <v>158.1</v>
      </c>
      <c r="G37" s="65">
        <f>88.5+67</f>
        <v>155.5</v>
      </c>
      <c r="H37" s="65">
        <f>87.9+68.1</f>
        <v>156</v>
      </c>
      <c r="I37" s="65">
        <f>88.3+67.8</f>
        <v>156.1</v>
      </c>
      <c r="J37" s="65">
        <f>87.9+67.9</f>
        <v>155.80000000000001</v>
      </c>
      <c r="K37" s="65">
        <f>87.9+69</f>
        <v>156.9</v>
      </c>
      <c r="L37" s="65">
        <f>88+68.6</f>
        <v>156.6</v>
      </c>
      <c r="M37" s="65">
        <f>68.3+88.3</f>
        <v>156.6</v>
      </c>
      <c r="N37" s="65">
        <f>67.3+87.2</f>
        <v>154.5</v>
      </c>
      <c r="O37" s="65">
        <f>67.2+70.6</f>
        <v>137.80000000000001</v>
      </c>
      <c r="P37" s="65">
        <f>67.9+84.3</f>
        <v>152.19999999999999</v>
      </c>
      <c r="Q37" s="65"/>
      <c r="R37" s="65">
        <f>66.9+87.7</f>
        <v>154.60000000000002</v>
      </c>
      <c r="S37" s="67">
        <f>82.9+66.4</f>
        <v>149.30000000000001</v>
      </c>
      <c r="T37" s="67">
        <f>66+87</f>
        <v>153</v>
      </c>
      <c r="U37" s="67">
        <f>67+89</f>
        <v>156</v>
      </c>
      <c r="V37" s="67">
        <f>67+88</f>
        <v>155</v>
      </c>
      <c r="W37" s="67">
        <f>66+88</f>
        <v>154</v>
      </c>
      <c r="X37" s="67">
        <f>66+88</f>
        <v>154</v>
      </c>
      <c r="Y37" s="67">
        <f>65.3+87</f>
        <v>152.30000000000001</v>
      </c>
      <c r="Z37" s="67">
        <f>65+87</f>
        <v>152</v>
      </c>
      <c r="AA37" s="67">
        <f>64.7+85.7</f>
        <v>150.4</v>
      </c>
      <c r="AB37" s="67">
        <f>65+87.1</f>
        <v>152.1</v>
      </c>
      <c r="AC37" s="67">
        <f>65+86.8</f>
        <v>151.80000000000001</v>
      </c>
      <c r="AD37" s="67">
        <f>65.3+87.6</f>
        <v>152.89999999999998</v>
      </c>
      <c r="AE37" s="67">
        <f>67.1+91.2</f>
        <v>158.30000000000001</v>
      </c>
      <c r="AF37" s="67">
        <f>67.2+91.3</f>
        <v>158.5</v>
      </c>
      <c r="AG37" s="63">
        <v>240</v>
      </c>
      <c r="AH37" s="54">
        <f t="shared" si="2"/>
        <v>158.5</v>
      </c>
      <c r="AI37" s="55">
        <f t="shared" si="3"/>
        <v>137.80000000000001</v>
      </c>
      <c r="AK37" s="56"/>
    </row>
    <row r="38" spans="1:88" ht="15.75" thickBot="1" x14ac:dyDescent="0.3">
      <c r="A38" s="68" t="s">
        <v>46</v>
      </c>
      <c r="B38" s="69">
        <f t="shared" ref="B38" si="4">SUM(B11:B36)</f>
        <v>1042.8000000000002</v>
      </c>
      <c r="C38" s="69">
        <f t="shared" ref="C38:AF38" si="5">SUM(C11:C36)</f>
        <v>1042.8000000000002</v>
      </c>
      <c r="D38" s="69">
        <f t="shared" si="5"/>
        <v>1042.8000000000002</v>
      </c>
      <c r="E38" s="69">
        <f t="shared" si="5"/>
        <v>1042.8000000000002</v>
      </c>
      <c r="F38" s="69">
        <f t="shared" si="5"/>
        <v>892.50000000000011</v>
      </c>
      <c r="G38" s="69">
        <f t="shared" si="5"/>
        <v>1032.9000000000001</v>
      </c>
      <c r="H38" s="69">
        <f t="shared" si="5"/>
        <v>1032.9000000000001</v>
      </c>
      <c r="I38" s="69">
        <f t="shared" si="5"/>
        <v>1032.9000000000001</v>
      </c>
      <c r="J38" s="69">
        <f t="shared" si="5"/>
        <v>1032.9000000000001</v>
      </c>
      <c r="K38" s="69">
        <f t="shared" si="5"/>
        <v>932.50000000000011</v>
      </c>
      <c r="L38" s="69">
        <f t="shared" si="5"/>
        <v>1025.5</v>
      </c>
      <c r="M38" s="69">
        <f t="shared" si="5"/>
        <v>1035.5</v>
      </c>
      <c r="N38" s="69">
        <f t="shared" si="5"/>
        <v>1037.5</v>
      </c>
      <c r="O38" s="69">
        <f t="shared" si="5"/>
        <v>1037.5</v>
      </c>
      <c r="P38" s="69">
        <f t="shared" si="5"/>
        <v>1031.8000000000002</v>
      </c>
      <c r="Q38" s="69">
        <f t="shared" si="5"/>
        <v>0</v>
      </c>
      <c r="R38" s="69">
        <f t="shared" si="5"/>
        <v>1080.2000000000003</v>
      </c>
      <c r="S38" s="69">
        <f t="shared" si="5"/>
        <v>1008.2000000000002</v>
      </c>
      <c r="T38" s="69">
        <f t="shared" si="5"/>
        <v>958.20000000000016</v>
      </c>
      <c r="U38" s="69">
        <f t="shared" si="5"/>
        <v>958.20000000000016</v>
      </c>
      <c r="V38" s="69">
        <f t="shared" si="5"/>
        <v>943.20000000000016</v>
      </c>
      <c r="W38" s="69">
        <f t="shared" si="5"/>
        <v>943.20000000000016</v>
      </c>
      <c r="X38" s="69">
        <f t="shared" si="5"/>
        <v>943.20000000000016</v>
      </c>
      <c r="Y38" s="69">
        <f t="shared" si="5"/>
        <v>923.20000000000016</v>
      </c>
      <c r="Z38" s="69">
        <f t="shared" si="5"/>
        <v>923.20000000000016</v>
      </c>
      <c r="AA38" s="69">
        <f t="shared" si="5"/>
        <v>1003.2000000000002</v>
      </c>
      <c r="AB38" s="69">
        <f t="shared" si="5"/>
        <v>988.20000000000016</v>
      </c>
      <c r="AC38" s="69">
        <f t="shared" si="5"/>
        <v>1023.2000000000002</v>
      </c>
      <c r="AD38" s="69">
        <f t="shared" si="5"/>
        <v>1049.2000000000003</v>
      </c>
      <c r="AE38" s="69">
        <f t="shared" si="5"/>
        <v>1049.2000000000003</v>
      </c>
      <c r="AF38" s="69">
        <f t="shared" si="5"/>
        <v>1049.2000000000003</v>
      </c>
      <c r="AG38" s="63">
        <f>SUM(AG11:AG37)</f>
        <v>1492.8299999999997</v>
      </c>
      <c r="AH38" s="54">
        <f t="shared" si="2"/>
        <v>1080.2000000000003</v>
      </c>
      <c r="AI38" s="55">
        <f t="shared" si="3"/>
        <v>0</v>
      </c>
      <c r="AK38" s="56"/>
    </row>
    <row r="39" spans="1:88" x14ac:dyDescent="0.25">
      <c r="A39" s="57" t="s">
        <v>47</v>
      </c>
      <c r="B39" s="51">
        <v>144.69999999999999</v>
      </c>
      <c r="C39" s="51">
        <v>144</v>
      </c>
      <c r="D39" s="51">
        <v>144</v>
      </c>
      <c r="E39" s="51">
        <v>144.4</v>
      </c>
      <c r="F39" s="51">
        <v>0</v>
      </c>
      <c r="G39" s="51">
        <v>142.5</v>
      </c>
      <c r="H39" s="51">
        <v>145.19999999999999</v>
      </c>
      <c r="I39" s="51">
        <v>145.1</v>
      </c>
      <c r="J39" s="51">
        <v>144.9</v>
      </c>
      <c r="K39" s="51">
        <v>0</v>
      </c>
      <c r="L39" s="51">
        <v>144.80000000000001</v>
      </c>
      <c r="M39" s="51">
        <v>144.6</v>
      </c>
      <c r="N39" s="51">
        <v>144.6</v>
      </c>
      <c r="O39" s="51">
        <v>144.6</v>
      </c>
      <c r="P39" s="51">
        <v>144.6</v>
      </c>
      <c r="Q39" s="51"/>
      <c r="R39" s="51">
        <v>144.6</v>
      </c>
      <c r="S39" s="51">
        <v>145.4</v>
      </c>
      <c r="T39" s="51">
        <v>145.4</v>
      </c>
      <c r="U39" s="51">
        <v>145.4</v>
      </c>
      <c r="V39" s="51">
        <v>145.4</v>
      </c>
      <c r="W39" s="51">
        <v>145.4</v>
      </c>
      <c r="X39" s="51">
        <v>145.4</v>
      </c>
      <c r="Y39" s="51">
        <v>145.4</v>
      </c>
      <c r="Z39" s="51">
        <v>145.4</v>
      </c>
      <c r="AA39" s="51">
        <v>145.4</v>
      </c>
      <c r="AB39" s="51">
        <v>144.4</v>
      </c>
      <c r="AC39" s="51">
        <v>144.4</v>
      </c>
      <c r="AD39" s="51">
        <v>144.5</v>
      </c>
      <c r="AE39" s="51">
        <v>145.1</v>
      </c>
      <c r="AF39" s="51">
        <v>145</v>
      </c>
      <c r="AG39" s="59">
        <v>144</v>
      </c>
      <c r="AH39" s="54">
        <f t="shared" si="2"/>
        <v>145.4</v>
      </c>
      <c r="AI39" s="55">
        <f t="shared" si="3"/>
        <v>0</v>
      </c>
      <c r="AK39" s="56"/>
    </row>
    <row r="40" spans="1:88" x14ac:dyDescent="0.25">
      <c r="A40" s="62" t="s">
        <v>48</v>
      </c>
      <c r="B40" s="70">
        <v>0</v>
      </c>
      <c r="C40" s="70">
        <v>0</v>
      </c>
      <c r="D40" s="70">
        <v>0</v>
      </c>
      <c r="E40" s="70">
        <v>0</v>
      </c>
      <c r="F40" s="70">
        <v>0</v>
      </c>
      <c r="G40" s="70">
        <v>0</v>
      </c>
      <c r="H40" s="70">
        <v>0</v>
      </c>
      <c r="I40" s="70">
        <v>0</v>
      </c>
      <c r="J40" s="70">
        <v>0</v>
      </c>
      <c r="K40" s="70">
        <v>0</v>
      </c>
      <c r="L40" s="70">
        <v>0</v>
      </c>
      <c r="M40" s="51">
        <v>0</v>
      </c>
      <c r="N40" s="51">
        <v>0</v>
      </c>
      <c r="O40" s="51">
        <v>0</v>
      </c>
      <c r="P40" s="51">
        <v>0</v>
      </c>
      <c r="Q40" s="51"/>
      <c r="R40" s="51">
        <v>65.599999999999994</v>
      </c>
      <c r="S40" s="70">
        <v>61.6</v>
      </c>
      <c r="T40" s="70">
        <v>71</v>
      </c>
      <c r="U40" s="70">
        <v>71</v>
      </c>
      <c r="V40" s="70">
        <v>71</v>
      </c>
      <c r="W40" s="70">
        <v>71</v>
      </c>
      <c r="X40" s="70">
        <v>71</v>
      </c>
      <c r="Y40" s="70">
        <v>71</v>
      </c>
      <c r="Z40" s="70">
        <v>71</v>
      </c>
      <c r="AA40" s="70">
        <v>71</v>
      </c>
      <c r="AB40" s="70">
        <v>72.3</v>
      </c>
      <c r="AC40" s="70">
        <v>72.3</v>
      </c>
      <c r="AD40" s="70">
        <v>70</v>
      </c>
      <c r="AE40" s="70">
        <v>70</v>
      </c>
      <c r="AF40" s="70">
        <v>34.799999999999997</v>
      </c>
      <c r="AG40" s="63">
        <v>70</v>
      </c>
      <c r="AH40" s="54">
        <f t="shared" si="2"/>
        <v>72.3</v>
      </c>
      <c r="AI40" s="55">
        <f t="shared" si="3"/>
        <v>0</v>
      </c>
      <c r="AK40" s="56"/>
    </row>
    <row r="41" spans="1:88" x14ac:dyDescent="0.25">
      <c r="A41" s="62" t="s">
        <v>49</v>
      </c>
      <c r="B41" s="70">
        <v>66.7</v>
      </c>
      <c r="C41" s="70">
        <v>67</v>
      </c>
      <c r="D41" s="70">
        <v>67</v>
      </c>
      <c r="E41" s="70">
        <v>67</v>
      </c>
      <c r="F41" s="70">
        <v>67</v>
      </c>
      <c r="G41" s="70">
        <v>64.5</v>
      </c>
      <c r="H41" s="70">
        <v>65.8</v>
      </c>
      <c r="I41" s="70">
        <v>66</v>
      </c>
      <c r="J41" s="70">
        <v>66.5</v>
      </c>
      <c r="K41" s="70">
        <v>66.5</v>
      </c>
      <c r="L41" s="70">
        <v>66.900000000000006</v>
      </c>
      <c r="M41" s="51">
        <v>66.3</v>
      </c>
      <c r="N41" s="51">
        <v>66.400000000000006</v>
      </c>
      <c r="O41" s="51">
        <v>66.400000000000006</v>
      </c>
      <c r="P41" s="51">
        <v>66.400000000000006</v>
      </c>
      <c r="Q41" s="51"/>
      <c r="R41" s="51">
        <v>66.400000000000006</v>
      </c>
      <c r="S41" s="70">
        <v>66.900000000000006</v>
      </c>
      <c r="T41" s="70">
        <v>66.900000000000006</v>
      </c>
      <c r="U41" s="70">
        <v>64</v>
      </c>
      <c r="V41" s="70">
        <v>64</v>
      </c>
      <c r="W41" s="70">
        <v>64</v>
      </c>
      <c r="X41" s="70">
        <v>64</v>
      </c>
      <c r="Y41" s="70">
        <v>64</v>
      </c>
      <c r="Z41" s="70">
        <v>64.3</v>
      </c>
      <c r="AA41" s="70">
        <v>64.3</v>
      </c>
      <c r="AB41" s="70">
        <v>64.8</v>
      </c>
      <c r="AC41" s="70">
        <v>64.8</v>
      </c>
      <c r="AD41" s="70">
        <v>65.099999999999994</v>
      </c>
      <c r="AE41" s="70">
        <v>65.099999999999994</v>
      </c>
      <c r="AF41" s="70">
        <v>36.700000000000003</v>
      </c>
      <c r="AG41" s="63">
        <v>69</v>
      </c>
      <c r="AH41" s="54">
        <f t="shared" si="2"/>
        <v>67</v>
      </c>
      <c r="AI41" s="55">
        <f t="shared" si="3"/>
        <v>36.700000000000003</v>
      </c>
      <c r="AK41" s="56"/>
    </row>
    <row r="42" spans="1:88" x14ac:dyDescent="0.25">
      <c r="A42" s="62" t="s">
        <v>50</v>
      </c>
      <c r="B42" s="65">
        <v>60.9</v>
      </c>
      <c r="C42" s="65">
        <v>60.9</v>
      </c>
      <c r="D42" s="65">
        <v>60.9</v>
      </c>
      <c r="E42" s="65">
        <v>60.9</v>
      </c>
      <c r="F42" s="65">
        <v>60.9</v>
      </c>
      <c r="G42" s="65">
        <v>60.9</v>
      </c>
      <c r="H42" s="65">
        <v>60.9</v>
      </c>
      <c r="I42" s="65">
        <v>60.9</v>
      </c>
      <c r="J42" s="65">
        <v>60.9</v>
      </c>
      <c r="K42" s="65">
        <v>60.9</v>
      </c>
      <c r="L42" s="65">
        <v>60.9</v>
      </c>
      <c r="M42" s="51">
        <v>60.7</v>
      </c>
      <c r="N42" s="51">
        <v>60.7</v>
      </c>
      <c r="O42" s="51">
        <v>60.7</v>
      </c>
      <c r="P42" s="51">
        <v>60.7</v>
      </c>
      <c r="Q42" s="51"/>
      <c r="R42" s="51">
        <v>67.7</v>
      </c>
      <c r="S42" s="51">
        <v>60.4</v>
      </c>
      <c r="T42" s="51">
        <v>60.4</v>
      </c>
      <c r="U42" s="51">
        <v>60.4</v>
      </c>
      <c r="V42" s="51">
        <v>60.4</v>
      </c>
      <c r="W42" s="51">
        <v>60.4</v>
      </c>
      <c r="X42" s="51">
        <v>60.4</v>
      </c>
      <c r="Y42" s="51">
        <v>60.4</v>
      </c>
      <c r="Z42" s="51">
        <v>60.4</v>
      </c>
      <c r="AA42" s="51">
        <v>60.4</v>
      </c>
      <c r="AB42" s="65">
        <v>60.9</v>
      </c>
      <c r="AC42" s="65">
        <v>60.9</v>
      </c>
      <c r="AD42" s="65">
        <v>60.9</v>
      </c>
      <c r="AE42" s="65">
        <v>60.9</v>
      </c>
      <c r="AF42" s="65">
        <v>60.9</v>
      </c>
      <c r="AG42" s="63">
        <v>60</v>
      </c>
      <c r="AH42" s="54">
        <f t="shared" si="2"/>
        <v>67.7</v>
      </c>
      <c r="AI42" s="55">
        <f t="shared" si="3"/>
        <v>60.4</v>
      </c>
      <c r="AK42" s="56"/>
    </row>
    <row r="43" spans="1:88" x14ac:dyDescent="0.25">
      <c r="A43" s="62" t="s">
        <v>51</v>
      </c>
      <c r="B43" s="65">
        <v>16</v>
      </c>
      <c r="C43" s="65">
        <v>10</v>
      </c>
      <c r="D43" s="65">
        <v>10</v>
      </c>
      <c r="E43" s="65">
        <v>10</v>
      </c>
      <c r="F43" s="65">
        <v>15</v>
      </c>
      <c r="G43" s="65">
        <v>15</v>
      </c>
      <c r="H43" s="65">
        <v>20</v>
      </c>
      <c r="I43" s="65">
        <v>22</v>
      </c>
      <c r="J43" s="65">
        <v>20</v>
      </c>
      <c r="K43" s="65">
        <v>20</v>
      </c>
      <c r="L43" s="65">
        <v>20</v>
      </c>
      <c r="M43" s="51">
        <v>20</v>
      </c>
      <c r="N43" s="51">
        <v>30</v>
      </c>
      <c r="O43" s="51">
        <v>30</v>
      </c>
      <c r="P43" s="51">
        <v>30</v>
      </c>
      <c r="Q43" s="51"/>
      <c r="R43" s="51">
        <v>30</v>
      </c>
      <c r="S43" s="51">
        <v>30</v>
      </c>
      <c r="T43" s="51">
        <v>28</v>
      </c>
      <c r="U43" s="51">
        <v>28</v>
      </c>
      <c r="V43" s="51">
        <v>28</v>
      </c>
      <c r="W43" s="51">
        <v>28</v>
      </c>
      <c r="X43" s="51">
        <v>28</v>
      </c>
      <c r="Y43" s="51">
        <v>28</v>
      </c>
      <c r="Z43" s="51">
        <v>6.5</v>
      </c>
      <c r="AA43" s="51">
        <v>6.5</v>
      </c>
      <c r="AB43" s="65">
        <v>19.600000000000001</v>
      </c>
      <c r="AC43" s="65">
        <v>19.600000000000001</v>
      </c>
      <c r="AD43" s="65">
        <v>20.100000000000001</v>
      </c>
      <c r="AE43" s="65">
        <v>20.100000000000001</v>
      </c>
      <c r="AF43" s="65">
        <v>20.100000000000001</v>
      </c>
      <c r="AG43" s="63">
        <v>30</v>
      </c>
      <c r="AH43" s="54">
        <f t="shared" si="2"/>
        <v>30</v>
      </c>
      <c r="AI43" s="55">
        <f t="shared" si="3"/>
        <v>6.5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51">
        <v>0</v>
      </c>
      <c r="N44" s="51">
        <v>0</v>
      </c>
      <c r="O44" s="51">
        <v>0</v>
      </c>
      <c r="P44" s="51">
        <v>0</v>
      </c>
      <c r="Q44" s="51"/>
      <c r="R44" s="51">
        <v>5</v>
      </c>
      <c r="S44" s="51">
        <v>5</v>
      </c>
      <c r="T44" s="51">
        <v>5</v>
      </c>
      <c r="U44" s="51">
        <v>5</v>
      </c>
      <c r="V44" s="51">
        <v>5</v>
      </c>
      <c r="W44" s="51">
        <v>5</v>
      </c>
      <c r="X44" s="51">
        <v>5</v>
      </c>
      <c r="Y44" s="51">
        <v>5</v>
      </c>
      <c r="Z44" s="51">
        <v>0</v>
      </c>
      <c r="AA44" s="51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5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14.8</v>
      </c>
      <c r="C45" s="70">
        <v>14.8</v>
      </c>
      <c r="D45" s="70">
        <v>14.8</v>
      </c>
      <c r="E45" s="70">
        <v>14.8</v>
      </c>
      <c r="F45" s="70">
        <v>15</v>
      </c>
      <c r="G45" s="70">
        <v>15</v>
      </c>
      <c r="H45" s="70">
        <v>15</v>
      </c>
      <c r="I45" s="70">
        <v>15</v>
      </c>
      <c r="J45" s="70">
        <v>15</v>
      </c>
      <c r="K45" s="70">
        <v>15</v>
      </c>
      <c r="L45" s="70">
        <v>15</v>
      </c>
      <c r="M45" s="51">
        <v>15</v>
      </c>
      <c r="N45" s="51">
        <v>15</v>
      </c>
      <c r="O45" s="51">
        <v>15</v>
      </c>
      <c r="P45" s="51">
        <v>15</v>
      </c>
      <c r="Q45" s="51"/>
      <c r="R45" s="51">
        <v>15</v>
      </c>
      <c r="S45" s="51">
        <v>15</v>
      </c>
      <c r="T45" s="51">
        <v>15</v>
      </c>
      <c r="U45" s="51">
        <v>15</v>
      </c>
      <c r="V45" s="51">
        <v>15</v>
      </c>
      <c r="W45" s="51">
        <v>15</v>
      </c>
      <c r="X45" s="51">
        <v>15</v>
      </c>
      <c r="Y45" s="51">
        <v>15</v>
      </c>
      <c r="Z45" s="51">
        <v>15</v>
      </c>
      <c r="AA45" s="51">
        <v>15</v>
      </c>
      <c r="AB45" s="70">
        <v>14.7</v>
      </c>
      <c r="AC45" s="70">
        <v>14.7</v>
      </c>
      <c r="AD45" s="70">
        <v>14.7</v>
      </c>
      <c r="AE45" s="70">
        <v>14.7</v>
      </c>
      <c r="AF45" s="70">
        <v>14.7</v>
      </c>
      <c r="AG45" s="63">
        <v>24</v>
      </c>
      <c r="AH45" s="54">
        <f t="shared" si="2"/>
        <v>15</v>
      </c>
      <c r="AI45" s="55">
        <f t="shared" si="3"/>
        <v>14.7</v>
      </c>
      <c r="AK45" s="56"/>
    </row>
    <row r="46" spans="1:88" x14ac:dyDescent="0.25">
      <c r="A46" s="62" t="s">
        <v>54</v>
      </c>
      <c r="B46" s="70">
        <v>2</v>
      </c>
      <c r="C46" s="70">
        <v>2</v>
      </c>
      <c r="D46" s="70">
        <v>2</v>
      </c>
      <c r="E46" s="70">
        <v>2</v>
      </c>
      <c r="F46" s="70">
        <v>0</v>
      </c>
      <c r="G46" s="70">
        <v>2</v>
      </c>
      <c r="H46" s="70">
        <v>2</v>
      </c>
      <c r="I46" s="70">
        <v>2</v>
      </c>
      <c r="J46" s="70">
        <v>2</v>
      </c>
      <c r="K46" s="70">
        <v>2</v>
      </c>
      <c r="L46" s="70">
        <v>2</v>
      </c>
      <c r="M46" s="51">
        <v>2.5</v>
      </c>
      <c r="N46" s="51">
        <v>2.5</v>
      </c>
      <c r="O46" s="51">
        <v>2.5</v>
      </c>
      <c r="P46" s="51">
        <v>2.5</v>
      </c>
      <c r="Q46" s="51"/>
      <c r="R46" s="51">
        <v>0</v>
      </c>
      <c r="S46" s="51">
        <v>1.8</v>
      </c>
      <c r="T46" s="51">
        <v>1.8</v>
      </c>
      <c r="U46" s="51">
        <v>3.6</v>
      </c>
      <c r="V46" s="51">
        <v>3.6</v>
      </c>
      <c r="W46" s="51">
        <v>3.6</v>
      </c>
      <c r="X46" s="51">
        <v>3.6</v>
      </c>
      <c r="Y46" s="51">
        <v>3.6</v>
      </c>
      <c r="Z46" s="51">
        <v>3.6</v>
      </c>
      <c r="AA46" s="51">
        <v>3.6</v>
      </c>
      <c r="AB46" s="70">
        <v>3.6</v>
      </c>
      <c r="AC46" s="70">
        <v>3.6</v>
      </c>
      <c r="AD46" s="70">
        <v>3.6</v>
      </c>
      <c r="AE46" s="70">
        <v>3.6</v>
      </c>
      <c r="AF46" s="70">
        <v>3.6</v>
      </c>
      <c r="AG46" s="63">
        <v>15</v>
      </c>
      <c r="AH46" s="54">
        <f t="shared" si="2"/>
        <v>3.6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10.8</v>
      </c>
      <c r="C47" s="70">
        <v>10.8</v>
      </c>
      <c r="D47" s="70">
        <v>11.5</v>
      </c>
      <c r="E47" s="70">
        <v>11.5</v>
      </c>
      <c r="F47" s="70">
        <v>11.5</v>
      </c>
      <c r="G47" s="70">
        <v>11.5</v>
      </c>
      <c r="H47" s="70">
        <v>11.5</v>
      </c>
      <c r="I47" s="70">
        <v>11.5</v>
      </c>
      <c r="J47" s="70">
        <v>11.5</v>
      </c>
      <c r="K47" s="70">
        <v>11.5</v>
      </c>
      <c r="L47" s="70">
        <v>11.5</v>
      </c>
      <c r="M47" s="51">
        <v>11.5</v>
      </c>
      <c r="N47" s="51">
        <v>11.9</v>
      </c>
      <c r="O47" s="51">
        <v>11.9</v>
      </c>
      <c r="P47" s="51">
        <v>11.9</v>
      </c>
      <c r="Q47" s="51"/>
      <c r="R47" s="51">
        <v>11.7</v>
      </c>
      <c r="S47" s="51">
        <v>11.7</v>
      </c>
      <c r="T47" s="51">
        <v>11.7</v>
      </c>
      <c r="U47" s="51">
        <v>11.7</v>
      </c>
      <c r="V47" s="51">
        <v>11.7</v>
      </c>
      <c r="W47" s="51">
        <v>11.7</v>
      </c>
      <c r="X47" s="51">
        <v>11.7</v>
      </c>
      <c r="Y47" s="51">
        <v>11.7</v>
      </c>
      <c r="Z47" s="51">
        <v>11.7</v>
      </c>
      <c r="AA47" s="51">
        <v>11.7</v>
      </c>
      <c r="AB47" s="70">
        <v>10.6</v>
      </c>
      <c r="AC47" s="70">
        <v>10.6</v>
      </c>
      <c r="AD47" s="70">
        <v>10.7</v>
      </c>
      <c r="AE47" s="70">
        <v>10.7</v>
      </c>
      <c r="AF47" s="70">
        <v>10.7</v>
      </c>
      <c r="AG47" s="63">
        <v>14.1</v>
      </c>
      <c r="AH47" s="54">
        <f t="shared" si="2"/>
        <v>11.9</v>
      </c>
      <c r="AI47" s="55">
        <f t="shared" si="3"/>
        <v>10.6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14</v>
      </c>
      <c r="C48" s="70">
        <v>14</v>
      </c>
      <c r="D48" s="70">
        <v>14</v>
      </c>
      <c r="E48" s="70">
        <v>14</v>
      </c>
      <c r="F48" s="70">
        <v>0</v>
      </c>
      <c r="G48" s="70">
        <v>13.1</v>
      </c>
      <c r="H48" s="70">
        <v>13.1</v>
      </c>
      <c r="I48" s="70">
        <v>13.1</v>
      </c>
      <c r="J48" s="70">
        <v>13.1</v>
      </c>
      <c r="K48" s="70">
        <v>0</v>
      </c>
      <c r="L48" s="70">
        <v>0</v>
      </c>
      <c r="M48" s="51">
        <v>13.1</v>
      </c>
      <c r="N48" s="51">
        <v>13.1</v>
      </c>
      <c r="O48" s="51">
        <v>13.1</v>
      </c>
      <c r="P48" s="51">
        <v>13.1</v>
      </c>
      <c r="Q48" s="51"/>
      <c r="R48" s="51">
        <v>13.2</v>
      </c>
      <c r="S48" s="51">
        <v>13.2</v>
      </c>
      <c r="T48" s="51">
        <v>13.2</v>
      </c>
      <c r="U48" s="51">
        <v>13.2</v>
      </c>
      <c r="V48" s="51">
        <v>13.2</v>
      </c>
      <c r="W48" s="51">
        <v>13.2</v>
      </c>
      <c r="X48" s="51">
        <v>13.2</v>
      </c>
      <c r="Y48" s="51">
        <v>13.2</v>
      </c>
      <c r="Z48" s="51">
        <v>13.2</v>
      </c>
      <c r="AA48" s="51">
        <v>13.2</v>
      </c>
      <c r="AB48" s="70">
        <v>13.3</v>
      </c>
      <c r="AC48" s="70">
        <v>13.3</v>
      </c>
      <c r="AD48" s="70">
        <v>13.3</v>
      </c>
      <c r="AE48" s="70">
        <v>13.3</v>
      </c>
      <c r="AF48" s="70">
        <v>13.3</v>
      </c>
      <c r="AG48" s="63">
        <v>14</v>
      </c>
      <c r="AH48" s="54">
        <f t="shared" si="2"/>
        <v>14</v>
      </c>
      <c r="AI48" s="55">
        <f t="shared" si="3"/>
        <v>0</v>
      </c>
      <c r="AK48" s="56"/>
    </row>
    <row r="49" spans="1:37" x14ac:dyDescent="0.25">
      <c r="A49" s="62" t="s">
        <v>57</v>
      </c>
      <c r="B49" s="70">
        <v>9</v>
      </c>
      <c r="C49" s="70">
        <v>9</v>
      </c>
      <c r="D49" s="70">
        <v>9</v>
      </c>
      <c r="E49" s="70">
        <v>9</v>
      </c>
      <c r="F49" s="70">
        <v>9.6</v>
      </c>
      <c r="G49" s="70">
        <v>9.6</v>
      </c>
      <c r="H49" s="70">
        <v>9.6</v>
      </c>
      <c r="I49" s="70">
        <v>9.6</v>
      </c>
      <c r="J49" s="70">
        <v>9.6</v>
      </c>
      <c r="K49" s="70">
        <v>9.6</v>
      </c>
      <c r="L49" s="70">
        <v>9.6</v>
      </c>
      <c r="M49" s="51">
        <v>9.6999999999999993</v>
      </c>
      <c r="N49" s="51">
        <v>9.6999999999999993</v>
      </c>
      <c r="O49" s="51">
        <v>9.6999999999999993</v>
      </c>
      <c r="P49" s="51">
        <v>9.6999999999999993</v>
      </c>
      <c r="Q49" s="51"/>
      <c r="R49" s="51">
        <v>9.6999999999999993</v>
      </c>
      <c r="S49" s="51">
        <v>9.6999999999999993</v>
      </c>
      <c r="T49" s="51">
        <v>9.6999999999999993</v>
      </c>
      <c r="U49" s="51">
        <v>9.6999999999999993</v>
      </c>
      <c r="V49" s="51">
        <v>9.6999999999999993</v>
      </c>
      <c r="W49" s="51">
        <v>9.6999999999999993</v>
      </c>
      <c r="X49" s="51">
        <v>9.6999999999999993</v>
      </c>
      <c r="Y49" s="51">
        <v>9.6999999999999993</v>
      </c>
      <c r="Z49" s="51">
        <v>9.6999999999999993</v>
      </c>
      <c r="AA49" s="51">
        <v>9.6999999999999993</v>
      </c>
      <c r="AB49" s="70">
        <v>9.6999999999999993</v>
      </c>
      <c r="AC49" s="70">
        <v>9.6999999999999993</v>
      </c>
      <c r="AD49" s="70">
        <v>9.6999999999999993</v>
      </c>
      <c r="AE49" s="70">
        <v>9.6999999999999993</v>
      </c>
      <c r="AF49" s="70">
        <v>9.6999999999999993</v>
      </c>
      <c r="AG49" s="63">
        <v>10.050000000000001</v>
      </c>
      <c r="AH49" s="54">
        <f t="shared" si="2"/>
        <v>9.6999999999999993</v>
      </c>
      <c r="AI49" s="55">
        <f t="shared" si="3"/>
        <v>9</v>
      </c>
      <c r="AK49" s="56"/>
    </row>
    <row r="50" spans="1:37" x14ac:dyDescent="0.25">
      <c r="A50" s="62" t="s">
        <v>58</v>
      </c>
      <c r="B50" s="70">
        <v>3.1</v>
      </c>
      <c r="C50" s="70">
        <v>3.1</v>
      </c>
      <c r="D50" s="70">
        <v>3.1</v>
      </c>
      <c r="E50" s="70">
        <v>3.1</v>
      </c>
      <c r="F50" s="70">
        <v>3.2</v>
      </c>
      <c r="G50" s="70">
        <v>3.2</v>
      </c>
      <c r="H50" s="70">
        <v>3.2</v>
      </c>
      <c r="I50" s="70">
        <v>3.2</v>
      </c>
      <c r="J50" s="70">
        <v>3.2</v>
      </c>
      <c r="K50" s="70">
        <v>3.2</v>
      </c>
      <c r="L50" s="70">
        <v>3.2</v>
      </c>
      <c r="M50" s="51">
        <v>3.2</v>
      </c>
      <c r="N50" s="51">
        <v>3.2</v>
      </c>
      <c r="O50" s="51">
        <v>3.2</v>
      </c>
      <c r="P50" s="51">
        <v>3.2</v>
      </c>
      <c r="Q50" s="51"/>
      <c r="R50" s="51">
        <v>3.2</v>
      </c>
      <c r="S50" s="51">
        <v>3.2</v>
      </c>
      <c r="T50" s="51">
        <v>3.2</v>
      </c>
      <c r="U50" s="51">
        <v>3.2</v>
      </c>
      <c r="V50" s="51">
        <v>3.2</v>
      </c>
      <c r="W50" s="51">
        <v>3.2</v>
      </c>
      <c r="X50" s="51">
        <v>3.2</v>
      </c>
      <c r="Y50" s="51">
        <v>3.2</v>
      </c>
      <c r="Z50" s="51">
        <v>3.2</v>
      </c>
      <c r="AA50" s="51">
        <v>3.2</v>
      </c>
      <c r="AB50" s="70">
        <v>3.2</v>
      </c>
      <c r="AC50" s="70">
        <v>3.2</v>
      </c>
      <c r="AD50" s="70">
        <v>3.2</v>
      </c>
      <c r="AE50" s="70">
        <v>3.2</v>
      </c>
      <c r="AF50" s="70">
        <v>3.2</v>
      </c>
      <c r="AG50" s="63">
        <v>6.2</v>
      </c>
      <c r="AH50" s="54">
        <f t="shared" si="2"/>
        <v>3.2</v>
      </c>
      <c r="AI50" s="55">
        <f t="shared" si="3"/>
        <v>3.1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/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AG201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" si="7">SUM(B39:B51)</f>
        <v>345.54</v>
      </c>
      <c r="C52" s="69">
        <f t="shared" ref="C52:AF52" si="8">SUM(C39:C51)</f>
        <v>339.14000000000004</v>
      </c>
      <c r="D52" s="69">
        <f t="shared" si="8"/>
        <v>339.84000000000003</v>
      </c>
      <c r="E52" s="69">
        <f t="shared" si="8"/>
        <v>340.24000000000007</v>
      </c>
      <c r="F52" s="69">
        <f t="shared" si="8"/>
        <v>185.73999999999998</v>
      </c>
      <c r="G52" s="69">
        <f t="shared" si="8"/>
        <v>340.84000000000003</v>
      </c>
      <c r="H52" s="69">
        <f t="shared" si="8"/>
        <v>349.84000000000003</v>
      </c>
      <c r="I52" s="69">
        <f t="shared" si="8"/>
        <v>351.94000000000005</v>
      </c>
      <c r="J52" s="69">
        <f t="shared" si="8"/>
        <v>350.24000000000007</v>
      </c>
      <c r="K52" s="69">
        <f t="shared" si="8"/>
        <v>192.23999999999998</v>
      </c>
      <c r="L52" s="69">
        <f t="shared" si="8"/>
        <v>337.44000000000005</v>
      </c>
      <c r="M52" s="69">
        <f t="shared" si="8"/>
        <v>350.14</v>
      </c>
      <c r="N52" s="69">
        <f t="shared" si="8"/>
        <v>360.64</v>
      </c>
      <c r="O52" s="69">
        <f t="shared" si="8"/>
        <v>360.64</v>
      </c>
      <c r="P52" s="69">
        <f t="shared" si="8"/>
        <v>360.64</v>
      </c>
      <c r="Q52" s="69"/>
      <c r="R52" s="69">
        <f t="shared" si="8"/>
        <v>435.64</v>
      </c>
      <c r="S52" s="69">
        <f t="shared" si="8"/>
        <v>427.43999999999994</v>
      </c>
      <c r="T52" s="69">
        <f t="shared" si="8"/>
        <v>434.84</v>
      </c>
      <c r="U52" s="69">
        <f t="shared" si="8"/>
        <v>433.73999999999995</v>
      </c>
      <c r="V52" s="69">
        <f t="shared" si="8"/>
        <v>433.73999999999995</v>
      </c>
      <c r="W52" s="69">
        <f t="shared" si="8"/>
        <v>433.73999999999995</v>
      </c>
      <c r="X52" s="69">
        <f>SUM(X39:X51)</f>
        <v>433.73999999999995</v>
      </c>
      <c r="Y52" s="69">
        <f t="shared" si="8"/>
        <v>433.73999999999995</v>
      </c>
      <c r="Z52" s="69">
        <f t="shared" si="8"/>
        <v>407.53999999999996</v>
      </c>
      <c r="AA52" s="69">
        <f t="shared" si="8"/>
        <v>407.53999999999996</v>
      </c>
      <c r="AB52" s="69">
        <f t="shared" si="8"/>
        <v>420.64000000000004</v>
      </c>
      <c r="AC52" s="69">
        <f t="shared" si="8"/>
        <v>420.64000000000004</v>
      </c>
      <c r="AD52" s="69">
        <f t="shared" si="8"/>
        <v>419.34000000000003</v>
      </c>
      <c r="AE52" s="69">
        <f t="shared" si="8"/>
        <v>419.94</v>
      </c>
      <c r="AF52" s="69">
        <f t="shared" si="8"/>
        <v>356.24</v>
      </c>
      <c r="AG52" s="74">
        <f>SUM(AG39:AG51)</f>
        <v>489.91</v>
      </c>
      <c r="AH52" s="54">
        <f t="shared" si="2"/>
        <v>435.64</v>
      </c>
      <c r="AI52" s="55">
        <f t="shared" si="3"/>
        <v>185.73999999999998</v>
      </c>
      <c r="AK52" s="56"/>
    </row>
    <row r="53" spans="1:37" x14ac:dyDescent="0.25">
      <c r="A53" s="57" t="s">
        <v>61</v>
      </c>
      <c r="B53" s="51">
        <v>60</v>
      </c>
      <c r="C53" s="51">
        <v>60</v>
      </c>
      <c r="D53" s="51">
        <v>60</v>
      </c>
      <c r="E53" s="51">
        <v>54</v>
      </c>
      <c r="F53" s="51">
        <v>40</v>
      </c>
      <c r="G53" s="51">
        <v>29.3</v>
      </c>
      <c r="H53" s="51">
        <v>40.200000000000003</v>
      </c>
      <c r="I53" s="51">
        <v>50.7</v>
      </c>
      <c r="J53" s="51">
        <v>59</v>
      </c>
      <c r="K53" s="51">
        <v>58.8</v>
      </c>
      <c r="L53" s="51">
        <v>60</v>
      </c>
      <c r="M53" s="51">
        <v>60</v>
      </c>
      <c r="N53" s="51">
        <v>59.7</v>
      </c>
      <c r="O53" s="51">
        <v>59.6</v>
      </c>
      <c r="P53" s="51">
        <v>60</v>
      </c>
      <c r="Q53" s="51"/>
      <c r="R53" s="51">
        <v>60</v>
      </c>
      <c r="S53" s="51">
        <v>59.2</v>
      </c>
      <c r="T53" s="51">
        <v>60</v>
      </c>
      <c r="U53" s="51">
        <v>60</v>
      </c>
      <c r="V53" s="51">
        <v>60</v>
      </c>
      <c r="W53" s="51">
        <v>60</v>
      </c>
      <c r="X53" s="51">
        <v>60</v>
      </c>
      <c r="Y53" s="51">
        <v>60</v>
      </c>
      <c r="Z53" s="51">
        <v>60</v>
      </c>
      <c r="AA53" s="51">
        <v>60</v>
      </c>
      <c r="AB53" s="51">
        <v>59.2</v>
      </c>
      <c r="AC53" s="51">
        <v>60</v>
      </c>
      <c r="AD53" s="51">
        <v>60</v>
      </c>
      <c r="AE53" s="51">
        <v>60</v>
      </c>
      <c r="AF53" s="51">
        <v>60</v>
      </c>
      <c r="AG53" s="59">
        <v>60</v>
      </c>
      <c r="AH53" s="54">
        <f t="shared" si="2"/>
        <v>60</v>
      </c>
      <c r="AI53" s="55">
        <f t="shared" si="3"/>
        <v>29.3</v>
      </c>
      <c r="AK53" s="56"/>
    </row>
    <row r="54" spans="1:37" x14ac:dyDescent="0.25">
      <c r="A54" s="62" t="s">
        <v>62</v>
      </c>
      <c r="B54" s="70">
        <v>31.2</v>
      </c>
      <c r="C54" s="70">
        <v>31.2</v>
      </c>
      <c r="D54" s="70">
        <v>31.2</v>
      </c>
      <c r="E54" s="70">
        <v>26</v>
      </c>
      <c r="F54" s="70">
        <v>20</v>
      </c>
      <c r="G54" s="70">
        <v>11.3</v>
      </c>
      <c r="H54" s="70">
        <v>19.3</v>
      </c>
      <c r="I54" s="70">
        <v>25.7</v>
      </c>
      <c r="J54" s="70">
        <v>22.3</v>
      </c>
      <c r="K54" s="70">
        <v>30.8</v>
      </c>
      <c r="L54" s="70">
        <v>29</v>
      </c>
      <c r="M54" s="70">
        <v>31.3</v>
      </c>
      <c r="N54" s="70">
        <v>31.5</v>
      </c>
      <c r="O54" s="70">
        <v>31.4</v>
      </c>
      <c r="P54" s="70">
        <v>31.3</v>
      </c>
      <c r="Q54" s="70"/>
      <c r="R54" s="70">
        <v>31.3</v>
      </c>
      <c r="S54" s="70">
        <v>31.5</v>
      </c>
      <c r="T54" s="70">
        <v>31.4</v>
      </c>
      <c r="U54" s="70">
        <v>31.4</v>
      </c>
      <c r="V54" s="70">
        <v>31.4</v>
      </c>
      <c r="W54" s="70">
        <v>31.4</v>
      </c>
      <c r="X54" s="70">
        <v>31.4</v>
      </c>
      <c r="Y54" s="70">
        <v>31.4</v>
      </c>
      <c r="Z54" s="70">
        <v>31.4</v>
      </c>
      <c r="AA54" s="70">
        <v>31.4</v>
      </c>
      <c r="AB54" s="70">
        <v>31.4</v>
      </c>
      <c r="AC54" s="70">
        <v>31.6</v>
      </c>
      <c r="AD54" s="70">
        <v>31.8</v>
      </c>
      <c r="AE54" s="70">
        <v>31.8</v>
      </c>
      <c r="AF54" s="70">
        <v>18.8</v>
      </c>
      <c r="AG54" s="63">
        <v>32</v>
      </c>
      <c r="AH54" s="54">
        <f t="shared" si="2"/>
        <v>31.8</v>
      </c>
      <c r="AI54" s="55">
        <f t="shared" si="3"/>
        <v>11.3</v>
      </c>
      <c r="AK54" s="56"/>
    </row>
    <row r="55" spans="1:37" ht="15.75" thickBot="1" x14ac:dyDescent="0.3">
      <c r="A55" s="72" t="s">
        <v>63</v>
      </c>
      <c r="B55" s="75">
        <v>11.4</v>
      </c>
      <c r="C55" s="75">
        <v>11.4</v>
      </c>
      <c r="D55" s="75">
        <v>11.4</v>
      </c>
      <c r="E55" s="75">
        <v>10.5</v>
      </c>
      <c r="F55" s="75">
        <v>7.5</v>
      </c>
      <c r="G55" s="75">
        <v>4.0999999999999996</v>
      </c>
      <c r="H55" s="75">
        <v>7</v>
      </c>
      <c r="I55" s="75">
        <v>9.4</v>
      </c>
      <c r="J55" s="75">
        <v>8.1</v>
      </c>
      <c r="K55" s="75">
        <v>11.4</v>
      </c>
      <c r="L55" s="75">
        <v>10.6</v>
      </c>
      <c r="M55" s="75">
        <v>11.4</v>
      </c>
      <c r="N55" s="75">
        <v>11.5</v>
      </c>
      <c r="O55" s="75">
        <v>11.5</v>
      </c>
      <c r="P55" s="75">
        <v>11.4</v>
      </c>
      <c r="Q55" s="75"/>
      <c r="R55" s="75">
        <v>11.4</v>
      </c>
      <c r="S55" s="75">
        <v>11.5</v>
      </c>
      <c r="T55" s="75">
        <v>11.5</v>
      </c>
      <c r="U55" s="75">
        <v>11.5</v>
      </c>
      <c r="V55" s="75">
        <v>11.5</v>
      </c>
      <c r="W55" s="75">
        <v>11.5</v>
      </c>
      <c r="X55" s="75">
        <v>11.5</v>
      </c>
      <c r="Y55" s="75">
        <v>11.5</v>
      </c>
      <c r="Z55" s="75">
        <v>11.5</v>
      </c>
      <c r="AA55" s="75">
        <v>11.5</v>
      </c>
      <c r="AB55" s="75">
        <v>11.5</v>
      </c>
      <c r="AC55" s="75">
        <v>11.5</v>
      </c>
      <c r="AD55" s="75">
        <v>11.6</v>
      </c>
      <c r="AE55" s="75">
        <v>11.6</v>
      </c>
      <c r="AF55" s="75">
        <v>6.9</v>
      </c>
      <c r="AG55" s="76">
        <v>14</v>
      </c>
      <c r="AH55" s="54">
        <f t="shared" si="2"/>
        <v>11.6</v>
      </c>
      <c r="AI55" s="55">
        <f t="shared" si="3"/>
        <v>4.0999999999999996</v>
      </c>
      <c r="AK55" s="56"/>
    </row>
    <row r="56" spans="1:37" ht="15.75" thickBot="1" x14ac:dyDescent="0.3">
      <c r="A56" s="68" t="s">
        <v>64</v>
      </c>
      <c r="B56" s="69">
        <f t="shared" ref="B56" si="9">SUM(B53:B55)</f>
        <v>102.60000000000001</v>
      </c>
      <c r="C56" s="69">
        <f t="shared" ref="C56:AF56" si="10">SUM(C53:C55)</f>
        <v>102.60000000000001</v>
      </c>
      <c r="D56" s="69">
        <f t="shared" si="10"/>
        <v>102.60000000000001</v>
      </c>
      <c r="E56" s="69">
        <f t="shared" si="10"/>
        <v>90.5</v>
      </c>
      <c r="F56" s="69">
        <f t="shared" si="10"/>
        <v>67.5</v>
      </c>
      <c r="G56" s="69">
        <f t="shared" si="10"/>
        <v>44.7</v>
      </c>
      <c r="H56" s="69">
        <f t="shared" si="10"/>
        <v>66.5</v>
      </c>
      <c r="I56" s="69">
        <f t="shared" si="10"/>
        <v>85.800000000000011</v>
      </c>
      <c r="J56" s="69">
        <f t="shared" si="10"/>
        <v>89.399999999999991</v>
      </c>
      <c r="K56" s="69">
        <f t="shared" si="10"/>
        <v>101</v>
      </c>
      <c r="L56" s="69">
        <f t="shared" si="10"/>
        <v>99.6</v>
      </c>
      <c r="M56" s="69">
        <f t="shared" si="10"/>
        <v>102.7</v>
      </c>
      <c r="N56" s="69">
        <f t="shared" si="10"/>
        <v>102.7</v>
      </c>
      <c r="O56" s="69">
        <f t="shared" si="10"/>
        <v>102.5</v>
      </c>
      <c r="P56" s="69">
        <f t="shared" si="10"/>
        <v>102.7</v>
      </c>
      <c r="Q56" s="69">
        <f t="shared" si="10"/>
        <v>0</v>
      </c>
      <c r="R56" s="69">
        <f t="shared" si="10"/>
        <v>102.7</v>
      </c>
      <c r="S56" s="69">
        <f t="shared" si="10"/>
        <v>102.2</v>
      </c>
      <c r="T56" s="69">
        <f t="shared" si="10"/>
        <v>102.9</v>
      </c>
      <c r="U56" s="69">
        <f t="shared" si="10"/>
        <v>102.9</v>
      </c>
      <c r="V56" s="69">
        <f t="shared" si="10"/>
        <v>102.9</v>
      </c>
      <c r="W56" s="69">
        <f t="shared" si="10"/>
        <v>102.9</v>
      </c>
      <c r="X56" s="69">
        <f t="shared" si="10"/>
        <v>102.9</v>
      </c>
      <c r="Y56" s="69">
        <f t="shared" si="10"/>
        <v>102.9</v>
      </c>
      <c r="Z56" s="69">
        <f t="shared" si="10"/>
        <v>102.9</v>
      </c>
      <c r="AA56" s="69">
        <f t="shared" si="10"/>
        <v>102.9</v>
      </c>
      <c r="AB56" s="69">
        <f t="shared" si="10"/>
        <v>102.1</v>
      </c>
      <c r="AC56" s="69">
        <f t="shared" si="10"/>
        <v>103.1</v>
      </c>
      <c r="AD56" s="69">
        <f t="shared" si="10"/>
        <v>103.39999999999999</v>
      </c>
      <c r="AE56" s="69">
        <f t="shared" si="10"/>
        <v>103.39999999999999</v>
      </c>
      <c r="AF56" s="69">
        <f t="shared" si="10"/>
        <v>85.7</v>
      </c>
      <c r="AG56" s="74">
        <f>SUM(AG53:AG55)</f>
        <v>106</v>
      </c>
      <c r="AH56" s="54">
        <f t="shared" si="2"/>
        <v>103.39999999999999</v>
      </c>
      <c r="AI56" s="55">
        <f t="shared" si="3"/>
        <v>0</v>
      </c>
      <c r="AK56" s="56"/>
    </row>
    <row r="57" spans="1:37" x14ac:dyDescent="0.25">
      <c r="A57" s="57" t="s">
        <v>65</v>
      </c>
      <c r="B57" s="51">
        <v>56</v>
      </c>
      <c r="C57" s="51">
        <v>63.7</v>
      </c>
      <c r="D57" s="51">
        <v>62.7</v>
      </c>
      <c r="E57" s="51">
        <v>62.5</v>
      </c>
      <c r="F57" s="51">
        <v>55</v>
      </c>
      <c r="G57" s="51">
        <v>52.32</v>
      </c>
      <c r="H57" s="51">
        <v>42</v>
      </c>
      <c r="I57" s="51">
        <v>60.59</v>
      </c>
      <c r="J57" s="51">
        <v>58.4</v>
      </c>
      <c r="K57" s="51">
        <v>65</v>
      </c>
      <c r="L57" s="51">
        <v>51</v>
      </c>
      <c r="M57" s="51">
        <v>70.17</v>
      </c>
      <c r="N57" s="51">
        <v>65.5</v>
      </c>
      <c r="O57" s="51">
        <v>70.2</v>
      </c>
      <c r="P57" s="51">
        <v>67.8</v>
      </c>
      <c r="Q57" s="51"/>
      <c r="R57" s="51">
        <v>67.8</v>
      </c>
      <c r="S57" s="51">
        <v>75.099999999999994</v>
      </c>
      <c r="T57" s="51">
        <v>73.8</v>
      </c>
      <c r="U57" s="51">
        <v>74.099999999999994</v>
      </c>
      <c r="V57" s="51">
        <v>66.3</v>
      </c>
      <c r="W57" s="51">
        <v>62</v>
      </c>
      <c r="X57" s="51">
        <v>62</v>
      </c>
      <c r="Y57" s="51">
        <v>63</v>
      </c>
      <c r="Z57" s="51">
        <v>62.6</v>
      </c>
      <c r="AA57" s="51">
        <v>51.4</v>
      </c>
      <c r="AB57" s="51">
        <v>53.9</v>
      </c>
      <c r="AC57" s="51">
        <v>54.5</v>
      </c>
      <c r="AD57" s="51">
        <v>63.5</v>
      </c>
      <c r="AE57" s="51">
        <v>63.5</v>
      </c>
      <c r="AF57" s="51">
        <v>54.5</v>
      </c>
      <c r="AG57" s="59"/>
      <c r="AH57" s="54">
        <f t="shared" si="2"/>
        <v>75.099999999999994</v>
      </c>
      <c r="AI57" s="55">
        <f t="shared" si="3"/>
        <v>42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/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-379</v>
      </c>
      <c r="C59" s="70">
        <v>-386.9</v>
      </c>
      <c r="D59" s="70">
        <v>-390</v>
      </c>
      <c r="E59" s="70">
        <v>-400</v>
      </c>
      <c r="F59" s="70">
        <v>-390</v>
      </c>
      <c r="G59" s="70">
        <v>-378</v>
      </c>
      <c r="H59" s="70">
        <v>-382</v>
      </c>
      <c r="I59" s="70">
        <v>-394.5</v>
      </c>
      <c r="J59" s="70">
        <v>-320</v>
      </c>
      <c r="K59" s="70">
        <v>-305</v>
      </c>
      <c r="L59" s="70">
        <v>-280</v>
      </c>
      <c r="M59" s="70">
        <v>-287</v>
      </c>
      <c r="N59" s="70">
        <v>-281.89999999999998</v>
      </c>
      <c r="O59" s="70">
        <v>-320</v>
      </c>
      <c r="P59" s="70">
        <v>-295</v>
      </c>
      <c r="Q59" s="70"/>
      <c r="R59" s="70">
        <v>-313</v>
      </c>
      <c r="S59" s="70">
        <v>-212.1</v>
      </c>
      <c r="T59" s="70">
        <v>-245</v>
      </c>
      <c r="U59" s="70">
        <v>-241</v>
      </c>
      <c r="V59" s="70">
        <v>-221</v>
      </c>
      <c r="W59" s="70">
        <v>-213</v>
      </c>
      <c r="X59" s="70">
        <v>-280</v>
      </c>
      <c r="Y59" s="70">
        <v>-249</v>
      </c>
      <c r="Z59" s="70">
        <v>-197</v>
      </c>
      <c r="AA59" s="70">
        <v>-210</v>
      </c>
      <c r="AB59" s="70">
        <v>-215</v>
      </c>
      <c r="AC59" s="70">
        <v>-263.39999999999998</v>
      </c>
      <c r="AD59" s="70">
        <v>-290.3</v>
      </c>
      <c r="AE59" s="70">
        <v>-350</v>
      </c>
      <c r="AF59" s="70">
        <v>-331</v>
      </c>
      <c r="AG59" s="77"/>
      <c r="AH59" s="54">
        <f t="shared" si="2"/>
        <v>-197</v>
      </c>
      <c r="AI59" s="55">
        <f t="shared" si="3"/>
        <v>-400</v>
      </c>
      <c r="AK59" s="56"/>
    </row>
    <row r="60" spans="1:37" x14ac:dyDescent="0.25">
      <c r="A60" s="62" t="s">
        <v>68</v>
      </c>
      <c r="B60" s="78">
        <v>12</v>
      </c>
      <c r="C60" s="78">
        <v>13</v>
      </c>
      <c r="D60" s="78">
        <v>0</v>
      </c>
      <c r="E60" s="78">
        <v>0</v>
      </c>
      <c r="F60" s="78">
        <v>0</v>
      </c>
      <c r="G60" s="78">
        <v>0</v>
      </c>
      <c r="H60" s="78">
        <v>12</v>
      </c>
      <c r="I60" s="78">
        <v>12</v>
      </c>
      <c r="J60" s="78">
        <v>12</v>
      </c>
      <c r="K60" s="78">
        <v>12</v>
      </c>
      <c r="L60" s="78">
        <v>12</v>
      </c>
      <c r="M60" s="78">
        <v>14</v>
      </c>
      <c r="N60" s="78">
        <v>14</v>
      </c>
      <c r="O60" s="78">
        <v>14</v>
      </c>
      <c r="P60" s="78">
        <v>14</v>
      </c>
      <c r="Q60" s="78"/>
      <c r="R60" s="78">
        <v>14</v>
      </c>
      <c r="S60" s="78">
        <v>22</v>
      </c>
      <c r="T60" s="78">
        <v>22</v>
      </c>
      <c r="U60" s="78">
        <v>22</v>
      </c>
      <c r="V60" s="78">
        <v>26</v>
      </c>
      <c r="W60" s="78">
        <v>26</v>
      </c>
      <c r="X60" s="78">
        <v>26</v>
      </c>
      <c r="Y60" s="78">
        <v>18.399999999999999</v>
      </c>
      <c r="Z60" s="78">
        <v>19.3</v>
      </c>
      <c r="AA60" s="78">
        <v>24.3</v>
      </c>
      <c r="AB60" s="78">
        <v>29.3</v>
      </c>
      <c r="AC60" s="78">
        <v>31.5</v>
      </c>
      <c r="AD60" s="78">
        <v>15</v>
      </c>
      <c r="AE60" s="78">
        <v>15</v>
      </c>
      <c r="AF60" s="78">
        <v>15</v>
      </c>
      <c r="AG60" s="77"/>
      <c r="AH60" s="54">
        <f t="shared" si="2"/>
        <v>31.5</v>
      </c>
      <c r="AI60" s="55">
        <f t="shared" si="3"/>
        <v>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/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0</v>
      </c>
      <c r="C62" s="79">
        <v>0</v>
      </c>
      <c r="D62" s="79">
        <v>0</v>
      </c>
      <c r="E62" s="79">
        <v>0</v>
      </c>
      <c r="F62" s="79">
        <v>0</v>
      </c>
      <c r="G62" s="79">
        <v>0</v>
      </c>
      <c r="H62" s="79">
        <v>0</v>
      </c>
      <c r="I62" s="79">
        <v>6</v>
      </c>
      <c r="J62" s="79">
        <v>6</v>
      </c>
      <c r="K62" s="79">
        <v>6</v>
      </c>
      <c r="L62" s="79">
        <v>6</v>
      </c>
      <c r="M62" s="79">
        <v>6</v>
      </c>
      <c r="N62" s="79">
        <v>6</v>
      </c>
      <c r="O62" s="79">
        <v>6</v>
      </c>
      <c r="P62" s="79">
        <v>6</v>
      </c>
      <c r="Q62" s="79"/>
      <c r="R62" s="79">
        <v>6</v>
      </c>
      <c r="S62" s="79">
        <v>6</v>
      </c>
      <c r="T62" s="79">
        <v>6</v>
      </c>
      <c r="U62" s="79">
        <v>6</v>
      </c>
      <c r="V62" s="79">
        <v>6</v>
      </c>
      <c r="W62" s="79">
        <v>6</v>
      </c>
      <c r="X62" s="79">
        <v>6</v>
      </c>
      <c r="Y62" s="79">
        <v>6</v>
      </c>
      <c r="Z62" s="79">
        <v>6</v>
      </c>
      <c r="AA62" s="79">
        <v>6</v>
      </c>
      <c r="AB62" s="79">
        <v>6</v>
      </c>
      <c r="AC62" s="79">
        <v>6</v>
      </c>
      <c r="AD62" s="79">
        <v>6</v>
      </c>
      <c r="AE62" s="79">
        <v>6</v>
      </c>
      <c r="AF62" s="79">
        <v>6</v>
      </c>
      <c r="AG62" s="77"/>
      <c r="AH62" s="54">
        <f t="shared" si="2"/>
        <v>6</v>
      </c>
      <c r="AI62" s="55">
        <f t="shared" si="3"/>
        <v>0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/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/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  <c r="AF64" s="78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/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/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81">
        <v>0</v>
      </c>
      <c r="AE66" s="81">
        <v>0</v>
      </c>
      <c r="AF66" s="81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/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81">
        <v>0</v>
      </c>
      <c r="AE67" s="81">
        <v>0</v>
      </c>
      <c r="AF67" s="81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" si="11">SUM(B57:B67)</f>
        <v>-311</v>
      </c>
      <c r="C68" s="69">
        <f t="shared" ref="C68:AF68" si="12">SUM(C57:C67)</f>
        <v>-310.2</v>
      </c>
      <c r="D68" s="69">
        <f t="shared" si="12"/>
        <v>-327.3</v>
      </c>
      <c r="E68" s="69">
        <f t="shared" si="12"/>
        <v>-337.5</v>
      </c>
      <c r="F68" s="69">
        <f t="shared" si="12"/>
        <v>-335</v>
      </c>
      <c r="G68" s="69">
        <f t="shared" si="12"/>
        <v>-325.68</v>
      </c>
      <c r="H68" s="69">
        <f t="shared" si="12"/>
        <v>-328</v>
      </c>
      <c r="I68" s="69">
        <f t="shared" si="12"/>
        <v>-315.90999999999997</v>
      </c>
      <c r="J68" s="69">
        <f t="shared" si="12"/>
        <v>-243.60000000000002</v>
      </c>
      <c r="K68" s="69">
        <f t="shared" si="12"/>
        <v>-222</v>
      </c>
      <c r="L68" s="69">
        <f t="shared" si="12"/>
        <v>-211</v>
      </c>
      <c r="M68" s="69">
        <f t="shared" si="12"/>
        <v>-196.82999999999998</v>
      </c>
      <c r="N68" s="69">
        <f t="shared" si="12"/>
        <v>-196.39999999999998</v>
      </c>
      <c r="O68" s="69">
        <f t="shared" si="12"/>
        <v>-229.8</v>
      </c>
      <c r="P68" s="69">
        <f t="shared" si="12"/>
        <v>-207.2</v>
      </c>
      <c r="Q68" s="69">
        <f t="shared" si="12"/>
        <v>0</v>
      </c>
      <c r="R68" s="69">
        <f t="shared" si="12"/>
        <v>-225.2</v>
      </c>
      <c r="S68" s="69">
        <f t="shared" si="12"/>
        <v>-109</v>
      </c>
      <c r="T68" s="69">
        <f t="shared" si="12"/>
        <v>-143.19999999999999</v>
      </c>
      <c r="U68" s="69">
        <f t="shared" si="12"/>
        <v>-138.9</v>
      </c>
      <c r="V68" s="69">
        <f>SUM(V57:V67)</f>
        <v>-122.69999999999999</v>
      </c>
      <c r="W68" s="69">
        <f t="shared" si="12"/>
        <v>-119</v>
      </c>
      <c r="X68" s="69">
        <f t="shared" si="12"/>
        <v>-186</v>
      </c>
      <c r="Y68" s="69">
        <f t="shared" si="12"/>
        <v>-161.6</v>
      </c>
      <c r="Z68" s="69">
        <f t="shared" si="12"/>
        <v>-109.10000000000001</v>
      </c>
      <c r="AA68" s="69">
        <f t="shared" si="12"/>
        <v>-128.29999999999998</v>
      </c>
      <c r="AB68" s="69">
        <f t="shared" si="12"/>
        <v>-125.79999999999998</v>
      </c>
      <c r="AC68" s="69">
        <f t="shared" si="12"/>
        <v>-171.39999999999998</v>
      </c>
      <c r="AD68" s="69">
        <f t="shared" si="12"/>
        <v>-205.8</v>
      </c>
      <c r="AE68" s="69">
        <f t="shared" si="12"/>
        <v>-265.5</v>
      </c>
      <c r="AF68" s="69">
        <f t="shared" si="12"/>
        <v>-255.5</v>
      </c>
      <c r="AG68" s="74">
        <f>SUM(AG57:AG67)</f>
        <v>0</v>
      </c>
      <c r="AH68" s="54">
        <f t="shared" si="2"/>
        <v>0</v>
      </c>
      <c r="AI68" s="55">
        <f t="shared" si="3"/>
        <v>-337.5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/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/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7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7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/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/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f t="shared" ref="B73" si="13">B38+B52+B56+B68+B59</f>
        <v>800.94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/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4">AG68+AG56+AG52+AG38+AG72</f>
        <v>2144.14</v>
      </c>
      <c r="AH73" s="54">
        <f t="shared" si="2"/>
        <v>1201.8899999999999</v>
      </c>
      <c r="AI73" s="55">
        <f t="shared" si="3"/>
        <v>800.94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50</v>
      </c>
      <c r="C74" s="86">
        <v>50</v>
      </c>
      <c r="D74" s="86">
        <v>50</v>
      </c>
      <c r="E74" s="86">
        <v>30</v>
      </c>
      <c r="F74" s="86">
        <v>320</v>
      </c>
      <c r="G74" s="86"/>
      <c r="H74" s="86"/>
      <c r="I74" s="86"/>
      <c r="J74" s="86"/>
      <c r="K74" s="86">
        <v>250</v>
      </c>
      <c r="L74" s="86">
        <v>40</v>
      </c>
      <c r="M74" s="86">
        <v>40</v>
      </c>
      <c r="N74" s="86">
        <v>40</v>
      </c>
      <c r="O74" s="86">
        <v>80</v>
      </c>
      <c r="P74" s="86">
        <v>100</v>
      </c>
      <c r="Q74" s="86"/>
      <c r="R74" s="86"/>
      <c r="S74" s="86">
        <v>50</v>
      </c>
      <c r="T74" s="86">
        <v>125</v>
      </c>
      <c r="U74" s="86">
        <v>125</v>
      </c>
      <c r="V74" s="86">
        <v>125</v>
      </c>
      <c r="W74" s="86">
        <v>135</v>
      </c>
      <c r="X74" s="86">
        <v>135</v>
      </c>
      <c r="Y74" s="86">
        <v>135</v>
      </c>
      <c r="Z74" s="86">
        <v>135</v>
      </c>
      <c r="AA74" s="86">
        <v>135</v>
      </c>
      <c r="AB74" s="86">
        <v>135</v>
      </c>
      <c r="AC74" s="86">
        <v>135</v>
      </c>
      <c r="AD74" s="86">
        <v>200</v>
      </c>
      <c r="AE74" s="86">
        <v>200</v>
      </c>
      <c r="AF74" s="86">
        <v>180</v>
      </c>
      <c r="AG74" s="74"/>
      <c r="AH74" s="54">
        <f t="shared" si="2"/>
        <v>320</v>
      </c>
      <c r="AI74" s="55">
        <f t="shared" si="3"/>
        <v>30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" si="15">B72+B68+B56+B52+B38+B74</f>
        <v>1229.9400000000003</v>
      </c>
      <c r="C75" s="84">
        <f t="shared" ref="C75:AF75" si="16">C72+C68+C56+C52+C38+C74</f>
        <v>1224.3400000000001</v>
      </c>
      <c r="D75" s="84">
        <f t="shared" si="16"/>
        <v>1207.9400000000003</v>
      </c>
      <c r="E75" s="84">
        <f t="shared" si="16"/>
        <v>1166.0400000000002</v>
      </c>
      <c r="F75" s="84">
        <f t="shared" si="16"/>
        <v>1130.7400000000002</v>
      </c>
      <c r="G75" s="84">
        <f t="shared" si="16"/>
        <v>1092.7600000000002</v>
      </c>
      <c r="H75" s="84">
        <f t="shared" si="16"/>
        <v>1121.2400000000002</v>
      </c>
      <c r="I75" s="84">
        <f t="shared" si="16"/>
        <v>1154.7300000000002</v>
      </c>
      <c r="J75" s="84">
        <f t="shared" si="16"/>
        <v>1228.94</v>
      </c>
      <c r="K75" s="84">
        <f t="shared" si="16"/>
        <v>1253.7400000000002</v>
      </c>
      <c r="L75" s="84">
        <f t="shared" si="16"/>
        <v>1291.54</v>
      </c>
      <c r="M75" s="84">
        <f t="shared" si="16"/>
        <v>1331.51</v>
      </c>
      <c r="N75" s="84">
        <f t="shared" si="16"/>
        <v>1344.44</v>
      </c>
      <c r="O75" s="84">
        <f t="shared" si="16"/>
        <v>1350.84</v>
      </c>
      <c r="P75" s="84">
        <f t="shared" si="16"/>
        <v>1387.94</v>
      </c>
      <c r="Q75" s="84">
        <f t="shared" si="16"/>
        <v>0</v>
      </c>
      <c r="R75" s="84">
        <f t="shared" si="16"/>
        <v>1393.3400000000001</v>
      </c>
      <c r="S75" s="84">
        <f t="shared" si="16"/>
        <v>1478.8400000000001</v>
      </c>
      <c r="T75" s="84">
        <f t="shared" si="16"/>
        <v>1477.7400000000002</v>
      </c>
      <c r="U75" s="84">
        <f t="shared" si="16"/>
        <v>1480.94</v>
      </c>
      <c r="V75" s="84">
        <f t="shared" si="16"/>
        <v>1482.14</v>
      </c>
      <c r="W75" s="84">
        <f t="shared" si="16"/>
        <v>1495.8400000000001</v>
      </c>
      <c r="X75" s="84">
        <f t="shared" si="16"/>
        <v>1428.8400000000001</v>
      </c>
      <c r="Y75" s="84">
        <f t="shared" si="16"/>
        <v>1433.2400000000002</v>
      </c>
      <c r="Z75" s="84">
        <f t="shared" si="16"/>
        <v>1459.5400000000002</v>
      </c>
      <c r="AA75" s="84">
        <f t="shared" si="16"/>
        <v>1520.3400000000001</v>
      </c>
      <c r="AB75" s="84">
        <f t="shared" si="16"/>
        <v>1520.1400000000003</v>
      </c>
      <c r="AC75" s="84">
        <f t="shared" si="16"/>
        <v>1510.5400000000002</v>
      </c>
      <c r="AD75" s="84">
        <f t="shared" si="16"/>
        <v>1566.1400000000003</v>
      </c>
      <c r="AE75" s="84">
        <f t="shared" si="16"/>
        <v>1507.0400000000002</v>
      </c>
      <c r="AF75" s="84">
        <f t="shared" si="16"/>
        <v>1415.6400000000003</v>
      </c>
      <c r="AG75" s="74">
        <f>AG72+AG68+AG56+AG52+AG38+AG74</f>
        <v>2144.14</v>
      </c>
      <c r="AH75" s="54">
        <f t="shared" si="2"/>
        <v>1566.1400000000003</v>
      </c>
      <c r="AI75" s="55">
        <f t="shared" si="3"/>
        <v>0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/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7">MAX(B76:AF76)</f>
        <v>0</v>
      </c>
      <c r="AI76" s="55">
        <f t="shared" ref="AI76:AI91" si="18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/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7"/>
        <v>0</v>
      </c>
      <c r="AI77" s="55">
        <f t="shared" si="18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/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7"/>
        <v>0</v>
      </c>
      <c r="AI78" s="55">
        <f t="shared" si="18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/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7"/>
        <v>0</v>
      </c>
      <c r="AI79" s="55">
        <f t="shared" si="18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/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7"/>
        <v>0</v>
      </c>
      <c r="AI80" s="55">
        <f t="shared" si="18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7"/>
        <v>0</v>
      </c>
      <c r="AI81" s="55">
        <f t="shared" si="18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9">SUM(AG76:AG81)</f>
        <v>0</v>
      </c>
      <c r="AH82" s="54">
        <f t="shared" si="17"/>
        <v>0</v>
      </c>
      <c r="AI82" s="55">
        <f t="shared" si="18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" si="20">SUM(B70:B82)</f>
        <v>2080.88</v>
      </c>
      <c r="C83" s="69">
        <f t="shared" ref="C83:AG83" si="21">SUM(C70:C82)</f>
        <v>2476.23</v>
      </c>
      <c r="D83" s="69">
        <f t="shared" si="21"/>
        <v>2459.83</v>
      </c>
      <c r="E83" s="69">
        <f t="shared" si="21"/>
        <v>2397.9300000000003</v>
      </c>
      <c r="F83" s="69">
        <f t="shared" si="21"/>
        <v>2652.63</v>
      </c>
      <c r="G83" s="69">
        <f t="shared" si="21"/>
        <v>2294.65</v>
      </c>
      <c r="H83" s="69">
        <f t="shared" si="21"/>
        <v>2323.13</v>
      </c>
      <c r="I83" s="69">
        <f t="shared" si="21"/>
        <v>2356.62</v>
      </c>
      <c r="J83" s="69">
        <f t="shared" si="21"/>
        <v>2430.83</v>
      </c>
      <c r="K83" s="69">
        <f t="shared" si="21"/>
        <v>2705.63</v>
      </c>
      <c r="L83" s="69">
        <f t="shared" si="21"/>
        <v>2533.4299999999998</v>
      </c>
      <c r="M83" s="69">
        <f t="shared" si="21"/>
        <v>2573.3999999999996</v>
      </c>
      <c r="N83" s="69">
        <f t="shared" si="21"/>
        <v>2586.33</v>
      </c>
      <c r="O83" s="69">
        <f t="shared" si="21"/>
        <v>2632.7299999999996</v>
      </c>
      <c r="P83" s="69">
        <f t="shared" si="21"/>
        <v>2689.83</v>
      </c>
      <c r="Q83" s="69"/>
      <c r="R83" s="69">
        <f t="shared" si="21"/>
        <v>2595.23</v>
      </c>
      <c r="S83" s="69">
        <f t="shared" si="21"/>
        <v>2730.73</v>
      </c>
      <c r="T83" s="69">
        <f t="shared" si="21"/>
        <v>2804.63</v>
      </c>
      <c r="U83" s="69">
        <f t="shared" si="21"/>
        <v>2807.83</v>
      </c>
      <c r="V83" s="69">
        <f t="shared" si="21"/>
        <v>2809.0299999999997</v>
      </c>
      <c r="W83" s="69">
        <f t="shared" si="21"/>
        <v>2832.73</v>
      </c>
      <c r="X83" s="69">
        <f t="shared" si="21"/>
        <v>2765.73</v>
      </c>
      <c r="Y83" s="69">
        <f t="shared" si="21"/>
        <v>2770.13</v>
      </c>
      <c r="Z83" s="69">
        <f t="shared" si="21"/>
        <v>2796.4300000000003</v>
      </c>
      <c r="AA83" s="69">
        <f t="shared" si="21"/>
        <v>2864.23</v>
      </c>
      <c r="AB83" s="69">
        <f t="shared" si="21"/>
        <v>2857.03</v>
      </c>
      <c r="AC83" s="69">
        <f t="shared" si="21"/>
        <v>2847.4300000000003</v>
      </c>
      <c r="AD83" s="69">
        <f t="shared" si="21"/>
        <v>2968.03</v>
      </c>
      <c r="AE83" s="69">
        <f t="shared" si="21"/>
        <v>2908.9300000000003</v>
      </c>
      <c r="AF83" s="69">
        <f t="shared" si="21"/>
        <v>2797.53</v>
      </c>
      <c r="AG83" s="74">
        <f t="shared" si="21"/>
        <v>4360.08</v>
      </c>
      <c r="AH83" s="54">
        <f t="shared" si="17"/>
        <v>2968.03</v>
      </c>
      <c r="AI83" s="55">
        <f t="shared" si="18"/>
        <v>2080.88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50.01</v>
      </c>
      <c r="C84" s="90">
        <v>49.959000000000003</v>
      </c>
      <c r="D84" s="90">
        <v>49.872</v>
      </c>
      <c r="E84" s="90">
        <v>49.976999999999997</v>
      </c>
      <c r="F84" s="90">
        <v>50.012999999999998</v>
      </c>
      <c r="G84" s="90">
        <v>49.960999999999999</v>
      </c>
      <c r="H84" s="90">
        <v>49.927</v>
      </c>
      <c r="I84" s="90">
        <v>49.832000000000001</v>
      </c>
      <c r="J84" s="90">
        <v>49.875999999999998</v>
      </c>
      <c r="K84" s="90">
        <v>49.796999999999997</v>
      </c>
      <c r="L84" s="90">
        <v>49.725999999999999</v>
      </c>
      <c r="M84" s="90">
        <v>49.942999999999998</v>
      </c>
      <c r="N84" s="90">
        <v>50.052</v>
      </c>
      <c r="O84" s="90">
        <v>49.92</v>
      </c>
      <c r="P84" s="90">
        <v>49.994999999999997</v>
      </c>
      <c r="Q84" s="90"/>
      <c r="R84" s="90">
        <v>49.962000000000003</v>
      </c>
      <c r="S84" s="90">
        <v>49.813000000000002</v>
      </c>
      <c r="T84" s="90">
        <v>49.893999999999998</v>
      </c>
      <c r="U84" s="90">
        <v>49.74</v>
      </c>
      <c r="V84" s="90">
        <v>49.591000000000001</v>
      </c>
      <c r="W84" s="90">
        <v>49.892000000000003</v>
      </c>
      <c r="X84" s="90">
        <v>50.02</v>
      </c>
      <c r="Y84" s="90">
        <v>50</v>
      </c>
      <c r="Z84" s="90">
        <v>49.993000000000002</v>
      </c>
      <c r="AA84" s="90">
        <v>50.006999999999998</v>
      </c>
      <c r="AB84" s="90">
        <v>50.030999999999999</v>
      </c>
      <c r="AC84" s="90">
        <v>49.981000000000002</v>
      </c>
      <c r="AD84" s="90">
        <v>49.997999999999998</v>
      </c>
      <c r="AE84" s="90">
        <v>49.895000000000003</v>
      </c>
      <c r="AF84" s="90">
        <v>49.893000000000001</v>
      </c>
      <c r="AG84" s="91"/>
      <c r="AH84" s="54">
        <f t="shared" si="17"/>
        <v>50.052</v>
      </c>
      <c r="AI84" s="55">
        <f t="shared" si="18"/>
        <v>49.591000000000001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126.8</v>
      </c>
      <c r="C85" s="70">
        <v>126.5</v>
      </c>
      <c r="D85" s="70">
        <v>126.8</v>
      </c>
      <c r="E85" s="70">
        <v>125.7</v>
      </c>
      <c r="F85" s="70">
        <v>126.4</v>
      </c>
      <c r="G85" s="70">
        <v>124.2</v>
      </c>
      <c r="H85" s="70">
        <v>125</v>
      </c>
      <c r="I85" s="70">
        <v>124.7</v>
      </c>
      <c r="J85" s="70">
        <v>123.5</v>
      </c>
      <c r="K85" s="70">
        <v>122.6</v>
      </c>
      <c r="L85" s="70">
        <v>122</v>
      </c>
      <c r="M85" s="70">
        <v>123.2</v>
      </c>
      <c r="N85" s="70">
        <v>125.9</v>
      </c>
      <c r="O85" s="70">
        <v>125.6</v>
      </c>
      <c r="P85" s="70">
        <v>124.1</v>
      </c>
      <c r="Q85" s="70"/>
      <c r="R85" s="70">
        <v>122.1</v>
      </c>
      <c r="S85" s="70">
        <v>125</v>
      </c>
      <c r="T85" s="70">
        <v>125.6</v>
      </c>
      <c r="U85" s="70">
        <v>126</v>
      </c>
      <c r="V85" s="70">
        <v>126.1</v>
      </c>
      <c r="W85" s="70">
        <v>126.7</v>
      </c>
      <c r="X85" s="70">
        <v>127</v>
      </c>
      <c r="Y85" s="70">
        <v>127</v>
      </c>
      <c r="Z85" s="70">
        <v>126.2</v>
      </c>
      <c r="AA85" s="70">
        <v>126.1</v>
      </c>
      <c r="AB85" s="70">
        <v>127</v>
      </c>
      <c r="AC85" s="70">
        <v>126.9</v>
      </c>
      <c r="AD85" s="70">
        <v>126.6</v>
      </c>
      <c r="AE85" s="70">
        <v>126.6</v>
      </c>
      <c r="AF85" s="70">
        <v>124.3</v>
      </c>
      <c r="AG85" s="93"/>
      <c r="AH85" s="54">
        <f t="shared" si="17"/>
        <v>127</v>
      </c>
      <c r="AI85" s="55">
        <f t="shared" si="18"/>
        <v>122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130</v>
      </c>
      <c r="C86" s="70">
        <v>129.80000000000001</v>
      </c>
      <c r="D86" s="70">
        <v>130.19999999999999</v>
      </c>
      <c r="E86" s="70">
        <v>129.6</v>
      </c>
      <c r="F86" s="70">
        <v>130.19999999999999</v>
      </c>
      <c r="G86" s="70">
        <v>128.1</v>
      </c>
      <c r="H86" s="70">
        <v>128.5</v>
      </c>
      <c r="I86" s="70">
        <v>128.19999999999999</v>
      </c>
      <c r="J86" s="70">
        <v>127.1</v>
      </c>
      <c r="K86" s="70">
        <v>126.1</v>
      </c>
      <c r="L86" s="70">
        <v>125.5</v>
      </c>
      <c r="M86" s="70">
        <v>126.3</v>
      </c>
      <c r="N86" s="70">
        <v>128.1</v>
      </c>
      <c r="O86" s="70">
        <v>127.8</v>
      </c>
      <c r="P86" s="70">
        <v>127.2</v>
      </c>
      <c r="Q86" s="70"/>
      <c r="R86" s="70">
        <v>126.2</v>
      </c>
      <c r="S86" s="70">
        <v>127.3</v>
      </c>
      <c r="T86" s="70">
        <v>64.599999999999994</v>
      </c>
      <c r="U86" s="70">
        <v>128.1</v>
      </c>
      <c r="V86" s="70">
        <v>129</v>
      </c>
      <c r="W86" s="70">
        <v>129.19999999999999</v>
      </c>
      <c r="X86" s="70">
        <v>130</v>
      </c>
      <c r="Y86" s="70">
        <v>129.19999999999999</v>
      </c>
      <c r="Z86" s="70">
        <v>128.5</v>
      </c>
      <c r="AA86" s="70">
        <v>128.1</v>
      </c>
      <c r="AB86" s="70">
        <v>129.6</v>
      </c>
      <c r="AC86" s="70">
        <v>129.5</v>
      </c>
      <c r="AD86" s="70">
        <v>129.80000000000001</v>
      </c>
      <c r="AE86" s="70">
        <v>129.80000000000001</v>
      </c>
      <c r="AF86" s="70">
        <v>128.80000000000001</v>
      </c>
      <c r="AG86" s="93"/>
      <c r="AH86" s="54">
        <f t="shared" si="17"/>
        <v>130.19999999999999</v>
      </c>
      <c r="AI86" s="55">
        <f t="shared" si="18"/>
        <v>64.599999999999994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127.7</v>
      </c>
      <c r="C87" s="70">
        <v>129.1</v>
      </c>
      <c r="D87" s="70">
        <v>127.5</v>
      </c>
      <c r="E87" s="70">
        <v>128.9</v>
      </c>
      <c r="F87" s="70">
        <v>129.1</v>
      </c>
      <c r="G87" s="70">
        <v>128</v>
      </c>
      <c r="H87" s="70">
        <v>128.1</v>
      </c>
      <c r="I87" s="70">
        <v>129.1</v>
      </c>
      <c r="J87" s="70">
        <v>126.7</v>
      </c>
      <c r="K87" s="70">
        <v>126.3</v>
      </c>
      <c r="L87" s="70">
        <v>125.9</v>
      </c>
      <c r="M87" s="70">
        <v>125.3</v>
      </c>
      <c r="N87" s="70">
        <v>125.3</v>
      </c>
      <c r="O87" s="70">
        <v>130.6</v>
      </c>
      <c r="P87" s="70">
        <v>127.6</v>
      </c>
      <c r="Q87" s="70"/>
      <c r="R87" s="70">
        <v>124.8</v>
      </c>
      <c r="S87" s="70">
        <v>129.19999999999999</v>
      </c>
      <c r="T87" s="70">
        <v>125</v>
      </c>
      <c r="U87" s="70">
        <v>126</v>
      </c>
      <c r="V87" s="70">
        <v>127</v>
      </c>
      <c r="W87" s="70">
        <v>128.9</v>
      </c>
      <c r="X87" s="70">
        <v>129</v>
      </c>
      <c r="Y87" s="70">
        <v>129.4</v>
      </c>
      <c r="Z87" s="70">
        <v>126.5</v>
      </c>
      <c r="AA87" s="70">
        <v>128.4</v>
      </c>
      <c r="AB87" s="70">
        <v>129.5</v>
      </c>
      <c r="AC87" s="70">
        <v>128.80000000000001</v>
      </c>
      <c r="AD87" s="70">
        <v>128.80000000000001</v>
      </c>
      <c r="AE87" s="70">
        <v>128.80000000000001</v>
      </c>
      <c r="AF87" s="70">
        <v>128.9</v>
      </c>
      <c r="AG87" s="93"/>
      <c r="AH87" s="54">
        <f t="shared" si="17"/>
        <v>130.6</v>
      </c>
      <c r="AI87" s="55">
        <f t="shared" si="18"/>
        <v>124.8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131.80000000000001</v>
      </c>
      <c r="C88" s="70">
        <v>132.4</v>
      </c>
      <c r="D88" s="70">
        <v>131.1</v>
      </c>
      <c r="E88" s="70">
        <v>132.1</v>
      </c>
      <c r="F88" s="70">
        <v>133.1</v>
      </c>
      <c r="G88" s="70">
        <v>131.9</v>
      </c>
      <c r="H88" s="70">
        <v>131.9</v>
      </c>
      <c r="I88" s="70">
        <v>132.6</v>
      </c>
      <c r="J88" s="70">
        <v>130.1</v>
      </c>
      <c r="K88" s="70">
        <v>131.4</v>
      </c>
      <c r="L88" s="70">
        <v>130.5</v>
      </c>
      <c r="M88" s="70">
        <v>129.69999999999999</v>
      </c>
      <c r="N88" s="70">
        <v>129.69999999999999</v>
      </c>
      <c r="O88" s="70">
        <v>132.9</v>
      </c>
      <c r="P88" s="70">
        <v>130.4</v>
      </c>
      <c r="Q88" s="70"/>
      <c r="R88" s="70">
        <v>127.9</v>
      </c>
      <c r="S88" s="70">
        <v>131</v>
      </c>
      <c r="T88" s="70">
        <v>127.4</v>
      </c>
      <c r="U88" s="70">
        <v>128.1</v>
      </c>
      <c r="V88" s="70">
        <v>129.4</v>
      </c>
      <c r="W88" s="70">
        <v>131.19999999999999</v>
      </c>
      <c r="X88" s="70">
        <v>131</v>
      </c>
      <c r="Y88" s="70">
        <v>131.6</v>
      </c>
      <c r="Z88" s="70">
        <v>129</v>
      </c>
      <c r="AA88" s="70">
        <v>130.69999999999999</v>
      </c>
      <c r="AB88" s="70">
        <v>132.1</v>
      </c>
      <c r="AC88" s="70">
        <v>131.6</v>
      </c>
      <c r="AD88" s="70">
        <v>132.1</v>
      </c>
      <c r="AE88" s="70">
        <v>132.1</v>
      </c>
      <c r="AF88" s="70">
        <v>132.9</v>
      </c>
      <c r="AG88" s="93"/>
      <c r="AH88" s="54">
        <f t="shared" si="17"/>
        <v>133.1</v>
      </c>
      <c r="AI88" s="55">
        <f t="shared" si="18"/>
        <v>127.4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130.19999999999999</v>
      </c>
      <c r="C89" s="95">
        <v>133.6</v>
      </c>
      <c r="D89" s="95">
        <v>132.9</v>
      </c>
      <c r="E89" s="95">
        <v>133.30000000000001</v>
      </c>
      <c r="F89" s="95">
        <v>124</v>
      </c>
      <c r="G89" s="95">
        <v>127.9</v>
      </c>
      <c r="H89" s="95">
        <v>130.4</v>
      </c>
      <c r="I89" s="95">
        <v>134.19999999999999</v>
      </c>
      <c r="J89" s="95">
        <v>130.4</v>
      </c>
      <c r="K89" s="95">
        <v>130.5</v>
      </c>
      <c r="L89" s="95">
        <v>131.9</v>
      </c>
      <c r="M89" s="95">
        <v>130.80000000000001</v>
      </c>
      <c r="N89" s="95">
        <v>130.80000000000001</v>
      </c>
      <c r="O89" s="95">
        <v>131.69999999999999</v>
      </c>
      <c r="P89" s="95">
        <v>132.1</v>
      </c>
      <c r="Q89" s="95"/>
      <c r="R89" s="95">
        <v>133.6</v>
      </c>
      <c r="S89" s="95">
        <v>130.5</v>
      </c>
      <c r="T89" s="95">
        <v>130.19999999999999</v>
      </c>
      <c r="U89" s="95">
        <v>134</v>
      </c>
      <c r="V89" s="95">
        <v>135</v>
      </c>
      <c r="W89" s="95">
        <v>132</v>
      </c>
      <c r="X89" s="95">
        <v>134</v>
      </c>
      <c r="Y89" s="95">
        <v>132</v>
      </c>
      <c r="Z89" s="95">
        <v>133</v>
      </c>
      <c r="AA89" s="95">
        <v>131.19999999999999</v>
      </c>
      <c r="AB89" s="95">
        <v>135</v>
      </c>
      <c r="AC89" s="95">
        <v>135.1</v>
      </c>
      <c r="AD89" s="95">
        <v>133.30000000000001</v>
      </c>
      <c r="AE89" s="95">
        <v>133.30000000000001</v>
      </c>
      <c r="AF89" s="95">
        <v>132.4</v>
      </c>
      <c r="AG89" s="96"/>
      <c r="AH89" s="54">
        <f t="shared" si="17"/>
        <v>135.1</v>
      </c>
      <c r="AI89" s="55">
        <f t="shared" si="18"/>
        <v>124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118.6</v>
      </c>
      <c r="C90" s="70">
        <v>127.9</v>
      </c>
      <c r="D90" s="70">
        <v>225.8</v>
      </c>
      <c r="E90" s="70">
        <v>126.7</v>
      </c>
      <c r="F90" s="70">
        <v>0</v>
      </c>
      <c r="G90" s="70">
        <v>122.3</v>
      </c>
      <c r="H90" s="70">
        <v>125.8</v>
      </c>
      <c r="I90" s="70">
        <v>129.5</v>
      </c>
      <c r="J90" s="70">
        <v>122</v>
      </c>
      <c r="K90" s="70">
        <v>126.4</v>
      </c>
      <c r="L90" s="70">
        <v>128</v>
      </c>
      <c r="M90" s="70">
        <v>117.5</v>
      </c>
      <c r="N90" s="70">
        <v>117.5</v>
      </c>
      <c r="O90" s="70">
        <v>119.3</v>
      </c>
      <c r="P90" s="70">
        <v>125.4</v>
      </c>
      <c r="Q90" s="70"/>
      <c r="R90" s="70">
        <v>129.80000000000001</v>
      </c>
      <c r="S90" s="70">
        <v>129.5</v>
      </c>
      <c r="T90" s="70">
        <v>125.3</v>
      </c>
      <c r="U90" s="70">
        <v>130.5</v>
      </c>
      <c r="V90" s="70">
        <v>125.1</v>
      </c>
      <c r="W90" s="70">
        <v>117</v>
      </c>
      <c r="X90" s="70">
        <v>127.2</v>
      </c>
      <c r="Y90" s="70">
        <v>122.2</v>
      </c>
      <c r="Z90" s="70">
        <v>124.7</v>
      </c>
      <c r="AA90" s="70">
        <v>123.3</v>
      </c>
      <c r="AB90" s="70">
        <v>131.1</v>
      </c>
      <c r="AC90" s="70">
        <v>131.6</v>
      </c>
      <c r="AD90" s="70">
        <v>128.6</v>
      </c>
      <c r="AE90" s="70">
        <v>128.6</v>
      </c>
      <c r="AF90" s="70">
        <v>127.9</v>
      </c>
      <c r="AG90" s="93"/>
      <c r="AH90" s="54">
        <f t="shared" si="17"/>
        <v>225.8</v>
      </c>
      <c r="AI90" s="55">
        <f t="shared" si="18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66</v>
      </c>
      <c r="C91" s="97">
        <v>65.7</v>
      </c>
      <c r="D91" s="97">
        <v>65.900000000000006</v>
      </c>
      <c r="E91" s="97">
        <v>65.7</v>
      </c>
      <c r="F91" s="97">
        <v>65.900000000000006</v>
      </c>
      <c r="G91" s="97">
        <v>64.900000000000006</v>
      </c>
      <c r="H91" s="97">
        <v>65</v>
      </c>
      <c r="I91" s="97">
        <v>65</v>
      </c>
      <c r="J91" s="97">
        <v>64.599999999999994</v>
      </c>
      <c r="K91" s="97">
        <v>63.9</v>
      </c>
      <c r="L91" s="97">
        <v>63.9</v>
      </c>
      <c r="M91" s="97">
        <v>64.2</v>
      </c>
      <c r="N91" s="97">
        <v>64.2</v>
      </c>
      <c r="O91" s="97">
        <v>65.099999999999994</v>
      </c>
      <c r="P91" s="97">
        <v>64.8</v>
      </c>
      <c r="Q91" s="97"/>
      <c r="R91" s="97">
        <v>63.6</v>
      </c>
      <c r="S91" s="97">
        <v>64.3</v>
      </c>
      <c r="T91" s="97">
        <v>64.5</v>
      </c>
      <c r="U91" s="97">
        <v>64.5</v>
      </c>
      <c r="V91" s="97">
        <v>64.8</v>
      </c>
      <c r="W91" s="97">
        <v>65.3</v>
      </c>
      <c r="X91" s="97">
        <v>65.400000000000006</v>
      </c>
      <c r="Y91" s="97">
        <v>65.099999999999994</v>
      </c>
      <c r="Z91" s="97">
        <v>65</v>
      </c>
      <c r="AA91" s="97">
        <v>64.7</v>
      </c>
      <c r="AB91" s="97">
        <v>65.599999999999994</v>
      </c>
      <c r="AC91" s="97">
        <v>65.599999999999994</v>
      </c>
      <c r="AD91" s="97">
        <v>65.5</v>
      </c>
      <c r="AE91" s="97">
        <v>65.5</v>
      </c>
      <c r="AF91" s="97">
        <v>65.599999999999994</v>
      </c>
      <c r="AG91" s="98"/>
      <c r="AH91" s="54">
        <f t="shared" si="17"/>
        <v>66</v>
      </c>
      <c r="AI91" s="55">
        <f t="shared" si="18"/>
        <v>63.6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>SUM(B15,B18,B21:B22,B42,B44:B45,B47,B49,B94:B97,B105,B111,B117,B126,B128,B140,B147,B150:B151,B158,B160,B162,B166:B168,B170:B172,B177,B183:B184,B186:B188,B196,B201)</f>
        <v>147.74000000000007</v>
      </c>
      <c r="C93" s="103">
        <f t="shared" ref="C93:AF93" si="22">SUM(C15,C18,C21:C22,C42,C44:C45,C47,C49,C94:C97,C104,C110,C116,C125,C127,C139,C146,C149:C150,C157,C159,C161,C165:C167,C169:C171,C176,C182:C183,C185:C187,C195,C200)</f>
        <v>151.14000000000001</v>
      </c>
      <c r="D93" s="103">
        <f t="shared" si="22"/>
        <v>147.84000000000003</v>
      </c>
      <c r="E93" s="103">
        <f t="shared" si="22"/>
        <v>141.44</v>
      </c>
      <c r="F93" s="103">
        <f t="shared" si="22"/>
        <v>150.23999999999998</v>
      </c>
      <c r="G93" s="103">
        <f t="shared" si="22"/>
        <v>162.63999999999999</v>
      </c>
      <c r="H93" s="103">
        <f t="shared" si="22"/>
        <v>201.23999999999998</v>
      </c>
      <c r="I93" s="103">
        <f t="shared" si="22"/>
        <v>204.94</v>
      </c>
      <c r="J93" s="103">
        <f t="shared" si="22"/>
        <v>259.1400000000001</v>
      </c>
      <c r="K93" s="103">
        <f t="shared" si="22"/>
        <v>724.74000000000012</v>
      </c>
      <c r="L93" s="103">
        <f t="shared" si="22"/>
        <v>293.94000000000005</v>
      </c>
      <c r="M93" s="103">
        <f t="shared" si="22"/>
        <v>304.64000000000004</v>
      </c>
      <c r="N93" s="103">
        <f t="shared" si="22"/>
        <v>303.04000000000008</v>
      </c>
      <c r="O93" s="103">
        <f t="shared" si="22"/>
        <v>306.94000000000005</v>
      </c>
      <c r="P93" s="103">
        <f t="shared" si="22"/>
        <v>299.54000000000002</v>
      </c>
      <c r="Q93" s="103">
        <f t="shared" si="22"/>
        <v>114.53999999999998</v>
      </c>
      <c r="R93" s="103">
        <f t="shared" si="22"/>
        <v>335.54</v>
      </c>
      <c r="S93" s="103">
        <f t="shared" si="22"/>
        <v>327.34000000000003</v>
      </c>
      <c r="T93" s="103">
        <f t="shared" si="22"/>
        <v>333.04</v>
      </c>
      <c r="U93" s="103">
        <f t="shared" si="22"/>
        <v>328.24</v>
      </c>
      <c r="V93" s="103">
        <f t="shared" si="22"/>
        <v>334.64000000000004</v>
      </c>
      <c r="W93" s="103">
        <f t="shared" si="22"/>
        <v>337.54</v>
      </c>
      <c r="X93" s="103">
        <f t="shared" si="22"/>
        <v>317.54000000000002</v>
      </c>
      <c r="Y93" s="103">
        <f t="shared" si="22"/>
        <v>325.74</v>
      </c>
      <c r="Z93" s="103">
        <f t="shared" si="22"/>
        <v>348.84</v>
      </c>
      <c r="AA93" s="103">
        <f t="shared" si="22"/>
        <v>371.04</v>
      </c>
      <c r="AB93" s="103">
        <f t="shared" si="22"/>
        <v>319.44000000000005</v>
      </c>
      <c r="AC93" s="103">
        <f t="shared" si="22"/>
        <v>317.54000000000002</v>
      </c>
      <c r="AD93" s="103">
        <f t="shared" si="22"/>
        <v>283.24</v>
      </c>
      <c r="AE93" s="103">
        <f t="shared" si="22"/>
        <v>283.24</v>
      </c>
      <c r="AF93" s="103">
        <f t="shared" si="22"/>
        <v>181.03999999999996</v>
      </c>
      <c r="AG93" s="104"/>
      <c r="AH93" s="54">
        <f>MAX(C93:AF93)</f>
        <v>724.74000000000012</v>
      </c>
      <c r="AI93" s="55">
        <f>MIN(C93:AF93)</f>
        <v>114.53999999999998</v>
      </c>
    </row>
    <row r="94" spans="1:88" x14ac:dyDescent="0.25">
      <c r="A94" s="105" t="s">
        <v>99</v>
      </c>
      <c r="B94" s="106">
        <v>-18.399999999999999</v>
      </c>
      <c r="C94" s="106">
        <v>-20.5</v>
      </c>
      <c r="D94" s="106">
        <v>-20.2</v>
      </c>
      <c r="E94" s="106">
        <v>-20.3</v>
      </c>
      <c r="F94" s="106">
        <v>-20</v>
      </c>
      <c r="G94" s="106">
        <v>-10.6</v>
      </c>
      <c r="H94" s="106">
        <v>8.9</v>
      </c>
      <c r="I94" s="106">
        <v>-3.6</v>
      </c>
      <c r="J94" s="106">
        <v>-6.1</v>
      </c>
      <c r="K94" s="106">
        <v>-8.6999999999999993</v>
      </c>
      <c r="L94" s="106">
        <v>-3.3</v>
      </c>
      <c r="M94" s="106">
        <v>-5.9</v>
      </c>
      <c r="N94" s="106">
        <v>-14.5</v>
      </c>
      <c r="O94" s="106">
        <v>-8.8000000000000007</v>
      </c>
      <c r="P94" s="106">
        <v>29</v>
      </c>
      <c r="Q94" s="106">
        <v>29</v>
      </c>
      <c r="R94" s="106">
        <v>60.7</v>
      </c>
      <c r="S94" s="106">
        <v>44.2</v>
      </c>
      <c r="T94" s="106">
        <v>56</v>
      </c>
      <c r="U94" s="106">
        <v>55.7</v>
      </c>
      <c r="V94" s="106">
        <v>56.4</v>
      </c>
      <c r="W94" s="106">
        <v>56.4</v>
      </c>
      <c r="X94" s="106">
        <v>62.2</v>
      </c>
      <c r="Y94" s="106">
        <v>59.2</v>
      </c>
      <c r="Z94" s="106">
        <v>64.099999999999994</v>
      </c>
      <c r="AA94" s="106">
        <v>56.1</v>
      </c>
      <c r="AB94" s="106">
        <v>44</v>
      </c>
      <c r="AC94" s="106">
        <v>46.8</v>
      </c>
      <c r="AD94" s="106">
        <v>48</v>
      </c>
      <c r="AE94" s="106">
        <v>48</v>
      </c>
      <c r="AF94" s="106">
        <v>98.6</v>
      </c>
      <c r="AG94" s="107">
        <v>75</v>
      </c>
      <c r="AH94" s="54">
        <f t="shared" ref="AH94:AH101" si="23">IF(ABS(MAX(C94:AF94))&gt;ABS(MIN(C94:AF94)),MAX(C94:AF94),MIN(C94:AF94))</f>
        <v>98.6</v>
      </c>
      <c r="AI94" s="108">
        <f t="shared" ref="AI94:AI101" si="24">INDEX($C$9:$AF$9,1,MATCH(AH94,C94:AF94,0))</f>
        <v>0.95833333333333304</v>
      </c>
    </row>
    <row r="95" spans="1:88" x14ac:dyDescent="0.25">
      <c r="A95" s="109" t="s">
        <v>100</v>
      </c>
      <c r="B95" s="110">
        <v>-82.4</v>
      </c>
      <c r="C95" s="110">
        <f>-36-49.7</f>
        <v>-85.7</v>
      </c>
      <c r="D95" s="110">
        <f>-37.6-52.5</f>
        <v>-90.1</v>
      </c>
      <c r="E95" s="110">
        <v>-94.7</v>
      </c>
      <c r="F95" s="110">
        <v>-80</v>
      </c>
      <c r="G95" s="110">
        <v>-70</v>
      </c>
      <c r="H95" s="110">
        <v>-60</v>
      </c>
      <c r="I95" s="110">
        <v>-52</v>
      </c>
      <c r="J95" s="110">
        <v>-10</v>
      </c>
      <c r="K95" s="110">
        <v>-50</v>
      </c>
      <c r="L95" s="110">
        <v>-50</v>
      </c>
      <c r="M95" s="110">
        <v>-43</v>
      </c>
      <c r="N95" s="110">
        <v>-36</v>
      </c>
      <c r="O95" s="110">
        <v>-38</v>
      </c>
      <c r="P95" s="110">
        <v>-60</v>
      </c>
      <c r="Q95" s="110">
        <v>-60</v>
      </c>
      <c r="R95" s="110">
        <v>-58</v>
      </c>
      <c r="S95" s="110">
        <f>-12.9-24.8</f>
        <v>-37.700000000000003</v>
      </c>
      <c r="T95" s="110">
        <f>-13-24</f>
        <v>-37</v>
      </c>
      <c r="U95" s="110">
        <f>-13-24</f>
        <v>-37</v>
      </c>
      <c r="V95" s="110">
        <v>-34</v>
      </c>
      <c r="W95" s="110">
        <f>-10.2-22</f>
        <v>-32.200000000000003</v>
      </c>
      <c r="X95" s="110">
        <f>-13.6-25.3</f>
        <v>-38.9</v>
      </c>
      <c r="Y95" s="110">
        <f>-10.7-23</f>
        <v>-33.700000000000003</v>
      </c>
      <c r="Z95" s="110">
        <f>-6-17</f>
        <v>-23</v>
      </c>
      <c r="AA95" s="110">
        <f>-0.7-11.4</f>
        <v>-12.1</v>
      </c>
      <c r="AB95" s="110">
        <v>-36</v>
      </c>
      <c r="AC95" s="110">
        <v>-38</v>
      </c>
      <c r="AD95" s="110">
        <v>-56</v>
      </c>
      <c r="AE95" s="110">
        <v>-56</v>
      </c>
      <c r="AF95" s="110">
        <v>-145</v>
      </c>
      <c r="AG95" s="107">
        <v>240</v>
      </c>
      <c r="AH95" s="54">
        <f t="shared" si="23"/>
        <v>-145</v>
      </c>
      <c r="AI95" s="108">
        <f t="shared" si="24"/>
        <v>0.95833333333333304</v>
      </c>
    </row>
    <row r="96" spans="1:88" x14ac:dyDescent="0.25">
      <c r="A96" s="109" t="s">
        <v>101</v>
      </c>
      <c r="B96" s="110">
        <v>36.799999999999997</v>
      </c>
      <c r="C96" s="110">
        <v>36.6</v>
      </c>
      <c r="D96" s="110">
        <v>36.700000000000003</v>
      </c>
      <c r="E96" s="110">
        <v>35</v>
      </c>
      <c r="F96" s="110">
        <v>28</v>
      </c>
      <c r="G96" s="110">
        <v>21</v>
      </c>
      <c r="H96" s="110">
        <v>30.1</v>
      </c>
      <c r="I96" s="110">
        <v>38.299999999999997</v>
      </c>
      <c r="J96" s="110">
        <v>53</v>
      </c>
      <c r="K96" s="110">
        <v>488</v>
      </c>
      <c r="L96" s="110">
        <v>50</v>
      </c>
      <c r="M96" s="110">
        <v>50.6</v>
      </c>
      <c r="N96" s="110">
        <v>55.1</v>
      </c>
      <c r="O96" s="110">
        <v>54.8</v>
      </c>
      <c r="P96" s="110">
        <v>53.8</v>
      </c>
      <c r="Q96" s="110">
        <v>53.8</v>
      </c>
      <c r="R96" s="110">
        <v>51.9</v>
      </c>
      <c r="S96" s="110">
        <v>53.5</v>
      </c>
      <c r="T96" s="110">
        <v>54</v>
      </c>
      <c r="U96" s="110">
        <v>53.1</v>
      </c>
      <c r="V96" s="110">
        <v>55.2</v>
      </c>
      <c r="W96" s="110">
        <v>52.3</v>
      </c>
      <c r="X96" s="110">
        <v>52.2</v>
      </c>
      <c r="Y96" s="110">
        <v>53</v>
      </c>
      <c r="Z96" s="110">
        <v>55</v>
      </c>
      <c r="AA96" s="110">
        <v>57</v>
      </c>
      <c r="AB96" s="110">
        <v>49.2</v>
      </c>
      <c r="AC96" s="110">
        <v>49</v>
      </c>
      <c r="AD96" s="110">
        <v>46.7</v>
      </c>
      <c r="AE96" s="110">
        <v>46.7</v>
      </c>
      <c r="AF96" s="110">
        <v>22.2</v>
      </c>
      <c r="AG96" s="107">
        <v>60</v>
      </c>
      <c r="AH96" s="54">
        <f t="shared" si="23"/>
        <v>488</v>
      </c>
      <c r="AI96" s="108">
        <f t="shared" si="24"/>
        <v>0.29166666666666669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73.2</v>
      </c>
      <c r="L97" s="112">
        <v>75</v>
      </c>
      <c r="M97" s="112">
        <v>80.8</v>
      </c>
      <c r="N97" s="112">
        <v>75.900000000000006</v>
      </c>
      <c r="O97" s="112">
        <v>76.400000000000006</v>
      </c>
      <c r="P97" s="112">
        <v>56.9</v>
      </c>
      <c r="Q97" s="112">
        <v>56.9</v>
      </c>
      <c r="R97" s="112">
        <v>46.6</v>
      </c>
      <c r="S97" s="112">
        <v>56.3</v>
      </c>
      <c r="T97" s="112">
        <v>49</v>
      </c>
      <c r="U97" s="112">
        <v>45.4</v>
      </c>
      <c r="V97" s="112">
        <v>46</v>
      </c>
      <c r="W97" s="112">
        <v>50</v>
      </c>
      <c r="X97" s="112">
        <v>31</v>
      </c>
      <c r="Y97" s="112">
        <v>36.200000000000003</v>
      </c>
      <c r="Z97" s="112">
        <v>46.7</v>
      </c>
      <c r="AA97" s="112">
        <v>64</v>
      </c>
      <c r="AB97" s="112">
        <v>57.1</v>
      </c>
      <c r="AC97" s="112">
        <v>54.6</v>
      </c>
      <c r="AD97" s="112">
        <v>39.299999999999997</v>
      </c>
      <c r="AE97" s="112">
        <v>39.299999999999997</v>
      </c>
      <c r="AF97" s="112">
        <v>0</v>
      </c>
      <c r="AG97" s="113">
        <v>120</v>
      </c>
      <c r="AH97" s="54">
        <f t="shared" si="23"/>
        <v>80.8</v>
      </c>
      <c r="AI97" s="108">
        <f t="shared" si="24"/>
        <v>0.33333333333333331</v>
      </c>
    </row>
    <row r="98" spans="1:37" x14ac:dyDescent="0.25">
      <c r="A98" s="111" t="s">
        <v>103</v>
      </c>
      <c r="B98" s="112">
        <v>20.6</v>
      </c>
      <c r="C98" s="112">
        <v>23.3</v>
      </c>
      <c r="D98" s="112">
        <v>18</v>
      </c>
      <c r="E98" s="112">
        <v>33.6</v>
      </c>
      <c r="F98" s="112">
        <v>55</v>
      </c>
      <c r="G98" s="112">
        <v>69</v>
      </c>
      <c r="H98" s="112">
        <v>65</v>
      </c>
      <c r="I98" s="112">
        <v>63.2</v>
      </c>
      <c r="J98" s="112">
        <v>90</v>
      </c>
      <c r="K98" s="112">
        <v>68</v>
      </c>
      <c r="L98" s="112">
        <v>72</v>
      </c>
      <c r="M98" s="112">
        <v>75.099999999999994</v>
      </c>
      <c r="N98" s="112">
        <v>63.1</v>
      </c>
      <c r="O98" s="112">
        <v>64.599999999999994</v>
      </c>
      <c r="P98" s="112">
        <v>56.7</v>
      </c>
      <c r="Q98" s="112">
        <v>56.7</v>
      </c>
      <c r="R98" s="112">
        <v>36.700000000000003</v>
      </c>
      <c r="S98" s="112">
        <v>40.5</v>
      </c>
      <c r="T98" s="112">
        <v>25</v>
      </c>
      <c r="U98" s="112">
        <v>30.1</v>
      </c>
      <c r="V98" s="112">
        <v>22</v>
      </c>
      <c r="W98" s="112">
        <v>26</v>
      </c>
      <c r="X98" s="112">
        <v>4.7</v>
      </c>
      <c r="Y98" s="112">
        <v>10.3</v>
      </c>
      <c r="Z98" s="112">
        <v>18</v>
      </c>
      <c r="AA98" s="112">
        <v>31</v>
      </c>
      <c r="AB98" s="112">
        <v>27.1</v>
      </c>
      <c r="AC98" s="112">
        <v>25.2</v>
      </c>
      <c r="AD98" s="112">
        <v>15.3</v>
      </c>
      <c r="AE98" s="112">
        <v>15.3</v>
      </c>
      <c r="AF98" s="112">
        <v>49.1</v>
      </c>
      <c r="AG98" s="113"/>
      <c r="AH98" s="54">
        <f t="shared" si="23"/>
        <v>90</v>
      </c>
      <c r="AI98" s="108">
        <f t="shared" si="24"/>
        <v>0.27083333333333331</v>
      </c>
    </row>
    <row r="99" spans="1:37" x14ac:dyDescent="0.25">
      <c r="A99" s="111" t="s">
        <v>104</v>
      </c>
      <c r="B99" s="112">
        <v>51.6</v>
      </c>
      <c r="C99" s="112">
        <v>64.5</v>
      </c>
      <c r="D99" s="112">
        <v>62.8</v>
      </c>
      <c r="E99" s="112">
        <v>65.599999999999994</v>
      </c>
      <c r="F99" s="112">
        <v>20</v>
      </c>
      <c r="G99" s="112">
        <v>52</v>
      </c>
      <c r="H99" s="112">
        <v>45.4</v>
      </c>
      <c r="I99" s="112">
        <v>26</v>
      </c>
      <c r="J99" s="112">
        <v>41.5</v>
      </c>
      <c r="K99" s="112">
        <v>25.7</v>
      </c>
      <c r="L99" s="112">
        <v>10</v>
      </c>
      <c r="M99" s="112">
        <v>16.600000000000001</v>
      </c>
      <c r="N99" s="112">
        <v>41.6</v>
      </c>
      <c r="O99" s="112">
        <v>30.7</v>
      </c>
      <c r="P99" s="112">
        <v>51.6</v>
      </c>
      <c r="Q99" s="112">
        <v>51.6</v>
      </c>
      <c r="R99" s="112">
        <v>-6.6</v>
      </c>
      <c r="S99" s="112">
        <v>32.799999999999997</v>
      </c>
      <c r="T99" s="112">
        <v>25.3</v>
      </c>
      <c r="U99" s="112">
        <v>23</v>
      </c>
      <c r="V99" s="112">
        <v>39</v>
      </c>
      <c r="W99" s="112">
        <v>35.200000000000003</v>
      </c>
      <c r="X99" s="112">
        <v>8.3000000000000007</v>
      </c>
      <c r="Y99" s="112">
        <v>37.299999999999997</v>
      </c>
      <c r="Z99" s="112">
        <v>33.4</v>
      </c>
      <c r="AA99" s="112">
        <v>47</v>
      </c>
      <c r="AB99" s="112">
        <v>62.1</v>
      </c>
      <c r="AC99" s="112">
        <v>60.9</v>
      </c>
      <c r="AD99" s="112">
        <v>52.8</v>
      </c>
      <c r="AE99" s="112">
        <v>52.8</v>
      </c>
      <c r="AF99" s="112">
        <v>63.2</v>
      </c>
      <c r="AG99" s="114"/>
      <c r="AH99" s="54">
        <f t="shared" si="23"/>
        <v>65.599999999999994</v>
      </c>
      <c r="AI99" s="108">
        <f t="shared" si="24"/>
        <v>0.125</v>
      </c>
    </row>
    <row r="100" spans="1:37" x14ac:dyDescent="0.25">
      <c r="A100" s="115" t="s">
        <v>105</v>
      </c>
      <c r="B100" s="95">
        <v>24.6</v>
      </c>
      <c r="C100" s="95">
        <v>27.6</v>
      </c>
      <c r="D100" s="95">
        <v>12.4</v>
      </c>
      <c r="E100" s="95">
        <v>-25</v>
      </c>
      <c r="F100" s="95">
        <v>18</v>
      </c>
      <c r="G100" s="95">
        <v>6</v>
      </c>
      <c r="H100" s="95">
        <v>3</v>
      </c>
      <c r="I100" s="95">
        <v>7</v>
      </c>
      <c r="J100" s="95">
        <v>1</v>
      </c>
      <c r="K100" s="95">
        <v>3</v>
      </c>
      <c r="L100" s="95">
        <v>9</v>
      </c>
      <c r="M100" s="95">
        <v>-0.8</v>
      </c>
      <c r="N100" s="95">
        <v>0.9</v>
      </c>
      <c r="O100" s="95">
        <v>-10.4</v>
      </c>
      <c r="P100" s="95">
        <v>16.8</v>
      </c>
      <c r="Q100" s="95">
        <v>16.8</v>
      </c>
      <c r="R100" s="95">
        <v>22.8</v>
      </c>
      <c r="S100" s="95">
        <v>30.4</v>
      </c>
      <c r="T100" s="95">
        <v>29</v>
      </c>
      <c r="U100" s="95">
        <v>24</v>
      </c>
      <c r="V100" s="95">
        <v>43</v>
      </c>
      <c r="W100" s="95">
        <v>43</v>
      </c>
      <c r="X100" s="95">
        <v>33.700000000000003</v>
      </c>
      <c r="Y100" s="95">
        <v>36.200000000000003</v>
      </c>
      <c r="Z100" s="95">
        <v>49</v>
      </c>
      <c r="AA100" s="95">
        <v>53.2</v>
      </c>
      <c r="AB100" s="95">
        <v>50.1</v>
      </c>
      <c r="AC100" s="95">
        <v>50.7</v>
      </c>
      <c r="AD100" s="95">
        <v>53.4</v>
      </c>
      <c r="AE100" s="95">
        <v>53.4</v>
      </c>
      <c r="AF100" s="95">
        <v>22.1</v>
      </c>
      <c r="AG100" s="114"/>
      <c r="AH100" s="54">
        <f t="shared" si="23"/>
        <v>53.4</v>
      </c>
      <c r="AI100" s="108">
        <f t="shared" si="24"/>
        <v>0.875</v>
      </c>
    </row>
    <row r="101" spans="1:37" ht="15.75" thickBot="1" x14ac:dyDescent="0.3">
      <c r="A101" s="115" t="s">
        <v>236</v>
      </c>
      <c r="B101" s="95">
        <v>61.9</v>
      </c>
      <c r="C101" s="95">
        <v>67.599999999999994</v>
      </c>
      <c r="D101" s="95">
        <v>67.099999999999994</v>
      </c>
      <c r="E101" s="95">
        <v>70.900000000000006</v>
      </c>
      <c r="F101" s="95">
        <v>60</v>
      </c>
      <c r="G101" s="95">
        <v>42</v>
      </c>
      <c r="H101" s="95">
        <v>43</v>
      </c>
      <c r="I101" s="95">
        <v>49</v>
      </c>
      <c r="J101" s="95">
        <v>18.399999999999999</v>
      </c>
      <c r="K101" s="95">
        <v>50</v>
      </c>
      <c r="L101" s="95">
        <v>50</v>
      </c>
      <c r="M101" s="95">
        <v>39</v>
      </c>
      <c r="N101" s="95">
        <v>24.5</v>
      </c>
      <c r="O101" s="95">
        <v>29.6</v>
      </c>
      <c r="P101" s="95">
        <v>60.1</v>
      </c>
      <c r="Q101" s="95">
        <v>60.1</v>
      </c>
      <c r="R101" s="95">
        <v>83.2</v>
      </c>
      <c r="S101" s="95">
        <v>56.1</v>
      </c>
      <c r="T101" s="95">
        <v>64</v>
      </c>
      <c r="U101" s="95">
        <v>65.099999999999994</v>
      </c>
      <c r="V101" s="95">
        <v>56.1</v>
      </c>
      <c r="W101" s="95">
        <v>53.8</v>
      </c>
      <c r="X101" s="95">
        <v>67.2</v>
      </c>
      <c r="Y101" s="95">
        <v>59</v>
      </c>
      <c r="Z101" s="95">
        <v>56</v>
      </c>
      <c r="AA101" s="95">
        <v>46.5</v>
      </c>
      <c r="AB101" s="95">
        <v>53.1</v>
      </c>
      <c r="AC101" s="95">
        <v>55.1</v>
      </c>
      <c r="AD101" s="95">
        <v>67.8</v>
      </c>
      <c r="AE101" s="95">
        <v>67.8</v>
      </c>
      <c r="AF101" s="95">
        <v>56.1</v>
      </c>
      <c r="AG101" s="114"/>
      <c r="AH101" s="54">
        <f t="shared" si="23"/>
        <v>83.2</v>
      </c>
      <c r="AI101" s="108">
        <f t="shared" si="24"/>
        <v>0.54166666666666696</v>
      </c>
    </row>
    <row r="102" spans="1:37" ht="15.75" thickBot="1" x14ac:dyDescent="0.3">
      <c r="A102" s="116" t="s">
        <v>106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5"/>
      <c r="AK102" s="56"/>
    </row>
    <row r="103" spans="1:37" x14ac:dyDescent="0.25">
      <c r="A103" s="120" t="s">
        <v>107</v>
      </c>
      <c r="B103" s="121"/>
      <c r="C103" s="53">
        <v>9.9</v>
      </c>
      <c r="D103" s="121">
        <f t="shared" ref="D103:S108" si="25">C103</f>
        <v>9.9</v>
      </c>
      <c r="E103" s="121">
        <f t="shared" si="25"/>
        <v>9.9</v>
      </c>
      <c r="F103" s="121">
        <f t="shared" si="25"/>
        <v>9.9</v>
      </c>
      <c r="G103" s="121">
        <f t="shared" si="25"/>
        <v>9.9</v>
      </c>
      <c r="H103" s="121">
        <f t="shared" si="25"/>
        <v>9.9</v>
      </c>
      <c r="I103" s="121">
        <f t="shared" si="25"/>
        <v>9.9</v>
      </c>
      <c r="J103" s="121">
        <f t="shared" si="25"/>
        <v>9.9</v>
      </c>
      <c r="K103" s="121">
        <f t="shared" si="25"/>
        <v>9.9</v>
      </c>
      <c r="L103" s="121">
        <f t="shared" si="25"/>
        <v>9.9</v>
      </c>
      <c r="M103" s="121">
        <f t="shared" si="25"/>
        <v>9.9</v>
      </c>
      <c r="N103" s="121">
        <f t="shared" si="25"/>
        <v>9.9</v>
      </c>
      <c r="O103" s="121">
        <f t="shared" si="25"/>
        <v>9.9</v>
      </c>
      <c r="P103" s="121">
        <f t="shared" si="25"/>
        <v>9.9</v>
      </c>
      <c r="Q103" s="121">
        <f t="shared" si="25"/>
        <v>9.9</v>
      </c>
      <c r="R103" s="121">
        <f t="shared" si="25"/>
        <v>9.9</v>
      </c>
      <c r="S103" s="121">
        <f t="shared" si="25"/>
        <v>9.9</v>
      </c>
      <c r="T103" s="121">
        <f t="shared" ref="T103:AF108" si="26">S103</f>
        <v>9.9</v>
      </c>
      <c r="U103" s="121">
        <f t="shared" si="26"/>
        <v>9.9</v>
      </c>
      <c r="V103" s="121">
        <f t="shared" si="26"/>
        <v>9.9</v>
      </c>
      <c r="W103" s="121">
        <f t="shared" si="26"/>
        <v>9.9</v>
      </c>
      <c r="X103" s="121">
        <f t="shared" si="26"/>
        <v>9.9</v>
      </c>
      <c r="Y103" s="121">
        <f t="shared" si="26"/>
        <v>9.9</v>
      </c>
      <c r="Z103" s="121">
        <f t="shared" si="26"/>
        <v>9.9</v>
      </c>
      <c r="AA103" s="121">
        <f t="shared" si="26"/>
        <v>9.9</v>
      </c>
      <c r="AB103" s="121">
        <f t="shared" si="26"/>
        <v>9.9</v>
      </c>
      <c r="AC103" s="121">
        <f t="shared" si="26"/>
        <v>9.9</v>
      </c>
      <c r="AD103" s="121">
        <f t="shared" si="26"/>
        <v>9.9</v>
      </c>
      <c r="AE103" s="121">
        <f t="shared" si="26"/>
        <v>9.9</v>
      </c>
      <c r="AF103" s="121">
        <f t="shared" si="26"/>
        <v>9.9</v>
      </c>
      <c r="AG103" s="122">
        <v>9.94</v>
      </c>
      <c r="AH103" s="54"/>
      <c r="AI103" s="55"/>
      <c r="AK103" s="56"/>
    </row>
    <row r="104" spans="1:37" x14ac:dyDescent="0.25">
      <c r="A104" s="109" t="s">
        <v>108</v>
      </c>
      <c r="B104" s="123" t="str">
        <f t="shared" ref="B104:B105" si="27">A104</f>
        <v>Sipring Khola (9.658)</v>
      </c>
      <c r="C104" s="124">
        <v>9.6</v>
      </c>
      <c r="D104" s="123">
        <f t="shared" si="25"/>
        <v>9.6</v>
      </c>
      <c r="E104" s="123">
        <f t="shared" si="25"/>
        <v>9.6</v>
      </c>
      <c r="F104" s="123">
        <f t="shared" si="25"/>
        <v>9.6</v>
      </c>
      <c r="G104" s="123">
        <f t="shared" si="25"/>
        <v>9.6</v>
      </c>
      <c r="H104" s="123">
        <f t="shared" si="25"/>
        <v>9.6</v>
      </c>
      <c r="I104" s="123">
        <f t="shared" si="25"/>
        <v>9.6</v>
      </c>
      <c r="J104" s="123">
        <f t="shared" si="25"/>
        <v>9.6</v>
      </c>
      <c r="K104" s="123">
        <f t="shared" si="25"/>
        <v>9.6</v>
      </c>
      <c r="L104" s="123">
        <f t="shared" si="25"/>
        <v>9.6</v>
      </c>
      <c r="M104" s="123">
        <f t="shared" si="25"/>
        <v>9.6</v>
      </c>
      <c r="N104" s="123">
        <f t="shared" si="25"/>
        <v>9.6</v>
      </c>
      <c r="O104" s="123">
        <f t="shared" si="25"/>
        <v>9.6</v>
      </c>
      <c r="P104" s="123">
        <f t="shared" si="25"/>
        <v>9.6</v>
      </c>
      <c r="Q104" s="123">
        <f t="shared" si="25"/>
        <v>9.6</v>
      </c>
      <c r="R104" s="123">
        <f t="shared" si="25"/>
        <v>9.6</v>
      </c>
      <c r="S104" s="123">
        <f t="shared" si="25"/>
        <v>9.6</v>
      </c>
      <c r="T104" s="123">
        <f t="shared" si="26"/>
        <v>9.6</v>
      </c>
      <c r="U104" s="123">
        <f t="shared" si="26"/>
        <v>9.6</v>
      </c>
      <c r="V104" s="123">
        <f t="shared" si="26"/>
        <v>9.6</v>
      </c>
      <c r="W104" s="123">
        <f t="shared" si="26"/>
        <v>9.6</v>
      </c>
      <c r="X104" s="123">
        <f t="shared" si="26"/>
        <v>9.6</v>
      </c>
      <c r="Y104" s="123">
        <f t="shared" si="26"/>
        <v>9.6</v>
      </c>
      <c r="Z104" s="123">
        <f t="shared" si="26"/>
        <v>9.6</v>
      </c>
      <c r="AA104" s="123">
        <f t="shared" si="26"/>
        <v>9.6</v>
      </c>
      <c r="AB104" s="123">
        <f t="shared" si="26"/>
        <v>9.6</v>
      </c>
      <c r="AC104" s="123">
        <f t="shared" si="26"/>
        <v>9.6</v>
      </c>
      <c r="AD104" s="123">
        <f t="shared" si="26"/>
        <v>9.6</v>
      </c>
      <c r="AE104" s="123">
        <f t="shared" si="26"/>
        <v>9.6</v>
      </c>
      <c r="AF104" s="123">
        <f t="shared" si="26"/>
        <v>9.6</v>
      </c>
      <c r="AG104" s="125">
        <v>9.9</v>
      </c>
      <c r="AH104" s="54"/>
      <c r="AI104" s="55"/>
      <c r="AK104" s="56"/>
    </row>
    <row r="105" spans="1:37" x14ac:dyDescent="0.25">
      <c r="A105" s="111" t="s">
        <v>109</v>
      </c>
      <c r="B105" s="123" t="str">
        <f t="shared" si="27"/>
        <v>Super Mai A (9.6)</v>
      </c>
      <c r="C105" s="124">
        <v>9.98</v>
      </c>
      <c r="D105" s="123">
        <f t="shared" si="25"/>
        <v>9.98</v>
      </c>
      <c r="E105" s="123">
        <f t="shared" si="25"/>
        <v>9.98</v>
      </c>
      <c r="F105" s="123">
        <f t="shared" si="25"/>
        <v>9.98</v>
      </c>
      <c r="G105" s="123">
        <f t="shared" si="25"/>
        <v>9.98</v>
      </c>
      <c r="H105" s="123">
        <f t="shared" si="25"/>
        <v>9.98</v>
      </c>
      <c r="I105" s="123">
        <f t="shared" si="25"/>
        <v>9.98</v>
      </c>
      <c r="J105" s="123">
        <f t="shared" si="25"/>
        <v>9.98</v>
      </c>
      <c r="K105" s="123">
        <f t="shared" si="25"/>
        <v>9.98</v>
      </c>
      <c r="L105" s="123">
        <f t="shared" si="25"/>
        <v>9.98</v>
      </c>
      <c r="M105" s="123">
        <f t="shared" si="25"/>
        <v>9.98</v>
      </c>
      <c r="N105" s="123">
        <f t="shared" si="25"/>
        <v>9.98</v>
      </c>
      <c r="O105" s="123">
        <f t="shared" si="25"/>
        <v>9.98</v>
      </c>
      <c r="P105" s="123">
        <f t="shared" si="25"/>
        <v>9.98</v>
      </c>
      <c r="Q105" s="123">
        <f t="shared" si="25"/>
        <v>9.98</v>
      </c>
      <c r="R105" s="123">
        <f t="shared" si="25"/>
        <v>9.98</v>
      </c>
      <c r="S105" s="123">
        <f t="shared" si="25"/>
        <v>9.98</v>
      </c>
      <c r="T105" s="123">
        <f t="shared" si="26"/>
        <v>9.98</v>
      </c>
      <c r="U105" s="123">
        <f t="shared" si="26"/>
        <v>9.98</v>
      </c>
      <c r="V105" s="123">
        <f t="shared" si="26"/>
        <v>9.98</v>
      </c>
      <c r="W105" s="123">
        <f t="shared" si="26"/>
        <v>9.98</v>
      </c>
      <c r="X105" s="123">
        <f t="shared" si="26"/>
        <v>9.98</v>
      </c>
      <c r="Y105" s="123">
        <f t="shared" si="26"/>
        <v>9.98</v>
      </c>
      <c r="Z105" s="123">
        <f t="shared" si="26"/>
        <v>9.98</v>
      </c>
      <c r="AA105" s="123">
        <f t="shared" si="26"/>
        <v>9.98</v>
      </c>
      <c r="AB105" s="123">
        <f t="shared" si="26"/>
        <v>9.98</v>
      </c>
      <c r="AC105" s="123">
        <f t="shared" si="26"/>
        <v>9.98</v>
      </c>
      <c r="AD105" s="123">
        <f t="shared" si="26"/>
        <v>9.98</v>
      </c>
      <c r="AE105" s="123">
        <f t="shared" si="26"/>
        <v>9.98</v>
      </c>
      <c r="AF105" s="123">
        <f t="shared" si="26"/>
        <v>9.98</v>
      </c>
      <c r="AG105" s="126">
        <v>9.6579999999999995</v>
      </c>
      <c r="AH105" s="54"/>
      <c r="AI105" s="55"/>
      <c r="AK105" s="56"/>
    </row>
    <row r="106" spans="1:37" x14ac:dyDescent="0.25">
      <c r="A106" s="111" t="s">
        <v>110</v>
      </c>
      <c r="B106" s="123">
        <f t="shared" ref="B106:B108" si="28">AF106</f>
        <v>9.1</v>
      </c>
      <c r="C106" s="124">
        <v>9.1</v>
      </c>
      <c r="D106" s="123">
        <f t="shared" si="25"/>
        <v>9.1</v>
      </c>
      <c r="E106" s="123">
        <f t="shared" si="25"/>
        <v>9.1</v>
      </c>
      <c r="F106" s="123">
        <f t="shared" si="25"/>
        <v>9.1</v>
      </c>
      <c r="G106" s="123">
        <f t="shared" si="25"/>
        <v>9.1</v>
      </c>
      <c r="H106" s="123">
        <f t="shared" si="25"/>
        <v>9.1</v>
      </c>
      <c r="I106" s="123">
        <f t="shared" si="25"/>
        <v>9.1</v>
      </c>
      <c r="J106" s="123">
        <f t="shared" si="25"/>
        <v>9.1</v>
      </c>
      <c r="K106" s="123">
        <f t="shared" si="25"/>
        <v>9.1</v>
      </c>
      <c r="L106" s="123">
        <f t="shared" si="25"/>
        <v>9.1</v>
      </c>
      <c r="M106" s="123">
        <f t="shared" si="25"/>
        <v>9.1</v>
      </c>
      <c r="N106" s="123">
        <f t="shared" si="25"/>
        <v>9.1</v>
      </c>
      <c r="O106" s="123">
        <f t="shared" si="25"/>
        <v>9.1</v>
      </c>
      <c r="P106" s="123">
        <f t="shared" si="25"/>
        <v>9.1</v>
      </c>
      <c r="Q106" s="123">
        <f t="shared" si="25"/>
        <v>9.1</v>
      </c>
      <c r="R106" s="123">
        <f t="shared" si="25"/>
        <v>9.1</v>
      </c>
      <c r="S106" s="123">
        <f t="shared" si="25"/>
        <v>9.1</v>
      </c>
      <c r="T106" s="123">
        <f t="shared" si="26"/>
        <v>9.1</v>
      </c>
      <c r="U106" s="123">
        <f t="shared" si="26"/>
        <v>9.1</v>
      </c>
      <c r="V106" s="123">
        <f t="shared" si="26"/>
        <v>9.1</v>
      </c>
      <c r="W106" s="123">
        <f t="shared" si="26"/>
        <v>9.1</v>
      </c>
      <c r="X106" s="123">
        <f t="shared" si="26"/>
        <v>9.1</v>
      </c>
      <c r="Y106" s="123">
        <f t="shared" si="26"/>
        <v>9.1</v>
      </c>
      <c r="Z106" s="123">
        <f t="shared" si="26"/>
        <v>9.1</v>
      </c>
      <c r="AA106" s="123">
        <f t="shared" si="26"/>
        <v>9.1</v>
      </c>
      <c r="AB106" s="123">
        <f t="shared" si="26"/>
        <v>9.1</v>
      </c>
      <c r="AC106" s="123">
        <f t="shared" si="26"/>
        <v>9.1</v>
      </c>
      <c r="AD106" s="123">
        <f t="shared" si="26"/>
        <v>9.1</v>
      </c>
      <c r="AE106" s="123">
        <f t="shared" si="26"/>
        <v>9.1</v>
      </c>
      <c r="AF106" s="123">
        <f t="shared" si="26"/>
        <v>9.1</v>
      </c>
      <c r="AG106" s="126">
        <v>9.6</v>
      </c>
      <c r="AH106" s="54"/>
      <c r="AI106" s="55"/>
      <c r="AK106" s="56"/>
    </row>
    <row r="107" spans="1:37" x14ac:dyDescent="0.25">
      <c r="A107" s="111" t="s">
        <v>111</v>
      </c>
      <c r="B107" s="123">
        <f t="shared" si="28"/>
        <v>9.18</v>
      </c>
      <c r="C107" s="124">
        <v>9.18</v>
      </c>
      <c r="D107" s="123">
        <f t="shared" si="25"/>
        <v>9.18</v>
      </c>
      <c r="E107" s="123">
        <f t="shared" si="25"/>
        <v>9.18</v>
      </c>
      <c r="F107" s="123">
        <f t="shared" si="25"/>
        <v>9.18</v>
      </c>
      <c r="G107" s="123">
        <f t="shared" si="25"/>
        <v>9.18</v>
      </c>
      <c r="H107" s="123">
        <f t="shared" si="25"/>
        <v>9.18</v>
      </c>
      <c r="I107" s="123">
        <f t="shared" si="25"/>
        <v>9.18</v>
      </c>
      <c r="J107" s="123">
        <f t="shared" si="25"/>
        <v>9.18</v>
      </c>
      <c r="K107" s="123">
        <f t="shared" si="25"/>
        <v>9.18</v>
      </c>
      <c r="L107" s="123">
        <f t="shared" si="25"/>
        <v>9.18</v>
      </c>
      <c r="M107" s="123">
        <f t="shared" si="25"/>
        <v>9.18</v>
      </c>
      <c r="N107" s="123">
        <f t="shared" si="25"/>
        <v>9.18</v>
      </c>
      <c r="O107" s="123">
        <f t="shared" si="25"/>
        <v>9.18</v>
      </c>
      <c r="P107" s="123">
        <f t="shared" si="25"/>
        <v>9.18</v>
      </c>
      <c r="Q107" s="123">
        <f t="shared" si="25"/>
        <v>9.18</v>
      </c>
      <c r="R107" s="123">
        <f t="shared" si="25"/>
        <v>9.18</v>
      </c>
      <c r="S107" s="123">
        <f t="shared" si="25"/>
        <v>9.18</v>
      </c>
      <c r="T107" s="123">
        <f t="shared" si="26"/>
        <v>9.18</v>
      </c>
      <c r="U107" s="123">
        <f t="shared" si="26"/>
        <v>9.18</v>
      </c>
      <c r="V107" s="123">
        <f t="shared" si="26"/>
        <v>9.18</v>
      </c>
      <c r="W107" s="123">
        <f t="shared" si="26"/>
        <v>9.18</v>
      </c>
      <c r="X107" s="123">
        <f t="shared" si="26"/>
        <v>9.18</v>
      </c>
      <c r="Y107" s="123">
        <f t="shared" si="26"/>
        <v>9.18</v>
      </c>
      <c r="Z107" s="123">
        <f t="shared" si="26"/>
        <v>9.18</v>
      </c>
      <c r="AA107" s="123">
        <f t="shared" si="26"/>
        <v>9.18</v>
      </c>
      <c r="AB107" s="123">
        <f t="shared" si="26"/>
        <v>9.18</v>
      </c>
      <c r="AC107" s="123">
        <f t="shared" si="26"/>
        <v>9.18</v>
      </c>
      <c r="AD107" s="123">
        <f t="shared" si="26"/>
        <v>9.18</v>
      </c>
      <c r="AE107" s="123">
        <f t="shared" si="26"/>
        <v>9.18</v>
      </c>
      <c r="AF107" s="123">
        <f t="shared" si="26"/>
        <v>9.18</v>
      </c>
      <c r="AG107" s="126">
        <v>9.51</v>
      </c>
      <c r="AH107" s="54"/>
      <c r="AI107" s="55"/>
      <c r="AK107" s="56"/>
    </row>
    <row r="108" spans="1:37" x14ac:dyDescent="0.25">
      <c r="A108" s="111" t="s">
        <v>112</v>
      </c>
      <c r="B108" s="123">
        <f t="shared" si="28"/>
        <v>7</v>
      </c>
      <c r="C108" s="124">
        <v>7</v>
      </c>
      <c r="D108" s="123">
        <f t="shared" si="25"/>
        <v>7</v>
      </c>
      <c r="E108" s="123">
        <f t="shared" si="25"/>
        <v>7</v>
      </c>
      <c r="F108" s="123">
        <f t="shared" si="25"/>
        <v>7</v>
      </c>
      <c r="G108" s="123">
        <f t="shared" si="25"/>
        <v>7</v>
      </c>
      <c r="H108" s="123">
        <f t="shared" si="25"/>
        <v>7</v>
      </c>
      <c r="I108" s="123">
        <f t="shared" si="25"/>
        <v>7</v>
      </c>
      <c r="J108" s="123">
        <f t="shared" si="25"/>
        <v>7</v>
      </c>
      <c r="K108" s="123">
        <f t="shared" si="25"/>
        <v>7</v>
      </c>
      <c r="L108" s="123">
        <f t="shared" si="25"/>
        <v>7</v>
      </c>
      <c r="M108" s="123">
        <f t="shared" si="25"/>
        <v>7</v>
      </c>
      <c r="N108" s="123">
        <f t="shared" si="25"/>
        <v>7</v>
      </c>
      <c r="O108" s="123">
        <f t="shared" si="25"/>
        <v>7</v>
      </c>
      <c r="P108" s="123">
        <f t="shared" si="25"/>
        <v>7</v>
      </c>
      <c r="Q108" s="123">
        <f t="shared" si="25"/>
        <v>7</v>
      </c>
      <c r="R108" s="123">
        <f t="shared" si="25"/>
        <v>7</v>
      </c>
      <c r="S108" s="123">
        <f t="shared" si="25"/>
        <v>7</v>
      </c>
      <c r="T108" s="123">
        <f t="shared" si="26"/>
        <v>7</v>
      </c>
      <c r="U108" s="123">
        <f t="shared" si="26"/>
        <v>7</v>
      </c>
      <c r="V108" s="123">
        <f t="shared" si="26"/>
        <v>7</v>
      </c>
      <c r="W108" s="123">
        <f t="shared" si="26"/>
        <v>7</v>
      </c>
      <c r="X108" s="123">
        <f t="shared" si="26"/>
        <v>7</v>
      </c>
      <c r="Y108" s="123">
        <f t="shared" si="26"/>
        <v>7</v>
      </c>
      <c r="Z108" s="123">
        <f t="shared" si="26"/>
        <v>7</v>
      </c>
      <c r="AA108" s="123">
        <f t="shared" si="26"/>
        <v>7</v>
      </c>
      <c r="AB108" s="123">
        <f t="shared" si="26"/>
        <v>7</v>
      </c>
      <c r="AC108" s="123">
        <f t="shared" si="26"/>
        <v>7</v>
      </c>
      <c r="AD108" s="123">
        <f t="shared" si="26"/>
        <v>7</v>
      </c>
      <c r="AE108" s="123">
        <f t="shared" si="26"/>
        <v>7</v>
      </c>
      <c r="AF108" s="123">
        <f t="shared" si="26"/>
        <v>7</v>
      </c>
      <c r="AG108" s="126">
        <v>9.4</v>
      </c>
      <c r="AH108" s="54"/>
      <c r="AI108" s="55"/>
      <c r="AK108" s="56"/>
    </row>
    <row r="109" spans="1:37" x14ac:dyDescent="0.25">
      <c r="A109" s="111" t="s">
        <v>113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4"/>
      <c r="AI109" s="55"/>
      <c r="AK109" s="56"/>
    </row>
    <row r="110" spans="1:37" x14ac:dyDescent="0.25">
      <c r="A110" s="111" t="s">
        <v>114</v>
      </c>
      <c r="B110" s="123">
        <f>AF110</f>
        <v>2.25</v>
      </c>
      <c r="C110" s="124">
        <v>2.25</v>
      </c>
      <c r="D110" s="123">
        <f t="shared" ref="D110:S111" si="29">C110</f>
        <v>2.25</v>
      </c>
      <c r="E110" s="123">
        <f t="shared" si="29"/>
        <v>2.25</v>
      </c>
      <c r="F110" s="123">
        <f t="shared" si="29"/>
        <v>2.25</v>
      </c>
      <c r="G110" s="123">
        <f t="shared" si="29"/>
        <v>2.25</v>
      </c>
      <c r="H110" s="123">
        <f t="shared" si="29"/>
        <v>2.25</v>
      </c>
      <c r="I110" s="123">
        <f t="shared" si="29"/>
        <v>2.25</v>
      </c>
      <c r="J110" s="123">
        <f t="shared" si="29"/>
        <v>2.25</v>
      </c>
      <c r="K110" s="123">
        <f t="shared" si="29"/>
        <v>2.25</v>
      </c>
      <c r="L110" s="123">
        <f t="shared" si="29"/>
        <v>2.25</v>
      </c>
      <c r="M110" s="123">
        <f t="shared" si="29"/>
        <v>2.25</v>
      </c>
      <c r="N110" s="123">
        <f t="shared" si="29"/>
        <v>2.25</v>
      </c>
      <c r="O110" s="123">
        <f t="shared" si="29"/>
        <v>2.25</v>
      </c>
      <c r="P110" s="123">
        <f t="shared" si="29"/>
        <v>2.25</v>
      </c>
      <c r="Q110" s="123">
        <f t="shared" si="29"/>
        <v>2.25</v>
      </c>
      <c r="R110" s="123">
        <f t="shared" si="29"/>
        <v>2.25</v>
      </c>
      <c r="S110" s="123">
        <f t="shared" si="29"/>
        <v>2.25</v>
      </c>
      <c r="T110" s="123">
        <f t="shared" ref="T110:AF111" si="30">S110</f>
        <v>2.25</v>
      </c>
      <c r="U110" s="123">
        <f t="shared" si="30"/>
        <v>2.25</v>
      </c>
      <c r="V110" s="123">
        <f t="shared" si="30"/>
        <v>2.25</v>
      </c>
      <c r="W110" s="123">
        <f t="shared" si="30"/>
        <v>2.25</v>
      </c>
      <c r="X110" s="123">
        <f t="shared" si="30"/>
        <v>2.25</v>
      </c>
      <c r="Y110" s="123">
        <f t="shared" si="30"/>
        <v>2.25</v>
      </c>
      <c r="Z110" s="123">
        <f t="shared" si="30"/>
        <v>2.25</v>
      </c>
      <c r="AA110" s="123">
        <f t="shared" si="30"/>
        <v>2.25</v>
      </c>
      <c r="AB110" s="123">
        <f t="shared" si="30"/>
        <v>2.25</v>
      </c>
      <c r="AC110" s="123">
        <f t="shared" si="30"/>
        <v>2.25</v>
      </c>
      <c r="AD110" s="123">
        <f t="shared" si="30"/>
        <v>2.25</v>
      </c>
      <c r="AE110" s="123">
        <f t="shared" si="30"/>
        <v>2.25</v>
      </c>
      <c r="AF110" s="123">
        <f t="shared" si="30"/>
        <v>2.25</v>
      </c>
      <c r="AG110" s="126">
        <v>8.5</v>
      </c>
      <c r="AH110" s="54"/>
      <c r="AI110" s="55"/>
      <c r="AK110" s="56"/>
    </row>
    <row r="111" spans="1:37" x14ac:dyDescent="0.25">
      <c r="A111" s="111" t="s">
        <v>115</v>
      </c>
      <c r="B111" s="123">
        <f>AF111</f>
        <v>1.64</v>
      </c>
      <c r="C111" s="124">
        <v>1.64</v>
      </c>
      <c r="D111" s="123">
        <f t="shared" si="29"/>
        <v>1.64</v>
      </c>
      <c r="E111" s="123">
        <f t="shared" si="29"/>
        <v>1.64</v>
      </c>
      <c r="F111" s="123">
        <f t="shared" si="29"/>
        <v>1.64</v>
      </c>
      <c r="G111" s="123">
        <f t="shared" si="29"/>
        <v>1.64</v>
      </c>
      <c r="H111" s="123">
        <f t="shared" si="29"/>
        <v>1.64</v>
      </c>
      <c r="I111" s="123">
        <f t="shared" si="29"/>
        <v>1.64</v>
      </c>
      <c r="J111" s="123">
        <f t="shared" si="29"/>
        <v>1.64</v>
      </c>
      <c r="K111" s="123">
        <f t="shared" si="29"/>
        <v>1.64</v>
      </c>
      <c r="L111" s="123">
        <f t="shared" si="29"/>
        <v>1.64</v>
      </c>
      <c r="M111" s="123">
        <f t="shared" si="29"/>
        <v>1.64</v>
      </c>
      <c r="N111" s="123">
        <f t="shared" si="29"/>
        <v>1.64</v>
      </c>
      <c r="O111" s="123">
        <f t="shared" si="29"/>
        <v>1.64</v>
      </c>
      <c r="P111" s="123">
        <f t="shared" si="29"/>
        <v>1.64</v>
      </c>
      <c r="Q111" s="123">
        <f t="shared" si="29"/>
        <v>1.64</v>
      </c>
      <c r="R111" s="123">
        <f t="shared" si="29"/>
        <v>1.64</v>
      </c>
      <c r="S111" s="123">
        <f t="shared" si="29"/>
        <v>1.64</v>
      </c>
      <c r="T111" s="123">
        <f t="shared" si="30"/>
        <v>1.64</v>
      </c>
      <c r="U111" s="123">
        <f t="shared" si="30"/>
        <v>1.64</v>
      </c>
      <c r="V111" s="123">
        <f t="shared" si="30"/>
        <v>1.64</v>
      </c>
      <c r="W111" s="123">
        <f t="shared" si="30"/>
        <v>1.64</v>
      </c>
      <c r="X111" s="123">
        <f t="shared" si="30"/>
        <v>1.64</v>
      </c>
      <c r="Y111" s="123">
        <f t="shared" si="30"/>
        <v>1.64</v>
      </c>
      <c r="Z111" s="123">
        <f t="shared" si="30"/>
        <v>1.64</v>
      </c>
      <c r="AA111" s="123">
        <f t="shared" si="30"/>
        <v>1.64</v>
      </c>
      <c r="AB111" s="123">
        <f t="shared" si="30"/>
        <v>1.64</v>
      </c>
      <c r="AC111" s="123">
        <f t="shared" si="30"/>
        <v>1.64</v>
      </c>
      <c r="AD111" s="123">
        <f t="shared" si="30"/>
        <v>1.64</v>
      </c>
      <c r="AE111" s="123">
        <f t="shared" si="30"/>
        <v>1.64</v>
      </c>
      <c r="AF111" s="123">
        <f t="shared" si="30"/>
        <v>1.64</v>
      </c>
      <c r="AG111" s="126">
        <v>8.5</v>
      </c>
      <c r="AH111" s="54"/>
      <c r="AI111" s="55"/>
      <c r="AK111" s="56"/>
    </row>
    <row r="112" spans="1:37" x14ac:dyDescent="0.25">
      <c r="A112" s="111" t="s">
        <v>116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4"/>
      <c r="AI112" s="55"/>
      <c r="AK112" s="56"/>
    </row>
    <row r="113" spans="1:37" ht="13.5" customHeight="1" x14ac:dyDescent="0.25">
      <c r="A113" s="111" t="s">
        <v>117</v>
      </c>
      <c r="B113" s="123">
        <f t="shared" ref="B113:B130" si="31">AF113</f>
        <v>1.62</v>
      </c>
      <c r="C113" s="124">
        <v>1.62</v>
      </c>
      <c r="D113" s="123">
        <f t="shared" ref="D113:S120" si="32">C113</f>
        <v>1.62</v>
      </c>
      <c r="E113" s="123">
        <f t="shared" si="32"/>
        <v>1.62</v>
      </c>
      <c r="F113" s="123">
        <f t="shared" si="32"/>
        <v>1.62</v>
      </c>
      <c r="G113" s="123">
        <f t="shared" si="32"/>
        <v>1.62</v>
      </c>
      <c r="H113" s="123">
        <f t="shared" si="32"/>
        <v>1.62</v>
      </c>
      <c r="I113" s="123">
        <f t="shared" si="32"/>
        <v>1.62</v>
      </c>
      <c r="J113" s="123">
        <f t="shared" si="32"/>
        <v>1.62</v>
      </c>
      <c r="K113" s="123">
        <f t="shared" si="32"/>
        <v>1.62</v>
      </c>
      <c r="L113" s="123">
        <f t="shared" si="32"/>
        <v>1.62</v>
      </c>
      <c r="M113" s="123">
        <f t="shared" si="32"/>
        <v>1.62</v>
      </c>
      <c r="N113" s="123">
        <f t="shared" si="32"/>
        <v>1.62</v>
      </c>
      <c r="O113" s="123">
        <f t="shared" si="32"/>
        <v>1.62</v>
      </c>
      <c r="P113" s="123">
        <f t="shared" si="32"/>
        <v>1.62</v>
      </c>
      <c r="Q113" s="123">
        <f t="shared" si="32"/>
        <v>1.62</v>
      </c>
      <c r="R113" s="123">
        <f t="shared" si="32"/>
        <v>1.62</v>
      </c>
      <c r="S113" s="123">
        <f t="shared" si="32"/>
        <v>1.62</v>
      </c>
      <c r="T113" s="123">
        <f t="shared" ref="T113:AF128" si="33">S113</f>
        <v>1.62</v>
      </c>
      <c r="U113" s="123">
        <f t="shared" si="33"/>
        <v>1.62</v>
      </c>
      <c r="V113" s="123">
        <f t="shared" si="33"/>
        <v>1.62</v>
      </c>
      <c r="W113" s="123">
        <f t="shared" si="33"/>
        <v>1.62</v>
      </c>
      <c r="X113" s="123">
        <f t="shared" si="33"/>
        <v>1.62</v>
      </c>
      <c r="Y113" s="123">
        <f t="shared" si="33"/>
        <v>1.62</v>
      </c>
      <c r="Z113" s="123">
        <f t="shared" si="33"/>
        <v>1.62</v>
      </c>
      <c r="AA113" s="123">
        <f t="shared" si="33"/>
        <v>1.62</v>
      </c>
      <c r="AB113" s="123">
        <f t="shared" si="33"/>
        <v>1.62</v>
      </c>
      <c r="AC113" s="123">
        <f t="shared" si="33"/>
        <v>1.62</v>
      </c>
      <c r="AD113" s="123">
        <f t="shared" si="33"/>
        <v>1.62</v>
      </c>
      <c r="AE113" s="123">
        <f t="shared" si="33"/>
        <v>1.62</v>
      </c>
      <c r="AF113" s="123">
        <f t="shared" si="33"/>
        <v>1.62</v>
      </c>
      <c r="AG113" s="126">
        <v>8</v>
      </c>
      <c r="AH113" s="54"/>
      <c r="AI113" s="55"/>
      <c r="AK113" s="56"/>
    </row>
    <row r="114" spans="1:37" x14ac:dyDescent="0.25">
      <c r="A114" s="111" t="s">
        <v>118</v>
      </c>
      <c r="B114" s="123">
        <f t="shared" si="31"/>
        <v>8.36</v>
      </c>
      <c r="C114" s="124">
        <v>8.36</v>
      </c>
      <c r="D114" s="123">
        <f t="shared" si="32"/>
        <v>8.36</v>
      </c>
      <c r="E114" s="123">
        <f t="shared" si="32"/>
        <v>8.36</v>
      </c>
      <c r="F114" s="123">
        <f t="shared" si="32"/>
        <v>8.36</v>
      </c>
      <c r="G114" s="123">
        <f t="shared" si="32"/>
        <v>8.36</v>
      </c>
      <c r="H114" s="123">
        <f t="shared" si="32"/>
        <v>8.36</v>
      </c>
      <c r="I114" s="123">
        <f t="shared" si="32"/>
        <v>8.36</v>
      </c>
      <c r="J114" s="123">
        <f t="shared" si="32"/>
        <v>8.36</v>
      </c>
      <c r="K114" s="123">
        <f t="shared" si="32"/>
        <v>8.36</v>
      </c>
      <c r="L114" s="123">
        <f t="shared" si="32"/>
        <v>8.36</v>
      </c>
      <c r="M114" s="123">
        <f t="shared" si="32"/>
        <v>8.36</v>
      </c>
      <c r="N114" s="123">
        <f t="shared" si="32"/>
        <v>8.36</v>
      </c>
      <c r="O114" s="123">
        <f t="shared" si="32"/>
        <v>8.36</v>
      </c>
      <c r="P114" s="123">
        <f t="shared" si="32"/>
        <v>8.36</v>
      </c>
      <c r="Q114" s="123">
        <f t="shared" si="32"/>
        <v>8.36</v>
      </c>
      <c r="R114" s="123">
        <f t="shared" si="32"/>
        <v>8.36</v>
      </c>
      <c r="S114" s="123">
        <f t="shared" si="32"/>
        <v>8.36</v>
      </c>
      <c r="T114" s="123">
        <f t="shared" si="33"/>
        <v>8.36</v>
      </c>
      <c r="U114" s="123">
        <f t="shared" si="33"/>
        <v>8.36</v>
      </c>
      <c r="V114" s="123">
        <f t="shared" si="33"/>
        <v>8.36</v>
      </c>
      <c r="W114" s="123">
        <f t="shared" si="33"/>
        <v>8.36</v>
      </c>
      <c r="X114" s="123">
        <f t="shared" si="33"/>
        <v>8.36</v>
      </c>
      <c r="Y114" s="123">
        <f t="shared" si="33"/>
        <v>8.36</v>
      </c>
      <c r="Z114" s="123">
        <f t="shared" si="33"/>
        <v>8.36</v>
      </c>
      <c r="AA114" s="123">
        <f t="shared" si="33"/>
        <v>8.36</v>
      </c>
      <c r="AB114" s="123">
        <f t="shared" si="33"/>
        <v>8.36</v>
      </c>
      <c r="AC114" s="123">
        <f t="shared" si="33"/>
        <v>8.36</v>
      </c>
      <c r="AD114" s="123">
        <f t="shared" si="33"/>
        <v>8.36</v>
      </c>
      <c r="AE114" s="123">
        <f t="shared" si="33"/>
        <v>8.36</v>
      </c>
      <c r="AF114" s="123">
        <f t="shared" si="33"/>
        <v>8.36</v>
      </c>
      <c r="AG114" s="126">
        <v>8</v>
      </c>
      <c r="AH114" s="54"/>
      <c r="AI114" s="55"/>
      <c r="AK114" s="56"/>
    </row>
    <row r="115" spans="1:37" x14ac:dyDescent="0.25">
      <c r="A115" s="111" t="s">
        <v>119</v>
      </c>
      <c r="B115" s="123">
        <f t="shared" si="31"/>
        <v>5.4</v>
      </c>
      <c r="C115" s="124">
        <v>8</v>
      </c>
      <c r="D115" s="123">
        <f t="shared" si="32"/>
        <v>8</v>
      </c>
      <c r="E115" s="123">
        <f t="shared" si="32"/>
        <v>8</v>
      </c>
      <c r="F115" s="123">
        <f t="shared" si="32"/>
        <v>8</v>
      </c>
      <c r="G115" s="123">
        <f t="shared" si="32"/>
        <v>8</v>
      </c>
      <c r="H115" s="123">
        <f t="shared" si="32"/>
        <v>8</v>
      </c>
      <c r="I115" s="123">
        <f t="shared" si="32"/>
        <v>8</v>
      </c>
      <c r="J115" s="123">
        <v>5.4</v>
      </c>
      <c r="K115" s="123">
        <f t="shared" si="32"/>
        <v>5.4</v>
      </c>
      <c r="L115" s="123">
        <f t="shared" si="32"/>
        <v>5.4</v>
      </c>
      <c r="M115" s="123">
        <f t="shared" si="32"/>
        <v>5.4</v>
      </c>
      <c r="N115" s="123">
        <f t="shared" si="32"/>
        <v>5.4</v>
      </c>
      <c r="O115" s="123">
        <f t="shared" si="32"/>
        <v>5.4</v>
      </c>
      <c r="P115" s="123">
        <f t="shared" si="32"/>
        <v>5.4</v>
      </c>
      <c r="Q115" s="123">
        <f t="shared" si="32"/>
        <v>5.4</v>
      </c>
      <c r="R115" s="123">
        <f t="shared" si="32"/>
        <v>5.4</v>
      </c>
      <c r="S115" s="123">
        <f t="shared" si="32"/>
        <v>5.4</v>
      </c>
      <c r="T115" s="123">
        <f t="shared" si="33"/>
        <v>5.4</v>
      </c>
      <c r="U115" s="123">
        <f t="shared" si="33"/>
        <v>5.4</v>
      </c>
      <c r="V115" s="123">
        <f t="shared" si="33"/>
        <v>5.4</v>
      </c>
      <c r="W115" s="123">
        <f t="shared" si="33"/>
        <v>5.4</v>
      </c>
      <c r="X115" s="123">
        <f t="shared" si="33"/>
        <v>5.4</v>
      </c>
      <c r="Y115" s="123">
        <f t="shared" si="33"/>
        <v>5.4</v>
      </c>
      <c r="Z115" s="123">
        <f t="shared" si="33"/>
        <v>5.4</v>
      </c>
      <c r="AA115" s="123">
        <f t="shared" si="33"/>
        <v>5.4</v>
      </c>
      <c r="AB115" s="123">
        <f t="shared" si="33"/>
        <v>5.4</v>
      </c>
      <c r="AC115" s="123">
        <f t="shared" si="33"/>
        <v>5.4</v>
      </c>
      <c r="AD115" s="123">
        <f t="shared" si="33"/>
        <v>5.4</v>
      </c>
      <c r="AE115" s="123">
        <f t="shared" si="33"/>
        <v>5.4</v>
      </c>
      <c r="AF115" s="123">
        <f t="shared" si="33"/>
        <v>5.4</v>
      </c>
      <c r="AG115" s="126">
        <v>8</v>
      </c>
      <c r="AH115" s="54"/>
      <c r="AI115" s="55"/>
      <c r="AK115" s="56"/>
    </row>
    <row r="116" spans="1:37" x14ac:dyDescent="0.25">
      <c r="A116" s="111" t="s">
        <v>120</v>
      </c>
      <c r="B116" s="123">
        <f t="shared" si="31"/>
        <v>6.57</v>
      </c>
      <c r="C116" s="124">
        <v>6.57</v>
      </c>
      <c r="D116" s="123">
        <f t="shared" si="32"/>
        <v>6.57</v>
      </c>
      <c r="E116" s="123">
        <f t="shared" si="32"/>
        <v>6.57</v>
      </c>
      <c r="F116" s="123">
        <f t="shared" si="32"/>
        <v>6.57</v>
      </c>
      <c r="G116" s="123">
        <f t="shared" si="32"/>
        <v>6.57</v>
      </c>
      <c r="H116" s="123">
        <f t="shared" si="32"/>
        <v>6.57</v>
      </c>
      <c r="I116" s="123">
        <f t="shared" si="32"/>
        <v>6.57</v>
      </c>
      <c r="J116" s="123">
        <f t="shared" si="32"/>
        <v>6.57</v>
      </c>
      <c r="K116" s="123">
        <f t="shared" si="32"/>
        <v>6.57</v>
      </c>
      <c r="L116" s="123">
        <f t="shared" si="32"/>
        <v>6.57</v>
      </c>
      <c r="M116" s="123">
        <f t="shared" si="32"/>
        <v>6.57</v>
      </c>
      <c r="N116" s="123">
        <f t="shared" si="32"/>
        <v>6.57</v>
      </c>
      <c r="O116" s="123">
        <f t="shared" si="32"/>
        <v>6.57</v>
      </c>
      <c r="P116" s="123">
        <f t="shared" si="32"/>
        <v>6.57</v>
      </c>
      <c r="Q116" s="123">
        <f t="shared" si="32"/>
        <v>6.57</v>
      </c>
      <c r="R116" s="123">
        <f t="shared" si="32"/>
        <v>6.57</v>
      </c>
      <c r="S116" s="123">
        <f t="shared" si="32"/>
        <v>6.57</v>
      </c>
      <c r="T116" s="123">
        <f t="shared" si="33"/>
        <v>6.57</v>
      </c>
      <c r="U116" s="123">
        <f t="shared" si="33"/>
        <v>6.57</v>
      </c>
      <c r="V116" s="123">
        <f t="shared" si="33"/>
        <v>6.57</v>
      </c>
      <c r="W116" s="123">
        <f t="shared" si="33"/>
        <v>6.57</v>
      </c>
      <c r="X116" s="123">
        <f t="shared" si="33"/>
        <v>6.57</v>
      </c>
      <c r="Y116" s="123">
        <f t="shared" si="33"/>
        <v>6.57</v>
      </c>
      <c r="Z116" s="123">
        <f t="shared" si="33"/>
        <v>6.57</v>
      </c>
      <c r="AA116" s="123">
        <f t="shared" si="33"/>
        <v>6.57</v>
      </c>
      <c r="AB116" s="123">
        <f t="shared" si="33"/>
        <v>6.57</v>
      </c>
      <c r="AC116" s="123">
        <f t="shared" si="33"/>
        <v>6.57</v>
      </c>
      <c r="AD116" s="123">
        <f t="shared" si="33"/>
        <v>6.57</v>
      </c>
      <c r="AE116" s="123">
        <f t="shared" si="33"/>
        <v>6.57</v>
      </c>
      <c r="AF116" s="123">
        <f t="shared" si="33"/>
        <v>6.57</v>
      </c>
      <c r="AG116" s="126">
        <v>7.8</v>
      </c>
      <c r="AH116" s="54"/>
      <c r="AI116" s="55"/>
      <c r="AK116" s="56"/>
    </row>
    <row r="117" spans="1:37" x14ac:dyDescent="0.25">
      <c r="A117" s="111" t="s">
        <v>121</v>
      </c>
      <c r="B117" s="123">
        <f t="shared" si="31"/>
        <v>3.43</v>
      </c>
      <c r="C117" s="124">
        <v>3.43</v>
      </c>
      <c r="D117" s="123">
        <f t="shared" si="32"/>
        <v>3.43</v>
      </c>
      <c r="E117" s="123">
        <f t="shared" si="32"/>
        <v>3.43</v>
      </c>
      <c r="F117" s="123">
        <f t="shared" si="32"/>
        <v>3.43</v>
      </c>
      <c r="G117" s="123">
        <f t="shared" si="32"/>
        <v>3.43</v>
      </c>
      <c r="H117" s="123">
        <f t="shared" si="32"/>
        <v>3.43</v>
      </c>
      <c r="I117" s="123">
        <f t="shared" si="32"/>
        <v>3.43</v>
      </c>
      <c r="J117" s="123">
        <f t="shared" si="32"/>
        <v>3.43</v>
      </c>
      <c r="K117" s="123">
        <f t="shared" si="32"/>
        <v>3.43</v>
      </c>
      <c r="L117" s="123">
        <f t="shared" si="32"/>
        <v>3.43</v>
      </c>
      <c r="M117" s="123">
        <f t="shared" si="32"/>
        <v>3.43</v>
      </c>
      <c r="N117" s="123">
        <f t="shared" si="32"/>
        <v>3.43</v>
      </c>
      <c r="O117" s="123">
        <f t="shared" si="32"/>
        <v>3.43</v>
      </c>
      <c r="P117" s="123">
        <f t="shared" si="32"/>
        <v>3.43</v>
      </c>
      <c r="Q117" s="123">
        <f t="shared" si="32"/>
        <v>3.43</v>
      </c>
      <c r="R117" s="123">
        <f t="shared" si="32"/>
        <v>3.43</v>
      </c>
      <c r="S117" s="123">
        <f t="shared" si="32"/>
        <v>3.43</v>
      </c>
      <c r="T117" s="123">
        <f t="shared" si="33"/>
        <v>3.43</v>
      </c>
      <c r="U117" s="123">
        <f t="shared" si="33"/>
        <v>3.43</v>
      </c>
      <c r="V117" s="123">
        <f t="shared" si="33"/>
        <v>3.43</v>
      </c>
      <c r="W117" s="123">
        <f t="shared" si="33"/>
        <v>3.43</v>
      </c>
      <c r="X117" s="123">
        <f t="shared" si="33"/>
        <v>3.43</v>
      </c>
      <c r="Y117" s="123">
        <f t="shared" si="33"/>
        <v>3.43</v>
      </c>
      <c r="Z117" s="123">
        <f t="shared" si="33"/>
        <v>3.43</v>
      </c>
      <c r="AA117" s="123">
        <f t="shared" si="33"/>
        <v>3.43</v>
      </c>
      <c r="AB117" s="123">
        <f t="shared" si="33"/>
        <v>3.43</v>
      </c>
      <c r="AC117" s="123">
        <f t="shared" si="33"/>
        <v>3.43</v>
      </c>
      <c r="AD117" s="123">
        <f t="shared" si="33"/>
        <v>3.43</v>
      </c>
      <c r="AE117" s="123">
        <f t="shared" si="33"/>
        <v>3.43</v>
      </c>
      <c r="AF117" s="123">
        <f t="shared" si="33"/>
        <v>3.43</v>
      </c>
      <c r="AG117" s="126">
        <v>7.6</v>
      </c>
      <c r="AH117" s="54"/>
      <c r="AI117" s="55"/>
      <c r="AK117" s="56"/>
    </row>
    <row r="118" spans="1:37" x14ac:dyDescent="0.25">
      <c r="A118" s="111" t="s">
        <v>122</v>
      </c>
      <c r="B118" s="123">
        <f t="shared" si="31"/>
        <v>2.96</v>
      </c>
      <c r="C118" s="124">
        <v>2.96</v>
      </c>
      <c r="D118" s="123">
        <f t="shared" si="32"/>
        <v>2.96</v>
      </c>
      <c r="E118" s="123">
        <f t="shared" si="32"/>
        <v>2.96</v>
      </c>
      <c r="F118" s="123">
        <f t="shared" si="32"/>
        <v>2.96</v>
      </c>
      <c r="G118" s="123">
        <f t="shared" si="32"/>
        <v>2.96</v>
      </c>
      <c r="H118" s="123">
        <f t="shared" si="32"/>
        <v>2.96</v>
      </c>
      <c r="I118" s="123">
        <f t="shared" si="32"/>
        <v>2.96</v>
      </c>
      <c r="J118" s="123">
        <f t="shared" si="32"/>
        <v>2.96</v>
      </c>
      <c r="K118" s="123">
        <f t="shared" si="32"/>
        <v>2.96</v>
      </c>
      <c r="L118" s="123">
        <f t="shared" si="32"/>
        <v>2.96</v>
      </c>
      <c r="M118" s="123">
        <f t="shared" si="32"/>
        <v>2.96</v>
      </c>
      <c r="N118" s="123">
        <f t="shared" si="32"/>
        <v>2.96</v>
      </c>
      <c r="O118" s="123">
        <f t="shared" si="32"/>
        <v>2.96</v>
      </c>
      <c r="P118" s="123">
        <f t="shared" si="32"/>
        <v>2.96</v>
      </c>
      <c r="Q118" s="123">
        <f t="shared" si="32"/>
        <v>2.96</v>
      </c>
      <c r="R118" s="123">
        <f t="shared" si="32"/>
        <v>2.96</v>
      </c>
      <c r="S118" s="123">
        <f t="shared" si="32"/>
        <v>2.96</v>
      </c>
      <c r="T118" s="123">
        <f t="shared" si="33"/>
        <v>2.96</v>
      </c>
      <c r="U118" s="123">
        <f t="shared" si="33"/>
        <v>2.96</v>
      </c>
      <c r="V118" s="123">
        <f t="shared" si="33"/>
        <v>2.96</v>
      </c>
      <c r="W118" s="123">
        <f t="shared" si="33"/>
        <v>2.96</v>
      </c>
      <c r="X118" s="123">
        <f t="shared" si="33"/>
        <v>2.96</v>
      </c>
      <c r="Y118" s="123">
        <f t="shared" si="33"/>
        <v>2.96</v>
      </c>
      <c r="Z118" s="123">
        <f t="shared" si="33"/>
        <v>2.96</v>
      </c>
      <c r="AA118" s="123">
        <f t="shared" si="33"/>
        <v>2.96</v>
      </c>
      <c r="AB118" s="123">
        <f t="shared" si="33"/>
        <v>2.96</v>
      </c>
      <c r="AC118" s="123">
        <f t="shared" si="33"/>
        <v>2.96</v>
      </c>
      <c r="AD118" s="123">
        <f t="shared" si="33"/>
        <v>2.96</v>
      </c>
      <c r="AE118" s="123">
        <f t="shared" si="33"/>
        <v>2.96</v>
      </c>
      <c r="AF118" s="123">
        <f t="shared" si="33"/>
        <v>2.96</v>
      </c>
      <c r="AG118" s="126">
        <v>7.5</v>
      </c>
      <c r="AH118" s="54"/>
      <c r="AI118" s="55"/>
      <c r="AK118" s="56"/>
    </row>
    <row r="119" spans="1:37" x14ac:dyDescent="0.25">
      <c r="A119" s="111" t="s">
        <v>123</v>
      </c>
      <c r="B119" s="123">
        <f t="shared" si="31"/>
        <v>8</v>
      </c>
      <c r="C119" s="124">
        <v>8</v>
      </c>
      <c r="D119" s="123">
        <f t="shared" si="32"/>
        <v>8</v>
      </c>
      <c r="E119" s="123">
        <f t="shared" si="32"/>
        <v>8</v>
      </c>
      <c r="F119" s="123">
        <f t="shared" si="32"/>
        <v>8</v>
      </c>
      <c r="G119" s="123">
        <f t="shared" si="32"/>
        <v>8</v>
      </c>
      <c r="H119" s="123">
        <f t="shared" si="32"/>
        <v>8</v>
      </c>
      <c r="I119" s="123">
        <f t="shared" si="32"/>
        <v>8</v>
      </c>
      <c r="J119" s="123">
        <f t="shared" si="32"/>
        <v>8</v>
      </c>
      <c r="K119" s="123">
        <f t="shared" si="32"/>
        <v>8</v>
      </c>
      <c r="L119" s="123">
        <f t="shared" si="32"/>
        <v>8</v>
      </c>
      <c r="M119" s="123">
        <f t="shared" si="32"/>
        <v>8</v>
      </c>
      <c r="N119" s="123">
        <f t="shared" si="32"/>
        <v>8</v>
      </c>
      <c r="O119" s="123">
        <f t="shared" si="32"/>
        <v>8</v>
      </c>
      <c r="P119" s="123">
        <f t="shared" si="32"/>
        <v>8</v>
      </c>
      <c r="Q119" s="123">
        <f t="shared" si="32"/>
        <v>8</v>
      </c>
      <c r="R119" s="123">
        <f t="shared" si="32"/>
        <v>8</v>
      </c>
      <c r="S119" s="123">
        <f t="shared" si="32"/>
        <v>8</v>
      </c>
      <c r="T119" s="123">
        <f t="shared" si="33"/>
        <v>8</v>
      </c>
      <c r="U119" s="123">
        <f t="shared" si="33"/>
        <v>8</v>
      </c>
      <c r="V119" s="123">
        <f t="shared" si="33"/>
        <v>8</v>
      </c>
      <c r="W119" s="123">
        <f t="shared" si="33"/>
        <v>8</v>
      </c>
      <c r="X119" s="123">
        <f t="shared" si="33"/>
        <v>8</v>
      </c>
      <c r="Y119" s="123">
        <f t="shared" si="33"/>
        <v>8</v>
      </c>
      <c r="Z119" s="123">
        <f t="shared" si="33"/>
        <v>8</v>
      </c>
      <c r="AA119" s="123">
        <f t="shared" si="33"/>
        <v>8</v>
      </c>
      <c r="AB119" s="123">
        <f t="shared" si="33"/>
        <v>8</v>
      </c>
      <c r="AC119" s="123">
        <f t="shared" si="33"/>
        <v>8</v>
      </c>
      <c r="AD119" s="123">
        <f t="shared" si="33"/>
        <v>8</v>
      </c>
      <c r="AE119" s="123">
        <f t="shared" si="33"/>
        <v>8</v>
      </c>
      <c r="AF119" s="123">
        <f t="shared" si="33"/>
        <v>8</v>
      </c>
      <c r="AG119" s="126">
        <v>7.5</v>
      </c>
      <c r="AH119" s="54"/>
      <c r="AI119" s="55"/>
      <c r="AK119" s="56"/>
    </row>
    <row r="120" spans="1:37" x14ac:dyDescent="0.25">
      <c r="A120" s="111" t="s">
        <v>124</v>
      </c>
      <c r="B120" s="123">
        <f t="shared" si="31"/>
        <v>7</v>
      </c>
      <c r="C120" s="124">
        <v>7</v>
      </c>
      <c r="D120" s="123">
        <f>C120</f>
        <v>7</v>
      </c>
      <c r="E120" s="123">
        <f t="shared" si="32"/>
        <v>7</v>
      </c>
      <c r="F120" s="123">
        <f t="shared" si="32"/>
        <v>7</v>
      </c>
      <c r="G120" s="123">
        <f t="shared" si="32"/>
        <v>7</v>
      </c>
      <c r="H120" s="123">
        <f t="shared" si="32"/>
        <v>7</v>
      </c>
      <c r="I120" s="123">
        <f t="shared" si="32"/>
        <v>7</v>
      </c>
      <c r="J120" s="123">
        <f t="shared" si="32"/>
        <v>7</v>
      </c>
      <c r="K120" s="123">
        <f t="shared" si="32"/>
        <v>7</v>
      </c>
      <c r="L120" s="123">
        <f t="shared" si="32"/>
        <v>7</v>
      </c>
      <c r="M120" s="123">
        <f t="shared" si="32"/>
        <v>7</v>
      </c>
      <c r="N120" s="123">
        <f t="shared" si="32"/>
        <v>7</v>
      </c>
      <c r="O120" s="123">
        <f t="shared" si="32"/>
        <v>7</v>
      </c>
      <c r="P120" s="123">
        <f t="shared" si="32"/>
        <v>7</v>
      </c>
      <c r="Q120" s="123">
        <f t="shared" si="32"/>
        <v>7</v>
      </c>
      <c r="R120" s="123">
        <f t="shared" si="32"/>
        <v>7</v>
      </c>
      <c r="S120" s="123">
        <f t="shared" si="32"/>
        <v>7</v>
      </c>
      <c r="T120" s="123">
        <f t="shared" si="33"/>
        <v>7</v>
      </c>
      <c r="U120" s="123">
        <f t="shared" si="33"/>
        <v>7</v>
      </c>
      <c r="V120" s="123">
        <f t="shared" si="33"/>
        <v>7</v>
      </c>
      <c r="W120" s="123">
        <f t="shared" si="33"/>
        <v>7</v>
      </c>
      <c r="X120" s="123">
        <f t="shared" si="33"/>
        <v>7</v>
      </c>
      <c r="Y120" s="123">
        <f t="shared" si="33"/>
        <v>7</v>
      </c>
      <c r="Z120" s="123">
        <f t="shared" si="33"/>
        <v>7</v>
      </c>
      <c r="AA120" s="123">
        <f t="shared" si="33"/>
        <v>7</v>
      </c>
      <c r="AB120" s="123">
        <f t="shared" si="33"/>
        <v>7</v>
      </c>
      <c r="AC120" s="123">
        <f t="shared" si="33"/>
        <v>7</v>
      </c>
      <c r="AD120" s="123">
        <f t="shared" si="33"/>
        <v>7</v>
      </c>
      <c r="AE120" s="123">
        <f t="shared" si="33"/>
        <v>7</v>
      </c>
      <c r="AF120" s="123">
        <f t="shared" si="33"/>
        <v>7</v>
      </c>
      <c r="AG120" s="126">
        <v>7</v>
      </c>
      <c r="AH120" s="54"/>
      <c r="AI120" s="55"/>
      <c r="AK120" s="56"/>
    </row>
    <row r="121" spans="1:37" x14ac:dyDescent="0.25">
      <c r="A121" s="111" t="s">
        <v>125</v>
      </c>
      <c r="B121" s="123">
        <f t="shared" si="31"/>
        <v>3.47</v>
      </c>
      <c r="C121" s="124">
        <v>3.47</v>
      </c>
      <c r="D121" s="123">
        <f t="shared" ref="D121:S130" si="34">C121</f>
        <v>3.47</v>
      </c>
      <c r="E121" s="123">
        <f t="shared" si="34"/>
        <v>3.47</v>
      </c>
      <c r="F121" s="123">
        <f t="shared" si="34"/>
        <v>3.47</v>
      </c>
      <c r="G121" s="123">
        <f t="shared" si="34"/>
        <v>3.47</v>
      </c>
      <c r="H121" s="123">
        <f t="shared" si="34"/>
        <v>3.47</v>
      </c>
      <c r="I121" s="123">
        <f t="shared" si="34"/>
        <v>3.47</v>
      </c>
      <c r="J121" s="123">
        <f t="shared" si="34"/>
        <v>3.47</v>
      </c>
      <c r="K121" s="123">
        <f t="shared" si="34"/>
        <v>3.47</v>
      </c>
      <c r="L121" s="123">
        <f t="shared" si="34"/>
        <v>3.47</v>
      </c>
      <c r="M121" s="123">
        <f t="shared" si="34"/>
        <v>3.47</v>
      </c>
      <c r="N121" s="123">
        <f t="shared" si="34"/>
        <v>3.47</v>
      </c>
      <c r="O121" s="123">
        <f t="shared" si="34"/>
        <v>3.47</v>
      </c>
      <c r="P121" s="123">
        <f t="shared" si="34"/>
        <v>3.47</v>
      </c>
      <c r="Q121" s="123">
        <f t="shared" si="34"/>
        <v>3.47</v>
      </c>
      <c r="R121" s="123">
        <f t="shared" si="34"/>
        <v>3.47</v>
      </c>
      <c r="S121" s="123">
        <f t="shared" si="34"/>
        <v>3.47</v>
      </c>
      <c r="T121" s="123">
        <f t="shared" si="33"/>
        <v>3.47</v>
      </c>
      <c r="U121" s="123">
        <f t="shared" si="33"/>
        <v>3.47</v>
      </c>
      <c r="V121" s="123">
        <f t="shared" si="33"/>
        <v>3.47</v>
      </c>
      <c r="W121" s="123">
        <f t="shared" si="33"/>
        <v>3.47</v>
      </c>
      <c r="X121" s="123">
        <f t="shared" si="33"/>
        <v>3.47</v>
      </c>
      <c r="Y121" s="123">
        <f t="shared" si="33"/>
        <v>3.47</v>
      </c>
      <c r="Z121" s="123">
        <f t="shared" si="33"/>
        <v>3.47</v>
      </c>
      <c r="AA121" s="123">
        <f t="shared" si="33"/>
        <v>3.47</v>
      </c>
      <c r="AB121" s="123">
        <f t="shared" si="33"/>
        <v>3.47</v>
      </c>
      <c r="AC121" s="123">
        <f t="shared" si="33"/>
        <v>3.47</v>
      </c>
      <c r="AD121" s="123">
        <f t="shared" si="33"/>
        <v>3.47</v>
      </c>
      <c r="AE121" s="123">
        <f t="shared" si="33"/>
        <v>3.47</v>
      </c>
      <c r="AF121" s="123">
        <f t="shared" si="33"/>
        <v>3.47</v>
      </c>
      <c r="AG121" s="126">
        <v>7</v>
      </c>
      <c r="AH121" s="54"/>
      <c r="AI121" s="55"/>
      <c r="AK121" s="56"/>
    </row>
    <row r="122" spans="1:37" x14ac:dyDescent="0.25">
      <c r="A122" s="111" t="s">
        <v>126</v>
      </c>
      <c r="B122" s="123">
        <f t="shared" si="31"/>
        <v>2.1</v>
      </c>
      <c r="C122" s="124">
        <v>2.1</v>
      </c>
      <c r="D122" s="123">
        <f t="shared" si="34"/>
        <v>2.1</v>
      </c>
      <c r="E122" s="123">
        <f t="shared" si="34"/>
        <v>2.1</v>
      </c>
      <c r="F122" s="123">
        <f t="shared" si="34"/>
        <v>2.1</v>
      </c>
      <c r="G122" s="123">
        <f t="shared" si="34"/>
        <v>2.1</v>
      </c>
      <c r="H122" s="123">
        <f t="shared" si="34"/>
        <v>2.1</v>
      </c>
      <c r="I122" s="123">
        <f t="shared" si="34"/>
        <v>2.1</v>
      </c>
      <c r="J122" s="123">
        <f t="shared" si="34"/>
        <v>2.1</v>
      </c>
      <c r="K122" s="123">
        <f t="shared" si="34"/>
        <v>2.1</v>
      </c>
      <c r="L122" s="123">
        <f t="shared" si="34"/>
        <v>2.1</v>
      </c>
      <c r="M122" s="123">
        <f t="shared" si="34"/>
        <v>2.1</v>
      </c>
      <c r="N122" s="123">
        <f t="shared" si="34"/>
        <v>2.1</v>
      </c>
      <c r="O122" s="123">
        <f t="shared" si="34"/>
        <v>2.1</v>
      </c>
      <c r="P122" s="123">
        <f t="shared" si="34"/>
        <v>2.1</v>
      </c>
      <c r="Q122" s="123">
        <f t="shared" si="34"/>
        <v>2.1</v>
      </c>
      <c r="R122" s="123">
        <f t="shared" si="34"/>
        <v>2.1</v>
      </c>
      <c r="S122" s="123">
        <f t="shared" si="34"/>
        <v>2.1</v>
      </c>
      <c r="T122" s="123">
        <f t="shared" si="33"/>
        <v>2.1</v>
      </c>
      <c r="U122" s="123">
        <f t="shared" si="33"/>
        <v>2.1</v>
      </c>
      <c r="V122" s="123">
        <f t="shared" si="33"/>
        <v>2.1</v>
      </c>
      <c r="W122" s="123">
        <f t="shared" si="33"/>
        <v>2.1</v>
      </c>
      <c r="X122" s="123">
        <f t="shared" si="33"/>
        <v>2.1</v>
      </c>
      <c r="Y122" s="123">
        <f t="shared" si="33"/>
        <v>2.1</v>
      </c>
      <c r="Z122" s="123">
        <f t="shared" si="33"/>
        <v>2.1</v>
      </c>
      <c r="AA122" s="123">
        <f t="shared" si="33"/>
        <v>2.1</v>
      </c>
      <c r="AB122" s="123">
        <f t="shared" si="33"/>
        <v>2.1</v>
      </c>
      <c r="AC122" s="123">
        <f t="shared" si="33"/>
        <v>2.1</v>
      </c>
      <c r="AD122" s="123">
        <f t="shared" si="33"/>
        <v>2.1</v>
      </c>
      <c r="AE122" s="123">
        <f t="shared" si="33"/>
        <v>2.1</v>
      </c>
      <c r="AF122" s="123">
        <f t="shared" si="33"/>
        <v>2.1</v>
      </c>
      <c r="AG122" s="126">
        <v>7</v>
      </c>
      <c r="AH122" s="54"/>
      <c r="AI122" s="55"/>
      <c r="AK122" s="56"/>
    </row>
    <row r="123" spans="1:37" x14ac:dyDescent="0.25">
      <c r="A123" s="111" t="s">
        <v>127</v>
      </c>
      <c r="B123" s="123">
        <f t="shared" si="31"/>
        <v>9.3000000000000007</v>
      </c>
      <c r="C123" s="124">
        <v>9.3000000000000007</v>
      </c>
      <c r="D123" s="123">
        <f t="shared" si="34"/>
        <v>9.3000000000000007</v>
      </c>
      <c r="E123" s="123">
        <f t="shared" si="34"/>
        <v>9.3000000000000007</v>
      </c>
      <c r="F123" s="123">
        <f t="shared" si="34"/>
        <v>9.3000000000000007</v>
      </c>
      <c r="G123" s="123">
        <f t="shared" si="34"/>
        <v>9.3000000000000007</v>
      </c>
      <c r="H123" s="123">
        <f t="shared" si="34"/>
        <v>9.3000000000000007</v>
      </c>
      <c r="I123" s="123">
        <f t="shared" si="34"/>
        <v>9.3000000000000007</v>
      </c>
      <c r="J123" s="123">
        <f t="shared" si="34"/>
        <v>9.3000000000000007</v>
      </c>
      <c r="K123" s="123">
        <f t="shared" si="34"/>
        <v>9.3000000000000007</v>
      </c>
      <c r="L123" s="123">
        <f t="shared" si="34"/>
        <v>9.3000000000000007</v>
      </c>
      <c r="M123" s="123">
        <f t="shared" si="34"/>
        <v>9.3000000000000007</v>
      </c>
      <c r="N123" s="123">
        <f t="shared" si="34"/>
        <v>9.3000000000000007</v>
      </c>
      <c r="O123" s="123">
        <f t="shared" si="34"/>
        <v>9.3000000000000007</v>
      </c>
      <c r="P123" s="123">
        <f t="shared" si="34"/>
        <v>9.3000000000000007</v>
      </c>
      <c r="Q123" s="123">
        <f t="shared" si="34"/>
        <v>9.3000000000000007</v>
      </c>
      <c r="R123" s="123">
        <f t="shared" si="34"/>
        <v>9.3000000000000007</v>
      </c>
      <c r="S123" s="123">
        <f t="shared" si="34"/>
        <v>9.3000000000000007</v>
      </c>
      <c r="T123" s="123">
        <f t="shared" si="33"/>
        <v>9.3000000000000007</v>
      </c>
      <c r="U123" s="123">
        <f t="shared" si="33"/>
        <v>9.3000000000000007</v>
      </c>
      <c r="V123" s="123">
        <f t="shared" si="33"/>
        <v>9.3000000000000007</v>
      </c>
      <c r="W123" s="123">
        <f t="shared" si="33"/>
        <v>9.3000000000000007</v>
      </c>
      <c r="X123" s="123">
        <f t="shared" si="33"/>
        <v>9.3000000000000007</v>
      </c>
      <c r="Y123" s="123">
        <f t="shared" si="33"/>
        <v>9.3000000000000007</v>
      </c>
      <c r="Z123" s="123">
        <f t="shared" si="33"/>
        <v>9.3000000000000007</v>
      </c>
      <c r="AA123" s="123">
        <f t="shared" si="33"/>
        <v>9.3000000000000007</v>
      </c>
      <c r="AB123" s="123">
        <f t="shared" si="33"/>
        <v>9.3000000000000007</v>
      </c>
      <c r="AC123" s="123">
        <f t="shared" si="33"/>
        <v>9.3000000000000007</v>
      </c>
      <c r="AD123" s="123">
        <f t="shared" si="33"/>
        <v>9.3000000000000007</v>
      </c>
      <c r="AE123" s="123">
        <f t="shared" si="33"/>
        <v>9.3000000000000007</v>
      </c>
      <c r="AF123" s="123">
        <f t="shared" si="33"/>
        <v>9.3000000000000007</v>
      </c>
      <c r="AG123" s="126">
        <v>7</v>
      </c>
      <c r="AH123" s="54"/>
      <c r="AI123" s="55"/>
      <c r="AK123" s="56"/>
    </row>
    <row r="124" spans="1:37" x14ac:dyDescent="0.25">
      <c r="A124" s="111" t="s">
        <v>128</v>
      </c>
      <c r="B124" s="123">
        <f t="shared" si="31"/>
        <v>0</v>
      </c>
      <c r="C124" s="124">
        <v>0</v>
      </c>
      <c r="D124" s="123">
        <f t="shared" si="34"/>
        <v>0</v>
      </c>
      <c r="E124" s="123">
        <f t="shared" si="34"/>
        <v>0</v>
      </c>
      <c r="F124" s="123">
        <f t="shared" si="34"/>
        <v>0</v>
      </c>
      <c r="G124" s="123">
        <f t="shared" si="34"/>
        <v>0</v>
      </c>
      <c r="H124" s="123">
        <f t="shared" si="34"/>
        <v>0</v>
      </c>
      <c r="I124" s="123">
        <f t="shared" si="34"/>
        <v>0</v>
      </c>
      <c r="J124" s="123">
        <f t="shared" si="34"/>
        <v>0</v>
      </c>
      <c r="K124" s="123">
        <f t="shared" si="34"/>
        <v>0</v>
      </c>
      <c r="L124" s="123">
        <f t="shared" si="34"/>
        <v>0</v>
      </c>
      <c r="M124" s="123">
        <f t="shared" si="34"/>
        <v>0</v>
      </c>
      <c r="N124" s="123">
        <f t="shared" si="34"/>
        <v>0</v>
      </c>
      <c r="O124" s="123">
        <f t="shared" si="34"/>
        <v>0</v>
      </c>
      <c r="P124" s="123">
        <f t="shared" si="34"/>
        <v>0</v>
      </c>
      <c r="Q124" s="123">
        <f t="shared" si="34"/>
        <v>0</v>
      </c>
      <c r="R124" s="123">
        <f t="shared" si="34"/>
        <v>0</v>
      </c>
      <c r="S124" s="123">
        <f t="shared" si="34"/>
        <v>0</v>
      </c>
      <c r="T124" s="123">
        <f t="shared" si="33"/>
        <v>0</v>
      </c>
      <c r="U124" s="123">
        <f t="shared" si="33"/>
        <v>0</v>
      </c>
      <c r="V124" s="123">
        <f t="shared" si="33"/>
        <v>0</v>
      </c>
      <c r="W124" s="123">
        <f t="shared" si="33"/>
        <v>0</v>
      </c>
      <c r="X124" s="123">
        <f t="shared" si="33"/>
        <v>0</v>
      </c>
      <c r="Y124" s="123">
        <f t="shared" si="33"/>
        <v>0</v>
      </c>
      <c r="Z124" s="123">
        <f t="shared" si="33"/>
        <v>0</v>
      </c>
      <c r="AA124" s="123">
        <f t="shared" si="33"/>
        <v>0</v>
      </c>
      <c r="AB124" s="123">
        <f t="shared" si="33"/>
        <v>0</v>
      </c>
      <c r="AC124" s="123">
        <f t="shared" si="33"/>
        <v>0</v>
      </c>
      <c r="AD124" s="123">
        <f t="shared" si="33"/>
        <v>0</v>
      </c>
      <c r="AE124" s="123">
        <f t="shared" si="33"/>
        <v>0</v>
      </c>
      <c r="AF124" s="123">
        <f t="shared" si="33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129</v>
      </c>
      <c r="B125" s="123">
        <f t="shared" si="31"/>
        <v>0</v>
      </c>
      <c r="C125" s="124">
        <v>0</v>
      </c>
      <c r="D125" s="123">
        <f t="shared" si="34"/>
        <v>0</v>
      </c>
      <c r="E125" s="123">
        <f t="shared" si="34"/>
        <v>0</v>
      </c>
      <c r="F125" s="123">
        <f t="shared" si="34"/>
        <v>0</v>
      </c>
      <c r="G125" s="123">
        <f t="shared" si="34"/>
        <v>0</v>
      </c>
      <c r="H125" s="123">
        <f t="shared" si="34"/>
        <v>0</v>
      </c>
      <c r="I125" s="123">
        <f t="shared" si="34"/>
        <v>0</v>
      </c>
      <c r="J125" s="123">
        <f t="shared" si="34"/>
        <v>0</v>
      </c>
      <c r="K125" s="123">
        <f t="shared" si="34"/>
        <v>0</v>
      </c>
      <c r="L125" s="123">
        <f t="shared" si="34"/>
        <v>0</v>
      </c>
      <c r="M125" s="123">
        <f t="shared" si="34"/>
        <v>0</v>
      </c>
      <c r="N125" s="123">
        <f t="shared" si="34"/>
        <v>0</v>
      </c>
      <c r="O125" s="123">
        <f t="shared" si="34"/>
        <v>0</v>
      </c>
      <c r="P125" s="123">
        <f t="shared" si="34"/>
        <v>0</v>
      </c>
      <c r="Q125" s="123">
        <f t="shared" si="34"/>
        <v>0</v>
      </c>
      <c r="R125" s="123">
        <f t="shared" si="34"/>
        <v>0</v>
      </c>
      <c r="S125" s="123">
        <f t="shared" si="34"/>
        <v>0</v>
      </c>
      <c r="T125" s="123">
        <f t="shared" si="33"/>
        <v>0</v>
      </c>
      <c r="U125" s="123">
        <f t="shared" si="33"/>
        <v>0</v>
      </c>
      <c r="V125" s="123">
        <f t="shared" si="33"/>
        <v>0</v>
      </c>
      <c r="W125" s="123">
        <f t="shared" si="33"/>
        <v>0</v>
      </c>
      <c r="X125" s="123">
        <f t="shared" si="33"/>
        <v>0</v>
      </c>
      <c r="Y125" s="123">
        <f t="shared" si="33"/>
        <v>0</v>
      </c>
      <c r="Z125" s="123">
        <f t="shared" si="33"/>
        <v>0</v>
      </c>
      <c r="AA125" s="123">
        <f t="shared" si="33"/>
        <v>0</v>
      </c>
      <c r="AB125" s="123">
        <f t="shared" si="33"/>
        <v>0</v>
      </c>
      <c r="AC125" s="123">
        <f t="shared" si="33"/>
        <v>0</v>
      </c>
      <c r="AD125" s="123">
        <f t="shared" si="33"/>
        <v>0</v>
      </c>
      <c r="AE125" s="123">
        <f t="shared" si="33"/>
        <v>0</v>
      </c>
      <c r="AF125" s="123">
        <f t="shared" si="33"/>
        <v>0</v>
      </c>
      <c r="AG125" s="126">
        <v>6.6</v>
      </c>
      <c r="AH125" s="54"/>
      <c r="AI125" s="55"/>
      <c r="AK125" s="56"/>
    </row>
    <row r="126" spans="1:37" x14ac:dyDescent="0.25">
      <c r="A126" s="111" t="s">
        <v>130</v>
      </c>
      <c r="B126" s="123" t="str">
        <f t="shared" si="31"/>
        <v>;/</v>
      </c>
      <c r="C126" s="124">
        <v>5</v>
      </c>
      <c r="D126" s="123">
        <f t="shared" si="34"/>
        <v>5</v>
      </c>
      <c r="E126" s="123">
        <f t="shared" si="34"/>
        <v>5</v>
      </c>
      <c r="F126" s="123">
        <f t="shared" si="34"/>
        <v>5</v>
      </c>
      <c r="G126" s="123">
        <f t="shared" si="34"/>
        <v>5</v>
      </c>
      <c r="H126" s="123">
        <f t="shared" si="34"/>
        <v>5</v>
      </c>
      <c r="I126" s="123" t="s">
        <v>131</v>
      </c>
      <c r="J126" s="123" t="str">
        <f t="shared" si="34"/>
        <v>;/</v>
      </c>
      <c r="K126" s="123" t="str">
        <f t="shared" si="34"/>
        <v>;/</v>
      </c>
      <c r="L126" s="123" t="str">
        <f t="shared" si="34"/>
        <v>;/</v>
      </c>
      <c r="M126" s="123" t="str">
        <f t="shared" si="34"/>
        <v>;/</v>
      </c>
      <c r="N126" s="123" t="str">
        <f t="shared" si="34"/>
        <v>;/</v>
      </c>
      <c r="O126" s="123" t="str">
        <f t="shared" si="34"/>
        <v>;/</v>
      </c>
      <c r="P126" s="123" t="str">
        <f t="shared" si="34"/>
        <v>;/</v>
      </c>
      <c r="Q126" s="123" t="str">
        <f t="shared" si="34"/>
        <v>;/</v>
      </c>
      <c r="R126" s="123" t="str">
        <f t="shared" si="34"/>
        <v>;/</v>
      </c>
      <c r="S126" s="123" t="str">
        <f t="shared" si="34"/>
        <v>;/</v>
      </c>
      <c r="T126" s="123" t="str">
        <f t="shared" si="33"/>
        <v>;/</v>
      </c>
      <c r="U126" s="123" t="str">
        <f t="shared" si="33"/>
        <v>;/</v>
      </c>
      <c r="V126" s="123" t="str">
        <f t="shared" si="33"/>
        <v>;/</v>
      </c>
      <c r="W126" s="123" t="str">
        <f t="shared" si="33"/>
        <v>;/</v>
      </c>
      <c r="X126" s="123" t="str">
        <f t="shared" si="33"/>
        <v>;/</v>
      </c>
      <c r="Y126" s="123" t="str">
        <f t="shared" si="33"/>
        <v>;/</v>
      </c>
      <c r="Z126" s="123" t="str">
        <f t="shared" si="33"/>
        <v>;/</v>
      </c>
      <c r="AA126" s="123" t="str">
        <f t="shared" si="33"/>
        <v>;/</v>
      </c>
      <c r="AB126" s="123" t="str">
        <f t="shared" si="33"/>
        <v>;/</v>
      </c>
      <c r="AC126" s="123" t="str">
        <f t="shared" si="33"/>
        <v>;/</v>
      </c>
      <c r="AD126" s="123" t="str">
        <f t="shared" si="33"/>
        <v>;/</v>
      </c>
      <c r="AE126" s="123" t="str">
        <f t="shared" si="33"/>
        <v>;/</v>
      </c>
      <c r="AF126" s="123" t="str">
        <f t="shared" si="33"/>
        <v>;/</v>
      </c>
      <c r="AG126" s="126">
        <v>6.4</v>
      </c>
      <c r="AH126" s="54"/>
      <c r="AI126" s="55"/>
      <c r="AK126" s="56"/>
    </row>
    <row r="127" spans="1:37" x14ac:dyDescent="0.25">
      <c r="A127" s="111" t="s">
        <v>132</v>
      </c>
      <c r="B127" s="123">
        <f t="shared" si="31"/>
        <v>1</v>
      </c>
      <c r="C127" s="124">
        <v>1</v>
      </c>
      <c r="D127" s="123">
        <f t="shared" si="34"/>
        <v>1</v>
      </c>
      <c r="E127" s="123">
        <f t="shared" si="34"/>
        <v>1</v>
      </c>
      <c r="F127" s="123">
        <f t="shared" si="34"/>
        <v>1</v>
      </c>
      <c r="G127" s="123">
        <f t="shared" si="34"/>
        <v>1</v>
      </c>
      <c r="H127" s="123">
        <f t="shared" si="34"/>
        <v>1</v>
      </c>
      <c r="I127" s="123">
        <f t="shared" si="34"/>
        <v>1</v>
      </c>
      <c r="J127" s="123">
        <f t="shared" si="34"/>
        <v>1</v>
      </c>
      <c r="K127" s="123">
        <f t="shared" si="34"/>
        <v>1</v>
      </c>
      <c r="L127" s="123">
        <f t="shared" si="34"/>
        <v>1</v>
      </c>
      <c r="M127" s="123">
        <f t="shared" si="34"/>
        <v>1</v>
      </c>
      <c r="N127" s="123">
        <f t="shared" si="34"/>
        <v>1</v>
      </c>
      <c r="O127" s="123">
        <f t="shared" si="34"/>
        <v>1</v>
      </c>
      <c r="P127" s="123">
        <f t="shared" si="34"/>
        <v>1</v>
      </c>
      <c r="Q127" s="123">
        <f t="shared" si="34"/>
        <v>1</v>
      </c>
      <c r="R127" s="123">
        <f t="shared" si="34"/>
        <v>1</v>
      </c>
      <c r="S127" s="123">
        <f t="shared" si="34"/>
        <v>1</v>
      </c>
      <c r="T127" s="123">
        <f t="shared" si="33"/>
        <v>1</v>
      </c>
      <c r="U127" s="123">
        <f t="shared" si="33"/>
        <v>1</v>
      </c>
      <c r="V127" s="123">
        <f t="shared" si="33"/>
        <v>1</v>
      </c>
      <c r="W127" s="123">
        <f t="shared" si="33"/>
        <v>1</v>
      </c>
      <c r="X127" s="123">
        <f t="shared" si="33"/>
        <v>1</v>
      </c>
      <c r="Y127" s="123">
        <f t="shared" si="33"/>
        <v>1</v>
      </c>
      <c r="Z127" s="123">
        <f t="shared" si="33"/>
        <v>1</v>
      </c>
      <c r="AA127" s="123">
        <f t="shared" si="33"/>
        <v>1</v>
      </c>
      <c r="AB127" s="123">
        <f t="shared" si="33"/>
        <v>1</v>
      </c>
      <c r="AC127" s="123">
        <f t="shared" si="33"/>
        <v>1</v>
      </c>
      <c r="AD127" s="123">
        <f t="shared" si="33"/>
        <v>1</v>
      </c>
      <c r="AE127" s="123">
        <f t="shared" si="33"/>
        <v>1</v>
      </c>
      <c r="AF127" s="123">
        <f t="shared" si="33"/>
        <v>1</v>
      </c>
      <c r="AG127" s="126">
        <v>6</v>
      </c>
      <c r="AH127" s="54"/>
      <c r="AI127" s="55"/>
      <c r="AK127" s="56"/>
    </row>
    <row r="128" spans="1:37" x14ac:dyDescent="0.25">
      <c r="A128" s="111" t="s">
        <v>133</v>
      </c>
      <c r="B128" s="123">
        <f t="shared" si="31"/>
        <v>1.58</v>
      </c>
      <c r="C128" s="124">
        <v>1.58</v>
      </c>
      <c r="D128" s="123">
        <f t="shared" si="34"/>
        <v>1.58</v>
      </c>
      <c r="E128" s="123">
        <f t="shared" si="34"/>
        <v>1.58</v>
      </c>
      <c r="F128" s="123">
        <f t="shared" si="34"/>
        <v>1.58</v>
      </c>
      <c r="G128" s="123">
        <f t="shared" si="34"/>
        <v>1.58</v>
      </c>
      <c r="H128" s="123">
        <f t="shared" si="34"/>
        <v>1.58</v>
      </c>
      <c r="I128" s="123">
        <f t="shared" si="34"/>
        <v>1.58</v>
      </c>
      <c r="J128" s="123">
        <f t="shared" si="34"/>
        <v>1.58</v>
      </c>
      <c r="K128" s="123">
        <f t="shared" si="34"/>
        <v>1.58</v>
      </c>
      <c r="L128" s="123">
        <f t="shared" si="34"/>
        <v>1.58</v>
      </c>
      <c r="M128" s="123">
        <f t="shared" si="34"/>
        <v>1.58</v>
      </c>
      <c r="N128" s="123">
        <f t="shared" si="34"/>
        <v>1.58</v>
      </c>
      <c r="O128" s="123">
        <f t="shared" si="34"/>
        <v>1.58</v>
      </c>
      <c r="P128" s="123">
        <f t="shared" si="34"/>
        <v>1.58</v>
      </c>
      <c r="Q128" s="123">
        <f t="shared" si="34"/>
        <v>1.58</v>
      </c>
      <c r="R128" s="123">
        <f t="shared" si="34"/>
        <v>1.58</v>
      </c>
      <c r="S128" s="123">
        <f t="shared" si="34"/>
        <v>1.58</v>
      </c>
      <c r="T128" s="123">
        <f t="shared" si="33"/>
        <v>1.58</v>
      </c>
      <c r="U128" s="123">
        <f t="shared" si="33"/>
        <v>1.58</v>
      </c>
      <c r="V128" s="123">
        <f t="shared" si="33"/>
        <v>1.58</v>
      </c>
      <c r="W128" s="123">
        <f t="shared" si="33"/>
        <v>1.58</v>
      </c>
      <c r="X128" s="123">
        <f t="shared" si="33"/>
        <v>1.58</v>
      </c>
      <c r="Y128" s="123">
        <f t="shared" si="33"/>
        <v>1.58</v>
      </c>
      <c r="Z128" s="123">
        <f t="shared" si="33"/>
        <v>1.58</v>
      </c>
      <c r="AA128" s="123">
        <f t="shared" si="33"/>
        <v>1.58</v>
      </c>
      <c r="AB128" s="123">
        <f t="shared" si="33"/>
        <v>1.58</v>
      </c>
      <c r="AC128" s="123">
        <f t="shared" si="33"/>
        <v>1.58</v>
      </c>
      <c r="AD128" s="123">
        <f t="shared" si="33"/>
        <v>1.58</v>
      </c>
      <c r="AE128" s="123">
        <f t="shared" si="33"/>
        <v>1.58</v>
      </c>
      <c r="AF128" s="123">
        <f t="shared" si="33"/>
        <v>1.58</v>
      </c>
      <c r="AG128" s="126">
        <v>5.0999999999999996</v>
      </c>
      <c r="AH128" s="54"/>
      <c r="AI128" s="55"/>
      <c r="AK128" s="56"/>
    </row>
    <row r="129" spans="1:37" x14ac:dyDescent="0.25">
      <c r="A129" s="111" t="s">
        <v>134</v>
      </c>
      <c r="B129" s="123">
        <f t="shared" si="31"/>
        <v>1.46</v>
      </c>
      <c r="C129" s="124">
        <v>1.46</v>
      </c>
      <c r="D129" s="123">
        <f t="shared" si="34"/>
        <v>1.46</v>
      </c>
      <c r="E129" s="123">
        <f t="shared" si="34"/>
        <v>1.46</v>
      </c>
      <c r="F129" s="123">
        <f t="shared" si="34"/>
        <v>1.46</v>
      </c>
      <c r="G129" s="123">
        <f t="shared" si="34"/>
        <v>1.46</v>
      </c>
      <c r="H129" s="123">
        <f t="shared" si="34"/>
        <v>1.46</v>
      </c>
      <c r="I129" s="123">
        <f t="shared" si="34"/>
        <v>1.46</v>
      </c>
      <c r="J129" s="123">
        <f t="shared" si="34"/>
        <v>1.46</v>
      </c>
      <c r="K129" s="123">
        <f t="shared" si="34"/>
        <v>1.46</v>
      </c>
      <c r="L129" s="123">
        <f t="shared" si="34"/>
        <v>1.46</v>
      </c>
      <c r="M129" s="123">
        <f t="shared" si="34"/>
        <v>1.46</v>
      </c>
      <c r="N129" s="123">
        <f t="shared" si="34"/>
        <v>1.46</v>
      </c>
      <c r="O129" s="123">
        <f t="shared" si="34"/>
        <v>1.46</v>
      </c>
      <c r="P129" s="123">
        <f t="shared" si="34"/>
        <v>1.46</v>
      </c>
      <c r="Q129" s="123">
        <f t="shared" si="34"/>
        <v>1.46</v>
      </c>
      <c r="R129" s="123">
        <f t="shared" si="34"/>
        <v>1.46</v>
      </c>
      <c r="S129" s="123">
        <f t="shared" si="34"/>
        <v>1.46</v>
      </c>
      <c r="T129" s="123">
        <f t="shared" ref="T129:AF130" si="35">S129</f>
        <v>1.46</v>
      </c>
      <c r="U129" s="123">
        <f t="shared" si="35"/>
        <v>1.46</v>
      </c>
      <c r="V129" s="123">
        <f t="shared" si="35"/>
        <v>1.46</v>
      </c>
      <c r="W129" s="123">
        <f t="shared" si="35"/>
        <v>1.46</v>
      </c>
      <c r="X129" s="123">
        <f t="shared" si="35"/>
        <v>1.46</v>
      </c>
      <c r="Y129" s="123">
        <f t="shared" si="35"/>
        <v>1.46</v>
      </c>
      <c r="Z129" s="123">
        <f t="shared" si="35"/>
        <v>1.46</v>
      </c>
      <c r="AA129" s="123">
        <f t="shared" si="35"/>
        <v>1.46</v>
      </c>
      <c r="AB129" s="123">
        <f t="shared" si="35"/>
        <v>1.46</v>
      </c>
      <c r="AC129" s="123">
        <f t="shared" si="35"/>
        <v>1.46</v>
      </c>
      <c r="AD129" s="123">
        <f t="shared" si="35"/>
        <v>1.46</v>
      </c>
      <c r="AE129" s="123">
        <f t="shared" si="35"/>
        <v>1.46</v>
      </c>
      <c r="AF129" s="123">
        <f t="shared" si="35"/>
        <v>1.46</v>
      </c>
      <c r="AG129" s="126">
        <v>5</v>
      </c>
      <c r="AH129" s="54"/>
      <c r="AI129" s="55"/>
      <c r="AK129" s="56"/>
    </row>
    <row r="130" spans="1:37" x14ac:dyDescent="0.25">
      <c r="A130" s="109" t="s">
        <v>135</v>
      </c>
      <c r="B130" s="123">
        <f t="shared" si="31"/>
        <v>1.48</v>
      </c>
      <c r="C130" s="124">
        <v>1.48</v>
      </c>
      <c r="D130" s="123">
        <f t="shared" si="34"/>
        <v>1.48</v>
      </c>
      <c r="E130" s="123">
        <f t="shared" si="34"/>
        <v>1.48</v>
      </c>
      <c r="F130" s="123">
        <f t="shared" si="34"/>
        <v>1.48</v>
      </c>
      <c r="G130" s="123">
        <f t="shared" si="34"/>
        <v>1.48</v>
      </c>
      <c r="H130" s="123">
        <f t="shared" si="34"/>
        <v>1.48</v>
      </c>
      <c r="I130" s="123">
        <f t="shared" si="34"/>
        <v>1.48</v>
      </c>
      <c r="J130" s="123">
        <f t="shared" si="34"/>
        <v>1.48</v>
      </c>
      <c r="K130" s="123">
        <f t="shared" si="34"/>
        <v>1.48</v>
      </c>
      <c r="L130" s="123">
        <f t="shared" si="34"/>
        <v>1.48</v>
      </c>
      <c r="M130" s="123">
        <f t="shared" si="34"/>
        <v>1.48</v>
      </c>
      <c r="N130" s="123">
        <f t="shared" si="34"/>
        <v>1.48</v>
      </c>
      <c r="O130" s="123">
        <f t="shared" si="34"/>
        <v>1.48</v>
      </c>
      <c r="P130" s="123">
        <f t="shared" si="34"/>
        <v>1.48</v>
      </c>
      <c r="Q130" s="123">
        <f t="shared" si="34"/>
        <v>1.48</v>
      </c>
      <c r="R130" s="123">
        <f t="shared" si="34"/>
        <v>1.48</v>
      </c>
      <c r="S130" s="123">
        <f t="shared" si="34"/>
        <v>1.48</v>
      </c>
      <c r="T130" s="123">
        <f t="shared" si="35"/>
        <v>1.48</v>
      </c>
      <c r="U130" s="123">
        <f t="shared" si="35"/>
        <v>1.48</v>
      </c>
      <c r="V130" s="123">
        <f t="shared" si="35"/>
        <v>1.48</v>
      </c>
      <c r="W130" s="123">
        <f t="shared" si="35"/>
        <v>1.48</v>
      </c>
      <c r="X130" s="123">
        <f t="shared" si="35"/>
        <v>1.48</v>
      </c>
      <c r="Y130" s="123">
        <f t="shared" si="35"/>
        <v>1.48</v>
      </c>
      <c r="Z130" s="123">
        <f t="shared" si="35"/>
        <v>1.48</v>
      </c>
      <c r="AA130" s="123">
        <f t="shared" si="35"/>
        <v>1.48</v>
      </c>
      <c r="AB130" s="123">
        <f t="shared" si="35"/>
        <v>1.48</v>
      </c>
      <c r="AC130" s="123">
        <f t="shared" si="35"/>
        <v>1.48</v>
      </c>
      <c r="AD130" s="123">
        <f t="shared" si="35"/>
        <v>1.48</v>
      </c>
      <c r="AE130" s="123">
        <f t="shared" si="35"/>
        <v>1.48</v>
      </c>
      <c r="AF130" s="123">
        <f t="shared" si="35"/>
        <v>1.48</v>
      </c>
      <c r="AG130" s="125">
        <v>5</v>
      </c>
      <c r="AH130" s="54"/>
      <c r="AI130" s="55"/>
      <c r="AK130" s="56"/>
    </row>
    <row r="131" spans="1:37" x14ac:dyDescent="0.25">
      <c r="A131" s="111" t="s">
        <v>136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4"/>
      <c r="AI131" s="55"/>
      <c r="AK131" s="56"/>
    </row>
    <row r="132" spans="1:37" x14ac:dyDescent="0.25">
      <c r="A132" s="111" t="s">
        <v>137</v>
      </c>
      <c r="B132" s="123">
        <f t="shared" ref="B132:B139" si="36">AF132</f>
        <v>2.2000000000000002</v>
      </c>
      <c r="C132" s="124">
        <v>2.2000000000000002</v>
      </c>
      <c r="D132" s="123">
        <f t="shared" ref="D132:S139" si="37">C132</f>
        <v>2.2000000000000002</v>
      </c>
      <c r="E132" s="123">
        <f t="shared" si="37"/>
        <v>2.2000000000000002</v>
      </c>
      <c r="F132" s="123">
        <f t="shared" si="37"/>
        <v>2.2000000000000002</v>
      </c>
      <c r="G132" s="123">
        <f t="shared" si="37"/>
        <v>2.2000000000000002</v>
      </c>
      <c r="H132" s="123">
        <f t="shared" si="37"/>
        <v>2.2000000000000002</v>
      </c>
      <c r="I132" s="123">
        <f t="shared" si="37"/>
        <v>2.2000000000000002</v>
      </c>
      <c r="J132" s="123">
        <f t="shared" si="37"/>
        <v>2.2000000000000002</v>
      </c>
      <c r="K132" s="123">
        <f t="shared" si="37"/>
        <v>2.2000000000000002</v>
      </c>
      <c r="L132" s="123">
        <f t="shared" si="37"/>
        <v>2.2000000000000002</v>
      </c>
      <c r="M132" s="123">
        <f t="shared" si="37"/>
        <v>2.2000000000000002</v>
      </c>
      <c r="N132" s="123">
        <f t="shared" si="37"/>
        <v>2.2000000000000002</v>
      </c>
      <c r="O132" s="123">
        <f t="shared" si="37"/>
        <v>2.2000000000000002</v>
      </c>
      <c r="P132" s="123">
        <f t="shared" si="37"/>
        <v>2.2000000000000002</v>
      </c>
      <c r="Q132" s="123">
        <f t="shared" si="37"/>
        <v>2.2000000000000002</v>
      </c>
      <c r="R132" s="123">
        <f t="shared" si="37"/>
        <v>2.2000000000000002</v>
      </c>
      <c r="S132" s="123">
        <f t="shared" si="37"/>
        <v>2.2000000000000002</v>
      </c>
      <c r="T132" s="123">
        <f t="shared" ref="T132:AF139" si="38">S132</f>
        <v>2.2000000000000002</v>
      </c>
      <c r="U132" s="123">
        <f t="shared" si="38"/>
        <v>2.2000000000000002</v>
      </c>
      <c r="V132" s="123">
        <f t="shared" si="38"/>
        <v>2.2000000000000002</v>
      </c>
      <c r="W132" s="123">
        <f t="shared" si="38"/>
        <v>2.2000000000000002</v>
      </c>
      <c r="X132" s="123">
        <f t="shared" si="38"/>
        <v>2.2000000000000002</v>
      </c>
      <c r="Y132" s="123">
        <f t="shared" si="38"/>
        <v>2.2000000000000002</v>
      </c>
      <c r="Z132" s="123">
        <f t="shared" si="38"/>
        <v>2.2000000000000002</v>
      </c>
      <c r="AA132" s="123">
        <f t="shared" si="38"/>
        <v>2.2000000000000002</v>
      </c>
      <c r="AB132" s="123">
        <f t="shared" si="38"/>
        <v>2.2000000000000002</v>
      </c>
      <c r="AC132" s="123">
        <f t="shared" si="38"/>
        <v>2.2000000000000002</v>
      </c>
      <c r="AD132" s="123">
        <f t="shared" si="38"/>
        <v>2.2000000000000002</v>
      </c>
      <c r="AE132" s="123">
        <f t="shared" si="38"/>
        <v>2.2000000000000002</v>
      </c>
      <c r="AF132" s="123">
        <f t="shared" si="38"/>
        <v>2.2000000000000002</v>
      </c>
      <c r="AG132" s="126">
        <v>5</v>
      </c>
      <c r="AH132" s="54"/>
      <c r="AI132" s="55"/>
      <c r="AK132" s="56"/>
    </row>
    <row r="133" spans="1:37" x14ac:dyDescent="0.25">
      <c r="A133" s="111" t="s">
        <v>138</v>
      </c>
      <c r="B133" s="123">
        <f t="shared" si="36"/>
        <v>2</v>
      </c>
      <c r="C133" s="124">
        <v>2</v>
      </c>
      <c r="D133" s="123">
        <f t="shared" si="37"/>
        <v>2</v>
      </c>
      <c r="E133" s="123">
        <f t="shared" si="37"/>
        <v>2</v>
      </c>
      <c r="F133" s="123">
        <f t="shared" si="37"/>
        <v>2</v>
      </c>
      <c r="G133" s="123">
        <f t="shared" si="37"/>
        <v>2</v>
      </c>
      <c r="H133" s="123">
        <f t="shared" si="37"/>
        <v>2</v>
      </c>
      <c r="I133" s="123">
        <f t="shared" si="37"/>
        <v>2</v>
      </c>
      <c r="J133" s="123">
        <f t="shared" si="37"/>
        <v>2</v>
      </c>
      <c r="K133" s="123">
        <f t="shared" si="37"/>
        <v>2</v>
      </c>
      <c r="L133" s="123">
        <f t="shared" si="37"/>
        <v>2</v>
      </c>
      <c r="M133" s="123">
        <f t="shared" si="37"/>
        <v>2</v>
      </c>
      <c r="N133" s="123">
        <f t="shared" si="37"/>
        <v>2</v>
      </c>
      <c r="O133" s="123">
        <f t="shared" si="37"/>
        <v>2</v>
      </c>
      <c r="P133" s="123">
        <f t="shared" si="37"/>
        <v>2</v>
      </c>
      <c r="Q133" s="123">
        <f t="shared" si="37"/>
        <v>2</v>
      </c>
      <c r="R133" s="123">
        <f t="shared" si="37"/>
        <v>2</v>
      </c>
      <c r="S133" s="123">
        <f t="shared" si="37"/>
        <v>2</v>
      </c>
      <c r="T133" s="123">
        <f t="shared" si="38"/>
        <v>2</v>
      </c>
      <c r="U133" s="123">
        <f t="shared" si="38"/>
        <v>2</v>
      </c>
      <c r="V133" s="123">
        <f t="shared" si="38"/>
        <v>2</v>
      </c>
      <c r="W133" s="123">
        <f t="shared" si="38"/>
        <v>2</v>
      </c>
      <c r="X133" s="123">
        <f t="shared" si="38"/>
        <v>2</v>
      </c>
      <c r="Y133" s="123">
        <f t="shared" si="38"/>
        <v>2</v>
      </c>
      <c r="Z133" s="123">
        <f t="shared" si="38"/>
        <v>2</v>
      </c>
      <c r="AA133" s="123">
        <f t="shared" si="38"/>
        <v>2</v>
      </c>
      <c r="AB133" s="123">
        <f t="shared" si="38"/>
        <v>2</v>
      </c>
      <c r="AC133" s="123">
        <f t="shared" si="38"/>
        <v>2</v>
      </c>
      <c r="AD133" s="123">
        <f t="shared" si="38"/>
        <v>2</v>
      </c>
      <c r="AE133" s="123">
        <f t="shared" si="38"/>
        <v>2</v>
      </c>
      <c r="AF133" s="123">
        <f t="shared" si="38"/>
        <v>2</v>
      </c>
      <c r="AG133" s="126">
        <v>5</v>
      </c>
      <c r="AH133" s="54"/>
      <c r="AI133" s="55"/>
      <c r="AK133" s="56"/>
    </row>
    <row r="134" spans="1:37" x14ac:dyDescent="0.25">
      <c r="A134" s="111" t="s">
        <v>139</v>
      </c>
      <c r="B134" s="123">
        <f t="shared" si="36"/>
        <v>1.25</v>
      </c>
      <c r="C134" s="124">
        <v>1.25</v>
      </c>
      <c r="D134" s="123">
        <f t="shared" si="37"/>
        <v>1.25</v>
      </c>
      <c r="E134" s="123">
        <f t="shared" si="37"/>
        <v>1.25</v>
      </c>
      <c r="F134" s="123">
        <f t="shared" si="37"/>
        <v>1.25</v>
      </c>
      <c r="G134" s="123">
        <f t="shared" si="37"/>
        <v>1.25</v>
      </c>
      <c r="H134" s="123">
        <f t="shared" si="37"/>
        <v>1.25</v>
      </c>
      <c r="I134" s="123">
        <f t="shared" si="37"/>
        <v>1.25</v>
      </c>
      <c r="J134" s="123">
        <f t="shared" si="37"/>
        <v>1.25</v>
      </c>
      <c r="K134" s="123">
        <f t="shared" si="37"/>
        <v>1.25</v>
      </c>
      <c r="L134" s="123">
        <f t="shared" si="37"/>
        <v>1.25</v>
      </c>
      <c r="M134" s="123">
        <f t="shared" si="37"/>
        <v>1.25</v>
      </c>
      <c r="N134" s="123">
        <f t="shared" si="37"/>
        <v>1.25</v>
      </c>
      <c r="O134" s="123">
        <f t="shared" si="37"/>
        <v>1.25</v>
      </c>
      <c r="P134" s="123">
        <f t="shared" si="37"/>
        <v>1.25</v>
      </c>
      <c r="Q134" s="123">
        <f t="shared" si="37"/>
        <v>1.25</v>
      </c>
      <c r="R134" s="123">
        <f t="shared" si="37"/>
        <v>1.25</v>
      </c>
      <c r="S134" s="123">
        <f t="shared" si="37"/>
        <v>1.25</v>
      </c>
      <c r="T134" s="123">
        <f t="shared" si="38"/>
        <v>1.25</v>
      </c>
      <c r="U134" s="123">
        <f t="shared" si="38"/>
        <v>1.25</v>
      </c>
      <c r="V134" s="123">
        <f t="shared" si="38"/>
        <v>1.25</v>
      </c>
      <c r="W134" s="123">
        <f t="shared" si="38"/>
        <v>1.25</v>
      </c>
      <c r="X134" s="123">
        <f t="shared" si="38"/>
        <v>1.25</v>
      </c>
      <c r="Y134" s="123">
        <f t="shared" si="38"/>
        <v>1.25</v>
      </c>
      <c r="Z134" s="123">
        <f t="shared" si="38"/>
        <v>1.25</v>
      </c>
      <c r="AA134" s="123">
        <f t="shared" si="38"/>
        <v>1.25</v>
      </c>
      <c r="AB134" s="123">
        <f t="shared" si="38"/>
        <v>1.25</v>
      </c>
      <c r="AC134" s="123">
        <f t="shared" si="38"/>
        <v>1.25</v>
      </c>
      <c r="AD134" s="123">
        <f t="shared" si="38"/>
        <v>1.25</v>
      </c>
      <c r="AE134" s="123">
        <f t="shared" si="38"/>
        <v>1.25</v>
      </c>
      <c r="AF134" s="123">
        <f t="shared" si="38"/>
        <v>1.25</v>
      </c>
      <c r="AG134" s="126">
        <v>5</v>
      </c>
      <c r="AH134" s="54"/>
      <c r="AI134" s="55"/>
      <c r="AK134" s="56"/>
    </row>
    <row r="135" spans="1:37" x14ac:dyDescent="0.25">
      <c r="A135" s="111" t="s">
        <v>140</v>
      </c>
      <c r="B135" s="123">
        <f t="shared" si="36"/>
        <v>1.1499999999999999</v>
      </c>
      <c r="C135" s="124">
        <v>1.1499999999999999</v>
      </c>
      <c r="D135" s="123">
        <f t="shared" si="37"/>
        <v>1.1499999999999999</v>
      </c>
      <c r="E135" s="123">
        <f t="shared" si="37"/>
        <v>1.1499999999999999</v>
      </c>
      <c r="F135" s="123">
        <f t="shared" si="37"/>
        <v>1.1499999999999999</v>
      </c>
      <c r="G135" s="123">
        <f t="shared" si="37"/>
        <v>1.1499999999999999</v>
      </c>
      <c r="H135" s="123">
        <f t="shared" si="37"/>
        <v>1.1499999999999999</v>
      </c>
      <c r="I135" s="123">
        <f t="shared" si="37"/>
        <v>1.1499999999999999</v>
      </c>
      <c r="J135" s="123">
        <f t="shared" si="37"/>
        <v>1.1499999999999999</v>
      </c>
      <c r="K135" s="123">
        <f t="shared" si="37"/>
        <v>1.1499999999999999</v>
      </c>
      <c r="L135" s="123">
        <f t="shared" si="37"/>
        <v>1.1499999999999999</v>
      </c>
      <c r="M135" s="123">
        <f t="shared" si="37"/>
        <v>1.1499999999999999</v>
      </c>
      <c r="N135" s="123">
        <f t="shared" si="37"/>
        <v>1.1499999999999999</v>
      </c>
      <c r="O135" s="123">
        <f t="shared" si="37"/>
        <v>1.1499999999999999</v>
      </c>
      <c r="P135" s="123">
        <f t="shared" si="37"/>
        <v>1.1499999999999999</v>
      </c>
      <c r="Q135" s="123">
        <f t="shared" si="37"/>
        <v>1.1499999999999999</v>
      </c>
      <c r="R135" s="123">
        <f t="shared" si="37"/>
        <v>1.1499999999999999</v>
      </c>
      <c r="S135" s="123">
        <f t="shared" si="37"/>
        <v>1.1499999999999999</v>
      </c>
      <c r="T135" s="123">
        <f t="shared" si="38"/>
        <v>1.1499999999999999</v>
      </c>
      <c r="U135" s="123">
        <f t="shared" si="38"/>
        <v>1.1499999999999999</v>
      </c>
      <c r="V135" s="123">
        <f t="shared" si="38"/>
        <v>1.1499999999999999</v>
      </c>
      <c r="W135" s="123">
        <f t="shared" si="38"/>
        <v>1.1499999999999999</v>
      </c>
      <c r="X135" s="123">
        <f t="shared" si="38"/>
        <v>1.1499999999999999</v>
      </c>
      <c r="Y135" s="123">
        <f t="shared" si="38"/>
        <v>1.1499999999999999</v>
      </c>
      <c r="Z135" s="123">
        <f t="shared" si="38"/>
        <v>1.1499999999999999</v>
      </c>
      <c r="AA135" s="123">
        <f t="shared" si="38"/>
        <v>1.1499999999999999</v>
      </c>
      <c r="AB135" s="123">
        <f t="shared" si="38"/>
        <v>1.1499999999999999</v>
      </c>
      <c r="AC135" s="123">
        <f t="shared" si="38"/>
        <v>1.1499999999999999</v>
      </c>
      <c r="AD135" s="123">
        <f t="shared" si="38"/>
        <v>1.1499999999999999</v>
      </c>
      <c r="AE135" s="123">
        <f t="shared" si="38"/>
        <v>1.1499999999999999</v>
      </c>
      <c r="AF135" s="123">
        <f t="shared" si="38"/>
        <v>1.1499999999999999</v>
      </c>
      <c r="AG135" s="126">
        <v>5</v>
      </c>
      <c r="AH135" s="54"/>
      <c r="AI135" s="55"/>
      <c r="AK135" s="56"/>
    </row>
    <row r="136" spans="1:37" x14ac:dyDescent="0.25">
      <c r="A136" s="111" t="s">
        <v>141</v>
      </c>
      <c r="B136" s="123">
        <f t="shared" si="36"/>
        <v>2.133</v>
      </c>
      <c r="C136" s="124">
        <v>2.133</v>
      </c>
      <c r="D136" s="123">
        <f t="shared" si="37"/>
        <v>2.133</v>
      </c>
      <c r="E136" s="123">
        <f t="shared" si="37"/>
        <v>2.133</v>
      </c>
      <c r="F136" s="123">
        <f t="shared" si="37"/>
        <v>2.133</v>
      </c>
      <c r="G136" s="123">
        <f t="shared" si="37"/>
        <v>2.133</v>
      </c>
      <c r="H136" s="123">
        <f t="shared" si="37"/>
        <v>2.133</v>
      </c>
      <c r="I136" s="123">
        <f t="shared" si="37"/>
        <v>2.133</v>
      </c>
      <c r="J136" s="123">
        <f t="shared" si="37"/>
        <v>2.133</v>
      </c>
      <c r="K136" s="123">
        <f t="shared" si="37"/>
        <v>2.133</v>
      </c>
      <c r="L136" s="123">
        <f t="shared" si="37"/>
        <v>2.133</v>
      </c>
      <c r="M136" s="123">
        <f t="shared" si="37"/>
        <v>2.133</v>
      </c>
      <c r="N136" s="123">
        <f t="shared" si="37"/>
        <v>2.133</v>
      </c>
      <c r="O136" s="123">
        <f t="shared" si="37"/>
        <v>2.133</v>
      </c>
      <c r="P136" s="123">
        <f t="shared" si="37"/>
        <v>2.133</v>
      </c>
      <c r="Q136" s="123">
        <f t="shared" si="37"/>
        <v>2.133</v>
      </c>
      <c r="R136" s="123">
        <f t="shared" si="37"/>
        <v>2.133</v>
      </c>
      <c r="S136" s="123">
        <f t="shared" si="37"/>
        <v>2.133</v>
      </c>
      <c r="T136" s="123">
        <f t="shared" si="38"/>
        <v>2.133</v>
      </c>
      <c r="U136" s="123">
        <f t="shared" si="38"/>
        <v>2.133</v>
      </c>
      <c r="V136" s="123">
        <f t="shared" si="38"/>
        <v>2.133</v>
      </c>
      <c r="W136" s="123">
        <f t="shared" si="38"/>
        <v>2.133</v>
      </c>
      <c r="X136" s="123">
        <f t="shared" si="38"/>
        <v>2.133</v>
      </c>
      <c r="Y136" s="123">
        <f t="shared" si="38"/>
        <v>2.133</v>
      </c>
      <c r="Z136" s="123">
        <f t="shared" si="38"/>
        <v>2.133</v>
      </c>
      <c r="AA136" s="123">
        <f t="shared" si="38"/>
        <v>2.133</v>
      </c>
      <c r="AB136" s="123">
        <f t="shared" si="38"/>
        <v>2.133</v>
      </c>
      <c r="AC136" s="123">
        <f t="shared" si="38"/>
        <v>2.133</v>
      </c>
      <c r="AD136" s="123">
        <f t="shared" si="38"/>
        <v>2.133</v>
      </c>
      <c r="AE136" s="123">
        <f t="shared" si="38"/>
        <v>2.133</v>
      </c>
      <c r="AF136" s="123">
        <f t="shared" si="38"/>
        <v>2.133</v>
      </c>
      <c r="AG136" s="126">
        <v>4.9930000000000003</v>
      </c>
      <c r="AH136" s="54"/>
      <c r="AI136" s="55"/>
      <c r="AK136" s="56"/>
    </row>
    <row r="137" spans="1:37" x14ac:dyDescent="0.25">
      <c r="A137" s="111" t="s">
        <v>142</v>
      </c>
      <c r="B137" s="123">
        <f t="shared" si="36"/>
        <v>2.09</v>
      </c>
      <c r="C137" s="124">
        <v>2.09</v>
      </c>
      <c r="D137" s="123">
        <f t="shared" si="37"/>
        <v>2.09</v>
      </c>
      <c r="E137" s="123">
        <f t="shared" si="37"/>
        <v>2.09</v>
      </c>
      <c r="F137" s="123">
        <f t="shared" si="37"/>
        <v>2.09</v>
      </c>
      <c r="G137" s="123">
        <f t="shared" si="37"/>
        <v>2.09</v>
      </c>
      <c r="H137" s="123">
        <f t="shared" si="37"/>
        <v>2.09</v>
      </c>
      <c r="I137" s="123">
        <f t="shared" si="37"/>
        <v>2.09</v>
      </c>
      <c r="J137" s="123">
        <f t="shared" si="37"/>
        <v>2.09</v>
      </c>
      <c r="K137" s="123">
        <f t="shared" si="37"/>
        <v>2.09</v>
      </c>
      <c r="L137" s="123">
        <f t="shared" si="37"/>
        <v>2.09</v>
      </c>
      <c r="M137" s="123">
        <f t="shared" si="37"/>
        <v>2.09</v>
      </c>
      <c r="N137" s="123">
        <f t="shared" si="37"/>
        <v>2.09</v>
      </c>
      <c r="O137" s="123">
        <f t="shared" si="37"/>
        <v>2.09</v>
      </c>
      <c r="P137" s="123">
        <f t="shared" si="37"/>
        <v>2.09</v>
      </c>
      <c r="Q137" s="123">
        <f t="shared" si="37"/>
        <v>2.09</v>
      </c>
      <c r="R137" s="123">
        <f t="shared" si="37"/>
        <v>2.09</v>
      </c>
      <c r="S137" s="123">
        <f t="shared" si="37"/>
        <v>2.09</v>
      </c>
      <c r="T137" s="123">
        <f t="shared" si="38"/>
        <v>2.09</v>
      </c>
      <c r="U137" s="123">
        <f t="shared" si="38"/>
        <v>2.09</v>
      </c>
      <c r="V137" s="123">
        <f t="shared" si="38"/>
        <v>2.09</v>
      </c>
      <c r="W137" s="123">
        <f t="shared" si="38"/>
        <v>2.09</v>
      </c>
      <c r="X137" s="123">
        <f t="shared" si="38"/>
        <v>2.09</v>
      </c>
      <c r="Y137" s="123">
        <f t="shared" si="38"/>
        <v>2.09</v>
      </c>
      <c r="Z137" s="123">
        <f t="shared" si="38"/>
        <v>2.09</v>
      </c>
      <c r="AA137" s="123">
        <f t="shared" si="38"/>
        <v>2.09</v>
      </c>
      <c r="AB137" s="123">
        <f t="shared" si="38"/>
        <v>2.09</v>
      </c>
      <c r="AC137" s="123">
        <f t="shared" si="38"/>
        <v>2.09</v>
      </c>
      <c r="AD137" s="123">
        <f t="shared" si="38"/>
        <v>2.09</v>
      </c>
      <c r="AE137" s="123">
        <f t="shared" si="38"/>
        <v>2.09</v>
      </c>
      <c r="AF137" s="123">
        <f t="shared" si="38"/>
        <v>2.09</v>
      </c>
      <c r="AG137" s="126">
        <v>4.9800000000000004</v>
      </c>
      <c r="AH137" s="54"/>
      <c r="AI137" s="55"/>
      <c r="AK137" s="56"/>
    </row>
    <row r="138" spans="1:37" x14ac:dyDescent="0.25">
      <c r="A138" s="111" t="s">
        <v>143</v>
      </c>
      <c r="B138" s="123">
        <f t="shared" si="36"/>
        <v>1.1399999999999999</v>
      </c>
      <c r="C138" s="124">
        <v>1.1399999999999999</v>
      </c>
      <c r="D138" s="123">
        <f t="shared" si="37"/>
        <v>1.1399999999999999</v>
      </c>
      <c r="E138" s="123">
        <f t="shared" si="37"/>
        <v>1.1399999999999999</v>
      </c>
      <c r="F138" s="123">
        <f t="shared" si="37"/>
        <v>1.1399999999999999</v>
      </c>
      <c r="G138" s="123">
        <f t="shared" si="37"/>
        <v>1.1399999999999999</v>
      </c>
      <c r="H138" s="123">
        <f t="shared" si="37"/>
        <v>1.1399999999999999</v>
      </c>
      <c r="I138" s="123">
        <f t="shared" si="37"/>
        <v>1.1399999999999999</v>
      </c>
      <c r="J138" s="123">
        <f t="shared" si="37"/>
        <v>1.1399999999999999</v>
      </c>
      <c r="K138" s="123">
        <f t="shared" si="37"/>
        <v>1.1399999999999999</v>
      </c>
      <c r="L138" s="123">
        <f t="shared" si="37"/>
        <v>1.1399999999999999</v>
      </c>
      <c r="M138" s="123">
        <f t="shared" si="37"/>
        <v>1.1399999999999999</v>
      </c>
      <c r="N138" s="123">
        <f t="shared" si="37"/>
        <v>1.1399999999999999</v>
      </c>
      <c r="O138" s="123">
        <f t="shared" si="37"/>
        <v>1.1399999999999999</v>
      </c>
      <c r="P138" s="123">
        <f t="shared" si="37"/>
        <v>1.1399999999999999</v>
      </c>
      <c r="Q138" s="123">
        <f t="shared" si="37"/>
        <v>1.1399999999999999</v>
      </c>
      <c r="R138" s="123">
        <f t="shared" si="37"/>
        <v>1.1399999999999999</v>
      </c>
      <c r="S138" s="123">
        <f t="shared" si="37"/>
        <v>1.1399999999999999</v>
      </c>
      <c r="T138" s="123">
        <f t="shared" si="38"/>
        <v>1.1399999999999999</v>
      </c>
      <c r="U138" s="123">
        <f t="shared" si="38"/>
        <v>1.1399999999999999</v>
      </c>
      <c r="V138" s="123">
        <f t="shared" si="38"/>
        <v>1.1399999999999999</v>
      </c>
      <c r="W138" s="123">
        <f t="shared" si="38"/>
        <v>1.1399999999999999</v>
      </c>
      <c r="X138" s="123">
        <f t="shared" si="38"/>
        <v>1.1399999999999999</v>
      </c>
      <c r="Y138" s="123">
        <f t="shared" si="38"/>
        <v>1.1399999999999999</v>
      </c>
      <c r="Z138" s="123">
        <f t="shared" si="38"/>
        <v>1.1399999999999999</v>
      </c>
      <c r="AA138" s="123">
        <f t="shared" si="38"/>
        <v>1.1399999999999999</v>
      </c>
      <c r="AB138" s="123">
        <f t="shared" si="38"/>
        <v>1.1399999999999999</v>
      </c>
      <c r="AC138" s="123">
        <f t="shared" si="38"/>
        <v>1.1399999999999999</v>
      </c>
      <c r="AD138" s="123">
        <f t="shared" si="38"/>
        <v>1.1399999999999999</v>
      </c>
      <c r="AE138" s="123">
        <f t="shared" si="38"/>
        <v>1.1399999999999999</v>
      </c>
      <c r="AF138" s="123">
        <f t="shared" si="38"/>
        <v>1.1399999999999999</v>
      </c>
      <c r="AG138" s="126">
        <v>4.95</v>
      </c>
      <c r="AH138" s="54"/>
      <c r="AI138" s="55"/>
      <c r="AK138" s="56"/>
    </row>
    <row r="139" spans="1:37" x14ac:dyDescent="0.25">
      <c r="A139" s="111" t="s">
        <v>144</v>
      </c>
      <c r="B139" s="123">
        <f t="shared" si="36"/>
        <v>0.82</v>
      </c>
      <c r="C139" s="124">
        <v>0.82</v>
      </c>
      <c r="D139" s="123">
        <f t="shared" si="37"/>
        <v>0.82</v>
      </c>
      <c r="E139" s="123">
        <f t="shared" si="37"/>
        <v>0.82</v>
      </c>
      <c r="F139" s="123">
        <f t="shared" si="37"/>
        <v>0.82</v>
      </c>
      <c r="G139" s="123">
        <f t="shared" si="37"/>
        <v>0.82</v>
      </c>
      <c r="H139" s="123">
        <f t="shared" si="37"/>
        <v>0.82</v>
      </c>
      <c r="I139" s="123">
        <f t="shared" si="37"/>
        <v>0.82</v>
      </c>
      <c r="J139" s="123">
        <f t="shared" si="37"/>
        <v>0.82</v>
      </c>
      <c r="K139" s="123">
        <f t="shared" si="37"/>
        <v>0.82</v>
      </c>
      <c r="L139" s="123">
        <f t="shared" si="37"/>
        <v>0.82</v>
      </c>
      <c r="M139" s="123">
        <f t="shared" si="37"/>
        <v>0.82</v>
      </c>
      <c r="N139" s="123">
        <f t="shared" si="37"/>
        <v>0.82</v>
      </c>
      <c r="O139" s="123">
        <f t="shared" si="37"/>
        <v>0.82</v>
      </c>
      <c r="P139" s="123">
        <f t="shared" si="37"/>
        <v>0.82</v>
      </c>
      <c r="Q139" s="123">
        <f t="shared" si="37"/>
        <v>0.82</v>
      </c>
      <c r="R139" s="123">
        <f t="shared" si="37"/>
        <v>0.82</v>
      </c>
      <c r="S139" s="123">
        <f t="shared" si="37"/>
        <v>0.82</v>
      </c>
      <c r="T139" s="123">
        <f t="shared" si="38"/>
        <v>0.82</v>
      </c>
      <c r="U139" s="123">
        <f t="shared" si="38"/>
        <v>0.82</v>
      </c>
      <c r="V139" s="123">
        <f t="shared" si="38"/>
        <v>0.82</v>
      </c>
      <c r="W139" s="123">
        <f t="shared" si="38"/>
        <v>0.82</v>
      </c>
      <c r="X139" s="123">
        <f t="shared" si="38"/>
        <v>0.82</v>
      </c>
      <c r="Y139" s="123">
        <f t="shared" si="38"/>
        <v>0.82</v>
      </c>
      <c r="Z139" s="123">
        <f t="shared" si="38"/>
        <v>0.82</v>
      </c>
      <c r="AA139" s="123">
        <f t="shared" si="38"/>
        <v>0.82</v>
      </c>
      <c r="AB139" s="123">
        <f t="shared" si="38"/>
        <v>0.82</v>
      </c>
      <c r="AC139" s="123">
        <f t="shared" si="38"/>
        <v>0.82</v>
      </c>
      <c r="AD139" s="123">
        <f t="shared" si="38"/>
        <v>0.82</v>
      </c>
      <c r="AE139" s="123">
        <f t="shared" si="38"/>
        <v>0.82</v>
      </c>
      <c r="AF139" s="123">
        <f t="shared" si="38"/>
        <v>0.82</v>
      </c>
      <c r="AG139" s="126">
        <v>4.95</v>
      </c>
      <c r="AH139" s="54"/>
      <c r="AI139" s="55"/>
      <c r="AK139" s="56"/>
    </row>
    <row r="140" spans="1:37" x14ac:dyDescent="0.25">
      <c r="A140" s="111" t="s">
        <v>145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4"/>
      <c r="AI140" s="55"/>
      <c r="AK140" s="56"/>
    </row>
    <row r="141" spans="1:37" x14ac:dyDescent="0.25">
      <c r="A141" s="111" t="s">
        <v>146</v>
      </c>
      <c r="B141" s="123">
        <f t="shared" ref="B141:B147" si="39">AF141</f>
        <v>2</v>
      </c>
      <c r="C141" s="124">
        <v>2</v>
      </c>
      <c r="D141" s="123">
        <f t="shared" ref="D141:S147" si="40">C141</f>
        <v>2</v>
      </c>
      <c r="E141" s="123">
        <f t="shared" si="40"/>
        <v>2</v>
      </c>
      <c r="F141" s="123">
        <f t="shared" si="40"/>
        <v>2</v>
      </c>
      <c r="G141" s="123">
        <f t="shared" si="40"/>
        <v>2</v>
      </c>
      <c r="H141" s="123">
        <f t="shared" si="40"/>
        <v>2</v>
      </c>
      <c r="I141" s="123">
        <f t="shared" si="40"/>
        <v>2</v>
      </c>
      <c r="J141" s="123">
        <f t="shared" si="40"/>
        <v>2</v>
      </c>
      <c r="K141" s="123">
        <f t="shared" si="40"/>
        <v>2</v>
      </c>
      <c r="L141" s="123">
        <f t="shared" si="40"/>
        <v>2</v>
      </c>
      <c r="M141" s="123">
        <f t="shared" si="40"/>
        <v>2</v>
      </c>
      <c r="N141" s="123">
        <f t="shared" si="40"/>
        <v>2</v>
      </c>
      <c r="O141" s="123">
        <f t="shared" si="40"/>
        <v>2</v>
      </c>
      <c r="P141" s="123">
        <f t="shared" si="40"/>
        <v>2</v>
      </c>
      <c r="Q141" s="123">
        <f t="shared" si="40"/>
        <v>2</v>
      </c>
      <c r="R141" s="123">
        <f t="shared" si="40"/>
        <v>2</v>
      </c>
      <c r="S141" s="123">
        <f t="shared" si="40"/>
        <v>2</v>
      </c>
      <c r="T141" s="123">
        <f t="shared" ref="T141:AF147" si="41">S141</f>
        <v>2</v>
      </c>
      <c r="U141" s="123">
        <f t="shared" si="41"/>
        <v>2</v>
      </c>
      <c r="V141" s="123">
        <f t="shared" si="41"/>
        <v>2</v>
      </c>
      <c r="W141" s="123">
        <f t="shared" si="41"/>
        <v>2</v>
      </c>
      <c r="X141" s="123">
        <f t="shared" si="41"/>
        <v>2</v>
      </c>
      <c r="Y141" s="123">
        <f t="shared" si="41"/>
        <v>2</v>
      </c>
      <c r="Z141" s="123">
        <f t="shared" si="41"/>
        <v>2</v>
      </c>
      <c r="AA141" s="123">
        <f t="shared" si="41"/>
        <v>2</v>
      </c>
      <c r="AB141" s="123">
        <f t="shared" si="41"/>
        <v>2</v>
      </c>
      <c r="AC141" s="123">
        <f t="shared" si="41"/>
        <v>2</v>
      </c>
      <c r="AD141" s="123">
        <f t="shared" si="41"/>
        <v>2</v>
      </c>
      <c r="AE141" s="123">
        <f t="shared" si="41"/>
        <v>2</v>
      </c>
      <c r="AF141" s="123">
        <f t="shared" si="41"/>
        <v>2</v>
      </c>
      <c r="AG141" s="126">
        <v>4.8</v>
      </c>
      <c r="AH141" s="54"/>
      <c r="AI141" s="55"/>
      <c r="AK141" s="56"/>
    </row>
    <row r="142" spans="1:37" x14ac:dyDescent="0.25">
      <c r="A142" s="111" t="s">
        <v>147</v>
      </c>
      <c r="B142" s="123">
        <f t="shared" si="39"/>
        <v>5.61</v>
      </c>
      <c r="C142" s="124">
        <v>5.61</v>
      </c>
      <c r="D142" s="123">
        <f t="shared" si="40"/>
        <v>5.61</v>
      </c>
      <c r="E142" s="123">
        <f t="shared" si="40"/>
        <v>5.61</v>
      </c>
      <c r="F142" s="123">
        <f t="shared" si="40"/>
        <v>5.61</v>
      </c>
      <c r="G142" s="123">
        <f t="shared" si="40"/>
        <v>5.61</v>
      </c>
      <c r="H142" s="123">
        <f t="shared" si="40"/>
        <v>5.61</v>
      </c>
      <c r="I142" s="123">
        <f t="shared" si="40"/>
        <v>5.61</v>
      </c>
      <c r="J142" s="123">
        <f t="shared" si="40"/>
        <v>5.61</v>
      </c>
      <c r="K142" s="123">
        <f t="shared" si="40"/>
        <v>5.61</v>
      </c>
      <c r="L142" s="123">
        <f t="shared" si="40"/>
        <v>5.61</v>
      </c>
      <c r="M142" s="123">
        <f t="shared" si="40"/>
        <v>5.61</v>
      </c>
      <c r="N142" s="123">
        <f t="shared" si="40"/>
        <v>5.61</v>
      </c>
      <c r="O142" s="123">
        <f t="shared" si="40"/>
        <v>5.61</v>
      </c>
      <c r="P142" s="123">
        <f t="shared" si="40"/>
        <v>5.61</v>
      </c>
      <c r="Q142" s="123">
        <f t="shared" si="40"/>
        <v>5.61</v>
      </c>
      <c r="R142" s="123">
        <f t="shared" si="40"/>
        <v>5.61</v>
      </c>
      <c r="S142" s="123">
        <f t="shared" si="40"/>
        <v>5.61</v>
      </c>
      <c r="T142" s="123">
        <f t="shared" si="41"/>
        <v>5.61</v>
      </c>
      <c r="U142" s="123">
        <f t="shared" si="41"/>
        <v>5.61</v>
      </c>
      <c r="V142" s="123">
        <f t="shared" si="41"/>
        <v>5.61</v>
      </c>
      <c r="W142" s="123">
        <f t="shared" si="41"/>
        <v>5.61</v>
      </c>
      <c r="X142" s="123">
        <f t="shared" si="41"/>
        <v>5.61</v>
      </c>
      <c r="Y142" s="123">
        <f t="shared" si="41"/>
        <v>5.61</v>
      </c>
      <c r="Z142" s="123">
        <f t="shared" si="41"/>
        <v>5.61</v>
      </c>
      <c r="AA142" s="123">
        <f t="shared" si="41"/>
        <v>5.61</v>
      </c>
      <c r="AB142" s="123">
        <f t="shared" si="41"/>
        <v>5.61</v>
      </c>
      <c r="AC142" s="123">
        <f t="shared" si="41"/>
        <v>5.61</v>
      </c>
      <c r="AD142" s="123">
        <f t="shared" si="41"/>
        <v>5.61</v>
      </c>
      <c r="AE142" s="123">
        <f t="shared" si="41"/>
        <v>5.61</v>
      </c>
      <c r="AF142" s="123">
        <f t="shared" si="41"/>
        <v>5.61</v>
      </c>
      <c r="AG142" s="126">
        <v>4.8</v>
      </c>
      <c r="AH142" s="54"/>
      <c r="AI142" s="55"/>
      <c r="AK142" s="56"/>
    </row>
    <row r="143" spans="1:37" x14ac:dyDescent="0.25">
      <c r="A143" s="111" t="s">
        <v>148</v>
      </c>
      <c r="B143" s="123">
        <f t="shared" si="39"/>
        <v>1.25</v>
      </c>
      <c r="C143" s="124">
        <v>1.25</v>
      </c>
      <c r="D143" s="123">
        <f t="shared" si="40"/>
        <v>1.25</v>
      </c>
      <c r="E143" s="123">
        <f t="shared" si="40"/>
        <v>1.25</v>
      </c>
      <c r="F143" s="123">
        <f t="shared" si="40"/>
        <v>1.25</v>
      </c>
      <c r="G143" s="123">
        <f t="shared" si="40"/>
        <v>1.25</v>
      </c>
      <c r="H143" s="123">
        <f t="shared" si="40"/>
        <v>1.25</v>
      </c>
      <c r="I143" s="123">
        <f t="shared" si="40"/>
        <v>1.25</v>
      </c>
      <c r="J143" s="123">
        <f t="shared" si="40"/>
        <v>1.25</v>
      </c>
      <c r="K143" s="123">
        <f t="shared" si="40"/>
        <v>1.25</v>
      </c>
      <c r="L143" s="123">
        <f t="shared" si="40"/>
        <v>1.25</v>
      </c>
      <c r="M143" s="123">
        <f t="shared" si="40"/>
        <v>1.25</v>
      </c>
      <c r="N143" s="123">
        <f t="shared" si="40"/>
        <v>1.25</v>
      </c>
      <c r="O143" s="123">
        <f t="shared" si="40"/>
        <v>1.25</v>
      </c>
      <c r="P143" s="123">
        <f t="shared" si="40"/>
        <v>1.25</v>
      </c>
      <c r="Q143" s="123">
        <f t="shared" si="40"/>
        <v>1.25</v>
      </c>
      <c r="R143" s="123">
        <f t="shared" si="40"/>
        <v>1.25</v>
      </c>
      <c r="S143" s="123">
        <f t="shared" si="40"/>
        <v>1.25</v>
      </c>
      <c r="T143" s="123">
        <f t="shared" si="41"/>
        <v>1.25</v>
      </c>
      <c r="U143" s="123">
        <f t="shared" si="41"/>
        <v>1.25</v>
      </c>
      <c r="V143" s="123">
        <f t="shared" si="41"/>
        <v>1.25</v>
      </c>
      <c r="W143" s="123">
        <f t="shared" si="41"/>
        <v>1.25</v>
      </c>
      <c r="X143" s="123">
        <f t="shared" si="41"/>
        <v>1.25</v>
      </c>
      <c r="Y143" s="123">
        <f t="shared" si="41"/>
        <v>1.25</v>
      </c>
      <c r="Z143" s="123">
        <f t="shared" si="41"/>
        <v>1.25</v>
      </c>
      <c r="AA143" s="123">
        <f t="shared" si="41"/>
        <v>1.25</v>
      </c>
      <c r="AB143" s="123">
        <f t="shared" si="41"/>
        <v>1.25</v>
      </c>
      <c r="AC143" s="123">
        <f t="shared" si="41"/>
        <v>1.25</v>
      </c>
      <c r="AD143" s="123">
        <f t="shared" si="41"/>
        <v>1.25</v>
      </c>
      <c r="AE143" s="123">
        <f t="shared" si="41"/>
        <v>1.25</v>
      </c>
      <c r="AF143" s="123">
        <f t="shared" si="41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149</v>
      </c>
      <c r="B144" s="123">
        <f t="shared" si="39"/>
        <v>1.25</v>
      </c>
      <c r="C144" s="124">
        <v>1.25</v>
      </c>
      <c r="D144" s="123">
        <f t="shared" si="40"/>
        <v>1.25</v>
      </c>
      <c r="E144" s="123">
        <f t="shared" si="40"/>
        <v>1.25</v>
      </c>
      <c r="F144" s="123">
        <f t="shared" si="40"/>
        <v>1.25</v>
      </c>
      <c r="G144" s="123">
        <f t="shared" si="40"/>
        <v>1.25</v>
      </c>
      <c r="H144" s="123">
        <f t="shared" si="40"/>
        <v>1.25</v>
      </c>
      <c r="I144" s="123">
        <f t="shared" si="40"/>
        <v>1.25</v>
      </c>
      <c r="J144" s="123">
        <f t="shared" si="40"/>
        <v>1.25</v>
      </c>
      <c r="K144" s="123">
        <f t="shared" si="40"/>
        <v>1.25</v>
      </c>
      <c r="L144" s="123">
        <f t="shared" si="40"/>
        <v>1.25</v>
      </c>
      <c r="M144" s="123">
        <f t="shared" si="40"/>
        <v>1.25</v>
      </c>
      <c r="N144" s="123">
        <f t="shared" si="40"/>
        <v>1.25</v>
      </c>
      <c r="O144" s="123">
        <f t="shared" si="40"/>
        <v>1.25</v>
      </c>
      <c r="P144" s="123">
        <f t="shared" si="40"/>
        <v>1.25</v>
      </c>
      <c r="Q144" s="123">
        <f t="shared" si="40"/>
        <v>1.25</v>
      </c>
      <c r="R144" s="123">
        <f t="shared" si="40"/>
        <v>1.25</v>
      </c>
      <c r="S144" s="123">
        <f t="shared" si="40"/>
        <v>1.25</v>
      </c>
      <c r="T144" s="123">
        <f t="shared" si="41"/>
        <v>1.25</v>
      </c>
      <c r="U144" s="123">
        <f t="shared" si="41"/>
        <v>1.25</v>
      </c>
      <c r="V144" s="123">
        <f t="shared" si="41"/>
        <v>1.25</v>
      </c>
      <c r="W144" s="123">
        <f t="shared" si="41"/>
        <v>1.25</v>
      </c>
      <c r="X144" s="123">
        <f t="shared" si="41"/>
        <v>1.25</v>
      </c>
      <c r="Y144" s="123">
        <f t="shared" si="41"/>
        <v>1.25</v>
      </c>
      <c r="Z144" s="123">
        <f t="shared" si="41"/>
        <v>1.25</v>
      </c>
      <c r="AA144" s="123">
        <f t="shared" si="41"/>
        <v>1.25</v>
      </c>
      <c r="AB144" s="123">
        <f t="shared" si="41"/>
        <v>1.25</v>
      </c>
      <c r="AC144" s="123">
        <f t="shared" si="41"/>
        <v>1.25</v>
      </c>
      <c r="AD144" s="123">
        <f t="shared" si="41"/>
        <v>1.25</v>
      </c>
      <c r="AE144" s="123">
        <f t="shared" si="41"/>
        <v>1.25</v>
      </c>
      <c r="AF144" s="123">
        <f t="shared" si="41"/>
        <v>1.25</v>
      </c>
      <c r="AG144" s="126">
        <v>4.5</v>
      </c>
      <c r="AH144" s="54"/>
      <c r="AI144" s="55"/>
      <c r="AK144" s="56"/>
    </row>
    <row r="145" spans="1:37" x14ac:dyDescent="0.25">
      <c r="A145" s="111" t="s">
        <v>150</v>
      </c>
      <c r="B145" s="123">
        <f t="shared" si="39"/>
        <v>1.46</v>
      </c>
      <c r="C145" s="124">
        <v>1.46</v>
      </c>
      <c r="D145" s="123">
        <f t="shared" si="40"/>
        <v>1.46</v>
      </c>
      <c r="E145" s="123">
        <f t="shared" si="40"/>
        <v>1.46</v>
      </c>
      <c r="F145" s="123">
        <f t="shared" si="40"/>
        <v>1.46</v>
      </c>
      <c r="G145" s="123">
        <f t="shared" si="40"/>
        <v>1.46</v>
      </c>
      <c r="H145" s="123">
        <f t="shared" si="40"/>
        <v>1.46</v>
      </c>
      <c r="I145" s="123">
        <f t="shared" si="40"/>
        <v>1.46</v>
      </c>
      <c r="J145" s="123">
        <f t="shared" si="40"/>
        <v>1.46</v>
      </c>
      <c r="K145" s="123">
        <f t="shared" si="40"/>
        <v>1.46</v>
      </c>
      <c r="L145" s="123">
        <f t="shared" si="40"/>
        <v>1.46</v>
      </c>
      <c r="M145" s="123">
        <f t="shared" si="40"/>
        <v>1.46</v>
      </c>
      <c r="N145" s="123">
        <f t="shared" si="40"/>
        <v>1.46</v>
      </c>
      <c r="O145" s="123">
        <f t="shared" si="40"/>
        <v>1.46</v>
      </c>
      <c r="P145" s="123">
        <f t="shared" si="40"/>
        <v>1.46</v>
      </c>
      <c r="Q145" s="123">
        <f t="shared" si="40"/>
        <v>1.46</v>
      </c>
      <c r="R145" s="123">
        <f t="shared" si="40"/>
        <v>1.46</v>
      </c>
      <c r="S145" s="123">
        <f t="shared" si="40"/>
        <v>1.46</v>
      </c>
      <c r="T145" s="123">
        <f t="shared" si="41"/>
        <v>1.46</v>
      </c>
      <c r="U145" s="123">
        <f t="shared" si="41"/>
        <v>1.46</v>
      </c>
      <c r="V145" s="123">
        <f t="shared" si="41"/>
        <v>1.46</v>
      </c>
      <c r="W145" s="123">
        <f t="shared" si="41"/>
        <v>1.46</v>
      </c>
      <c r="X145" s="123">
        <f t="shared" si="41"/>
        <v>1.46</v>
      </c>
      <c r="Y145" s="123">
        <f t="shared" si="41"/>
        <v>1.46</v>
      </c>
      <c r="Z145" s="123">
        <f t="shared" si="41"/>
        <v>1.46</v>
      </c>
      <c r="AA145" s="123">
        <f t="shared" si="41"/>
        <v>1.46</v>
      </c>
      <c r="AB145" s="123">
        <f t="shared" si="41"/>
        <v>1.46</v>
      </c>
      <c r="AC145" s="123">
        <f t="shared" si="41"/>
        <v>1.46</v>
      </c>
      <c r="AD145" s="123">
        <f t="shared" si="41"/>
        <v>1.46</v>
      </c>
      <c r="AE145" s="123">
        <f t="shared" si="41"/>
        <v>1.46</v>
      </c>
      <c r="AF145" s="123">
        <f t="shared" si="41"/>
        <v>1.46</v>
      </c>
      <c r="AG145" s="126">
        <v>4.4550000000000001</v>
      </c>
      <c r="AH145" s="54"/>
      <c r="AI145" s="55"/>
      <c r="AK145" s="56"/>
    </row>
    <row r="146" spans="1:37" x14ac:dyDescent="0.25">
      <c r="A146" s="111" t="s">
        <v>151</v>
      </c>
      <c r="B146" s="123">
        <f t="shared" si="39"/>
        <v>3</v>
      </c>
      <c r="C146" s="124">
        <v>3</v>
      </c>
      <c r="D146" s="123">
        <f t="shared" si="40"/>
        <v>3</v>
      </c>
      <c r="E146" s="123">
        <f t="shared" si="40"/>
        <v>3</v>
      </c>
      <c r="F146" s="123">
        <f t="shared" si="40"/>
        <v>3</v>
      </c>
      <c r="G146" s="123">
        <f t="shared" si="40"/>
        <v>3</v>
      </c>
      <c r="H146" s="123">
        <f t="shared" si="40"/>
        <v>3</v>
      </c>
      <c r="I146" s="123">
        <f t="shared" si="40"/>
        <v>3</v>
      </c>
      <c r="J146" s="123">
        <f t="shared" si="40"/>
        <v>3</v>
      </c>
      <c r="K146" s="123">
        <f t="shared" si="40"/>
        <v>3</v>
      </c>
      <c r="L146" s="123">
        <f t="shared" si="40"/>
        <v>3</v>
      </c>
      <c r="M146" s="123">
        <f t="shared" si="40"/>
        <v>3</v>
      </c>
      <c r="N146" s="123">
        <f t="shared" si="40"/>
        <v>3</v>
      </c>
      <c r="O146" s="123">
        <f t="shared" si="40"/>
        <v>3</v>
      </c>
      <c r="P146" s="123">
        <f t="shared" si="40"/>
        <v>3</v>
      </c>
      <c r="Q146" s="123">
        <f t="shared" si="40"/>
        <v>3</v>
      </c>
      <c r="R146" s="123">
        <f t="shared" si="40"/>
        <v>3</v>
      </c>
      <c r="S146" s="123">
        <f t="shared" si="40"/>
        <v>3</v>
      </c>
      <c r="T146" s="123">
        <f t="shared" si="41"/>
        <v>3</v>
      </c>
      <c r="U146" s="123">
        <f t="shared" si="41"/>
        <v>3</v>
      </c>
      <c r="V146" s="123">
        <f t="shared" si="41"/>
        <v>3</v>
      </c>
      <c r="W146" s="123">
        <f t="shared" si="41"/>
        <v>3</v>
      </c>
      <c r="X146" s="123">
        <f t="shared" si="41"/>
        <v>3</v>
      </c>
      <c r="Y146" s="123">
        <f t="shared" si="41"/>
        <v>3</v>
      </c>
      <c r="Z146" s="123">
        <f t="shared" si="41"/>
        <v>3</v>
      </c>
      <c r="AA146" s="123">
        <f t="shared" si="41"/>
        <v>3</v>
      </c>
      <c r="AB146" s="123">
        <f t="shared" si="41"/>
        <v>3</v>
      </c>
      <c r="AC146" s="123">
        <f t="shared" si="41"/>
        <v>3</v>
      </c>
      <c r="AD146" s="123">
        <f t="shared" si="41"/>
        <v>3</v>
      </c>
      <c r="AE146" s="123">
        <f t="shared" si="41"/>
        <v>3</v>
      </c>
      <c r="AF146" s="123">
        <f t="shared" si="41"/>
        <v>3</v>
      </c>
      <c r="AG146" s="126">
        <v>4.41</v>
      </c>
      <c r="AH146" s="54"/>
      <c r="AI146" s="55"/>
      <c r="AK146" s="56"/>
    </row>
    <row r="147" spans="1:37" x14ac:dyDescent="0.25">
      <c r="A147" s="111" t="s">
        <v>152</v>
      </c>
      <c r="B147" s="123">
        <f t="shared" si="39"/>
        <v>3.3</v>
      </c>
      <c r="C147" s="124">
        <v>3.3</v>
      </c>
      <c r="D147" s="123">
        <f t="shared" si="40"/>
        <v>3.3</v>
      </c>
      <c r="E147" s="123">
        <f t="shared" si="40"/>
        <v>3.3</v>
      </c>
      <c r="F147" s="123">
        <f t="shared" si="40"/>
        <v>3.3</v>
      </c>
      <c r="G147" s="123">
        <f t="shared" si="40"/>
        <v>3.3</v>
      </c>
      <c r="H147" s="123">
        <f t="shared" si="40"/>
        <v>3.3</v>
      </c>
      <c r="I147" s="123">
        <f t="shared" si="40"/>
        <v>3.3</v>
      </c>
      <c r="J147" s="123">
        <f t="shared" si="40"/>
        <v>3.3</v>
      </c>
      <c r="K147" s="123">
        <f t="shared" si="40"/>
        <v>3.3</v>
      </c>
      <c r="L147" s="123">
        <f t="shared" si="40"/>
        <v>3.3</v>
      </c>
      <c r="M147" s="123">
        <f t="shared" si="40"/>
        <v>3.3</v>
      </c>
      <c r="N147" s="123">
        <f t="shared" si="40"/>
        <v>3.3</v>
      </c>
      <c r="O147" s="123">
        <f t="shared" si="40"/>
        <v>3.3</v>
      </c>
      <c r="P147" s="123">
        <f t="shared" si="40"/>
        <v>3.3</v>
      </c>
      <c r="Q147" s="123">
        <f t="shared" si="40"/>
        <v>3.3</v>
      </c>
      <c r="R147" s="123">
        <f t="shared" si="40"/>
        <v>3.3</v>
      </c>
      <c r="S147" s="123">
        <f t="shared" si="40"/>
        <v>3.3</v>
      </c>
      <c r="T147" s="123">
        <f t="shared" si="41"/>
        <v>3.3</v>
      </c>
      <c r="U147" s="123">
        <f t="shared" si="41"/>
        <v>3.3</v>
      </c>
      <c r="V147" s="123">
        <f t="shared" si="41"/>
        <v>3.3</v>
      </c>
      <c r="W147" s="123">
        <f t="shared" si="41"/>
        <v>3.3</v>
      </c>
      <c r="X147" s="123">
        <f t="shared" si="41"/>
        <v>3.3</v>
      </c>
      <c r="Y147" s="123">
        <f t="shared" si="41"/>
        <v>3.3</v>
      </c>
      <c r="Z147" s="123">
        <f t="shared" si="41"/>
        <v>3.3</v>
      </c>
      <c r="AA147" s="123">
        <f t="shared" si="41"/>
        <v>3.3</v>
      </c>
      <c r="AB147" s="123">
        <f t="shared" si="41"/>
        <v>3.3</v>
      </c>
      <c r="AC147" s="123">
        <f t="shared" si="41"/>
        <v>3.3</v>
      </c>
      <c r="AD147" s="123">
        <f t="shared" si="41"/>
        <v>3.3</v>
      </c>
      <c r="AE147" s="123">
        <f t="shared" si="41"/>
        <v>3.3</v>
      </c>
      <c r="AF147" s="123">
        <f t="shared" si="41"/>
        <v>3.3</v>
      </c>
      <c r="AG147" s="126">
        <v>4.4000000000000004</v>
      </c>
      <c r="AH147" s="54"/>
      <c r="AI147" s="55"/>
      <c r="AK147" s="56"/>
    </row>
    <row r="148" spans="1:37" x14ac:dyDescent="0.25">
      <c r="A148" s="111" t="s">
        <v>153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4"/>
      <c r="AI148" s="55"/>
      <c r="AK148" s="56"/>
    </row>
    <row r="149" spans="1:37" x14ac:dyDescent="0.25">
      <c r="A149" s="111" t="s">
        <v>154</v>
      </c>
      <c r="B149" s="123">
        <f>AF149</f>
        <v>1.76</v>
      </c>
      <c r="C149" s="124">
        <v>1.76</v>
      </c>
      <c r="D149" s="123">
        <f t="shared" ref="D149:S150" si="42">C149</f>
        <v>1.76</v>
      </c>
      <c r="E149" s="123">
        <f t="shared" si="42"/>
        <v>1.76</v>
      </c>
      <c r="F149" s="123">
        <f t="shared" si="42"/>
        <v>1.76</v>
      </c>
      <c r="G149" s="123">
        <f t="shared" si="42"/>
        <v>1.76</v>
      </c>
      <c r="H149" s="123">
        <f t="shared" si="42"/>
        <v>1.76</v>
      </c>
      <c r="I149" s="123">
        <f t="shared" si="42"/>
        <v>1.76</v>
      </c>
      <c r="J149" s="123">
        <f t="shared" si="42"/>
        <v>1.76</v>
      </c>
      <c r="K149" s="123">
        <f t="shared" si="42"/>
        <v>1.76</v>
      </c>
      <c r="L149" s="123">
        <f t="shared" si="42"/>
        <v>1.76</v>
      </c>
      <c r="M149" s="123">
        <f t="shared" si="42"/>
        <v>1.76</v>
      </c>
      <c r="N149" s="123">
        <f t="shared" si="42"/>
        <v>1.76</v>
      </c>
      <c r="O149" s="123">
        <f t="shared" si="42"/>
        <v>1.76</v>
      </c>
      <c r="P149" s="123">
        <f t="shared" si="42"/>
        <v>1.76</v>
      </c>
      <c r="Q149" s="123">
        <f t="shared" si="42"/>
        <v>1.76</v>
      </c>
      <c r="R149" s="123">
        <f t="shared" si="42"/>
        <v>1.76</v>
      </c>
      <c r="S149" s="123">
        <f t="shared" si="42"/>
        <v>1.76</v>
      </c>
      <c r="T149" s="123">
        <f t="shared" ref="T149:AF150" si="43">S149</f>
        <v>1.76</v>
      </c>
      <c r="U149" s="123">
        <f t="shared" si="43"/>
        <v>1.76</v>
      </c>
      <c r="V149" s="123">
        <f t="shared" si="43"/>
        <v>1.76</v>
      </c>
      <c r="W149" s="123">
        <f t="shared" si="43"/>
        <v>1.76</v>
      </c>
      <c r="X149" s="123">
        <f t="shared" si="43"/>
        <v>1.76</v>
      </c>
      <c r="Y149" s="123">
        <f t="shared" si="43"/>
        <v>1.76</v>
      </c>
      <c r="Z149" s="123">
        <f t="shared" si="43"/>
        <v>1.76</v>
      </c>
      <c r="AA149" s="123">
        <f t="shared" si="43"/>
        <v>1.76</v>
      </c>
      <c r="AB149" s="123">
        <f t="shared" si="43"/>
        <v>1.76</v>
      </c>
      <c r="AC149" s="123">
        <f t="shared" si="43"/>
        <v>1.76</v>
      </c>
      <c r="AD149" s="123">
        <f t="shared" si="43"/>
        <v>1.76</v>
      </c>
      <c r="AE149" s="123">
        <f t="shared" si="43"/>
        <v>1.76</v>
      </c>
      <c r="AF149" s="123">
        <f t="shared" si="43"/>
        <v>1.76</v>
      </c>
      <c r="AG149" s="126">
        <v>4.2</v>
      </c>
      <c r="AH149" s="54"/>
      <c r="AI149" s="55"/>
      <c r="AK149" s="56"/>
    </row>
    <row r="150" spans="1:37" x14ac:dyDescent="0.25">
      <c r="A150" s="111" t="s">
        <v>155</v>
      </c>
      <c r="B150" s="123">
        <f>AF150</f>
        <v>0</v>
      </c>
      <c r="C150" s="124">
        <v>0</v>
      </c>
      <c r="D150" s="123">
        <f t="shared" si="42"/>
        <v>0</v>
      </c>
      <c r="E150" s="123">
        <f t="shared" si="42"/>
        <v>0</v>
      </c>
      <c r="F150" s="123">
        <f t="shared" si="42"/>
        <v>0</v>
      </c>
      <c r="G150" s="123">
        <f t="shared" si="42"/>
        <v>0</v>
      </c>
      <c r="H150" s="123">
        <f t="shared" si="42"/>
        <v>0</v>
      </c>
      <c r="I150" s="123">
        <f t="shared" si="42"/>
        <v>0</v>
      </c>
      <c r="J150" s="123">
        <f t="shared" si="42"/>
        <v>0</v>
      </c>
      <c r="K150" s="123">
        <f t="shared" si="42"/>
        <v>0</v>
      </c>
      <c r="L150" s="123">
        <f t="shared" si="42"/>
        <v>0</v>
      </c>
      <c r="M150" s="123">
        <f t="shared" si="42"/>
        <v>0</v>
      </c>
      <c r="N150" s="123">
        <f t="shared" si="42"/>
        <v>0</v>
      </c>
      <c r="O150" s="123">
        <f t="shared" si="42"/>
        <v>0</v>
      </c>
      <c r="P150" s="123">
        <f t="shared" si="42"/>
        <v>0</v>
      </c>
      <c r="Q150" s="123">
        <f t="shared" si="42"/>
        <v>0</v>
      </c>
      <c r="R150" s="123">
        <f t="shared" si="42"/>
        <v>0</v>
      </c>
      <c r="S150" s="123">
        <f t="shared" si="42"/>
        <v>0</v>
      </c>
      <c r="T150" s="123">
        <f t="shared" si="43"/>
        <v>0</v>
      </c>
      <c r="U150" s="123">
        <f t="shared" si="43"/>
        <v>0</v>
      </c>
      <c r="V150" s="123">
        <f t="shared" si="43"/>
        <v>0</v>
      </c>
      <c r="W150" s="123">
        <f t="shared" si="43"/>
        <v>0</v>
      </c>
      <c r="X150" s="123">
        <f t="shared" si="43"/>
        <v>0</v>
      </c>
      <c r="Y150" s="123">
        <f t="shared" si="43"/>
        <v>0</v>
      </c>
      <c r="Z150" s="123">
        <f t="shared" si="43"/>
        <v>0</v>
      </c>
      <c r="AA150" s="123">
        <f t="shared" si="43"/>
        <v>0</v>
      </c>
      <c r="AB150" s="123">
        <f t="shared" si="43"/>
        <v>0</v>
      </c>
      <c r="AC150" s="123">
        <f t="shared" si="43"/>
        <v>0</v>
      </c>
      <c r="AD150" s="123">
        <f t="shared" si="43"/>
        <v>0</v>
      </c>
      <c r="AE150" s="123">
        <f t="shared" si="43"/>
        <v>0</v>
      </c>
      <c r="AF150" s="123">
        <f t="shared" si="43"/>
        <v>0</v>
      </c>
      <c r="AG150" s="126">
        <v>4</v>
      </c>
      <c r="AH150" s="54"/>
      <c r="AI150" s="55"/>
      <c r="AK150" s="56"/>
    </row>
    <row r="151" spans="1:37" x14ac:dyDescent="0.25">
      <c r="A151" s="111" t="s">
        <v>156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4"/>
      <c r="AI151" s="55"/>
      <c r="AK151" s="56"/>
    </row>
    <row r="152" spans="1:37" x14ac:dyDescent="0.25">
      <c r="A152" s="111" t="s">
        <v>157</v>
      </c>
      <c r="B152" s="123">
        <f>AF152</f>
        <v>0.1</v>
      </c>
      <c r="C152" s="124">
        <v>0.1</v>
      </c>
      <c r="D152" s="123">
        <f t="shared" ref="D152:S155" si="44">C152</f>
        <v>0.1</v>
      </c>
      <c r="E152" s="123">
        <f t="shared" si="44"/>
        <v>0.1</v>
      </c>
      <c r="F152" s="123">
        <f t="shared" si="44"/>
        <v>0.1</v>
      </c>
      <c r="G152" s="123">
        <f t="shared" si="44"/>
        <v>0.1</v>
      </c>
      <c r="H152" s="123">
        <f t="shared" si="44"/>
        <v>0.1</v>
      </c>
      <c r="I152" s="123">
        <f t="shared" si="44"/>
        <v>0.1</v>
      </c>
      <c r="J152" s="123">
        <f t="shared" si="44"/>
        <v>0.1</v>
      </c>
      <c r="K152" s="123">
        <f t="shared" si="44"/>
        <v>0.1</v>
      </c>
      <c r="L152" s="123">
        <f t="shared" si="44"/>
        <v>0.1</v>
      </c>
      <c r="M152" s="123">
        <f t="shared" si="44"/>
        <v>0.1</v>
      </c>
      <c r="N152" s="123">
        <f t="shared" si="44"/>
        <v>0.1</v>
      </c>
      <c r="O152" s="123">
        <f t="shared" si="44"/>
        <v>0.1</v>
      </c>
      <c r="P152" s="123">
        <f t="shared" si="44"/>
        <v>0.1</v>
      </c>
      <c r="Q152" s="123">
        <f t="shared" si="44"/>
        <v>0.1</v>
      </c>
      <c r="R152" s="123">
        <f t="shared" si="44"/>
        <v>0.1</v>
      </c>
      <c r="S152" s="123">
        <f t="shared" si="44"/>
        <v>0.1</v>
      </c>
      <c r="T152" s="123">
        <f t="shared" ref="T152:AF155" si="45">S152</f>
        <v>0.1</v>
      </c>
      <c r="U152" s="123">
        <f t="shared" si="45"/>
        <v>0.1</v>
      </c>
      <c r="V152" s="123">
        <f t="shared" si="45"/>
        <v>0.1</v>
      </c>
      <c r="W152" s="123">
        <f t="shared" si="45"/>
        <v>0.1</v>
      </c>
      <c r="X152" s="123">
        <f t="shared" si="45"/>
        <v>0.1</v>
      </c>
      <c r="Y152" s="123">
        <f t="shared" si="45"/>
        <v>0.1</v>
      </c>
      <c r="Z152" s="123">
        <f t="shared" si="45"/>
        <v>0.1</v>
      </c>
      <c r="AA152" s="123">
        <f t="shared" si="45"/>
        <v>0.1</v>
      </c>
      <c r="AB152" s="123">
        <f t="shared" si="45"/>
        <v>0.1</v>
      </c>
      <c r="AC152" s="123">
        <f t="shared" si="45"/>
        <v>0.1</v>
      </c>
      <c r="AD152" s="123">
        <f t="shared" si="45"/>
        <v>0.1</v>
      </c>
      <c r="AE152" s="123">
        <f t="shared" si="45"/>
        <v>0.1</v>
      </c>
      <c r="AF152" s="123">
        <f t="shared" si="45"/>
        <v>0.1</v>
      </c>
      <c r="AG152" s="126">
        <v>4</v>
      </c>
      <c r="AH152" s="54"/>
      <c r="AI152" s="55"/>
      <c r="AK152" s="56"/>
    </row>
    <row r="153" spans="1:37" x14ac:dyDescent="0.25">
      <c r="A153" s="111" t="s">
        <v>158</v>
      </c>
      <c r="B153" s="123">
        <f>AF153</f>
        <v>2.0499999999999998</v>
      </c>
      <c r="C153" s="124">
        <v>2.0499999999999998</v>
      </c>
      <c r="D153" s="123">
        <f t="shared" si="44"/>
        <v>2.0499999999999998</v>
      </c>
      <c r="E153" s="123">
        <f t="shared" si="44"/>
        <v>2.0499999999999998</v>
      </c>
      <c r="F153" s="123">
        <f t="shared" si="44"/>
        <v>2.0499999999999998</v>
      </c>
      <c r="G153" s="123">
        <f t="shared" si="44"/>
        <v>2.0499999999999998</v>
      </c>
      <c r="H153" s="123">
        <f t="shared" si="44"/>
        <v>2.0499999999999998</v>
      </c>
      <c r="I153" s="123">
        <f t="shared" si="44"/>
        <v>2.0499999999999998</v>
      </c>
      <c r="J153" s="123">
        <f t="shared" si="44"/>
        <v>2.0499999999999998</v>
      </c>
      <c r="K153" s="123">
        <f t="shared" si="44"/>
        <v>2.0499999999999998</v>
      </c>
      <c r="L153" s="123">
        <f t="shared" si="44"/>
        <v>2.0499999999999998</v>
      </c>
      <c r="M153" s="123">
        <f t="shared" si="44"/>
        <v>2.0499999999999998</v>
      </c>
      <c r="N153" s="123">
        <f t="shared" si="44"/>
        <v>2.0499999999999998</v>
      </c>
      <c r="O153" s="123">
        <f t="shared" si="44"/>
        <v>2.0499999999999998</v>
      </c>
      <c r="P153" s="123">
        <f t="shared" si="44"/>
        <v>2.0499999999999998</v>
      </c>
      <c r="Q153" s="123">
        <f t="shared" si="44"/>
        <v>2.0499999999999998</v>
      </c>
      <c r="R153" s="123">
        <f t="shared" si="44"/>
        <v>2.0499999999999998</v>
      </c>
      <c r="S153" s="123">
        <f t="shared" si="44"/>
        <v>2.0499999999999998</v>
      </c>
      <c r="T153" s="123">
        <f t="shared" si="45"/>
        <v>2.0499999999999998</v>
      </c>
      <c r="U153" s="123">
        <f t="shared" si="45"/>
        <v>2.0499999999999998</v>
      </c>
      <c r="V153" s="123">
        <f t="shared" si="45"/>
        <v>2.0499999999999998</v>
      </c>
      <c r="W153" s="123">
        <f t="shared" si="45"/>
        <v>2.0499999999999998</v>
      </c>
      <c r="X153" s="123">
        <f t="shared" si="45"/>
        <v>2.0499999999999998</v>
      </c>
      <c r="Y153" s="123">
        <f t="shared" si="45"/>
        <v>2.0499999999999998</v>
      </c>
      <c r="Z153" s="123">
        <f t="shared" si="45"/>
        <v>2.0499999999999998</v>
      </c>
      <c r="AA153" s="123">
        <f t="shared" si="45"/>
        <v>2.0499999999999998</v>
      </c>
      <c r="AB153" s="123">
        <f t="shared" si="45"/>
        <v>2.0499999999999998</v>
      </c>
      <c r="AC153" s="123">
        <f t="shared" si="45"/>
        <v>2.0499999999999998</v>
      </c>
      <c r="AD153" s="123">
        <f t="shared" si="45"/>
        <v>2.0499999999999998</v>
      </c>
      <c r="AE153" s="123">
        <f t="shared" si="45"/>
        <v>2.0499999999999998</v>
      </c>
      <c r="AF153" s="123">
        <f t="shared" si="45"/>
        <v>2.0499999999999998</v>
      </c>
      <c r="AG153" s="126">
        <v>4</v>
      </c>
      <c r="AH153" s="54"/>
      <c r="AI153" s="55"/>
      <c r="AK153" s="56"/>
    </row>
    <row r="154" spans="1:37" x14ac:dyDescent="0.25">
      <c r="A154" s="111" t="s">
        <v>159</v>
      </c>
      <c r="B154" s="123">
        <f>AF154</f>
        <v>2.7</v>
      </c>
      <c r="C154" s="124">
        <v>2.7</v>
      </c>
      <c r="D154" s="123">
        <f t="shared" si="44"/>
        <v>2.7</v>
      </c>
      <c r="E154" s="123">
        <f t="shared" si="44"/>
        <v>2.7</v>
      </c>
      <c r="F154" s="123">
        <f t="shared" si="44"/>
        <v>2.7</v>
      </c>
      <c r="G154" s="123">
        <f t="shared" si="44"/>
        <v>2.7</v>
      </c>
      <c r="H154" s="123">
        <f t="shared" si="44"/>
        <v>2.7</v>
      </c>
      <c r="I154" s="123">
        <f t="shared" si="44"/>
        <v>2.7</v>
      </c>
      <c r="J154" s="123">
        <f t="shared" si="44"/>
        <v>2.7</v>
      </c>
      <c r="K154" s="123">
        <f t="shared" si="44"/>
        <v>2.7</v>
      </c>
      <c r="L154" s="123">
        <f t="shared" si="44"/>
        <v>2.7</v>
      </c>
      <c r="M154" s="123">
        <f t="shared" si="44"/>
        <v>2.7</v>
      </c>
      <c r="N154" s="123">
        <f t="shared" si="44"/>
        <v>2.7</v>
      </c>
      <c r="O154" s="123">
        <f t="shared" si="44"/>
        <v>2.7</v>
      </c>
      <c r="P154" s="123">
        <f t="shared" si="44"/>
        <v>2.7</v>
      </c>
      <c r="Q154" s="123">
        <f t="shared" si="44"/>
        <v>2.7</v>
      </c>
      <c r="R154" s="123">
        <f t="shared" si="44"/>
        <v>2.7</v>
      </c>
      <c r="S154" s="123">
        <f t="shared" si="44"/>
        <v>2.7</v>
      </c>
      <c r="T154" s="123">
        <f t="shared" si="45"/>
        <v>2.7</v>
      </c>
      <c r="U154" s="123">
        <f t="shared" si="45"/>
        <v>2.7</v>
      </c>
      <c r="V154" s="123">
        <f t="shared" si="45"/>
        <v>2.7</v>
      </c>
      <c r="W154" s="123">
        <f t="shared" si="45"/>
        <v>2.7</v>
      </c>
      <c r="X154" s="123">
        <f t="shared" si="45"/>
        <v>2.7</v>
      </c>
      <c r="Y154" s="123">
        <f t="shared" si="45"/>
        <v>2.7</v>
      </c>
      <c r="Z154" s="123">
        <f t="shared" si="45"/>
        <v>2.7</v>
      </c>
      <c r="AA154" s="123">
        <f t="shared" si="45"/>
        <v>2.7</v>
      </c>
      <c r="AB154" s="123">
        <f t="shared" si="45"/>
        <v>2.7</v>
      </c>
      <c r="AC154" s="123">
        <f t="shared" si="45"/>
        <v>2.7</v>
      </c>
      <c r="AD154" s="123">
        <f t="shared" si="45"/>
        <v>2.7</v>
      </c>
      <c r="AE154" s="123">
        <f t="shared" si="45"/>
        <v>2.7</v>
      </c>
      <c r="AF154" s="123">
        <f t="shared" si="45"/>
        <v>2.7</v>
      </c>
      <c r="AG154" s="126">
        <v>4</v>
      </c>
      <c r="AH154" s="54"/>
      <c r="AI154" s="55"/>
      <c r="AK154" s="56"/>
    </row>
    <row r="155" spans="1:37" x14ac:dyDescent="0.25">
      <c r="A155" s="111" t="s">
        <v>160</v>
      </c>
      <c r="B155" s="123">
        <f>AF155</f>
        <v>2.15</v>
      </c>
      <c r="C155" s="124">
        <v>2.15</v>
      </c>
      <c r="D155" s="123">
        <f t="shared" si="44"/>
        <v>2.15</v>
      </c>
      <c r="E155" s="123">
        <f t="shared" si="44"/>
        <v>2.15</v>
      </c>
      <c r="F155" s="123">
        <f t="shared" si="44"/>
        <v>2.15</v>
      </c>
      <c r="G155" s="123">
        <f t="shared" si="44"/>
        <v>2.15</v>
      </c>
      <c r="H155" s="123">
        <f t="shared" si="44"/>
        <v>2.15</v>
      </c>
      <c r="I155" s="123">
        <f t="shared" si="44"/>
        <v>2.15</v>
      </c>
      <c r="J155" s="123">
        <f t="shared" si="44"/>
        <v>2.15</v>
      </c>
      <c r="K155" s="123">
        <f t="shared" si="44"/>
        <v>2.15</v>
      </c>
      <c r="L155" s="123">
        <f t="shared" si="44"/>
        <v>2.15</v>
      </c>
      <c r="M155" s="123">
        <f t="shared" si="44"/>
        <v>2.15</v>
      </c>
      <c r="N155" s="123">
        <f t="shared" si="44"/>
        <v>2.15</v>
      </c>
      <c r="O155" s="123">
        <f t="shared" si="44"/>
        <v>2.15</v>
      </c>
      <c r="P155" s="123">
        <f t="shared" si="44"/>
        <v>2.15</v>
      </c>
      <c r="Q155" s="123">
        <f t="shared" si="44"/>
        <v>2.15</v>
      </c>
      <c r="R155" s="123">
        <f t="shared" si="44"/>
        <v>2.15</v>
      </c>
      <c r="S155" s="123">
        <f t="shared" si="44"/>
        <v>2.15</v>
      </c>
      <c r="T155" s="123">
        <f t="shared" si="45"/>
        <v>2.15</v>
      </c>
      <c r="U155" s="123">
        <f t="shared" si="45"/>
        <v>2.15</v>
      </c>
      <c r="V155" s="123">
        <f t="shared" si="45"/>
        <v>2.15</v>
      </c>
      <c r="W155" s="123">
        <f t="shared" si="45"/>
        <v>2.15</v>
      </c>
      <c r="X155" s="123">
        <f t="shared" si="45"/>
        <v>2.15</v>
      </c>
      <c r="Y155" s="123">
        <f t="shared" si="45"/>
        <v>2.15</v>
      </c>
      <c r="Z155" s="123">
        <f t="shared" si="45"/>
        <v>2.15</v>
      </c>
      <c r="AA155" s="123">
        <f t="shared" si="45"/>
        <v>2.15</v>
      </c>
      <c r="AB155" s="123">
        <f t="shared" si="45"/>
        <v>2.15</v>
      </c>
      <c r="AC155" s="123">
        <f t="shared" si="45"/>
        <v>2.15</v>
      </c>
      <c r="AD155" s="123">
        <f t="shared" si="45"/>
        <v>2.15</v>
      </c>
      <c r="AE155" s="123">
        <f t="shared" si="45"/>
        <v>2.15</v>
      </c>
      <c r="AF155" s="123">
        <f t="shared" si="45"/>
        <v>2.15</v>
      </c>
      <c r="AG155" s="126">
        <v>4</v>
      </c>
      <c r="AH155" s="54"/>
      <c r="AI155" s="55"/>
      <c r="AK155" s="56"/>
    </row>
    <row r="156" spans="1:37" x14ac:dyDescent="0.25">
      <c r="A156" s="111" t="s">
        <v>161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4"/>
      <c r="AI156" s="55"/>
      <c r="AK156" s="56"/>
    </row>
    <row r="157" spans="1:37" x14ac:dyDescent="0.25">
      <c r="A157" s="111" t="s">
        <v>162</v>
      </c>
      <c r="B157" s="123">
        <f t="shared" ref="B157:B169" si="46">AF157</f>
        <v>0.9</v>
      </c>
      <c r="C157" s="124">
        <v>0.9</v>
      </c>
      <c r="D157" s="123">
        <f t="shared" ref="D157:S169" si="47">C157</f>
        <v>0.9</v>
      </c>
      <c r="E157" s="123">
        <f t="shared" si="47"/>
        <v>0.9</v>
      </c>
      <c r="F157" s="123">
        <f t="shared" si="47"/>
        <v>0.9</v>
      </c>
      <c r="G157" s="123">
        <f t="shared" si="47"/>
        <v>0.9</v>
      </c>
      <c r="H157" s="123">
        <f t="shared" si="47"/>
        <v>0.9</v>
      </c>
      <c r="I157" s="123">
        <f t="shared" si="47"/>
        <v>0.9</v>
      </c>
      <c r="J157" s="123">
        <f t="shared" si="47"/>
        <v>0.9</v>
      </c>
      <c r="K157" s="123">
        <f t="shared" si="47"/>
        <v>0.9</v>
      </c>
      <c r="L157" s="123">
        <f t="shared" si="47"/>
        <v>0.9</v>
      </c>
      <c r="M157" s="123">
        <f t="shared" si="47"/>
        <v>0.9</v>
      </c>
      <c r="N157" s="123">
        <f t="shared" si="47"/>
        <v>0.9</v>
      </c>
      <c r="O157" s="123">
        <f t="shared" si="47"/>
        <v>0.9</v>
      </c>
      <c r="P157" s="123">
        <f t="shared" si="47"/>
        <v>0.9</v>
      </c>
      <c r="Q157" s="123">
        <f t="shared" si="47"/>
        <v>0.9</v>
      </c>
      <c r="R157" s="123">
        <f t="shared" si="47"/>
        <v>0.9</v>
      </c>
      <c r="S157" s="123">
        <f t="shared" si="47"/>
        <v>0.9</v>
      </c>
      <c r="T157" s="123">
        <f t="shared" ref="S157:AF169" si="48">S157</f>
        <v>0.9</v>
      </c>
      <c r="U157" s="123">
        <f t="shared" si="48"/>
        <v>0.9</v>
      </c>
      <c r="V157" s="123">
        <f t="shared" si="48"/>
        <v>0.9</v>
      </c>
      <c r="W157" s="123">
        <f t="shared" si="48"/>
        <v>0.9</v>
      </c>
      <c r="X157" s="123">
        <f t="shared" si="48"/>
        <v>0.9</v>
      </c>
      <c r="Y157" s="123">
        <f t="shared" si="48"/>
        <v>0.9</v>
      </c>
      <c r="Z157" s="123">
        <f t="shared" si="48"/>
        <v>0.9</v>
      </c>
      <c r="AA157" s="123">
        <f t="shared" si="48"/>
        <v>0.9</v>
      </c>
      <c r="AB157" s="123">
        <f t="shared" si="48"/>
        <v>0.9</v>
      </c>
      <c r="AC157" s="123">
        <f t="shared" si="48"/>
        <v>0.9</v>
      </c>
      <c r="AD157" s="123">
        <f t="shared" si="48"/>
        <v>0.9</v>
      </c>
      <c r="AE157" s="123">
        <f t="shared" si="48"/>
        <v>0.9</v>
      </c>
      <c r="AF157" s="123">
        <f t="shared" si="48"/>
        <v>0.9</v>
      </c>
      <c r="AG157" s="126">
        <v>4</v>
      </c>
      <c r="AH157" s="54"/>
      <c r="AI157" s="55"/>
      <c r="AK157" s="56"/>
    </row>
    <row r="158" spans="1:37" x14ac:dyDescent="0.25">
      <c r="A158" s="111" t="s">
        <v>163</v>
      </c>
      <c r="B158" s="123">
        <f t="shared" si="46"/>
        <v>1.08</v>
      </c>
      <c r="C158" s="124">
        <v>1.08</v>
      </c>
      <c r="D158" s="123">
        <f t="shared" si="47"/>
        <v>1.08</v>
      </c>
      <c r="E158" s="123">
        <f t="shared" si="47"/>
        <v>1.08</v>
      </c>
      <c r="F158" s="123">
        <f t="shared" si="47"/>
        <v>1.08</v>
      </c>
      <c r="G158" s="123">
        <f t="shared" si="47"/>
        <v>1.08</v>
      </c>
      <c r="H158" s="123">
        <f t="shared" si="47"/>
        <v>1.08</v>
      </c>
      <c r="I158" s="123">
        <f t="shared" si="47"/>
        <v>1.08</v>
      </c>
      <c r="J158" s="123">
        <f t="shared" si="47"/>
        <v>1.08</v>
      </c>
      <c r="K158" s="123">
        <f t="shared" si="47"/>
        <v>1.08</v>
      </c>
      <c r="L158" s="123">
        <f t="shared" si="47"/>
        <v>1.08</v>
      </c>
      <c r="M158" s="123">
        <f t="shared" si="47"/>
        <v>1.08</v>
      </c>
      <c r="N158" s="123">
        <f t="shared" si="47"/>
        <v>1.08</v>
      </c>
      <c r="O158" s="123">
        <f t="shared" si="47"/>
        <v>1.08</v>
      </c>
      <c r="P158" s="123">
        <f t="shared" si="47"/>
        <v>1.08</v>
      </c>
      <c r="Q158" s="123">
        <f t="shared" si="47"/>
        <v>1.08</v>
      </c>
      <c r="R158" s="123">
        <f t="shared" si="47"/>
        <v>1.08</v>
      </c>
      <c r="S158" s="123">
        <f t="shared" si="47"/>
        <v>1.08</v>
      </c>
      <c r="T158" s="123">
        <f t="shared" si="48"/>
        <v>1.08</v>
      </c>
      <c r="U158" s="123">
        <f t="shared" si="48"/>
        <v>1.08</v>
      </c>
      <c r="V158" s="123">
        <f t="shared" si="48"/>
        <v>1.08</v>
      </c>
      <c r="W158" s="123">
        <f t="shared" si="48"/>
        <v>1.08</v>
      </c>
      <c r="X158" s="123">
        <f t="shared" si="48"/>
        <v>1.08</v>
      </c>
      <c r="Y158" s="123">
        <f t="shared" si="48"/>
        <v>1.08</v>
      </c>
      <c r="Z158" s="123">
        <f t="shared" si="48"/>
        <v>1.08</v>
      </c>
      <c r="AA158" s="123">
        <f t="shared" si="48"/>
        <v>1.08</v>
      </c>
      <c r="AB158" s="123">
        <f t="shared" si="48"/>
        <v>1.08</v>
      </c>
      <c r="AC158" s="123">
        <f t="shared" si="48"/>
        <v>1.08</v>
      </c>
      <c r="AD158" s="123">
        <f t="shared" si="48"/>
        <v>1.08</v>
      </c>
      <c r="AE158" s="123">
        <f t="shared" si="48"/>
        <v>1.08</v>
      </c>
      <c r="AF158" s="123">
        <f t="shared" si="48"/>
        <v>1.08</v>
      </c>
      <c r="AG158" s="126">
        <v>3.75</v>
      </c>
      <c r="AH158" s="54"/>
      <c r="AI158" s="55"/>
      <c r="AK158" s="56"/>
    </row>
    <row r="159" spans="1:37" x14ac:dyDescent="0.25">
      <c r="A159" s="111" t="s">
        <v>164</v>
      </c>
      <c r="B159" s="123">
        <f t="shared" si="46"/>
        <v>2.37</v>
      </c>
      <c r="C159" s="124">
        <v>2.37</v>
      </c>
      <c r="D159" s="123">
        <f t="shared" si="47"/>
        <v>2.37</v>
      </c>
      <c r="E159" s="123">
        <f t="shared" si="47"/>
        <v>2.37</v>
      </c>
      <c r="F159" s="123">
        <f t="shared" si="47"/>
        <v>2.37</v>
      </c>
      <c r="G159" s="123">
        <f t="shared" si="47"/>
        <v>2.37</v>
      </c>
      <c r="H159" s="123">
        <f t="shared" si="47"/>
        <v>2.37</v>
      </c>
      <c r="I159" s="123">
        <f t="shared" si="47"/>
        <v>2.37</v>
      </c>
      <c r="J159" s="123">
        <f t="shared" si="47"/>
        <v>2.37</v>
      </c>
      <c r="K159" s="123">
        <f t="shared" si="47"/>
        <v>2.37</v>
      </c>
      <c r="L159" s="123">
        <f t="shared" si="47"/>
        <v>2.37</v>
      </c>
      <c r="M159" s="123">
        <f t="shared" si="47"/>
        <v>2.37</v>
      </c>
      <c r="N159" s="123">
        <f t="shared" si="47"/>
        <v>2.37</v>
      </c>
      <c r="O159" s="123">
        <f t="shared" si="47"/>
        <v>2.37</v>
      </c>
      <c r="P159" s="123">
        <f t="shared" si="47"/>
        <v>2.37</v>
      </c>
      <c r="Q159" s="123">
        <f t="shared" si="47"/>
        <v>2.37</v>
      </c>
      <c r="R159" s="123">
        <f t="shared" si="47"/>
        <v>2.37</v>
      </c>
      <c r="S159" s="123">
        <f t="shared" si="47"/>
        <v>2.37</v>
      </c>
      <c r="T159" s="123">
        <f t="shared" si="48"/>
        <v>2.37</v>
      </c>
      <c r="U159" s="123">
        <f t="shared" si="48"/>
        <v>2.37</v>
      </c>
      <c r="V159" s="123">
        <f t="shared" si="48"/>
        <v>2.37</v>
      </c>
      <c r="W159" s="123">
        <f t="shared" si="48"/>
        <v>2.37</v>
      </c>
      <c r="X159" s="123">
        <f t="shared" si="48"/>
        <v>2.37</v>
      </c>
      <c r="Y159" s="123">
        <f t="shared" si="48"/>
        <v>2.37</v>
      </c>
      <c r="Z159" s="123">
        <f t="shared" si="48"/>
        <v>2.37</v>
      </c>
      <c r="AA159" s="123">
        <f t="shared" si="48"/>
        <v>2.37</v>
      </c>
      <c r="AB159" s="123">
        <f t="shared" si="48"/>
        <v>2.37</v>
      </c>
      <c r="AC159" s="123">
        <f t="shared" si="48"/>
        <v>2.37</v>
      </c>
      <c r="AD159" s="123">
        <f t="shared" si="48"/>
        <v>2.37</v>
      </c>
      <c r="AE159" s="123">
        <f t="shared" si="48"/>
        <v>2.37</v>
      </c>
      <c r="AF159" s="123">
        <f t="shared" si="48"/>
        <v>2.37</v>
      </c>
      <c r="AG159" s="126">
        <v>3.52</v>
      </c>
      <c r="AH159" s="54"/>
      <c r="AI159" s="55"/>
      <c r="AK159" s="56"/>
    </row>
    <row r="160" spans="1:37" x14ac:dyDescent="0.25">
      <c r="A160" s="111" t="s">
        <v>165</v>
      </c>
      <c r="B160" s="123">
        <f t="shared" si="46"/>
        <v>1.81</v>
      </c>
      <c r="C160" s="124">
        <v>1.81</v>
      </c>
      <c r="D160" s="123">
        <f t="shared" si="47"/>
        <v>1.81</v>
      </c>
      <c r="E160" s="123">
        <f t="shared" si="47"/>
        <v>1.81</v>
      </c>
      <c r="F160" s="123">
        <f t="shared" si="47"/>
        <v>1.81</v>
      </c>
      <c r="G160" s="123">
        <f t="shared" si="47"/>
        <v>1.81</v>
      </c>
      <c r="H160" s="123">
        <f t="shared" si="47"/>
        <v>1.81</v>
      </c>
      <c r="I160" s="123">
        <f t="shared" si="47"/>
        <v>1.81</v>
      </c>
      <c r="J160" s="123">
        <f t="shared" si="47"/>
        <v>1.81</v>
      </c>
      <c r="K160" s="123">
        <f t="shared" si="47"/>
        <v>1.81</v>
      </c>
      <c r="L160" s="123">
        <f t="shared" si="47"/>
        <v>1.81</v>
      </c>
      <c r="M160" s="123">
        <f t="shared" si="47"/>
        <v>1.81</v>
      </c>
      <c r="N160" s="123">
        <f t="shared" si="47"/>
        <v>1.81</v>
      </c>
      <c r="O160" s="123">
        <f t="shared" si="47"/>
        <v>1.81</v>
      </c>
      <c r="P160" s="123">
        <f t="shared" si="47"/>
        <v>1.81</v>
      </c>
      <c r="Q160" s="123">
        <f t="shared" si="47"/>
        <v>1.81</v>
      </c>
      <c r="R160" s="123">
        <f t="shared" si="47"/>
        <v>1.81</v>
      </c>
      <c r="S160" s="123">
        <f t="shared" si="47"/>
        <v>1.81</v>
      </c>
      <c r="T160" s="123">
        <f t="shared" si="48"/>
        <v>1.81</v>
      </c>
      <c r="U160" s="123">
        <f t="shared" si="48"/>
        <v>1.81</v>
      </c>
      <c r="V160" s="123">
        <f t="shared" si="48"/>
        <v>1.81</v>
      </c>
      <c r="W160" s="123">
        <f t="shared" si="48"/>
        <v>1.81</v>
      </c>
      <c r="X160" s="123">
        <f t="shared" si="48"/>
        <v>1.81</v>
      </c>
      <c r="Y160" s="123">
        <f t="shared" si="48"/>
        <v>1.81</v>
      </c>
      <c r="Z160" s="123">
        <f t="shared" si="48"/>
        <v>1.81</v>
      </c>
      <c r="AA160" s="123">
        <f t="shared" si="48"/>
        <v>1.81</v>
      </c>
      <c r="AB160" s="123">
        <f t="shared" si="48"/>
        <v>1.81</v>
      </c>
      <c r="AC160" s="123">
        <f t="shared" si="48"/>
        <v>1.81</v>
      </c>
      <c r="AD160" s="123">
        <f t="shared" si="48"/>
        <v>1.81</v>
      </c>
      <c r="AE160" s="123">
        <f t="shared" si="48"/>
        <v>1.81</v>
      </c>
      <c r="AF160" s="123">
        <f t="shared" si="48"/>
        <v>1.81</v>
      </c>
      <c r="AG160" s="126">
        <v>3.33</v>
      </c>
      <c r="AH160" s="54"/>
      <c r="AI160" s="55"/>
      <c r="AK160" s="56"/>
    </row>
    <row r="161" spans="1:37" x14ac:dyDescent="0.25">
      <c r="A161" s="111" t="s">
        <v>166</v>
      </c>
      <c r="B161" s="123">
        <f t="shared" si="46"/>
        <v>1.0900000000000001</v>
      </c>
      <c r="C161" s="124">
        <v>1.0900000000000001</v>
      </c>
      <c r="D161" s="123">
        <f t="shared" si="47"/>
        <v>1.0900000000000001</v>
      </c>
      <c r="E161" s="123">
        <f t="shared" si="47"/>
        <v>1.0900000000000001</v>
      </c>
      <c r="F161" s="123">
        <f t="shared" si="47"/>
        <v>1.0900000000000001</v>
      </c>
      <c r="G161" s="123">
        <f t="shared" si="47"/>
        <v>1.0900000000000001</v>
      </c>
      <c r="H161" s="123">
        <f t="shared" si="47"/>
        <v>1.0900000000000001</v>
      </c>
      <c r="I161" s="123">
        <f t="shared" si="47"/>
        <v>1.0900000000000001</v>
      </c>
      <c r="J161" s="123">
        <f t="shared" si="47"/>
        <v>1.0900000000000001</v>
      </c>
      <c r="K161" s="123">
        <f t="shared" si="47"/>
        <v>1.0900000000000001</v>
      </c>
      <c r="L161" s="123">
        <f t="shared" si="47"/>
        <v>1.0900000000000001</v>
      </c>
      <c r="M161" s="123">
        <f t="shared" si="47"/>
        <v>1.0900000000000001</v>
      </c>
      <c r="N161" s="123">
        <f t="shared" si="47"/>
        <v>1.0900000000000001</v>
      </c>
      <c r="O161" s="123">
        <f t="shared" si="47"/>
        <v>1.0900000000000001</v>
      </c>
      <c r="P161" s="123">
        <f t="shared" si="47"/>
        <v>1.0900000000000001</v>
      </c>
      <c r="Q161" s="123">
        <f t="shared" si="47"/>
        <v>1.0900000000000001</v>
      </c>
      <c r="R161" s="123">
        <f t="shared" si="47"/>
        <v>1.0900000000000001</v>
      </c>
      <c r="S161" s="123">
        <f t="shared" si="47"/>
        <v>1.0900000000000001</v>
      </c>
      <c r="T161" s="123">
        <f t="shared" si="48"/>
        <v>1.0900000000000001</v>
      </c>
      <c r="U161" s="123">
        <f t="shared" si="48"/>
        <v>1.0900000000000001</v>
      </c>
      <c r="V161" s="123">
        <f t="shared" si="48"/>
        <v>1.0900000000000001</v>
      </c>
      <c r="W161" s="123">
        <f t="shared" si="48"/>
        <v>1.0900000000000001</v>
      </c>
      <c r="X161" s="123">
        <f t="shared" si="48"/>
        <v>1.0900000000000001</v>
      </c>
      <c r="Y161" s="123">
        <f t="shared" si="48"/>
        <v>1.0900000000000001</v>
      </c>
      <c r="Z161" s="123">
        <f t="shared" si="48"/>
        <v>1.0900000000000001</v>
      </c>
      <c r="AA161" s="123">
        <f t="shared" si="48"/>
        <v>1.0900000000000001</v>
      </c>
      <c r="AB161" s="123">
        <f t="shared" si="48"/>
        <v>1.0900000000000001</v>
      </c>
      <c r="AC161" s="123">
        <f t="shared" si="48"/>
        <v>1.0900000000000001</v>
      </c>
      <c r="AD161" s="123">
        <f t="shared" si="48"/>
        <v>1.0900000000000001</v>
      </c>
      <c r="AE161" s="123">
        <f t="shared" si="48"/>
        <v>1.0900000000000001</v>
      </c>
      <c r="AF161" s="123">
        <f t="shared" si="48"/>
        <v>1.0900000000000001</v>
      </c>
      <c r="AG161" s="126">
        <v>3.2</v>
      </c>
      <c r="AH161" s="54"/>
      <c r="AI161" s="55"/>
      <c r="AK161" s="56"/>
    </row>
    <row r="162" spans="1:37" x14ac:dyDescent="0.25">
      <c r="A162" s="111" t="s">
        <v>167</v>
      </c>
      <c r="B162" s="123">
        <f t="shared" si="46"/>
        <v>1.58</v>
      </c>
      <c r="C162" s="124">
        <v>1.58</v>
      </c>
      <c r="D162" s="123">
        <f t="shared" si="47"/>
        <v>1.58</v>
      </c>
      <c r="E162" s="123">
        <f t="shared" si="47"/>
        <v>1.58</v>
      </c>
      <c r="F162" s="123">
        <f t="shared" si="47"/>
        <v>1.58</v>
      </c>
      <c r="G162" s="123">
        <f t="shared" si="47"/>
        <v>1.58</v>
      </c>
      <c r="H162" s="123">
        <f t="shared" si="47"/>
        <v>1.58</v>
      </c>
      <c r="I162" s="123">
        <f t="shared" si="47"/>
        <v>1.58</v>
      </c>
      <c r="J162" s="123">
        <f t="shared" si="47"/>
        <v>1.58</v>
      </c>
      <c r="K162" s="123">
        <f t="shared" si="47"/>
        <v>1.58</v>
      </c>
      <c r="L162" s="123">
        <f t="shared" si="47"/>
        <v>1.58</v>
      </c>
      <c r="M162" s="123">
        <f t="shared" si="47"/>
        <v>1.58</v>
      </c>
      <c r="N162" s="123">
        <f t="shared" si="47"/>
        <v>1.58</v>
      </c>
      <c r="O162" s="123">
        <f t="shared" si="47"/>
        <v>1.58</v>
      </c>
      <c r="P162" s="123">
        <f t="shared" si="47"/>
        <v>1.58</v>
      </c>
      <c r="Q162" s="123">
        <f t="shared" si="47"/>
        <v>1.58</v>
      </c>
      <c r="R162" s="123">
        <f t="shared" si="47"/>
        <v>1.58</v>
      </c>
      <c r="S162" s="123">
        <f t="shared" si="47"/>
        <v>1.58</v>
      </c>
      <c r="T162" s="123">
        <f t="shared" si="48"/>
        <v>1.58</v>
      </c>
      <c r="U162" s="123">
        <f t="shared" si="48"/>
        <v>1.58</v>
      </c>
      <c r="V162" s="123">
        <f t="shared" si="48"/>
        <v>1.58</v>
      </c>
      <c r="W162" s="123">
        <f t="shared" si="48"/>
        <v>1.58</v>
      </c>
      <c r="X162" s="123">
        <f t="shared" si="48"/>
        <v>1.58</v>
      </c>
      <c r="Y162" s="123">
        <f t="shared" si="48"/>
        <v>1.58</v>
      </c>
      <c r="Z162" s="123">
        <f t="shared" si="48"/>
        <v>1.58</v>
      </c>
      <c r="AA162" s="123">
        <f t="shared" si="48"/>
        <v>1.58</v>
      </c>
      <c r="AB162" s="123">
        <f t="shared" si="48"/>
        <v>1.58</v>
      </c>
      <c r="AC162" s="123">
        <f t="shared" si="48"/>
        <v>1.58</v>
      </c>
      <c r="AD162" s="123">
        <f t="shared" si="48"/>
        <v>1.58</v>
      </c>
      <c r="AE162" s="123">
        <f t="shared" si="48"/>
        <v>1.58</v>
      </c>
      <c r="AF162" s="123">
        <f t="shared" si="48"/>
        <v>1.58</v>
      </c>
      <c r="AG162" s="126">
        <v>3</v>
      </c>
      <c r="AH162" s="54"/>
      <c r="AI162" s="55"/>
      <c r="AK162" s="56"/>
    </row>
    <row r="163" spans="1:37" x14ac:dyDescent="0.25">
      <c r="A163" s="111" t="s">
        <v>168</v>
      </c>
      <c r="B163" s="123">
        <f t="shared" si="46"/>
        <v>2</v>
      </c>
      <c r="C163" s="124">
        <v>2</v>
      </c>
      <c r="D163" s="123">
        <f t="shared" si="47"/>
        <v>2</v>
      </c>
      <c r="E163" s="123">
        <f t="shared" si="47"/>
        <v>2</v>
      </c>
      <c r="F163" s="123">
        <f t="shared" si="47"/>
        <v>2</v>
      </c>
      <c r="G163" s="123">
        <f t="shared" si="47"/>
        <v>2</v>
      </c>
      <c r="H163" s="123">
        <f t="shared" si="47"/>
        <v>2</v>
      </c>
      <c r="I163" s="123">
        <f t="shared" si="47"/>
        <v>2</v>
      </c>
      <c r="J163" s="123">
        <f t="shared" si="47"/>
        <v>2</v>
      </c>
      <c r="K163" s="123">
        <f t="shared" si="47"/>
        <v>2</v>
      </c>
      <c r="L163" s="123">
        <f t="shared" si="47"/>
        <v>2</v>
      </c>
      <c r="M163" s="123">
        <f t="shared" si="47"/>
        <v>2</v>
      </c>
      <c r="N163" s="123">
        <f t="shared" si="47"/>
        <v>2</v>
      </c>
      <c r="O163" s="123">
        <f t="shared" si="47"/>
        <v>2</v>
      </c>
      <c r="P163" s="123">
        <f t="shared" si="47"/>
        <v>2</v>
      </c>
      <c r="Q163" s="123">
        <f t="shared" si="47"/>
        <v>2</v>
      </c>
      <c r="R163" s="123">
        <f t="shared" si="47"/>
        <v>2</v>
      </c>
      <c r="S163" s="123">
        <f t="shared" si="47"/>
        <v>2</v>
      </c>
      <c r="T163" s="123">
        <f t="shared" si="48"/>
        <v>2</v>
      </c>
      <c r="U163" s="123">
        <f t="shared" si="48"/>
        <v>2</v>
      </c>
      <c r="V163" s="123">
        <f t="shared" si="48"/>
        <v>2</v>
      </c>
      <c r="W163" s="123">
        <f t="shared" si="48"/>
        <v>2</v>
      </c>
      <c r="X163" s="123">
        <f t="shared" si="48"/>
        <v>2</v>
      </c>
      <c r="Y163" s="123">
        <f t="shared" si="48"/>
        <v>2</v>
      </c>
      <c r="Z163" s="123">
        <f t="shared" si="48"/>
        <v>2</v>
      </c>
      <c r="AA163" s="123">
        <f t="shared" si="48"/>
        <v>2</v>
      </c>
      <c r="AB163" s="123">
        <f t="shared" si="48"/>
        <v>2</v>
      </c>
      <c r="AC163" s="123">
        <f t="shared" si="48"/>
        <v>2</v>
      </c>
      <c r="AD163" s="123">
        <f t="shared" si="48"/>
        <v>2</v>
      </c>
      <c r="AE163" s="123">
        <f t="shared" si="48"/>
        <v>2</v>
      </c>
      <c r="AF163" s="123">
        <f t="shared" si="48"/>
        <v>2</v>
      </c>
      <c r="AG163" s="126">
        <v>3</v>
      </c>
      <c r="AH163" s="54"/>
      <c r="AI163" s="55"/>
      <c r="AK163" s="56"/>
    </row>
    <row r="164" spans="1:37" x14ac:dyDescent="0.25">
      <c r="A164" s="111" t="s">
        <v>169</v>
      </c>
      <c r="B164" s="123">
        <f t="shared" si="46"/>
        <v>0.47</v>
      </c>
      <c r="C164" s="124">
        <v>0.47</v>
      </c>
      <c r="D164" s="123">
        <f t="shared" si="47"/>
        <v>0.47</v>
      </c>
      <c r="E164" s="123">
        <f t="shared" si="47"/>
        <v>0.47</v>
      </c>
      <c r="F164" s="123">
        <f t="shared" si="47"/>
        <v>0.47</v>
      </c>
      <c r="G164" s="123">
        <f t="shared" si="47"/>
        <v>0.47</v>
      </c>
      <c r="H164" s="123">
        <f t="shared" si="47"/>
        <v>0.47</v>
      </c>
      <c r="I164" s="123">
        <f t="shared" si="47"/>
        <v>0.47</v>
      </c>
      <c r="J164" s="123">
        <f t="shared" si="47"/>
        <v>0.47</v>
      </c>
      <c r="K164" s="123">
        <f t="shared" si="47"/>
        <v>0.47</v>
      </c>
      <c r="L164" s="123">
        <f t="shared" si="47"/>
        <v>0.47</v>
      </c>
      <c r="M164" s="123">
        <f t="shared" si="47"/>
        <v>0.47</v>
      </c>
      <c r="N164" s="123">
        <f t="shared" si="47"/>
        <v>0.47</v>
      </c>
      <c r="O164" s="123">
        <f t="shared" si="47"/>
        <v>0.47</v>
      </c>
      <c r="P164" s="123">
        <f t="shared" si="47"/>
        <v>0.47</v>
      </c>
      <c r="Q164" s="123">
        <f t="shared" si="47"/>
        <v>0.47</v>
      </c>
      <c r="R164" s="123">
        <f t="shared" si="47"/>
        <v>0.47</v>
      </c>
      <c r="S164" s="123">
        <f t="shared" si="47"/>
        <v>0.47</v>
      </c>
      <c r="T164" s="123">
        <f t="shared" si="48"/>
        <v>0.47</v>
      </c>
      <c r="U164" s="123">
        <f t="shared" si="48"/>
        <v>0.47</v>
      </c>
      <c r="V164" s="123">
        <f t="shared" si="48"/>
        <v>0.47</v>
      </c>
      <c r="W164" s="123">
        <f t="shared" si="48"/>
        <v>0.47</v>
      </c>
      <c r="X164" s="123">
        <f t="shared" si="48"/>
        <v>0.47</v>
      </c>
      <c r="Y164" s="123">
        <f t="shared" si="48"/>
        <v>0.47</v>
      </c>
      <c r="Z164" s="123">
        <f t="shared" si="48"/>
        <v>0.47</v>
      </c>
      <c r="AA164" s="123">
        <f t="shared" si="48"/>
        <v>0.47</v>
      </c>
      <c r="AB164" s="123">
        <f t="shared" si="48"/>
        <v>0.47</v>
      </c>
      <c r="AC164" s="123">
        <f t="shared" si="48"/>
        <v>0.47</v>
      </c>
      <c r="AD164" s="123">
        <f t="shared" si="48"/>
        <v>0.47</v>
      </c>
      <c r="AE164" s="123">
        <f t="shared" si="48"/>
        <v>0.47</v>
      </c>
      <c r="AF164" s="123">
        <f t="shared" si="48"/>
        <v>0.47</v>
      </c>
      <c r="AG164" s="126">
        <v>3</v>
      </c>
      <c r="AH164" s="54"/>
      <c r="AI164" s="55"/>
      <c r="AK164" s="56"/>
    </row>
    <row r="165" spans="1:37" x14ac:dyDescent="0.25">
      <c r="A165" s="111" t="s">
        <v>170</v>
      </c>
      <c r="B165" s="123">
        <f t="shared" si="46"/>
        <v>0</v>
      </c>
      <c r="C165" s="124">
        <v>0</v>
      </c>
      <c r="D165" s="123">
        <f t="shared" si="47"/>
        <v>0</v>
      </c>
      <c r="E165" s="123">
        <f t="shared" si="47"/>
        <v>0</v>
      </c>
      <c r="F165" s="123">
        <f t="shared" si="47"/>
        <v>0</v>
      </c>
      <c r="G165" s="123">
        <f t="shared" si="47"/>
        <v>0</v>
      </c>
      <c r="H165" s="123">
        <f t="shared" si="47"/>
        <v>0</v>
      </c>
      <c r="I165" s="123">
        <f t="shared" si="47"/>
        <v>0</v>
      </c>
      <c r="J165" s="123">
        <f t="shared" si="47"/>
        <v>0</v>
      </c>
      <c r="K165" s="123">
        <f t="shared" si="47"/>
        <v>0</v>
      </c>
      <c r="L165" s="123">
        <f t="shared" si="47"/>
        <v>0</v>
      </c>
      <c r="M165" s="123">
        <f t="shared" si="47"/>
        <v>0</v>
      </c>
      <c r="N165" s="123">
        <f t="shared" si="47"/>
        <v>0</v>
      </c>
      <c r="O165" s="123">
        <f t="shared" si="47"/>
        <v>0</v>
      </c>
      <c r="P165" s="123">
        <f t="shared" si="47"/>
        <v>0</v>
      </c>
      <c r="Q165" s="123">
        <f t="shared" si="47"/>
        <v>0</v>
      </c>
      <c r="R165" s="123">
        <f t="shared" si="47"/>
        <v>0</v>
      </c>
      <c r="S165" s="123">
        <f t="shared" si="47"/>
        <v>0</v>
      </c>
      <c r="T165" s="123">
        <f t="shared" si="48"/>
        <v>0</v>
      </c>
      <c r="U165" s="123">
        <f t="shared" si="48"/>
        <v>0</v>
      </c>
      <c r="V165" s="123">
        <f t="shared" si="48"/>
        <v>0</v>
      </c>
      <c r="W165" s="123">
        <f t="shared" si="48"/>
        <v>0</v>
      </c>
      <c r="X165" s="123">
        <f t="shared" si="48"/>
        <v>0</v>
      </c>
      <c r="Y165" s="123">
        <f t="shared" si="48"/>
        <v>0</v>
      </c>
      <c r="Z165" s="123">
        <f t="shared" si="48"/>
        <v>0</v>
      </c>
      <c r="AA165" s="123">
        <f t="shared" si="48"/>
        <v>0</v>
      </c>
      <c r="AB165" s="123">
        <f t="shared" si="48"/>
        <v>0</v>
      </c>
      <c r="AC165" s="123">
        <f t="shared" si="48"/>
        <v>0</v>
      </c>
      <c r="AD165" s="123">
        <f t="shared" si="48"/>
        <v>0</v>
      </c>
      <c r="AE165" s="123">
        <f t="shared" si="48"/>
        <v>0</v>
      </c>
      <c r="AF165" s="123">
        <f t="shared" si="48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171</v>
      </c>
      <c r="B166" s="123">
        <f t="shared" si="46"/>
        <v>0</v>
      </c>
      <c r="C166" s="124">
        <v>0</v>
      </c>
      <c r="D166" s="123">
        <f t="shared" si="47"/>
        <v>0</v>
      </c>
      <c r="E166" s="123">
        <f t="shared" si="47"/>
        <v>0</v>
      </c>
      <c r="F166" s="123">
        <f t="shared" si="47"/>
        <v>0</v>
      </c>
      <c r="G166" s="123">
        <f t="shared" si="47"/>
        <v>0</v>
      </c>
      <c r="H166" s="123">
        <f t="shared" si="47"/>
        <v>0</v>
      </c>
      <c r="I166" s="123">
        <f t="shared" si="47"/>
        <v>0</v>
      </c>
      <c r="J166" s="123">
        <f t="shared" si="47"/>
        <v>0</v>
      </c>
      <c r="K166" s="123">
        <f t="shared" si="47"/>
        <v>0</v>
      </c>
      <c r="L166" s="123">
        <f t="shared" si="47"/>
        <v>0</v>
      </c>
      <c r="M166" s="123">
        <f t="shared" si="47"/>
        <v>0</v>
      </c>
      <c r="N166" s="123">
        <f t="shared" si="47"/>
        <v>0</v>
      </c>
      <c r="O166" s="123">
        <f t="shared" si="47"/>
        <v>0</v>
      </c>
      <c r="P166" s="123">
        <f t="shared" si="47"/>
        <v>0</v>
      </c>
      <c r="Q166" s="123">
        <f t="shared" si="47"/>
        <v>0</v>
      </c>
      <c r="R166" s="123">
        <f t="shared" si="47"/>
        <v>0</v>
      </c>
      <c r="S166" s="123">
        <f t="shared" si="48"/>
        <v>0</v>
      </c>
      <c r="T166" s="123">
        <f t="shared" si="48"/>
        <v>0</v>
      </c>
      <c r="U166" s="123">
        <f t="shared" si="48"/>
        <v>0</v>
      </c>
      <c r="V166" s="123">
        <f t="shared" si="48"/>
        <v>0</v>
      </c>
      <c r="W166" s="123">
        <f t="shared" si="48"/>
        <v>0</v>
      </c>
      <c r="X166" s="123">
        <f t="shared" si="48"/>
        <v>0</v>
      </c>
      <c r="Y166" s="123">
        <f t="shared" si="48"/>
        <v>0</v>
      </c>
      <c r="Z166" s="123">
        <f t="shared" si="48"/>
        <v>0</v>
      </c>
      <c r="AA166" s="123">
        <f t="shared" si="48"/>
        <v>0</v>
      </c>
      <c r="AB166" s="123">
        <f t="shared" si="48"/>
        <v>0</v>
      </c>
      <c r="AC166" s="123">
        <f t="shared" si="48"/>
        <v>0</v>
      </c>
      <c r="AD166" s="123">
        <f t="shared" si="48"/>
        <v>0</v>
      </c>
      <c r="AE166" s="123">
        <f t="shared" si="48"/>
        <v>0</v>
      </c>
      <c r="AF166" s="123">
        <f t="shared" si="48"/>
        <v>0</v>
      </c>
      <c r="AG166" s="126">
        <v>3</v>
      </c>
      <c r="AH166" s="54"/>
      <c r="AI166" s="55"/>
      <c r="AK166" s="56"/>
    </row>
    <row r="167" spans="1:37" x14ac:dyDescent="0.25">
      <c r="A167" s="111" t="s">
        <v>172</v>
      </c>
      <c r="B167" s="123">
        <f t="shared" si="46"/>
        <v>0.8</v>
      </c>
      <c r="C167" s="124">
        <v>0.8</v>
      </c>
      <c r="D167" s="123">
        <f t="shared" si="47"/>
        <v>0.8</v>
      </c>
      <c r="E167" s="123">
        <f t="shared" si="47"/>
        <v>0.8</v>
      </c>
      <c r="F167" s="123">
        <f t="shared" si="47"/>
        <v>0.8</v>
      </c>
      <c r="G167" s="123">
        <f t="shared" si="47"/>
        <v>0.8</v>
      </c>
      <c r="H167" s="123">
        <f t="shared" si="47"/>
        <v>0.8</v>
      </c>
      <c r="I167" s="123">
        <f t="shared" si="47"/>
        <v>0.8</v>
      </c>
      <c r="J167" s="123">
        <f t="shared" si="47"/>
        <v>0.8</v>
      </c>
      <c r="K167" s="123">
        <f t="shared" si="47"/>
        <v>0.8</v>
      </c>
      <c r="L167" s="123">
        <f t="shared" si="47"/>
        <v>0.8</v>
      </c>
      <c r="M167" s="123">
        <f t="shared" si="47"/>
        <v>0.8</v>
      </c>
      <c r="N167" s="123">
        <f t="shared" si="47"/>
        <v>0.8</v>
      </c>
      <c r="O167" s="123">
        <f t="shared" si="47"/>
        <v>0.8</v>
      </c>
      <c r="P167" s="123">
        <f t="shared" si="47"/>
        <v>0.8</v>
      </c>
      <c r="Q167" s="123">
        <f t="shared" si="47"/>
        <v>0.8</v>
      </c>
      <c r="R167" s="123">
        <f t="shared" si="47"/>
        <v>0.8</v>
      </c>
      <c r="S167" s="123">
        <f t="shared" si="48"/>
        <v>0.8</v>
      </c>
      <c r="T167" s="123">
        <f t="shared" si="48"/>
        <v>0.8</v>
      </c>
      <c r="U167" s="123">
        <f t="shared" si="48"/>
        <v>0.8</v>
      </c>
      <c r="V167" s="123">
        <f t="shared" si="48"/>
        <v>0.8</v>
      </c>
      <c r="W167" s="123">
        <f t="shared" si="48"/>
        <v>0.8</v>
      </c>
      <c r="X167" s="123">
        <f t="shared" si="48"/>
        <v>0.8</v>
      </c>
      <c r="Y167" s="123">
        <f t="shared" si="48"/>
        <v>0.8</v>
      </c>
      <c r="Z167" s="123">
        <f t="shared" si="48"/>
        <v>0.8</v>
      </c>
      <c r="AA167" s="123">
        <f t="shared" si="48"/>
        <v>0.8</v>
      </c>
      <c r="AB167" s="123">
        <f t="shared" si="48"/>
        <v>0.8</v>
      </c>
      <c r="AC167" s="123">
        <f t="shared" si="48"/>
        <v>0.8</v>
      </c>
      <c r="AD167" s="123">
        <f t="shared" si="48"/>
        <v>0.8</v>
      </c>
      <c r="AE167" s="123">
        <f t="shared" si="48"/>
        <v>0.8</v>
      </c>
      <c r="AF167" s="123">
        <f t="shared" si="48"/>
        <v>0.8</v>
      </c>
      <c r="AG167" s="126">
        <v>3</v>
      </c>
      <c r="AH167" s="54"/>
      <c r="AI167" s="55"/>
      <c r="AK167" s="56"/>
    </row>
    <row r="168" spans="1:37" x14ac:dyDescent="0.25">
      <c r="A168" s="111" t="s">
        <v>173</v>
      </c>
      <c r="B168" s="123">
        <f t="shared" si="46"/>
        <v>1.5</v>
      </c>
      <c r="C168" s="124">
        <v>1.5</v>
      </c>
      <c r="D168" s="123">
        <f t="shared" si="47"/>
        <v>1.5</v>
      </c>
      <c r="E168" s="123">
        <f t="shared" si="47"/>
        <v>1.5</v>
      </c>
      <c r="F168" s="123">
        <f t="shared" si="47"/>
        <v>1.5</v>
      </c>
      <c r="G168" s="123">
        <f t="shared" si="47"/>
        <v>1.5</v>
      </c>
      <c r="H168" s="123">
        <f t="shared" si="47"/>
        <v>1.5</v>
      </c>
      <c r="I168" s="123">
        <f t="shared" si="47"/>
        <v>1.5</v>
      </c>
      <c r="J168" s="123">
        <f t="shared" si="47"/>
        <v>1.5</v>
      </c>
      <c r="K168" s="123">
        <f t="shared" si="47"/>
        <v>1.5</v>
      </c>
      <c r="L168" s="123">
        <f t="shared" si="47"/>
        <v>1.5</v>
      </c>
      <c r="M168" s="123">
        <f t="shared" si="47"/>
        <v>1.5</v>
      </c>
      <c r="N168" s="123">
        <f t="shared" si="47"/>
        <v>1.5</v>
      </c>
      <c r="O168" s="123">
        <f t="shared" si="47"/>
        <v>1.5</v>
      </c>
      <c r="P168" s="123">
        <f t="shared" si="47"/>
        <v>1.5</v>
      </c>
      <c r="Q168" s="123">
        <f t="shared" si="47"/>
        <v>1.5</v>
      </c>
      <c r="R168" s="123">
        <f t="shared" si="47"/>
        <v>1.5</v>
      </c>
      <c r="S168" s="123">
        <f t="shared" si="48"/>
        <v>1.5</v>
      </c>
      <c r="T168" s="123">
        <f t="shared" si="48"/>
        <v>1.5</v>
      </c>
      <c r="U168" s="123">
        <f t="shared" si="48"/>
        <v>1.5</v>
      </c>
      <c r="V168" s="123">
        <f t="shared" si="48"/>
        <v>1.5</v>
      </c>
      <c r="W168" s="123">
        <f t="shared" si="48"/>
        <v>1.5</v>
      </c>
      <c r="X168" s="123">
        <f t="shared" si="48"/>
        <v>1.5</v>
      </c>
      <c r="Y168" s="123">
        <f t="shared" si="48"/>
        <v>1.5</v>
      </c>
      <c r="Z168" s="123">
        <f t="shared" si="48"/>
        <v>1.5</v>
      </c>
      <c r="AA168" s="123">
        <f t="shared" si="48"/>
        <v>1.5</v>
      </c>
      <c r="AB168" s="123">
        <f t="shared" si="48"/>
        <v>1.5</v>
      </c>
      <c r="AC168" s="123">
        <f t="shared" si="48"/>
        <v>1.5</v>
      </c>
      <c r="AD168" s="123">
        <f t="shared" si="48"/>
        <v>1.5</v>
      </c>
      <c r="AE168" s="123">
        <f t="shared" si="48"/>
        <v>1.5</v>
      </c>
      <c r="AF168" s="123">
        <f t="shared" si="48"/>
        <v>1.5</v>
      </c>
      <c r="AG168" s="126">
        <v>3</v>
      </c>
      <c r="AH168" s="54"/>
      <c r="AI168" s="55"/>
      <c r="AK168" s="56"/>
    </row>
    <row r="169" spans="1:37" x14ac:dyDescent="0.25">
      <c r="A169" s="111" t="s">
        <v>174</v>
      </c>
      <c r="B169" s="123">
        <f t="shared" si="46"/>
        <v>1</v>
      </c>
      <c r="C169" s="124">
        <v>1</v>
      </c>
      <c r="D169" s="123">
        <f t="shared" si="47"/>
        <v>1</v>
      </c>
      <c r="E169" s="123">
        <f t="shared" si="47"/>
        <v>1</v>
      </c>
      <c r="F169" s="123">
        <f t="shared" si="47"/>
        <v>1</v>
      </c>
      <c r="G169" s="123">
        <f t="shared" si="47"/>
        <v>1</v>
      </c>
      <c r="H169" s="123">
        <f t="shared" si="47"/>
        <v>1</v>
      </c>
      <c r="I169" s="123">
        <f t="shared" si="47"/>
        <v>1</v>
      </c>
      <c r="J169" s="123">
        <f t="shared" si="47"/>
        <v>1</v>
      </c>
      <c r="K169" s="123">
        <f t="shared" si="47"/>
        <v>1</v>
      </c>
      <c r="L169" s="123">
        <f t="shared" si="47"/>
        <v>1</v>
      </c>
      <c r="M169" s="123">
        <f t="shared" si="47"/>
        <v>1</v>
      </c>
      <c r="N169" s="123">
        <f t="shared" si="47"/>
        <v>1</v>
      </c>
      <c r="O169" s="123">
        <f t="shared" si="47"/>
        <v>1</v>
      </c>
      <c r="P169" s="123">
        <f t="shared" si="47"/>
        <v>1</v>
      </c>
      <c r="Q169" s="123">
        <f t="shared" si="47"/>
        <v>1</v>
      </c>
      <c r="R169" s="123">
        <f t="shared" si="47"/>
        <v>1</v>
      </c>
      <c r="S169" s="123">
        <f t="shared" si="48"/>
        <v>1</v>
      </c>
      <c r="T169" s="123">
        <f t="shared" si="48"/>
        <v>1</v>
      </c>
      <c r="U169" s="123">
        <f t="shared" si="48"/>
        <v>1</v>
      </c>
      <c r="V169" s="123">
        <f t="shared" si="48"/>
        <v>1</v>
      </c>
      <c r="W169" s="123">
        <f t="shared" si="48"/>
        <v>1</v>
      </c>
      <c r="X169" s="123">
        <f t="shared" si="48"/>
        <v>1</v>
      </c>
      <c r="Y169" s="123">
        <f t="shared" si="48"/>
        <v>1</v>
      </c>
      <c r="Z169" s="123">
        <f t="shared" si="48"/>
        <v>1</v>
      </c>
      <c r="AA169" s="123">
        <f t="shared" si="48"/>
        <v>1</v>
      </c>
      <c r="AB169" s="123">
        <f t="shared" si="48"/>
        <v>1</v>
      </c>
      <c r="AC169" s="123">
        <f t="shared" si="48"/>
        <v>1</v>
      </c>
      <c r="AD169" s="123">
        <f t="shared" si="48"/>
        <v>1</v>
      </c>
      <c r="AE169" s="123">
        <f t="shared" si="48"/>
        <v>1</v>
      </c>
      <c r="AF169" s="123">
        <f t="shared" si="48"/>
        <v>1</v>
      </c>
      <c r="AG169" s="126">
        <v>3</v>
      </c>
      <c r="AH169" s="54"/>
      <c r="AI169" s="55"/>
      <c r="AK169" s="56"/>
    </row>
    <row r="170" spans="1:37" x14ac:dyDescent="0.25">
      <c r="A170" s="111" t="s">
        <v>175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4"/>
      <c r="AI170" s="55"/>
      <c r="AK170" s="56"/>
    </row>
    <row r="171" spans="1:37" x14ac:dyDescent="0.25">
      <c r="A171" s="111" t="s">
        <v>176</v>
      </c>
      <c r="B171" s="123">
        <f t="shared" ref="B171:B178" si="49">AF171</f>
        <v>1</v>
      </c>
      <c r="C171" s="124">
        <v>1</v>
      </c>
      <c r="D171" s="123">
        <f t="shared" ref="D171:S178" si="50">C171</f>
        <v>1</v>
      </c>
      <c r="E171" s="123">
        <f t="shared" si="50"/>
        <v>1</v>
      </c>
      <c r="F171" s="123">
        <f t="shared" si="50"/>
        <v>1</v>
      </c>
      <c r="G171" s="123">
        <f t="shared" si="50"/>
        <v>1</v>
      </c>
      <c r="H171" s="123">
        <f t="shared" si="50"/>
        <v>1</v>
      </c>
      <c r="I171" s="123">
        <f t="shared" si="50"/>
        <v>1</v>
      </c>
      <c r="J171" s="123">
        <f t="shared" si="50"/>
        <v>1</v>
      </c>
      <c r="K171" s="123">
        <f t="shared" si="50"/>
        <v>1</v>
      </c>
      <c r="L171" s="123">
        <f t="shared" si="50"/>
        <v>1</v>
      </c>
      <c r="M171" s="123">
        <f t="shared" si="50"/>
        <v>1</v>
      </c>
      <c r="N171" s="123">
        <f t="shared" si="50"/>
        <v>1</v>
      </c>
      <c r="O171" s="123">
        <f t="shared" si="50"/>
        <v>1</v>
      </c>
      <c r="P171" s="123">
        <f t="shared" si="50"/>
        <v>1</v>
      </c>
      <c r="Q171" s="123">
        <f t="shared" si="50"/>
        <v>1</v>
      </c>
      <c r="R171" s="123">
        <f t="shared" si="50"/>
        <v>1</v>
      </c>
      <c r="S171" s="123">
        <f t="shared" si="50"/>
        <v>1</v>
      </c>
      <c r="T171" s="123">
        <f t="shared" ref="S171:AF178" si="51">S171</f>
        <v>1</v>
      </c>
      <c r="U171" s="123">
        <f t="shared" si="51"/>
        <v>1</v>
      </c>
      <c r="V171" s="123">
        <f t="shared" si="51"/>
        <v>1</v>
      </c>
      <c r="W171" s="123">
        <f t="shared" si="51"/>
        <v>1</v>
      </c>
      <c r="X171" s="123">
        <f t="shared" si="51"/>
        <v>1</v>
      </c>
      <c r="Y171" s="123">
        <f t="shared" si="51"/>
        <v>1</v>
      </c>
      <c r="Z171" s="123">
        <f t="shared" si="51"/>
        <v>1</v>
      </c>
      <c r="AA171" s="123">
        <f t="shared" si="51"/>
        <v>1</v>
      </c>
      <c r="AB171" s="123">
        <f t="shared" si="51"/>
        <v>1</v>
      </c>
      <c r="AC171" s="123">
        <f t="shared" si="51"/>
        <v>1</v>
      </c>
      <c r="AD171" s="123">
        <f t="shared" si="51"/>
        <v>1</v>
      </c>
      <c r="AE171" s="123">
        <f t="shared" si="51"/>
        <v>1</v>
      </c>
      <c r="AF171" s="123">
        <f t="shared" si="51"/>
        <v>1</v>
      </c>
      <c r="AG171" s="126">
        <v>2.5</v>
      </c>
      <c r="AH171" s="54"/>
      <c r="AI171" s="55"/>
      <c r="AK171" s="56"/>
    </row>
    <row r="172" spans="1:37" x14ac:dyDescent="0.25">
      <c r="A172" s="111" t="s">
        <v>177</v>
      </c>
      <c r="B172" s="123">
        <f t="shared" si="49"/>
        <v>0.42</v>
      </c>
      <c r="C172" s="124">
        <v>0.42</v>
      </c>
      <c r="D172" s="123">
        <f t="shared" si="50"/>
        <v>0.42</v>
      </c>
      <c r="E172" s="123">
        <f t="shared" si="50"/>
        <v>0.42</v>
      </c>
      <c r="F172" s="123">
        <f t="shared" si="50"/>
        <v>0.42</v>
      </c>
      <c r="G172" s="123">
        <f t="shared" si="50"/>
        <v>0.42</v>
      </c>
      <c r="H172" s="123">
        <f t="shared" si="50"/>
        <v>0.42</v>
      </c>
      <c r="I172" s="123">
        <f t="shared" si="50"/>
        <v>0.42</v>
      </c>
      <c r="J172" s="123">
        <f t="shared" si="50"/>
        <v>0.42</v>
      </c>
      <c r="K172" s="123">
        <f t="shared" si="50"/>
        <v>0.42</v>
      </c>
      <c r="L172" s="123">
        <f t="shared" si="50"/>
        <v>0.42</v>
      </c>
      <c r="M172" s="123">
        <f t="shared" si="50"/>
        <v>0.42</v>
      </c>
      <c r="N172" s="123">
        <f t="shared" si="50"/>
        <v>0.42</v>
      </c>
      <c r="O172" s="123">
        <f t="shared" si="50"/>
        <v>0.42</v>
      </c>
      <c r="P172" s="123">
        <f t="shared" si="50"/>
        <v>0.42</v>
      </c>
      <c r="Q172" s="123">
        <f t="shared" si="50"/>
        <v>0.42</v>
      </c>
      <c r="R172" s="123">
        <f t="shared" si="50"/>
        <v>0.42</v>
      </c>
      <c r="S172" s="123">
        <f t="shared" si="51"/>
        <v>0.42</v>
      </c>
      <c r="T172" s="123">
        <f t="shared" si="51"/>
        <v>0.42</v>
      </c>
      <c r="U172" s="123">
        <f t="shared" si="51"/>
        <v>0.42</v>
      </c>
      <c r="V172" s="123">
        <f t="shared" si="51"/>
        <v>0.42</v>
      </c>
      <c r="W172" s="123">
        <f t="shared" si="51"/>
        <v>0.42</v>
      </c>
      <c r="X172" s="123">
        <f t="shared" si="51"/>
        <v>0.42</v>
      </c>
      <c r="Y172" s="123">
        <f t="shared" si="51"/>
        <v>0.42</v>
      </c>
      <c r="Z172" s="123">
        <f t="shared" si="51"/>
        <v>0.42</v>
      </c>
      <c r="AA172" s="123">
        <f t="shared" si="51"/>
        <v>0.42</v>
      </c>
      <c r="AB172" s="123">
        <f t="shared" si="51"/>
        <v>0.42</v>
      </c>
      <c r="AC172" s="123">
        <f t="shared" si="51"/>
        <v>0.42</v>
      </c>
      <c r="AD172" s="123">
        <f t="shared" si="51"/>
        <v>0.42</v>
      </c>
      <c r="AE172" s="123">
        <f t="shared" si="51"/>
        <v>0.42</v>
      </c>
      <c r="AF172" s="123">
        <f t="shared" si="51"/>
        <v>0.42</v>
      </c>
      <c r="AG172" s="126">
        <v>2.5</v>
      </c>
      <c r="AH172" s="54"/>
      <c r="AI172" s="55"/>
      <c r="AK172" s="56"/>
    </row>
    <row r="173" spans="1:37" x14ac:dyDescent="0.25">
      <c r="A173" s="111" t="s">
        <v>178</v>
      </c>
      <c r="B173" s="123">
        <f t="shared" si="49"/>
        <v>0.46</v>
      </c>
      <c r="C173" s="124">
        <v>0.46</v>
      </c>
      <c r="D173" s="123">
        <f t="shared" si="50"/>
        <v>0.46</v>
      </c>
      <c r="E173" s="123">
        <f t="shared" si="50"/>
        <v>0.46</v>
      </c>
      <c r="F173" s="123">
        <f t="shared" si="50"/>
        <v>0.46</v>
      </c>
      <c r="G173" s="123">
        <f t="shared" si="50"/>
        <v>0.46</v>
      </c>
      <c r="H173" s="123">
        <f t="shared" si="50"/>
        <v>0.46</v>
      </c>
      <c r="I173" s="123">
        <f t="shared" si="50"/>
        <v>0.46</v>
      </c>
      <c r="J173" s="123">
        <f t="shared" si="50"/>
        <v>0.46</v>
      </c>
      <c r="K173" s="123">
        <f t="shared" si="50"/>
        <v>0.46</v>
      </c>
      <c r="L173" s="123">
        <f t="shared" si="50"/>
        <v>0.46</v>
      </c>
      <c r="M173" s="123">
        <f t="shared" si="50"/>
        <v>0.46</v>
      </c>
      <c r="N173" s="123">
        <f t="shared" si="50"/>
        <v>0.46</v>
      </c>
      <c r="O173" s="123">
        <f t="shared" si="50"/>
        <v>0.46</v>
      </c>
      <c r="P173" s="123">
        <f t="shared" si="50"/>
        <v>0.46</v>
      </c>
      <c r="Q173" s="123">
        <f t="shared" si="50"/>
        <v>0.46</v>
      </c>
      <c r="R173" s="123">
        <f t="shared" si="50"/>
        <v>0.46</v>
      </c>
      <c r="S173" s="123">
        <f t="shared" si="51"/>
        <v>0.46</v>
      </c>
      <c r="T173" s="123">
        <f t="shared" si="51"/>
        <v>0.46</v>
      </c>
      <c r="U173" s="123">
        <f t="shared" si="51"/>
        <v>0.46</v>
      </c>
      <c r="V173" s="123">
        <f t="shared" si="51"/>
        <v>0.46</v>
      </c>
      <c r="W173" s="123">
        <f t="shared" si="51"/>
        <v>0.46</v>
      </c>
      <c r="X173" s="123">
        <f t="shared" si="51"/>
        <v>0.46</v>
      </c>
      <c r="Y173" s="123">
        <f t="shared" si="51"/>
        <v>0.46</v>
      </c>
      <c r="Z173" s="123">
        <f t="shared" si="51"/>
        <v>0.46</v>
      </c>
      <c r="AA173" s="123">
        <f t="shared" si="51"/>
        <v>0.46</v>
      </c>
      <c r="AB173" s="123">
        <f t="shared" si="51"/>
        <v>0.46</v>
      </c>
      <c r="AC173" s="123">
        <f t="shared" si="51"/>
        <v>0.46</v>
      </c>
      <c r="AD173" s="123">
        <f t="shared" si="51"/>
        <v>0.46</v>
      </c>
      <c r="AE173" s="123">
        <f t="shared" si="51"/>
        <v>0.46</v>
      </c>
      <c r="AF173" s="123">
        <f t="shared" si="51"/>
        <v>0.46</v>
      </c>
      <c r="AG173" s="126">
        <v>2.4</v>
      </c>
      <c r="AH173" s="54"/>
      <c r="AI173" s="55"/>
      <c r="AK173" s="56"/>
    </row>
    <row r="174" spans="1:37" x14ac:dyDescent="0.25">
      <c r="A174" s="111" t="s">
        <v>179</v>
      </c>
      <c r="B174" s="123">
        <f t="shared" si="49"/>
        <v>0.85</v>
      </c>
      <c r="C174" s="124">
        <v>0.85</v>
      </c>
      <c r="D174" s="123">
        <f t="shared" si="50"/>
        <v>0.85</v>
      </c>
      <c r="E174" s="123">
        <f t="shared" si="50"/>
        <v>0.85</v>
      </c>
      <c r="F174" s="123">
        <f t="shared" si="50"/>
        <v>0.85</v>
      </c>
      <c r="G174" s="123">
        <f t="shared" si="50"/>
        <v>0.85</v>
      </c>
      <c r="H174" s="123">
        <f t="shared" si="50"/>
        <v>0.85</v>
      </c>
      <c r="I174" s="123">
        <f t="shared" si="50"/>
        <v>0.85</v>
      </c>
      <c r="J174" s="123">
        <f t="shared" si="50"/>
        <v>0.85</v>
      </c>
      <c r="K174" s="123">
        <f t="shared" si="50"/>
        <v>0.85</v>
      </c>
      <c r="L174" s="123">
        <f t="shared" si="50"/>
        <v>0.85</v>
      </c>
      <c r="M174" s="123">
        <f t="shared" si="50"/>
        <v>0.85</v>
      </c>
      <c r="N174" s="123">
        <f t="shared" si="50"/>
        <v>0.85</v>
      </c>
      <c r="O174" s="123">
        <f t="shared" si="50"/>
        <v>0.85</v>
      </c>
      <c r="P174" s="123">
        <f t="shared" si="50"/>
        <v>0.85</v>
      </c>
      <c r="Q174" s="123">
        <f t="shared" si="50"/>
        <v>0.85</v>
      </c>
      <c r="R174" s="123">
        <f t="shared" si="50"/>
        <v>0.85</v>
      </c>
      <c r="S174" s="123">
        <f t="shared" si="51"/>
        <v>0.85</v>
      </c>
      <c r="T174" s="123">
        <f t="shared" si="51"/>
        <v>0.85</v>
      </c>
      <c r="U174" s="123">
        <f t="shared" si="51"/>
        <v>0.85</v>
      </c>
      <c r="V174" s="123">
        <f t="shared" si="51"/>
        <v>0.85</v>
      </c>
      <c r="W174" s="123">
        <f t="shared" si="51"/>
        <v>0.85</v>
      </c>
      <c r="X174" s="123">
        <f t="shared" si="51"/>
        <v>0.85</v>
      </c>
      <c r="Y174" s="123">
        <f t="shared" si="51"/>
        <v>0.85</v>
      </c>
      <c r="Z174" s="123">
        <f t="shared" si="51"/>
        <v>0.85</v>
      </c>
      <c r="AA174" s="123">
        <f t="shared" si="51"/>
        <v>0.85</v>
      </c>
      <c r="AB174" s="123">
        <f t="shared" si="51"/>
        <v>0.85</v>
      </c>
      <c r="AC174" s="123">
        <f t="shared" si="51"/>
        <v>0.85</v>
      </c>
      <c r="AD174" s="123">
        <f t="shared" si="51"/>
        <v>0.85</v>
      </c>
      <c r="AE174" s="123">
        <f t="shared" si="51"/>
        <v>0.85</v>
      </c>
      <c r="AF174" s="123">
        <f t="shared" si="51"/>
        <v>0.85</v>
      </c>
      <c r="AG174" s="126">
        <v>2.4</v>
      </c>
      <c r="AH174" s="54"/>
      <c r="AI174" s="55"/>
      <c r="AK174" s="56"/>
    </row>
    <row r="175" spans="1:37" x14ac:dyDescent="0.25">
      <c r="A175" s="111" t="s">
        <v>180</v>
      </c>
      <c r="B175" s="123">
        <f t="shared" si="49"/>
        <v>0.9</v>
      </c>
      <c r="C175" s="124">
        <v>0.9</v>
      </c>
      <c r="D175" s="123">
        <f t="shared" si="50"/>
        <v>0.9</v>
      </c>
      <c r="E175" s="123">
        <f t="shared" si="50"/>
        <v>0.9</v>
      </c>
      <c r="F175" s="123">
        <f t="shared" si="50"/>
        <v>0.9</v>
      </c>
      <c r="G175" s="123">
        <f t="shared" si="50"/>
        <v>0.9</v>
      </c>
      <c r="H175" s="123">
        <f t="shared" si="50"/>
        <v>0.9</v>
      </c>
      <c r="I175" s="123">
        <f t="shared" si="50"/>
        <v>0.9</v>
      </c>
      <c r="J175" s="123">
        <f t="shared" si="50"/>
        <v>0.9</v>
      </c>
      <c r="K175" s="123">
        <f t="shared" si="50"/>
        <v>0.9</v>
      </c>
      <c r="L175" s="123">
        <f t="shared" si="50"/>
        <v>0.9</v>
      </c>
      <c r="M175" s="123">
        <f t="shared" si="50"/>
        <v>0.9</v>
      </c>
      <c r="N175" s="123">
        <f t="shared" si="50"/>
        <v>0.9</v>
      </c>
      <c r="O175" s="123">
        <f t="shared" si="50"/>
        <v>0.9</v>
      </c>
      <c r="P175" s="123">
        <f t="shared" si="50"/>
        <v>0.9</v>
      </c>
      <c r="Q175" s="123">
        <f t="shared" si="50"/>
        <v>0.9</v>
      </c>
      <c r="R175" s="123">
        <f t="shared" si="50"/>
        <v>0.9</v>
      </c>
      <c r="S175" s="123">
        <f t="shared" si="51"/>
        <v>0.9</v>
      </c>
      <c r="T175" s="123">
        <f t="shared" si="51"/>
        <v>0.9</v>
      </c>
      <c r="U175" s="123">
        <f t="shared" si="51"/>
        <v>0.9</v>
      </c>
      <c r="V175" s="123">
        <f t="shared" si="51"/>
        <v>0.9</v>
      </c>
      <c r="W175" s="123">
        <f t="shared" si="51"/>
        <v>0.9</v>
      </c>
      <c r="X175" s="123">
        <f t="shared" si="51"/>
        <v>0.9</v>
      </c>
      <c r="Y175" s="123">
        <f t="shared" si="51"/>
        <v>0.9</v>
      </c>
      <c r="Z175" s="123">
        <f t="shared" si="51"/>
        <v>0.9</v>
      </c>
      <c r="AA175" s="123">
        <f t="shared" si="51"/>
        <v>0.9</v>
      </c>
      <c r="AB175" s="123">
        <f t="shared" si="51"/>
        <v>0.9</v>
      </c>
      <c r="AC175" s="123">
        <f t="shared" si="51"/>
        <v>0.9</v>
      </c>
      <c r="AD175" s="123">
        <f t="shared" si="51"/>
        <v>0.9</v>
      </c>
      <c r="AE175" s="123">
        <f t="shared" si="51"/>
        <v>0.9</v>
      </c>
      <c r="AF175" s="123">
        <f t="shared" si="51"/>
        <v>0.9</v>
      </c>
      <c r="AG175" s="126">
        <v>2.2000000000000002</v>
      </c>
      <c r="AH175" s="54"/>
      <c r="AI175" s="55"/>
      <c r="AK175" s="56"/>
    </row>
    <row r="176" spans="1:37" x14ac:dyDescent="0.25">
      <c r="A176" s="111" t="s">
        <v>181</v>
      </c>
      <c r="B176" s="123">
        <f t="shared" si="49"/>
        <v>0.44</v>
      </c>
      <c r="C176" s="124">
        <v>0.44</v>
      </c>
      <c r="D176" s="123">
        <f t="shared" si="50"/>
        <v>0.44</v>
      </c>
      <c r="E176" s="123">
        <f t="shared" si="50"/>
        <v>0.44</v>
      </c>
      <c r="F176" s="123">
        <f t="shared" si="50"/>
        <v>0.44</v>
      </c>
      <c r="G176" s="123">
        <f t="shared" si="50"/>
        <v>0.44</v>
      </c>
      <c r="H176" s="123">
        <f t="shared" si="50"/>
        <v>0.44</v>
      </c>
      <c r="I176" s="123">
        <f t="shared" si="50"/>
        <v>0.44</v>
      </c>
      <c r="J176" s="123">
        <f t="shared" si="50"/>
        <v>0.44</v>
      </c>
      <c r="K176" s="123">
        <f t="shared" si="50"/>
        <v>0.44</v>
      </c>
      <c r="L176" s="123">
        <f t="shared" si="50"/>
        <v>0.44</v>
      </c>
      <c r="M176" s="123">
        <f t="shared" si="50"/>
        <v>0.44</v>
      </c>
      <c r="N176" s="123">
        <f t="shared" si="50"/>
        <v>0.44</v>
      </c>
      <c r="O176" s="123">
        <f t="shared" si="50"/>
        <v>0.44</v>
      </c>
      <c r="P176" s="123">
        <f t="shared" si="50"/>
        <v>0.44</v>
      </c>
      <c r="Q176" s="123">
        <f t="shared" si="50"/>
        <v>0.44</v>
      </c>
      <c r="R176" s="123">
        <f t="shared" si="50"/>
        <v>0.44</v>
      </c>
      <c r="S176" s="123">
        <f t="shared" si="51"/>
        <v>0.44</v>
      </c>
      <c r="T176" s="123">
        <f t="shared" si="51"/>
        <v>0.44</v>
      </c>
      <c r="U176" s="123">
        <f t="shared" si="51"/>
        <v>0.44</v>
      </c>
      <c r="V176" s="123">
        <f t="shared" si="51"/>
        <v>0.44</v>
      </c>
      <c r="W176" s="123">
        <f t="shared" si="51"/>
        <v>0.44</v>
      </c>
      <c r="X176" s="123">
        <f t="shared" si="51"/>
        <v>0.44</v>
      </c>
      <c r="Y176" s="123">
        <f t="shared" si="51"/>
        <v>0.44</v>
      </c>
      <c r="Z176" s="123">
        <f t="shared" si="51"/>
        <v>0.44</v>
      </c>
      <c r="AA176" s="123">
        <f t="shared" si="51"/>
        <v>0.44</v>
      </c>
      <c r="AB176" s="123">
        <f t="shared" si="51"/>
        <v>0.44</v>
      </c>
      <c r="AC176" s="123">
        <f t="shared" si="51"/>
        <v>0.44</v>
      </c>
      <c r="AD176" s="123">
        <f t="shared" si="51"/>
        <v>0.44</v>
      </c>
      <c r="AE176" s="123">
        <f t="shared" si="51"/>
        <v>0.44</v>
      </c>
      <c r="AF176" s="123">
        <f t="shared" si="51"/>
        <v>0.44</v>
      </c>
      <c r="AG176" s="126">
        <v>2</v>
      </c>
      <c r="AH176" s="54"/>
      <c r="AI176" s="55"/>
      <c r="AK176" s="56"/>
    </row>
    <row r="177" spans="1:37" x14ac:dyDescent="0.25">
      <c r="A177" s="111" t="s">
        <v>182</v>
      </c>
      <c r="B177" s="123">
        <f t="shared" si="49"/>
        <v>2.1</v>
      </c>
      <c r="C177" s="124">
        <v>2.1</v>
      </c>
      <c r="D177" s="123">
        <f t="shared" si="50"/>
        <v>2.1</v>
      </c>
      <c r="E177" s="123">
        <f t="shared" si="50"/>
        <v>2.1</v>
      </c>
      <c r="F177" s="123">
        <f t="shared" si="50"/>
        <v>2.1</v>
      </c>
      <c r="G177" s="123">
        <f t="shared" si="50"/>
        <v>2.1</v>
      </c>
      <c r="H177" s="123">
        <f t="shared" si="50"/>
        <v>2.1</v>
      </c>
      <c r="I177" s="123">
        <f t="shared" si="50"/>
        <v>2.1</v>
      </c>
      <c r="J177" s="123">
        <f t="shared" si="50"/>
        <v>2.1</v>
      </c>
      <c r="K177" s="123">
        <f t="shared" si="50"/>
        <v>2.1</v>
      </c>
      <c r="L177" s="123">
        <f t="shared" si="50"/>
        <v>2.1</v>
      </c>
      <c r="M177" s="123">
        <f t="shared" si="50"/>
        <v>2.1</v>
      </c>
      <c r="N177" s="123">
        <f t="shared" si="50"/>
        <v>2.1</v>
      </c>
      <c r="O177" s="123">
        <f t="shared" si="50"/>
        <v>2.1</v>
      </c>
      <c r="P177" s="123">
        <f t="shared" si="50"/>
        <v>2.1</v>
      </c>
      <c r="Q177" s="123">
        <f t="shared" si="50"/>
        <v>2.1</v>
      </c>
      <c r="R177" s="123">
        <f t="shared" si="50"/>
        <v>2.1</v>
      </c>
      <c r="S177" s="123">
        <f t="shared" si="51"/>
        <v>2.1</v>
      </c>
      <c r="T177" s="123">
        <f t="shared" si="51"/>
        <v>2.1</v>
      </c>
      <c r="U177" s="123">
        <f t="shared" si="51"/>
        <v>2.1</v>
      </c>
      <c r="V177" s="123">
        <f t="shared" si="51"/>
        <v>2.1</v>
      </c>
      <c r="W177" s="123">
        <f t="shared" si="51"/>
        <v>2.1</v>
      </c>
      <c r="X177" s="123">
        <f t="shared" si="51"/>
        <v>2.1</v>
      </c>
      <c r="Y177" s="123">
        <f t="shared" si="51"/>
        <v>2.1</v>
      </c>
      <c r="Z177" s="123">
        <f t="shared" si="51"/>
        <v>2.1</v>
      </c>
      <c r="AA177" s="123">
        <f t="shared" si="51"/>
        <v>2.1</v>
      </c>
      <c r="AB177" s="123">
        <f t="shared" si="51"/>
        <v>2.1</v>
      </c>
      <c r="AC177" s="123">
        <f t="shared" si="51"/>
        <v>2.1</v>
      </c>
      <c r="AD177" s="123">
        <f t="shared" si="51"/>
        <v>2.1</v>
      </c>
      <c r="AE177" s="123">
        <f t="shared" si="51"/>
        <v>2.1</v>
      </c>
      <c r="AF177" s="123">
        <f t="shared" si="51"/>
        <v>2.1</v>
      </c>
      <c r="AG177" s="126">
        <v>2</v>
      </c>
      <c r="AH177" s="54"/>
      <c r="AI177" s="55"/>
      <c r="AK177" s="56"/>
    </row>
    <row r="178" spans="1:37" x14ac:dyDescent="0.25">
      <c r="A178" s="111" t="s">
        <v>183</v>
      </c>
      <c r="B178" s="123">
        <f t="shared" si="49"/>
        <v>0.9</v>
      </c>
      <c r="C178" s="124">
        <v>0.9</v>
      </c>
      <c r="D178" s="123">
        <f t="shared" si="50"/>
        <v>0.9</v>
      </c>
      <c r="E178" s="123">
        <f t="shared" si="50"/>
        <v>0.9</v>
      </c>
      <c r="F178" s="123">
        <f t="shared" si="50"/>
        <v>0.9</v>
      </c>
      <c r="G178" s="123">
        <f t="shared" si="50"/>
        <v>0.9</v>
      </c>
      <c r="H178" s="123">
        <f t="shared" si="50"/>
        <v>0.9</v>
      </c>
      <c r="I178" s="123">
        <f t="shared" si="50"/>
        <v>0.9</v>
      </c>
      <c r="J178" s="123">
        <f t="shared" si="50"/>
        <v>0.9</v>
      </c>
      <c r="K178" s="123">
        <f t="shared" si="50"/>
        <v>0.9</v>
      </c>
      <c r="L178" s="123">
        <f t="shared" si="50"/>
        <v>0.9</v>
      </c>
      <c r="M178" s="123">
        <f t="shared" si="50"/>
        <v>0.9</v>
      </c>
      <c r="N178" s="123">
        <f t="shared" si="50"/>
        <v>0.9</v>
      </c>
      <c r="O178" s="123">
        <f t="shared" si="50"/>
        <v>0.9</v>
      </c>
      <c r="P178" s="123">
        <f t="shared" si="50"/>
        <v>0.9</v>
      </c>
      <c r="Q178" s="123">
        <f t="shared" si="50"/>
        <v>0.9</v>
      </c>
      <c r="R178" s="123">
        <f t="shared" si="50"/>
        <v>0.9</v>
      </c>
      <c r="S178" s="123">
        <f t="shared" si="51"/>
        <v>0.9</v>
      </c>
      <c r="T178" s="123">
        <f t="shared" si="51"/>
        <v>0.9</v>
      </c>
      <c r="U178" s="123">
        <f t="shared" si="51"/>
        <v>0.9</v>
      </c>
      <c r="V178" s="123">
        <f t="shared" si="51"/>
        <v>0.9</v>
      </c>
      <c r="W178" s="123">
        <f t="shared" si="51"/>
        <v>0.9</v>
      </c>
      <c r="X178" s="123">
        <f t="shared" si="51"/>
        <v>0.9</v>
      </c>
      <c r="Y178" s="123">
        <f t="shared" si="51"/>
        <v>0.9</v>
      </c>
      <c r="Z178" s="123">
        <f t="shared" si="51"/>
        <v>0.9</v>
      </c>
      <c r="AA178" s="123">
        <f t="shared" si="51"/>
        <v>0.9</v>
      </c>
      <c r="AB178" s="123">
        <f t="shared" si="51"/>
        <v>0.9</v>
      </c>
      <c r="AC178" s="123">
        <f t="shared" si="51"/>
        <v>0.9</v>
      </c>
      <c r="AD178" s="123">
        <f t="shared" si="51"/>
        <v>0.9</v>
      </c>
      <c r="AE178" s="123">
        <f t="shared" si="51"/>
        <v>0.9</v>
      </c>
      <c r="AF178" s="123">
        <f t="shared" si="51"/>
        <v>0.9</v>
      </c>
      <c r="AG178" s="126">
        <v>2</v>
      </c>
      <c r="AH178" s="54"/>
      <c r="AI178" s="55"/>
      <c r="AK178" s="56"/>
    </row>
    <row r="179" spans="1:37" x14ac:dyDescent="0.25">
      <c r="A179" s="111" t="s">
        <v>184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4"/>
      <c r="AI179" s="55"/>
      <c r="AK179" s="56"/>
    </row>
    <row r="180" spans="1:37" x14ac:dyDescent="0.25">
      <c r="A180" s="111" t="s">
        <v>185</v>
      </c>
      <c r="B180" s="123">
        <f t="shared" ref="B180:B192" si="52">AF180</f>
        <v>0.57999999999999996</v>
      </c>
      <c r="C180" s="124">
        <v>0.57999999999999996</v>
      </c>
      <c r="D180" s="123">
        <f t="shared" ref="D180:S192" si="53">C180</f>
        <v>0.57999999999999996</v>
      </c>
      <c r="E180" s="123">
        <f t="shared" si="53"/>
        <v>0.57999999999999996</v>
      </c>
      <c r="F180" s="123">
        <f t="shared" si="53"/>
        <v>0.57999999999999996</v>
      </c>
      <c r="G180" s="123">
        <f t="shared" si="53"/>
        <v>0.57999999999999996</v>
      </c>
      <c r="H180" s="123">
        <f t="shared" si="53"/>
        <v>0.57999999999999996</v>
      </c>
      <c r="I180" s="123">
        <f t="shared" si="53"/>
        <v>0.57999999999999996</v>
      </c>
      <c r="J180" s="123">
        <f t="shared" si="53"/>
        <v>0.57999999999999996</v>
      </c>
      <c r="K180" s="123">
        <f t="shared" si="53"/>
        <v>0.57999999999999996</v>
      </c>
      <c r="L180" s="123">
        <f t="shared" si="53"/>
        <v>0.57999999999999996</v>
      </c>
      <c r="M180" s="123">
        <f t="shared" si="53"/>
        <v>0.57999999999999996</v>
      </c>
      <c r="N180" s="123">
        <f t="shared" si="53"/>
        <v>0.57999999999999996</v>
      </c>
      <c r="O180" s="123">
        <f t="shared" si="53"/>
        <v>0.57999999999999996</v>
      </c>
      <c r="P180" s="123">
        <f t="shared" si="53"/>
        <v>0.57999999999999996</v>
      </c>
      <c r="Q180" s="123">
        <f t="shared" si="53"/>
        <v>0.57999999999999996</v>
      </c>
      <c r="R180" s="123">
        <f t="shared" si="53"/>
        <v>0.57999999999999996</v>
      </c>
      <c r="S180" s="123">
        <f t="shared" si="53"/>
        <v>0.57999999999999996</v>
      </c>
      <c r="T180" s="123">
        <f t="shared" ref="S180:AF192" si="54">S180</f>
        <v>0.57999999999999996</v>
      </c>
      <c r="U180" s="123">
        <f t="shared" si="54"/>
        <v>0.57999999999999996</v>
      </c>
      <c r="V180" s="123">
        <f t="shared" si="54"/>
        <v>0.57999999999999996</v>
      </c>
      <c r="W180" s="123">
        <f t="shared" si="54"/>
        <v>0.57999999999999996</v>
      </c>
      <c r="X180" s="123">
        <f t="shared" si="54"/>
        <v>0.57999999999999996</v>
      </c>
      <c r="Y180" s="123">
        <f t="shared" si="54"/>
        <v>0.57999999999999996</v>
      </c>
      <c r="Z180" s="123">
        <f t="shared" si="54"/>
        <v>0.57999999999999996</v>
      </c>
      <c r="AA180" s="123">
        <f t="shared" si="54"/>
        <v>0.57999999999999996</v>
      </c>
      <c r="AB180" s="123">
        <f t="shared" si="54"/>
        <v>0.57999999999999996</v>
      </c>
      <c r="AC180" s="123">
        <f t="shared" si="54"/>
        <v>0.57999999999999996</v>
      </c>
      <c r="AD180" s="123">
        <f t="shared" si="54"/>
        <v>0.57999999999999996</v>
      </c>
      <c r="AE180" s="123">
        <f t="shared" si="54"/>
        <v>0.57999999999999996</v>
      </c>
      <c r="AF180" s="123">
        <f t="shared" si="54"/>
        <v>0.57999999999999996</v>
      </c>
      <c r="AG180" s="126">
        <v>1.8</v>
      </c>
      <c r="AH180" s="54"/>
      <c r="AI180" s="55"/>
      <c r="AK180" s="56"/>
    </row>
    <row r="181" spans="1:37" x14ac:dyDescent="0.25">
      <c r="A181" s="111" t="s">
        <v>186</v>
      </c>
      <c r="B181" s="123">
        <f t="shared" si="52"/>
        <v>0.8</v>
      </c>
      <c r="C181" s="124">
        <v>0.8</v>
      </c>
      <c r="D181" s="123">
        <f t="shared" si="53"/>
        <v>0.8</v>
      </c>
      <c r="E181" s="123">
        <f t="shared" si="53"/>
        <v>0.8</v>
      </c>
      <c r="F181" s="123">
        <f t="shared" si="53"/>
        <v>0.8</v>
      </c>
      <c r="G181" s="123">
        <f t="shared" si="53"/>
        <v>0.8</v>
      </c>
      <c r="H181" s="123">
        <f t="shared" si="53"/>
        <v>0.8</v>
      </c>
      <c r="I181" s="123">
        <f t="shared" si="53"/>
        <v>0.8</v>
      </c>
      <c r="J181" s="123">
        <f t="shared" si="53"/>
        <v>0.8</v>
      </c>
      <c r="K181" s="123">
        <f t="shared" si="53"/>
        <v>0.8</v>
      </c>
      <c r="L181" s="123">
        <f t="shared" si="53"/>
        <v>0.8</v>
      </c>
      <c r="M181" s="123">
        <f t="shared" si="53"/>
        <v>0.8</v>
      </c>
      <c r="N181" s="123">
        <f t="shared" si="53"/>
        <v>0.8</v>
      </c>
      <c r="O181" s="123">
        <f t="shared" si="53"/>
        <v>0.8</v>
      </c>
      <c r="P181" s="123">
        <f t="shared" si="53"/>
        <v>0.8</v>
      </c>
      <c r="Q181" s="123">
        <f t="shared" si="53"/>
        <v>0.8</v>
      </c>
      <c r="R181" s="123">
        <f t="shared" si="53"/>
        <v>0.8</v>
      </c>
      <c r="S181" s="123">
        <f t="shared" si="53"/>
        <v>0.8</v>
      </c>
      <c r="T181" s="123">
        <f t="shared" si="54"/>
        <v>0.8</v>
      </c>
      <c r="U181" s="123">
        <f t="shared" si="54"/>
        <v>0.8</v>
      </c>
      <c r="V181" s="123">
        <f t="shared" si="54"/>
        <v>0.8</v>
      </c>
      <c r="W181" s="123">
        <f t="shared" si="54"/>
        <v>0.8</v>
      </c>
      <c r="X181" s="123">
        <f t="shared" si="54"/>
        <v>0.8</v>
      </c>
      <c r="Y181" s="123">
        <f t="shared" si="54"/>
        <v>0.8</v>
      </c>
      <c r="Z181" s="123">
        <f t="shared" si="54"/>
        <v>0.8</v>
      </c>
      <c r="AA181" s="123">
        <f t="shared" si="54"/>
        <v>0.8</v>
      </c>
      <c r="AB181" s="123">
        <f t="shared" si="54"/>
        <v>0.8</v>
      </c>
      <c r="AC181" s="123">
        <f t="shared" si="54"/>
        <v>0.8</v>
      </c>
      <c r="AD181" s="123">
        <f t="shared" si="54"/>
        <v>0.8</v>
      </c>
      <c r="AE181" s="123">
        <f t="shared" si="54"/>
        <v>0.8</v>
      </c>
      <c r="AF181" s="123">
        <f t="shared" si="54"/>
        <v>0.8</v>
      </c>
      <c r="AG181" s="126">
        <v>1.65</v>
      </c>
      <c r="AH181" s="54"/>
      <c r="AI181" s="55"/>
      <c r="AK181" s="56"/>
    </row>
    <row r="182" spans="1:37" x14ac:dyDescent="0.25">
      <c r="A182" s="111" t="s">
        <v>187</v>
      </c>
      <c r="B182" s="123">
        <f t="shared" si="52"/>
        <v>0</v>
      </c>
      <c r="C182" s="124">
        <v>0</v>
      </c>
      <c r="D182" s="123">
        <f t="shared" si="53"/>
        <v>0</v>
      </c>
      <c r="E182" s="123">
        <f t="shared" si="53"/>
        <v>0</v>
      </c>
      <c r="F182" s="123">
        <f t="shared" si="53"/>
        <v>0</v>
      </c>
      <c r="G182" s="123">
        <f t="shared" si="53"/>
        <v>0</v>
      </c>
      <c r="H182" s="123">
        <f t="shared" si="53"/>
        <v>0</v>
      </c>
      <c r="I182" s="123">
        <f t="shared" si="53"/>
        <v>0</v>
      </c>
      <c r="J182" s="123">
        <f t="shared" si="53"/>
        <v>0</v>
      </c>
      <c r="K182" s="123">
        <f t="shared" si="53"/>
        <v>0</v>
      </c>
      <c r="L182" s="123">
        <f t="shared" si="53"/>
        <v>0</v>
      </c>
      <c r="M182" s="123">
        <f t="shared" si="53"/>
        <v>0</v>
      </c>
      <c r="N182" s="123">
        <f t="shared" si="53"/>
        <v>0</v>
      </c>
      <c r="O182" s="123">
        <f t="shared" si="53"/>
        <v>0</v>
      </c>
      <c r="P182" s="123">
        <f t="shared" si="53"/>
        <v>0</v>
      </c>
      <c r="Q182" s="123">
        <f t="shared" si="53"/>
        <v>0</v>
      </c>
      <c r="R182" s="123">
        <f t="shared" si="53"/>
        <v>0</v>
      </c>
      <c r="S182" s="123">
        <f t="shared" si="53"/>
        <v>0</v>
      </c>
      <c r="T182" s="123">
        <f t="shared" si="54"/>
        <v>0</v>
      </c>
      <c r="U182" s="123">
        <f t="shared" si="54"/>
        <v>0</v>
      </c>
      <c r="V182" s="123">
        <f t="shared" si="54"/>
        <v>0</v>
      </c>
      <c r="W182" s="123">
        <f t="shared" si="54"/>
        <v>0</v>
      </c>
      <c r="X182" s="123">
        <f t="shared" si="54"/>
        <v>0</v>
      </c>
      <c r="Y182" s="123">
        <f t="shared" si="54"/>
        <v>0</v>
      </c>
      <c r="Z182" s="123">
        <f t="shared" si="54"/>
        <v>0</v>
      </c>
      <c r="AA182" s="123">
        <f t="shared" si="54"/>
        <v>0</v>
      </c>
      <c r="AB182" s="123">
        <f t="shared" si="54"/>
        <v>0</v>
      </c>
      <c r="AC182" s="123">
        <f t="shared" si="54"/>
        <v>0</v>
      </c>
      <c r="AD182" s="123">
        <f t="shared" si="54"/>
        <v>0</v>
      </c>
      <c r="AE182" s="123">
        <f t="shared" si="54"/>
        <v>0</v>
      </c>
      <c r="AF182" s="123">
        <f t="shared" si="54"/>
        <v>0</v>
      </c>
      <c r="AG182" s="126">
        <v>1.5</v>
      </c>
      <c r="AH182" s="54"/>
      <c r="AI182" s="55"/>
      <c r="AK182" s="56"/>
    </row>
    <row r="183" spans="1:37" x14ac:dyDescent="0.25">
      <c r="A183" s="111" t="s">
        <v>188</v>
      </c>
      <c r="B183" s="123">
        <f t="shared" si="52"/>
        <v>0.6</v>
      </c>
      <c r="C183" s="124">
        <v>0.6</v>
      </c>
      <c r="D183" s="123">
        <f t="shared" si="53"/>
        <v>0.6</v>
      </c>
      <c r="E183" s="123">
        <f t="shared" si="53"/>
        <v>0.6</v>
      </c>
      <c r="F183" s="123">
        <f t="shared" si="53"/>
        <v>0.6</v>
      </c>
      <c r="G183" s="123">
        <f t="shared" si="53"/>
        <v>0.6</v>
      </c>
      <c r="H183" s="123">
        <f t="shared" si="53"/>
        <v>0.6</v>
      </c>
      <c r="I183" s="123">
        <f t="shared" si="53"/>
        <v>0.6</v>
      </c>
      <c r="J183" s="123">
        <f t="shared" si="53"/>
        <v>0.6</v>
      </c>
      <c r="K183" s="123">
        <f t="shared" si="53"/>
        <v>0.6</v>
      </c>
      <c r="L183" s="123">
        <f t="shared" si="53"/>
        <v>0.6</v>
      </c>
      <c r="M183" s="123">
        <f t="shared" si="53"/>
        <v>0.6</v>
      </c>
      <c r="N183" s="123">
        <f t="shared" si="53"/>
        <v>0.6</v>
      </c>
      <c r="O183" s="123">
        <f t="shared" si="53"/>
        <v>0.6</v>
      </c>
      <c r="P183" s="123">
        <f t="shared" si="53"/>
        <v>0.6</v>
      </c>
      <c r="Q183" s="123">
        <f t="shared" si="53"/>
        <v>0.6</v>
      </c>
      <c r="R183" s="123">
        <f t="shared" si="53"/>
        <v>0.6</v>
      </c>
      <c r="S183" s="123">
        <f t="shared" si="53"/>
        <v>0.6</v>
      </c>
      <c r="T183" s="123">
        <f t="shared" si="54"/>
        <v>0.6</v>
      </c>
      <c r="U183" s="123">
        <f t="shared" si="54"/>
        <v>0.6</v>
      </c>
      <c r="V183" s="123">
        <f t="shared" si="54"/>
        <v>0.6</v>
      </c>
      <c r="W183" s="123">
        <f t="shared" si="54"/>
        <v>0.6</v>
      </c>
      <c r="X183" s="123">
        <f t="shared" si="54"/>
        <v>0.6</v>
      </c>
      <c r="Y183" s="123">
        <f t="shared" si="54"/>
        <v>0.6</v>
      </c>
      <c r="Z183" s="123">
        <f t="shared" si="54"/>
        <v>0.6</v>
      </c>
      <c r="AA183" s="123">
        <f t="shared" si="54"/>
        <v>0.6</v>
      </c>
      <c r="AB183" s="123">
        <f t="shared" si="54"/>
        <v>0.6</v>
      </c>
      <c r="AC183" s="123">
        <f t="shared" si="54"/>
        <v>0.6</v>
      </c>
      <c r="AD183" s="123">
        <f t="shared" si="54"/>
        <v>0.6</v>
      </c>
      <c r="AE183" s="123">
        <f t="shared" si="54"/>
        <v>0.6</v>
      </c>
      <c r="AF183" s="123">
        <f t="shared" si="54"/>
        <v>0.6</v>
      </c>
      <c r="AG183" s="126">
        <v>0.998</v>
      </c>
      <c r="AH183" s="54"/>
      <c r="AI183" s="55"/>
      <c r="AK183" s="56"/>
    </row>
    <row r="184" spans="1:37" x14ac:dyDescent="0.25">
      <c r="A184" s="111" t="s">
        <v>189</v>
      </c>
      <c r="B184" s="123">
        <f t="shared" si="52"/>
        <v>0.6</v>
      </c>
      <c r="C184" s="124">
        <v>0.6</v>
      </c>
      <c r="D184" s="123">
        <f t="shared" si="53"/>
        <v>0.6</v>
      </c>
      <c r="E184" s="123">
        <f t="shared" si="53"/>
        <v>0.6</v>
      </c>
      <c r="F184" s="123">
        <f t="shared" si="53"/>
        <v>0.6</v>
      </c>
      <c r="G184" s="123">
        <f t="shared" si="53"/>
        <v>0.6</v>
      </c>
      <c r="H184" s="123">
        <f t="shared" si="53"/>
        <v>0.6</v>
      </c>
      <c r="I184" s="123">
        <f t="shared" si="53"/>
        <v>0.6</v>
      </c>
      <c r="J184" s="123">
        <f t="shared" si="53"/>
        <v>0.6</v>
      </c>
      <c r="K184" s="123">
        <f t="shared" si="53"/>
        <v>0.6</v>
      </c>
      <c r="L184" s="123">
        <f t="shared" si="53"/>
        <v>0.6</v>
      </c>
      <c r="M184" s="123">
        <f t="shared" si="53"/>
        <v>0.6</v>
      </c>
      <c r="N184" s="123">
        <f t="shared" si="53"/>
        <v>0.6</v>
      </c>
      <c r="O184" s="123">
        <f t="shared" si="53"/>
        <v>0.6</v>
      </c>
      <c r="P184" s="123">
        <f t="shared" si="53"/>
        <v>0.6</v>
      </c>
      <c r="Q184" s="123">
        <f t="shared" si="53"/>
        <v>0.6</v>
      </c>
      <c r="R184" s="123">
        <f t="shared" si="53"/>
        <v>0.6</v>
      </c>
      <c r="S184" s="123">
        <f t="shared" si="53"/>
        <v>0.6</v>
      </c>
      <c r="T184" s="123">
        <f t="shared" si="54"/>
        <v>0.6</v>
      </c>
      <c r="U184" s="123">
        <f t="shared" si="54"/>
        <v>0.6</v>
      </c>
      <c r="V184" s="123">
        <f t="shared" si="54"/>
        <v>0.6</v>
      </c>
      <c r="W184" s="123">
        <f t="shared" si="54"/>
        <v>0.6</v>
      </c>
      <c r="X184" s="123">
        <f t="shared" si="54"/>
        <v>0.6</v>
      </c>
      <c r="Y184" s="123">
        <f t="shared" si="54"/>
        <v>0.6</v>
      </c>
      <c r="Z184" s="123">
        <f t="shared" si="54"/>
        <v>0.6</v>
      </c>
      <c r="AA184" s="123">
        <f t="shared" si="54"/>
        <v>0.6</v>
      </c>
      <c r="AB184" s="123">
        <f t="shared" si="54"/>
        <v>0.6</v>
      </c>
      <c r="AC184" s="123">
        <f t="shared" si="54"/>
        <v>0.6</v>
      </c>
      <c r="AD184" s="123">
        <f t="shared" si="54"/>
        <v>0.6</v>
      </c>
      <c r="AE184" s="123">
        <f t="shared" si="54"/>
        <v>0.6</v>
      </c>
      <c r="AF184" s="123">
        <f t="shared" si="54"/>
        <v>0.6</v>
      </c>
      <c r="AG184" s="126">
        <v>0.997</v>
      </c>
      <c r="AH184" s="54"/>
      <c r="AI184" s="55"/>
      <c r="AK184" s="56"/>
    </row>
    <row r="185" spans="1:37" x14ac:dyDescent="0.25">
      <c r="A185" s="111" t="s">
        <v>190</v>
      </c>
      <c r="B185" s="123">
        <f t="shared" si="52"/>
        <v>0.35</v>
      </c>
      <c r="C185" s="124">
        <v>0.35</v>
      </c>
      <c r="D185" s="123">
        <f t="shared" si="53"/>
        <v>0.35</v>
      </c>
      <c r="E185" s="123">
        <f t="shared" si="53"/>
        <v>0.35</v>
      </c>
      <c r="F185" s="123">
        <f t="shared" si="53"/>
        <v>0.35</v>
      </c>
      <c r="G185" s="123">
        <f t="shared" si="53"/>
        <v>0.35</v>
      </c>
      <c r="H185" s="123">
        <f t="shared" si="53"/>
        <v>0.35</v>
      </c>
      <c r="I185" s="123">
        <f t="shared" si="53"/>
        <v>0.35</v>
      </c>
      <c r="J185" s="123">
        <f t="shared" si="53"/>
        <v>0.35</v>
      </c>
      <c r="K185" s="123">
        <f t="shared" si="53"/>
        <v>0.35</v>
      </c>
      <c r="L185" s="123">
        <f t="shared" si="53"/>
        <v>0.35</v>
      </c>
      <c r="M185" s="123">
        <f t="shared" si="53"/>
        <v>0.35</v>
      </c>
      <c r="N185" s="123">
        <f t="shared" si="53"/>
        <v>0.35</v>
      </c>
      <c r="O185" s="123">
        <f t="shared" si="53"/>
        <v>0.35</v>
      </c>
      <c r="P185" s="123">
        <f t="shared" si="53"/>
        <v>0.35</v>
      </c>
      <c r="Q185" s="123">
        <f t="shared" si="53"/>
        <v>0.35</v>
      </c>
      <c r="R185" s="123">
        <f t="shared" si="53"/>
        <v>0.35</v>
      </c>
      <c r="S185" s="123">
        <f t="shared" si="53"/>
        <v>0.35</v>
      </c>
      <c r="T185" s="123">
        <f t="shared" si="54"/>
        <v>0.35</v>
      </c>
      <c r="U185" s="123">
        <f t="shared" si="54"/>
        <v>0.35</v>
      </c>
      <c r="V185" s="123">
        <f t="shared" si="54"/>
        <v>0.35</v>
      </c>
      <c r="W185" s="123">
        <f t="shared" si="54"/>
        <v>0.35</v>
      </c>
      <c r="X185" s="123">
        <f t="shared" si="54"/>
        <v>0.35</v>
      </c>
      <c r="Y185" s="123">
        <f t="shared" si="54"/>
        <v>0.35</v>
      </c>
      <c r="Z185" s="123">
        <f t="shared" si="54"/>
        <v>0.35</v>
      </c>
      <c r="AA185" s="123">
        <f t="shared" si="54"/>
        <v>0.35</v>
      </c>
      <c r="AB185" s="123">
        <f t="shared" si="54"/>
        <v>0.35</v>
      </c>
      <c r="AC185" s="123">
        <f t="shared" si="54"/>
        <v>0.35</v>
      </c>
      <c r="AD185" s="123">
        <f t="shared" si="54"/>
        <v>0.35</v>
      </c>
      <c r="AE185" s="123">
        <f t="shared" si="54"/>
        <v>0.35</v>
      </c>
      <c r="AF185" s="123">
        <f t="shared" si="54"/>
        <v>0.35</v>
      </c>
      <c r="AG185" s="126">
        <v>0.997</v>
      </c>
      <c r="AH185" s="54"/>
      <c r="AI185" s="55"/>
      <c r="AK185" s="56"/>
    </row>
    <row r="186" spans="1:37" x14ac:dyDescent="0.25">
      <c r="A186" s="111" t="s">
        <v>191</v>
      </c>
      <c r="B186" s="123">
        <f t="shared" si="52"/>
        <v>0.28999999999999998</v>
      </c>
      <c r="C186" s="124">
        <v>0.28999999999999998</v>
      </c>
      <c r="D186" s="123">
        <f t="shared" si="53"/>
        <v>0.28999999999999998</v>
      </c>
      <c r="E186" s="123">
        <f t="shared" si="53"/>
        <v>0.28999999999999998</v>
      </c>
      <c r="F186" s="123">
        <f t="shared" si="53"/>
        <v>0.28999999999999998</v>
      </c>
      <c r="G186" s="123">
        <f t="shared" si="53"/>
        <v>0.28999999999999998</v>
      </c>
      <c r="H186" s="123">
        <f t="shared" si="53"/>
        <v>0.28999999999999998</v>
      </c>
      <c r="I186" s="123">
        <f t="shared" si="53"/>
        <v>0.28999999999999998</v>
      </c>
      <c r="J186" s="123">
        <f t="shared" si="53"/>
        <v>0.28999999999999998</v>
      </c>
      <c r="K186" s="123">
        <f t="shared" si="53"/>
        <v>0.28999999999999998</v>
      </c>
      <c r="L186" s="123">
        <f t="shared" si="53"/>
        <v>0.28999999999999998</v>
      </c>
      <c r="M186" s="123">
        <f t="shared" si="53"/>
        <v>0.28999999999999998</v>
      </c>
      <c r="N186" s="123">
        <f t="shared" si="53"/>
        <v>0.28999999999999998</v>
      </c>
      <c r="O186" s="123">
        <f t="shared" si="53"/>
        <v>0.28999999999999998</v>
      </c>
      <c r="P186" s="123">
        <f t="shared" si="53"/>
        <v>0.28999999999999998</v>
      </c>
      <c r="Q186" s="123">
        <f t="shared" si="53"/>
        <v>0.28999999999999998</v>
      </c>
      <c r="R186" s="123">
        <f t="shared" si="53"/>
        <v>0.28999999999999998</v>
      </c>
      <c r="S186" s="123">
        <f t="shared" si="53"/>
        <v>0.28999999999999998</v>
      </c>
      <c r="T186" s="123">
        <f t="shared" si="54"/>
        <v>0.28999999999999998</v>
      </c>
      <c r="U186" s="123">
        <f t="shared" si="54"/>
        <v>0.28999999999999998</v>
      </c>
      <c r="V186" s="123">
        <f t="shared" si="54"/>
        <v>0.28999999999999998</v>
      </c>
      <c r="W186" s="123">
        <f t="shared" si="54"/>
        <v>0.28999999999999998</v>
      </c>
      <c r="X186" s="123">
        <f t="shared" si="54"/>
        <v>0.28999999999999998</v>
      </c>
      <c r="Y186" s="123">
        <f t="shared" si="54"/>
        <v>0.28999999999999998</v>
      </c>
      <c r="Z186" s="123">
        <f t="shared" si="54"/>
        <v>0.28999999999999998</v>
      </c>
      <c r="AA186" s="123">
        <f t="shared" si="54"/>
        <v>0.28999999999999998</v>
      </c>
      <c r="AB186" s="123">
        <f t="shared" si="54"/>
        <v>0.28999999999999998</v>
      </c>
      <c r="AC186" s="123">
        <f t="shared" si="54"/>
        <v>0.28999999999999998</v>
      </c>
      <c r="AD186" s="123">
        <f t="shared" si="54"/>
        <v>0.28999999999999998</v>
      </c>
      <c r="AE186" s="123">
        <f t="shared" si="54"/>
        <v>0.28999999999999998</v>
      </c>
      <c r="AF186" s="123">
        <f t="shared" si="54"/>
        <v>0.28999999999999998</v>
      </c>
      <c r="AG186" s="126">
        <v>0.996</v>
      </c>
      <c r="AH186" s="54"/>
      <c r="AI186" s="55"/>
      <c r="AK186" s="56"/>
    </row>
    <row r="187" spans="1:37" x14ac:dyDescent="0.25">
      <c r="A187" s="111" t="s">
        <v>192</v>
      </c>
      <c r="B187" s="123">
        <f t="shared" si="52"/>
        <v>0.06</v>
      </c>
      <c r="C187" s="124">
        <v>0.06</v>
      </c>
      <c r="D187" s="123">
        <f t="shared" si="53"/>
        <v>0.06</v>
      </c>
      <c r="E187" s="123">
        <f t="shared" si="53"/>
        <v>0.06</v>
      </c>
      <c r="F187" s="123">
        <f t="shared" si="53"/>
        <v>0.06</v>
      </c>
      <c r="G187" s="123">
        <f t="shared" si="53"/>
        <v>0.06</v>
      </c>
      <c r="H187" s="123">
        <f t="shared" si="53"/>
        <v>0.06</v>
      </c>
      <c r="I187" s="123">
        <f t="shared" si="53"/>
        <v>0.06</v>
      </c>
      <c r="J187" s="123">
        <f t="shared" si="53"/>
        <v>0.06</v>
      </c>
      <c r="K187" s="123">
        <f t="shared" si="53"/>
        <v>0.06</v>
      </c>
      <c r="L187" s="123">
        <f t="shared" si="53"/>
        <v>0.06</v>
      </c>
      <c r="M187" s="123">
        <f t="shared" si="53"/>
        <v>0.06</v>
      </c>
      <c r="N187" s="123">
        <f t="shared" si="53"/>
        <v>0.06</v>
      </c>
      <c r="O187" s="123">
        <f t="shared" si="53"/>
        <v>0.06</v>
      </c>
      <c r="P187" s="123">
        <f t="shared" si="53"/>
        <v>0.06</v>
      </c>
      <c r="Q187" s="123">
        <f t="shared" si="53"/>
        <v>0.06</v>
      </c>
      <c r="R187" s="123">
        <f t="shared" si="53"/>
        <v>0.06</v>
      </c>
      <c r="S187" s="123">
        <f t="shared" si="53"/>
        <v>0.06</v>
      </c>
      <c r="T187" s="123">
        <f t="shared" si="54"/>
        <v>0.06</v>
      </c>
      <c r="U187" s="123">
        <f t="shared" si="54"/>
        <v>0.06</v>
      </c>
      <c r="V187" s="123">
        <f t="shared" si="54"/>
        <v>0.06</v>
      </c>
      <c r="W187" s="123">
        <f t="shared" si="54"/>
        <v>0.06</v>
      </c>
      <c r="X187" s="123">
        <f t="shared" si="54"/>
        <v>0.06</v>
      </c>
      <c r="Y187" s="123">
        <f t="shared" si="54"/>
        <v>0.06</v>
      </c>
      <c r="Z187" s="123">
        <f t="shared" si="54"/>
        <v>0.06</v>
      </c>
      <c r="AA187" s="123">
        <f t="shared" si="54"/>
        <v>0.06</v>
      </c>
      <c r="AB187" s="123">
        <f t="shared" si="54"/>
        <v>0.06</v>
      </c>
      <c r="AC187" s="123">
        <f t="shared" si="54"/>
        <v>0.06</v>
      </c>
      <c r="AD187" s="123">
        <f t="shared" si="54"/>
        <v>0.06</v>
      </c>
      <c r="AE187" s="123">
        <f t="shared" si="54"/>
        <v>0.06</v>
      </c>
      <c r="AF187" s="123">
        <f t="shared" si="54"/>
        <v>0.06</v>
      </c>
      <c r="AG187" s="126">
        <v>0.996</v>
      </c>
      <c r="AH187" s="54"/>
      <c r="AI187" s="55"/>
      <c r="AK187" s="56"/>
    </row>
    <row r="188" spans="1:37" x14ac:dyDescent="0.25">
      <c r="A188" s="111" t="s">
        <v>193</v>
      </c>
      <c r="B188" s="123">
        <f t="shared" si="52"/>
        <v>0.11</v>
      </c>
      <c r="C188" s="124">
        <v>0.11</v>
      </c>
      <c r="D188" s="123">
        <f t="shared" si="53"/>
        <v>0.11</v>
      </c>
      <c r="E188" s="123">
        <f t="shared" si="53"/>
        <v>0.11</v>
      </c>
      <c r="F188" s="123">
        <f t="shared" si="53"/>
        <v>0.11</v>
      </c>
      <c r="G188" s="123">
        <f t="shared" si="53"/>
        <v>0.11</v>
      </c>
      <c r="H188" s="123">
        <f t="shared" si="53"/>
        <v>0.11</v>
      </c>
      <c r="I188" s="123">
        <f t="shared" si="53"/>
        <v>0.11</v>
      </c>
      <c r="J188" s="123">
        <f t="shared" si="53"/>
        <v>0.11</v>
      </c>
      <c r="K188" s="123">
        <f t="shared" si="53"/>
        <v>0.11</v>
      </c>
      <c r="L188" s="123">
        <f t="shared" si="53"/>
        <v>0.11</v>
      </c>
      <c r="M188" s="123">
        <f t="shared" si="53"/>
        <v>0.11</v>
      </c>
      <c r="N188" s="123">
        <f t="shared" si="53"/>
        <v>0.11</v>
      </c>
      <c r="O188" s="123">
        <f t="shared" si="53"/>
        <v>0.11</v>
      </c>
      <c r="P188" s="123">
        <f t="shared" si="53"/>
        <v>0.11</v>
      </c>
      <c r="Q188" s="123">
        <f t="shared" si="53"/>
        <v>0.11</v>
      </c>
      <c r="R188" s="123">
        <f t="shared" si="53"/>
        <v>0.11</v>
      </c>
      <c r="S188" s="123">
        <f t="shared" si="53"/>
        <v>0.11</v>
      </c>
      <c r="T188" s="123">
        <f t="shared" si="54"/>
        <v>0.11</v>
      </c>
      <c r="U188" s="123">
        <f t="shared" si="54"/>
        <v>0.11</v>
      </c>
      <c r="V188" s="123">
        <f t="shared" si="54"/>
        <v>0.11</v>
      </c>
      <c r="W188" s="123">
        <f t="shared" si="54"/>
        <v>0.11</v>
      </c>
      <c r="X188" s="123">
        <f t="shared" si="54"/>
        <v>0.11</v>
      </c>
      <c r="Y188" s="123">
        <f t="shared" si="54"/>
        <v>0.11</v>
      </c>
      <c r="Z188" s="123">
        <f t="shared" si="54"/>
        <v>0.11</v>
      </c>
      <c r="AA188" s="123">
        <f t="shared" si="54"/>
        <v>0.11</v>
      </c>
      <c r="AB188" s="123">
        <f t="shared" si="54"/>
        <v>0.11</v>
      </c>
      <c r="AC188" s="123">
        <f t="shared" si="54"/>
        <v>0.11</v>
      </c>
      <c r="AD188" s="123">
        <f t="shared" si="54"/>
        <v>0.11</v>
      </c>
      <c r="AE188" s="123">
        <f t="shared" si="54"/>
        <v>0.11</v>
      </c>
      <c r="AF188" s="123">
        <f t="shared" si="54"/>
        <v>0.11</v>
      </c>
      <c r="AG188" s="126">
        <v>0.996</v>
      </c>
      <c r="AH188" s="54"/>
      <c r="AI188" s="55"/>
      <c r="AK188" s="56"/>
    </row>
    <row r="189" spans="1:37" x14ac:dyDescent="0.25">
      <c r="A189" s="111" t="s">
        <v>194</v>
      </c>
      <c r="B189" s="123">
        <f t="shared" si="52"/>
        <v>0.1</v>
      </c>
      <c r="C189" s="124">
        <v>0.1</v>
      </c>
      <c r="D189" s="123">
        <f t="shared" si="53"/>
        <v>0.1</v>
      </c>
      <c r="E189" s="123">
        <f t="shared" si="53"/>
        <v>0.1</v>
      </c>
      <c r="F189" s="123">
        <f t="shared" si="53"/>
        <v>0.1</v>
      </c>
      <c r="G189" s="123">
        <f t="shared" si="53"/>
        <v>0.1</v>
      </c>
      <c r="H189" s="123">
        <f t="shared" si="53"/>
        <v>0.1</v>
      </c>
      <c r="I189" s="123">
        <f t="shared" si="53"/>
        <v>0.1</v>
      </c>
      <c r="J189" s="123">
        <f t="shared" si="53"/>
        <v>0.1</v>
      </c>
      <c r="K189" s="123">
        <f t="shared" si="53"/>
        <v>0.1</v>
      </c>
      <c r="L189" s="123">
        <f t="shared" si="53"/>
        <v>0.1</v>
      </c>
      <c r="M189" s="123">
        <f t="shared" si="53"/>
        <v>0.1</v>
      </c>
      <c r="N189" s="123">
        <f t="shared" si="53"/>
        <v>0.1</v>
      </c>
      <c r="O189" s="123">
        <f t="shared" si="53"/>
        <v>0.1</v>
      </c>
      <c r="P189" s="123">
        <f t="shared" si="53"/>
        <v>0.1</v>
      </c>
      <c r="Q189" s="123">
        <f t="shared" si="53"/>
        <v>0.1</v>
      </c>
      <c r="R189" s="123">
        <f t="shared" si="53"/>
        <v>0.1</v>
      </c>
      <c r="S189" s="123">
        <f t="shared" si="54"/>
        <v>0.1</v>
      </c>
      <c r="T189" s="123">
        <f t="shared" si="54"/>
        <v>0.1</v>
      </c>
      <c r="U189" s="123">
        <f t="shared" si="54"/>
        <v>0.1</v>
      </c>
      <c r="V189" s="123">
        <f t="shared" si="54"/>
        <v>0.1</v>
      </c>
      <c r="W189" s="123">
        <f t="shared" si="54"/>
        <v>0.1</v>
      </c>
      <c r="X189" s="123">
        <f t="shared" si="54"/>
        <v>0.1</v>
      </c>
      <c r="Y189" s="123">
        <f t="shared" si="54"/>
        <v>0.1</v>
      </c>
      <c r="Z189" s="123">
        <f t="shared" si="54"/>
        <v>0.1</v>
      </c>
      <c r="AA189" s="123">
        <f t="shared" si="54"/>
        <v>0.1</v>
      </c>
      <c r="AB189" s="123">
        <f t="shared" si="54"/>
        <v>0.1</v>
      </c>
      <c r="AC189" s="123">
        <f t="shared" si="54"/>
        <v>0.1</v>
      </c>
      <c r="AD189" s="123">
        <f t="shared" si="54"/>
        <v>0.1</v>
      </c>
      <c r="AE189" s="123">
        <f t="shared" si="54"/>
        <v>0.1</v>
      </c>
      <c r="AF189" s="123">
        <f t="shared" si="54"/>
        <v>0.1</v>
      </c>
      <c r="AG189" s="126">
        <v>0.995</v>
      </c>
      <c r="AH189" s="54"/>
      <c r="AI189" s="55"/>
      <c r="AK189" s="56"/>
    </row>
    <row r="190" spans="1:37" x14ac:dyDescent="0.25">
      <c r="A190" s="111" t="s">
        <v>195</v>
      </c>
      <c r="B190" s="123">
        <f t="shared" si="52"/>
        <v>0.09</v>
      </c>
      <c r="C190" s="124">
        <v>0.09</v>
      </c>
      <c r="D190" s="123">
        <f t="shared" si="53"/>
        <v>0.09</v>
      </c>
      <c r="E190" s="123">
        <f t="shared" si="53"/>
        <v>0.09</v>
      </c>
      <c r="F190" s="123">
        <f t="shared" si="53"/>
        <v>0.09</v>
      </c>
      <c r="G190" s="123">
        <f t="shared" si="53"/>
        <v>0.09</v>
      </c>
      <c r="H190" s="123">
        <f t="shared" si="53"/>
        <v>0.09</v>
      </c>
      <c r="I190" s="123">
        <f t="shared" si="53"/>
        <v>0.09</v>
      </c>
      <c r="J190" s="123">
        <f t="shared" si="53"/>
        <v>0.09</v>
      </c>
      <c r="K190" s="123">
        <f t="shared" si="53"/>
        <v>0.09</v>
      </c>
      <c r="L190" s="123">
        <f t="shared" si="53"/>
        <v>0.09</v>
      </c>
      <c r="M190" s="123">
        <f t="shared" si="53"/>
        <v>0.09</v>
      </c>
      <c r="N190" s="123">
        <f t="shared" si="53"/>
        <v>0.09</v>
      </c>
      <c r="O190" s="123">
        <f t="shared" si="53"/>
        <v>0.09</v>
      </c>
      <c r="P190" s="123">
        <f t="shared" si="53"/>
        <v>0.09</v>
      </c>
      <c r="Q190" s="123">
        <f t="shared" si="53"/>
        <v>0.09</v>
      </c>
      <c r="R190" s="123">
        <f t="shared" si="53"/>
        <v>0.09</v>
      </c>
      <c r="S190" s="123">
        <f t="shared" si="54"/>
        <v>0.09</v>
      </c>
      <c r="T190" s="123">
        <f t="shared" si="54"/>
        <v>0.09</v>
      </c>
      <c r="U190" s="123">
        <f t="shared" si="54"/>
        <v>0.09</v>
      </c>
      <c r="V190" s="123">
        <f t="shared" si="54"/>
        <v>0.09</v>
      </c>
      <c r="W190" s="123">
        <f t="shared" si="54"/>
        <v>0.09</v>
      </c>
      <c r="X190" s="123">
        <f t="shared" si="54"/>
        <v>0.09</v>
      </c>
      <c r="Y190" s="123">
        <f t="shared" si="54"/>
        <v>0.09</v>
      </c>
      <c r="Z190" s="123">
        <f t="shared" si="54"/>
        <v>0.09</v>
      </c>
      <c r="AA190" s="123">
        <f t="shared" si="54"/>
        <v>0.09</v>
      </c>
      <c r="AB190" s="123">
        <f t="shared" si="54"/>
        <v>0.09</v>
      </c>
      <c r="AC190" s="123">
        <f t="shared" si="54"/>
        <v>0.09</v>
      </c>
      <c r="AD190" s="123">
        <f t="shared" si="54"/>
        <v>0.09</v>
      </c>
      <c r="AE190" s="123">
        <f t="shared" si="54"/>
        <v>0.09</v>
      </c>
      <c r="AF190" s="123">
        <f t="shared" si="54"/>
        <v>0.09</v>
      </c>
      <c r="AG190" s="126">
        <v>0.99299999999999999</v>
      </c>
      <c r="AH190" s="54"/>
      <c r="AI190" s="55"/>
      <c r="AK190" s="56"/>
    </row>
    <row r="191" spans="1:37" x14ac:dyDescent="0.25">
      <c r="A191" s="111" t="s">
        <v>196</v>
      </c>
      <c r="B191" s="123">
        <f t="shared" si="52"/>
        <v>0.04</v>
      </c>
      <c r="C191" s="53">
        <v>0.04</v>
      </c>
      <c r="D191" s="123">
        <f t="shared" si="53"/>
        <v>0.04</v>
      </c>
      <c r="E191" s="123">
        <f t="shared" si="53"/>
        <v>0.04</v>
      </c>
      <c r="F191" s="123">
        <f t="shared" si="53"/>
        <v>0.04</v>
      </c>
      <c r="G191" s="123">
        <f t="shared" si="53"/>
        <v>0.04</v>
      </c>
      <c r="H191" s="123">
        <f t="shared" si="53"/>
        <v>0.04</v>
      </c>
      <c r="I191" s="123">
        <f t="shared" si="53"/>
        <v>0.04</v>
      </c>
      <c r="J191" s="123">
        <f t="shared" si="53"/>
        <v>0.04</v>
      </c>
      <c r="K191" s="123">
        <f t="shared" si="53"/>
        <v>0.04</v>
      </c>
      <c r="L191" s="123">
        <f t="shared" si="53"/>
        <v>0.04</v>
      </c>
      <c r="M191" s="123">
        <f t="shared" si="53"/>
        <v>0.04</v>
      </c>
      <c r="N191" s="123">
        <f t="shared" si="53"/>
        <v>0.04</v>
      </c>
      <c r="O191" s="123">
        <f t="shared" si="53"/>
        <v>0.04</v>
      </c>
      <c r="P191" s="123">
        <f t="shared" si="53"/>
        <v>0.04</v>
      </c>
      <c r="Q191" s="123">
        <f t="shared" si="53"/>
        <v>0.04</v>
      </c>
      <c r="R191" s="123">
        <f t="shared" si="53"/>
        <v>0.04</v>
      </c>
      <c r="S191" s="123">
        <f t="shared" si="54"/>
        <v>0.04</v>
      </c>
      <c r="T191" s="123">
        <f t="shared" si="54"/>
        <v>0.04</v>
      </c>
      <c r="U191" s="123">
        <f t="shared" si="54"/>
        <v>0.04</v>
      </c>
      <c r="V191" s="123">
        <f t="shared" si="54"/>
        <v>0.04</v>
      </c>
      <c r="W191" s="123">
        <f t="shared" si="54"/>
        <v>0.04</v>
      </c>
      <c r="X191" s="123">
        <f t="shared" si="54"/>
        <v>0.04</v>
      </c>
      <c r="Y191" s="123">
        <f t="shared" si="54"/>
        <v>0.04</v>
      </c>
      <c r="Z191" s="123">
        <f t="shared" si="54"/>
        <v>0.04</v>
      </c>
      <c r="AA191" s="123">
        <f t="shared" si="54"/>
        <v>0.04</v>
      </c>
      <c r="AB191" s="123">
        <f t="shared" si="54"/>
        <v>0.04</v>
      </c>
      <c r="AC191" s="123">
        <f t="shared" si="54"/>
        <v>0.04</v>
      </c>
      <c r="AD191" s="123">
        <f t="shared" si="54"/>
        <v>0.04</v>
      </c>
      <c r="AE191" s="123">
        <f t="shared" si="54"/>
        <v>0.04</v>
      </c>
      <c r="AF191" s="123">
        <f t="shared" si="54"/>
        <v>0.04</v>
      </c>
      <c r="AG191" s="126">
        <v>0.99</v>
      </c>
      <c r="AH191" s="54"/>
      <c r="AI191" s="55"/>
      <c r="AK191" s="56"/>
    </row>
    <row r="192" spans="1:37" x14ac:dyDescent="0.25">
      <c r="A192" s="111" t="s">
        <v>197</v>
      </c>
      <c r="B192" s="123">
        <f t="shared" si="52"/>
        <v>2.3E-2</v>
      </c>
      <c r="C192" s="53">
        <v>2.3E-2</v>
      </c>
      <c r="D192" s="123">
        <f>C192</f>
        <v>2.3E-2</v>
      </c>
      <c r="E192" s="123">
        <f t="shared" si="53"/>
        <v>2.3E-2</v>
      </c>
      <c r="F192" s="123">
        <f t="shared" si="53"/>
        <v>2.3E-2</v>
      </c>
      <c r="G192" s="123">
        <f t="shared" si="53"/>
        <v>2.3E-2</v>
      </c>
      <c r="H192" s="123">
        <f t="shared" si="53"/>
        <v>2.3E-2</v>
      </c>
      <c r="I192" s="123">
        <f t="shared" si="53"/>
        <v>2.3E-2</v>
      </c>
      <c r="J192" s="123">
        <f t="shared" si="53"/>
        <v>2.3E-2</v>
      </c>
      <c r="K192" s="123">
        <f t="shared" si="53"/>
        <v>2.3E-2</v>
      </c>
      <c r="L192" s="123">
        <f t="shared" si="53"/>
        <v>2.3E-2</v>
      </c>
      <c r="M192" s="123">
        <f t="shared" si="53"/>
        <v>2.3E-2</v>
      </c>
      <c r="N192" s="123">
        <f t="shared" si="53"/>
        <v>2.3E-2</v>
      </c>
      <c r="O192" s="123">
        <f t="shared" si="53"/>
        <v>2.3E-2</v>
      </c>
      <c r="P192" s="123">
        <f t="shared" si="53"/>
        <v>2.3E-2</v>
      </c>
      <c r="Q192" s="123">
        <f t="shared" si="53"/>
        <v>2.3E-2</v>
      </c>
      <c r="R192" s="123">
        <f t="shared" si="53"/>
        <v>2.3E-2</v>
      </c>
      <c r="S192" s="123">
        <f t="shared" si="54"/>
        <v>2.3E-2</v>
      </c>
      <c r="T192" s="123">
        <f t="shared" si="54"/>
        <v>2.3E-2</v>
      </c>
      <c r="U192" s="123">
        <f t="shared" si="54"/>
        <v>2.3E-2</v>
      </c>
      <c r="V192" s="123">
        <f t="shared" si="54"/>
        <v>2.3E-2</v>
      </c>
      <c r="W192" s="123">
        <f t="shared" si="54"/>
        <v>2.3E-2</v>
      </c>
      <c r="X192" s="123">
        <f t="shared" si="54"/>
        <v>2.3E-2</v>
      </c>
      <c r="Y192" s="123">
        <f t="shared" si="54"/>
        <v>2.3E-2</v>
      </c>
      <c r="Z192" s="123">
        <f t="shared" si="54"/>
        <v>2.3E-2</v>
      </c>
      <c r="AA192" s="123">
        <f t="shared" si="54"/>
        <v>2.3E-2</v>
      </c>
      <c r="AB192" s="123">
        <f t="shared" si="54"/>
        <v>2.3E-2</v>
      </c>
      <c r="AC192" s="123">
        <f t="shared" si="54"/>
        <v>2.3E-2</v>
      </c>
      <c r="AD192" s="123">
        <f t="shared" si="54"/>
        <v>2.3E-2</v>
      </c>
      <c r="AE192" s="123">
        <f t="shared" si="54"/>
        <v>2.3E-2</v>
      </c>
      <c r="AF192" s="123">
        <f t="shared" si="54"/>
        <v>2.3E-2</v>
      </c>
      <c r="AG192" s="126">
        <v>0.97899999999999998</v>
      </c>
      <c r="AH192" s="54"/>
      <c r="AI192" s="55"/>
      <c r="AK192" s="56"/>
    </row>
    <row r="193" spans="1:37" ht="15.75" thickBot="1" x14ac:dyDescent="0.3">
      <c r="A193" s="127" t="s">
        <v>198</v>
      </c>
      <c r="B193" s="128">
        <f>SUM(B103:B192)</f>
        <v>157.62600000000003</v>
      </c>
      <c r="C193" s="128">
        <f t="shared" ref="C193:AG193" si="55">SUM(C103:C192)</f>
        <v>194.70600000000002</v>
      </c>
      <c r="D193" s="128">
        <f t="shared" si="55"/>
        <v>194.70600000000002</v>
      </c>
      <c r="E193" s="128">
        <f t="shared" si="55"/>
        <v>194.70600000000002</v>
      </c>
      <c r="F193" s="128">
        <f t="shared" si="55"/>
        <v>194.70600000000002</v>
      </c>
      <c r="G193" s="128">
        <f t="shared" si="55"/>
        <v>194.70600000000002</v>
      </c>
      <c r="H193" s="128">
        <f t="shared" si="55"/>
        <v>194.70600000000002</v>
      </c>
      <c r="I193" s="128">
        <f t="shared" si="55"/>
        <v>189.70600000000005</v>
      </c>
      <c r="J193" s="128">
        <f t="shared" si="55"/>
        <v>187.10600000000005</v>
      </c>
      <c r="K193" s="128">
        <f t="shared" si="55"/>
        <v>187.10600000000005</v>
      </c>
      <c r="L193" s="128">
        <f t="shared" si="55"/>
        <v>187.10600000000005</v>
      </c>
      <c r="M193" s="128">
        <f t="shared" si="55"/>
        <v>187.10600000000005</v>
      </c>
      <c r="N193" s="128">
        <f t="shared" si="55"/>
        <v>187.10600000000005</v>
      </c>
      <c r="O193" s="128">
        <f t="shared" si="55"/>
        <v>187.10600000000005</v>
      </c>
      <c r="P193" s="128">
        <f t="shared" si="55"/>
        <v>187.10600000000005</v>
      </c>
      <c r="Q193" s="128">
        <f t="shared" si="55"/>
        <v>187.10600000000005</v>
      </c>
      <c r="R193" s="128">
        <f t="shared" si="55"/>
        <v>187.10600000000005</v>
      </c>
      <c r="S193" s="128">
        <f t="shared" si="55"/>
        <v>187.10600000000005</v>
      </c>
      <c r="T193" s="128">
        <f t="shared" si="55"/>
        <v>187.10600000000005</v>
      </c>
      <c r="U193" s="128">
        <f t="shared" si="55"/>
        <v>187.10600000000005</v>
      </c>
      <c r="V193" s="128">
        <f t="shared" si="55"/>
        <v>187.10600000000005</v>
      </c>
      <c r="W193" s="128">
        <f t="shared" si="55"/>
        <v>187.10600000000005</v>
      </c>
      <c r="X193" s="128">
        <f t="shared" si="55"/>
        <v>187.10600000000005</v>
      </c>
      <c r="Y193" s="128">
        <f t="shared" si="55"/>
        <v>187.10600000000005</v>
      </c>
      <c r="Z193" s="128">
        <f t="shared" si="55"/>
        <v>187.10600000000005</v>
      </c>
      <c r="AA193" s="128">
        <f t="shared" si="55"/>
        <v>187.10600000000005</v>
      </c>
      <c r="AB193" s="128">
        <f t="shared" si="55"/>
        <v>187.10600000000005</v>
      </c>
      <c r="AC193" s="128">
        <f t="shared" si="55"/>
        <v>187.10600000000005</v>
      </c>
      <c r="AD193" s="128">
        <f t="shared" si="55"/>
        <v>187.10600000000005</v>
      </c>
      <c r="AE193" s="128">
        <f t="shared" si="55"/>
        <v>187.10600000000005</v>
      </c>
      <c r="AF193" s="128">
        <f t="shared" si="55"/>
        <v>187.10600000000005</v>
      </c>
      <c r="AG193" s="129">
        <f t="shared" si="55"/>
        <v>412.72299999999984</v>
      </c>
      <c r="AH193" s="54"/>
      <c r="AI193" s="55"/>
      <c r="AK193" s="56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4"/>
      <c r="AI194" s="55"/>
      <c r="AK194" s="56"/>
    </row>
    <row r="195" spans="1:37" x14ac:dyDescent="0.25">
      <c r="A195" s="105" t="s">
        <v>199</v>
      </c>
      <c r="B195" s="130">
        <f t="shared" ref="B195:B200" si="56">AF195</f>
        <v>0.3</v>
      </c>
      <c r="C195" s="130">
        <v>0.3</v>
      </c>
      <c r="D195" s="130">
        <f t="shared" ref="D195:S200" si="57">C195</f>
        <v>0.3</v>
      </c>
      <c r="E195" s="130">
        <f t="shared" si="57"/>
        <v>0.3</v>
      </c>
      <c r="F195" s="130">
        <f t="shared" si="57"/>
        <v>0.3</v>
      </c>
      <c r="G195" s="130">
        <f t="shared" si="57"/>
        <v>0.3</v>
      </c>
      <c r="H195" s="130">
        <f t="shared" si="57"/>
        <v>0.3</v>
      </c>
      <c r="I195" s="130">
        <f t="shared" si="57"/>
        <v>0.3</v>
      </c>
      <c r="J195" s="130">
        <f t="shared" si="57"/>
        <v>0.3</v>
      </c>
      <c r="K195" s="130">
        <f t="shared" si="57"/>
        <v>0.3</v>
      </c>
      <c r="L195" s="130">
        <f t="shared" si="57"/>
        <v>0.3</v>
      </c>
      <c r="M195" s="130">
        <f t="shared" si="57"/>
        <v>0.3</v>
      </c>
      <c r="N195" s="130">
        <f t="shared" si="57"/>
        <v>0.3</v>
      </c>
      <c r="O195" s="130">
        <f t="shared" si="57"/>
        <v>0.3</v>
      </c>
      <c r="P195" s="130">
        <f t="shared" si="57"/>
        <v>0.3</v>
      </c>
      <c r="Q195" s="130">
        <f t="shared" si="57"/>
        <v>0.3</v>
      </c>
      <c r="R195" s="130">
        <f t="shared" si="57"/>
        <v>0.3</v>
      </c>
      <c r="S195" s="130">
        <f t="shared" si="57"/>
        <v>0.3</v>
      </c>
      <c r="T195" s="130">
        <f t="shared" ref="T195:AF200" si="58">S195</f>
        <v>0.3</v>
      </c>
      <c r="U195" s="130">
        <f t="shared" si="58"/>
        <v>0.3</v>
      </c>
      <c r="V195" s="130">
        <f t="shared" si="58"/>
        <v>0.3</v>
      </c>
      <c r="W195" s="130">
        <f t="shared" si="58"/>
        <v>0.3</v>
      </c>
      <c r="X195" s="130">
        <f t="shared" si="58"/>
        <v>0.3</v>
      </c>
      <c r="Y195" s="130">
        <f t="shared" si="58"/>
        <v>0.3</v>
      </c>
      <c r="Z195" s="130">
        <f t="shared" si="58"/>
        <v>0.3</v>
      </c>
      <c r="AA195" s="130">
        <f t="shared" si="58"/>
        <v>0.3</v>
      </c>
      <c r="AB195" s="130">
        <f t="shared" si="58"/>
        <v>0.3</v>
      </c>
      <c r="AC195" s="130">
        <f t="shared" si="58"/>
        <v>0.3</v>
      </c>
      <c r="AD195" s="130">
        <f t="shared" si="58"/>
        <v>0.3</v>
      </c>
      <c r="AE195" s="130">
        <f t="shared" si="58"/>
        <v>0.3</v>
      </c>
      <c r="AF195" s="130">
        <f t="shared" si="58"/>
        <v>0.3</v>
      </c>
      <c r="AG195" s="131">
        <v>2.4</v>
      </c>
      <c r="AH195" s="54"/>
      <c r="AI195" s="55"/>
      <c r="AK195" s="56"/>
    </row>
    <row r="196" spans="1:37" x14ac:dyDescent="0.25">
      <c r="A196" s="109" t="s">
        <v>200</v>
      </c>
      <c r="B196" s="123">
        <f t="shared" si="56"/>
        <v>0.4</v>
      </c>
      <c r="C196" s="123">
        <v>0.4</v>
      </c>
      <c r="D196" s="123">
        <f t="shared" si="57"/>
        <v>0.4</v>
      </c>
      <c r="E196" s="123">
        <f t="shared" si="57"/>
        <v>0.4</v>
      </c>
      <c r="F196" s="123">
        <f t="shared" si="57"/>
        <v>0.4</v>
      </c>
      <c r="G196" s="123">
        <f t="shared" si="57"/>
        <v>0.4</v>
      </c>
      <c r="H196" s="123">
        <f t="shared" si="57"/>
        <v>0.4</v>
      </c>
      <c r="I196" s="123">
        <f t="shared" si="57"/>
        <v>0.4</v>
      </c>
      <c r="J196" s="123">
        <f t="shared" si="57"/>
        <v>0.4</v>
      </c>
      <c r="K196" s="123">
        <f t="shared" si="57"/>
        <v>0.4</v>
      </c>
      <c r="L196" s="123">
        <f t="shared" si="57"/>
        <v>0.4</v>
      </c>
      <c r="M196" s="123">
        <f t="shared" si="57"/>
        <v>0.4</v>
      </c>
      <c r="N196" s="123">
        <f t="shared" si="57"/>
        <v>0.4</v>
      </c>
      <c r="O196" s="123">
        <f t="shared" si="57"/>
        <v>0.4</v>
      </c>
      <c r="P196" s="123">
        <f t="shared" si="57"/>
        <v>0.4</v>
      </c>
      <c r="Q196" s="123">
        <f t="shared" si="57"/>
        <v>0.4</v>
      </c>
      <c r="R196" s="123">
        <f t="shared" si="57"/>
        <v>0.4</v>
      </c>
      <c r="S196" s="123">
        <f t="shared" si="57"/>
        <v>0.4</v>
      </c>
      <c r="T196" s="123">
        <f t="shared" si="58"/>
        <v>0.4</v>
      </c>
      <c r="U196" s="123">
        <f t="shared" si="58"/>
        <v>0.4</v>
      </c>
      <c r="V196" s="123">
        <f t="shared" si="58"/>
        <v>0.4</v>
      </c>
      <c r="W196" s="123">
        <f>V196</f>
        <v>0.4</v>
      </c>
      <c r="X196" s="123">
        <f>W196</f>
        <v>0.4</v>
      </c>
      <c r="Y196" s="123">
        <f t="shared" si="58"/>
        <v>0.4</v>
      </c>
      <c r="Z196" s="123">
        <f t="shared" si="58"/>
        <v>0.4</v>
      </c>
      <c r="AA196" s="123">
        <f t="shared" si="58"/>
        <v>0.4</v>
      </c>
      <c r="AB196" s="123">
        <f t="shared" si="58"/>
        <v>0.4</v>
      </c>
      <c r="AC196" s="123">
        <f t="shared" si="58"/>
        <v>0.4</v>
      </c>
      <c r="AD196" s="123">
        <f t="shared" si="58"/>
        <v>0.4</v>
      </c>
      <c r="AE196" s="123">
        <f t="shared" si="58"/>
        <v>0.4</v>
      </c>
      <c r="AF196" s="123">
        <f t="shared" si="58"/>
        <v>0.4</v>
      </c>
      <c r="AG196" s="132">
        <v>2</v>
      </c>
      <c r="AH196" s="54"/>
      <c r="AI196" s="55"/>
      <c r="AK196" s="56"/>
    </row>
    <row r="197" spans="1:37" x14ac:dyDescent="0.25">
      <c r="A197" s="109" t="s">
        <v>201</v>
      </c>
      <c r="B197" s="123">
        <f t="shared" si="56"/>
        <v>1.5</v>
      </c>
      <c r="C197" s="123">
        <v>1.5</v>
      </c>
      <c r="D197" s="123">
        <f t="shared" si="57"/>
        <v>1.5</v>
      </c>
      <c r="E197" s="123">
        <f t="shared" si="57"/>
        <v>1.5</v>
      </c>
      <c r="F197" s="123">
        <f t="shared" si="57"/>
        <v>1.5</v>
      </c>
      <c r="G197" s="123">
        <f t="shared" si="57"/>
        <v>1.5</v>
      </c>
      <c r="H197" s="123">
        <f t="shared" si="57"/>
        <v>1.5</v>
      </c>
      <c r="I197" s="123">
        <f t="shared" si="57"/>
        <v>1.5</v>
      </c>
      <c r="J197" s="123">
        <f t="shared" si="57"/>
        <v>1.5</v>
      </c>
      <c r="K197" s="123">
        <f t="shared" si="57"/>
        <v>1.5</v>
      </c>
      <c r="L197" s="123">
        <f t="shared" si="57"/>
        <v>1.5</v>
      </c>
      <c r="M197" s="123">
        <f t="shared" si="57"/>
        <v>1.5</v>
      </c>
      <c r="N197" s="123">
        <f t="shared" si="57"/>
        <v>1.5</v>
      </c>
      <c r="O197" s="123">
        <f t="shared" si="57"/>
        <v>1.5</v>
      </c>
      <c r="P197" s="123">
        <f t="shared" si="57"/>
        <v>1.5</v>
      </c>
      <c r="Q197" s="123">
        <f t="shared" si="57"/>
        <v>1.5</v>
      </c>
      <c r="R197" s="123">
        <f t="shared" si="57"/>
        <v>1.5</v>
      </c>
      <c r="S197" s="123">
        <f t="shared" si="57"/>
        <v>1.5</v>
      </c>
      <c r="T197" s="123">
        <f t="shared" si="58"/>
        <v>1.5</v>
      </c>
      <c r="U197" s="123">
        <f t="shared" si="58"/>
        <v>1.5</v>
      </c>
      <c r="V197" s="123">
        <f t="shared" si="58"/>
        <v>1.5</v>
      </c>
      <c r="W197" s="123">
        <f t="shared" si="58"/>
        <v>1.5</v>
      </c>
      <c r="X197" s="123">
        <f t="shared" si="58"/>
        <v>1.5</v>
      </c>
      <c r="Y197" s="123">
        <f t="shared" si="58"/>
        <v>1.5</v>
      </c>
      <c r="Z197" s="123">
        <f t="shared" si="58"/>
        <v>1.5</v>
      </c>
      <c r="AA197" s="123">
        <f t="shared" si="58"/>
        <v>1.5</v>
      </c>
      <c r="AB197" s="123">
        <f t="shared" si="58"/>
        <v>1.5</v>
      </c>
      <c r="AC197" s="123">
        <f t="shared" si="58"/>
        <v>1.5</v>
      </c>
      <c r="AD197" s="123">
        <f t="shared" si="58"/>
        <v>1.5</v>
      </c>
      <c r="AE197" s="123">
        <f t="shared" si="58"/>
        <v>1.5</v>
      </c>
      <c r="AF197" s="123">
        <f t="shared" si="58"/>
        <v>1.5</v>
      </c>
      <c r="AG197" s="132">
        <v>1.5</v>
      </c>
      <c r="AH197" s="54"/>
      <c r="AI197" s="55"/>
      <c r="AK197" s="56"/>
    </row>
    <row r="198" spans="1:37" x14ac:dyDescent="0.25">
      <c r="A198" s="109" t="s">
        <v>202</v>
      </c>
      <c r="B198" s="123">
        <f t="shared" si="56"/>
        <v>0.3</v>
      </c>
      <c r="C198" s="123">
        <v>0.3</v>
      </c>
      <c r="D198" s="123">
        <f t="shared" si="57"/>
        <v>0.3</v>
      </c>
      <c r="E198" s="123">
        <f t="shared" si="57"/>
        <v>0.3</v>
      </c>
      <c r="F198" s="123">
        <f t="shared" si="57"/>
        <v>0.3</v>
      </c>
      <c r="G198" s="123">
        <f t="shared" si="57"/>
        <v>0.3</v>
      </c>
      <c r="H198" s="123">
        <f t="shared" si="57"/>
        <v>0.3</v>
      </c>
      <c r="I198" s="123">
        <f t="shared" si="57"/>
        <v>0.3</v>
      </c>
      <c r="J198" s="123">
        <f t="shared" si="57"/>
        <v>0.3</v>
      </c>
      <c r="K198" s="123">
        <f t="shared" si="57"/>
        <v>0.3</v>
      </c>
      <c r="L198" s="123">
        <f t="shared" si="57"/>
        <v>0.3</v>
      </c>
      <c r="M198" s="123">
        <f t="shared" si="57"/>
        <v>0.3</v>
      </c>
      <c r="N198" s="123">
        <f t="shared" si="57"/>
        <v>0.3</v>
      </c>
      <c r="O198" s="123">
        <f t="shared" si="57"/>
        <v>0.3</v>
      </c>
      <c r="P198" s="123">
        <f t="shared" si="57"/>
        <v>0.3</v>
      </c>
      <c r="Q198" s="123">
        <f t="shared" si="57"/>
        <v>0.3</v>
      </c>
      <c r="R198" s="123">
        <f t="shared" si="57"/>
        <v>0.3</v>
      </c>
      <c r="S198" s="123">
        <f t="shared" si="57"/>
        <v>0.3</v>
      </c>
      <c r="T198" s="123">
        <f t="shared" si="58"/>
        <v>0.3</v>
      </c>
      <c r="U198" s="123">
        <f t="shared" si="58"/>
        <v>0.3</v>
      </c>
      <c r="V198" s="123">
        <f t="shared" si="58"/>
        <v>0.3</v>
      </c>
      <c r="W198" s="123">
        <f t="shared" si="58"/>
        <v>0.3</v>
      </c>
      <c r="X198" s="123">
        <f t="shared" si="58"/>
        <v>0.3</v>
      </c>
      <c r="Y198" s="123">
        <f t="shared" si="58"/>
        <v>0.3</v>
      </c>
      <c r="Z198" s="123">
        <f t="shared" si="58"/>
        <v>0.3</v>
      </c>
      <c r="AA198" s="123">
        <f t="shared" si="58"/>
        <v>0.3</v>
      </c>
      <c r="AB198" s="123">
        <f t="shared" si="58"/>
        <v>0.3</v>
      </c>
      <c r="AC198" s="123">
        <f t="shared" si="58"/>
        <v>0.3</v>
      </c>
      <c r="AD198" s="123">
        <f t="shared" si="58"/>
        <v>0.3</v>
      </c>
      <c r="AE198" s="123">
        <f t="shared" si="58"/>
        <v>0.3</v>
      </c>
      <c r="AF198" s="123">
        <f t="shared" si="58"/>
        <v>0.3</v>
      </c>
      <c r="AG198" s="132">
        <v>1</v>
      </c>
      <c r="AH198" s="54"/>
      <c r="AI198" s="55"/>
      <c r="AK198" s="56"/>
    </row>
    <row r="199" spans="1:37" x14ac:dyDescent="0.25">
      <c r="A199" s="109" t="s">
        <v>203</v>
      </c>
      <c r="B199" s="123">
        <f t="shared" si="56"/>
        <v>0.4</v>
      </c>
      <c r="C199" s="123">
        <v>0.4</v>
      </c>
      <c r="D199" s="123">
        <f t="shared" si="57"/>
        <v>0.4</v>
      </c>
      <c r="E199" s="123">
        <f t="shared" si="57"/>
        <v>0.4</v>
      </c>
      <c r="F199" s="123">
        <f t="shared" si="57"/>
        <v>0.4</v>
      </c>
      <c r="G199" s="123">
        <f t="shared" si="57"/>
        <v>0.4</v>
      </c>
      <c r="H199" s="123">
        <f t="shared" si="57"/>
        <v>0.4</v>
      </c>
      <c r="I199" s="123">
        <f t="shared" si="57"/>
        <v>0.4</v>
      </c>
      <c r="J199" s="123">
        <f t="shared" si="57"/>
        <v>0.4</v>
      </c>
      <c r="K199" s="123">
        <f t="shared" si="57"/>
        <v>0.4</v>
      </c>
      <c r="L199" s="123">
        <f t="shared" si="57"/>
        <v>0.4</v>
      </c>
      <c r="M199" s="123">
        <f t="shared" si="57"/>
        <v>0.4</v>
      </c>
      <c r="N199" s="123">
        <f t="shared" si="57"/>
        <v>0.4</v>
      </c>
      <c r="O199" s="123">
        <f t="shared" si="57"/>
        <v>0.4</v>
      </c>
      <c r="P199" s="123">
        <f t="shared" si="57"/>
        <v>0.4</v>
      </c>
      <c r="Q199" s="123">
        <f t="shared" si="57"/>
        <v>0.4</v>
      </c>
      <c r="R199" s="123">
        <f t="shared" si="57"/>
        <v>0.4</v>
      </c>
      <c r="S199" s="123">
        <f t="shared" si="57"/>
        <v>0.4</v>
      </c>
      <c r="T199" s="123">
        <f t="shared" si="58"/>
        <v>0.4</v>
      </c>
      <c r="U199" s="123">
        <f t="shared" si="58"/>
        <v>0.4</v>
      </c>
      <c r="V199" s="123">
        <f t="shared" si="58"/>
        <v>0.4</v>
      </c>
      <c r="W199" s="123">
        <f t="shared" si="58"/>
        <v>0.4</v>
      </c>
      <c r="X199" s="123">
        <f t="shared" si="58"/>
        <v>0.4</v>
      </c>
      <c r="Y199" s="123">
        <f t="shared" si="58"/>
        <v>0.4</v>
      </c>
      <c r="Z199" s="123">
        <f t="shared" si="58"/>
        <v>0.4</v>
      </c>
      <c r="AA199" s="123">
        <f t="shared" si="58"/>
        <v>0.4</v>
      </c>
      <c r="AB199" s="123">
        <f t="shared" si="58"/>
        <v>0.4</v>
      </c>
      <c r="AC199" s="123">
        <f t="shared" si="58"/>
        <v>0.4</v>
      </c>
      <c r="AD199" s="123">
        <f t="shared" si="58"/>
        <v>0.4</v>
      </c>
      <c r="AE199" s="123">
        <f t="shared" si="58"/>
        <v>0.4</v>
      </c>
      <c r="AF199" s="123">
        <f t="shared" si="58"/>
        <v>0.4</v>
      </c>
      <c r="AG199" s="132">
        <v>1</v>
      </c>
      <c r="AH199" s="54"/>
      <c r="AI199" s="55"/>
      <c r="AK199" s="56"/>
    </row>
    <row r="200" spans="1:37" ht="15.75" thickBot="1" x14ac:dyDescent="0.3">
      <c r="A200" s="111" t="s">
        <v>204</v>
      </c>
      <c r="B200" s="133">
        <f t="shared" si="56"/>
        <v>0.64</v>
      </c>
      <c r="C200" s="133">
        <v>0.64</v>
      </c>
      <c r="D200" s="133">
        <f t="shared" si="57"/>
        <v>0.64</v>
      </c>
      <c r="E200" s="133">
        <f t="shared" si="57"/>
        <v>0.64</v>
      </c>
      <c r="F200" s="133">
        <f t="shared" si="57"/>
        <v>0.64</v>
      </c>
      <c r="G200" s="133">
        <f t="shared" si="57"/>
        <v>0.64</v>
      </c>
      <c r="H200" s="133">
        <f t="shared" si="57"/>
        <v>0.64</v>
      </c>
      <c r="I200" s="133">
        <f t="shared" si="57"/>
        <v>0.64</v>
      </c>
      <c r="J200" s="133">
        <f t="shared" si="57"/>
        <v>0.64</v>
      </c>
      <c r="K200" s="133">
        <f t="shared" si="57"/>
        <v>0.64</v>
      </c>
      <c r="L200" s="133">
        <f t="shared" si="57"/>
        <v>0.64</v>
      </c>
      <c r="M200" s="133">
        <f t="shared" si="57"/>
        <v>0.64</v>
      </c>
      <c r="N200" s="133">
        <f t="shared" si="57"/>
        <v>0.64</v>
      </c>
      <c r="O200" s="133">
        <f t="shared" si="57"/>
        <v>0.64</v>
      </c>
      <c r="P200" s="133">
        <f t="shared" si="57"/>
        <v>0.64</v>
      </c>
      <c r="Q200" s="133">
        <f t="shared" si="57"/>
        <v>0.64</v>
      </c>
      <c r="R200" s="133">
        <f t="shared" si="57"/>
        <v>0.64</v>
      </c>
      <c r="S200" s="133">
        <f t="shared" si="57"/>
        <v>0.64</v>
      </c>
      <c r="T200" s="133">
        <f t="shared" si="58"/>
        <v>0.64</v>
      </c>
      <c r="U200" s="133">
        <f t="shared" si="58"/>
        <v>0.64</v>
      </c>
      <c r="V200" s="133">
        <f t="shared" si="58"/>
        <v>0.64</v>
      </c>
      <c r="W200" s="133">
        <f t="shared" si="58"/>
        <v>0.64</v>
      </c>
      <c r="X200" s="133">
        <f t="shared" si="58"/>
        <v>0.64</v>
      </c>
      <c r="Y200" s="133">
        <f t="shared" si="58"/>
        <v>0.64</v>
      </c>
      <c r="Z200" s="133">
        <f t="shared" si="58"/>
        <v>0.64</v>
      </c>
      <c r="AA200" s="133">
        <f t="shared" si="58"/>
        <v>0.64</v>
      </c>
      <c r="AB200" s="133">
        <f t="shared" si="58"/>
        <v>0.64</v>
      </c>
      <c r="AC200" s="133">
        <f t="shared" si="58"/>
        <v>0.64</v>
      </c>
      <c r="AD200" s="133">
        <f t="shared" si="58"/>
        <v>0.64</v>
      </c>
      <c r="AE200" s="133">
        <f t="shared" si="58"/>
        <v>0.64</v>
      </c>
      <c r="AF200" s="133">
        <f t="shared" si="58"/>
        <v>0.64</v>
      </c>
      <c r="AG200" s="134">
        <v>0.66</v>
      </c>
      <c r="AH200" s="54"/>
      <c r="AI200" s="55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59">SUM(D195:D200)</f>
        <v>3.54</v>
      </c>
      <c r="E201" s="136">
        <f t="shared" si="59"/>
        <v>3.54</v>
      </c>
      <c r="F201" s="136">
        <f t="shared" si="59"/>
        <v>3.54</v>
      </c>
      <c r="G201" s="136">
        <f t="shared" si="59"/>
        <v>3.54</v>
      </c>
      <c r="H201" s="136">
        <f t="shared" si="59"/>
        <v>3.54</v>
      </c>
      <c r="I201" s="136">
        <f t="shared" si="59"/>
        <v>3.54</v>
      </c>
      <c r="J201" s="136">
        <f t="shared" si="59"/>
        <v>3.54</v>
      </c>
      <c r="K201" s="136">
        <f t="shared" si="59"/>
        <v>3.54</v>
      </c>
      <c r="L201" s="136">
        <f t="shared" si="59"/>
        <v>3.54</v>
      </c>
      <c r="M201" s="136">
        <f>SUM(M195:M200)</f>
        <v>3.54</v>
      </c>
      <c r="N201" s="136">
        <f t="shared" ref="N201:S201" si="60">SUM(N195:N200)</f>
        <v>3.54</v>
      </c>
      <c r="O201" s="136">
        <f t="shared" si="60"/>
        <v>3.54</v>
      </c>
      <c r="P201" s="136">
        <f t="shared" si="60"/>
        <v>3.54</v>
      </c>
      <c r="Q201" s="136">
        <f t="shared" si="60"/>
        <v>3.54</v>
      </c>
      <c r="R201" s="136">
        <f t="shared" si="60"/>
        <v>3.54</v>
      </c>
      <c r="S201" s="136">
        <f t="shared" si="60"/>
        <v>3.54</v>
      </c>
      <c r="T201" s="136">
        <f>SUM(T195:T200)</f>
        <v>3.54</v>
      </c>
      <c r="U201" s="136">
        <f t="shared" ref="U201:AG201" si="61">SUM(U195:U200)</f>
        <v>3.54</v>
      </c>
      <c r="V201" s="136">
        <f t="shared" si="61"/>
        <v>3.54</v>
      </c>
      <c r="W201" s="136">
        <f t="shared" si="61"/>
        <v>3.54</v>
      </c>
      <c r="X201" s="136">
        <f t="shared" si="61"/>
        <v>3.54</v>
      </c>
      <c r="Y201" s="136">
        <f t="shared" si="61"/>
        <v>3.54</v>
      </c>
      <c r="Z201" s="136">
        <f t="shared" si="61"/>
        <v>3.54</v>
      </c>
      <c r="AA201" s="136">
        <f t="shared" si="61"/>
        <v>3.54</v>
      </c>
      <c r="AB201" s="136">
        <f t="shared" si="61"/>
        <v>3.54</v>
      </c>
      <c r="AC201" s="136">
        <f t="shared" si="61"/>
        <v>3.54</v>
      </c>
      <c r="AD201" s="136">
        <f t="shared" si="61"/>
        <v>3.54</v>
      </c>
      <c r="AE201" s="136">
        <f t="shared" si="61"/>
        <v>3.54</v>
      </c>
      <c r="AF201" s="136">
        <f t="shared" si="61"/>
        <v>3.54</v>
      </c>
      <c r="AG201" s="137">
        <f t="shared" si="61"/>
        <v>8.56</v>
      </c>
      <c r="AH201" s="54"/>
      <c r="AI201" s="55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205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4"/>
      <c r="AI203" s="55"/>
    </row>
    <row r="204" spans="1:37" x14ac:dyDescent="0.25">
      <c r="A204" s="140" t="s">
        <v>206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4"/>
      <c r="AI204" s="55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x14ac:dyDescent="0.25">
      <c r="A206" s="92" t="s">
        <v>208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4"/>
      <c r="AI206" s="55"/>
    </row>
    <row r="207" spans="1:37" ht="15.75" thickBot="1" x14ac:dyDescent="0.3">
      <c r="A207" s="146" t="s">
        <v>209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4"/>
      <c r="AI207" s="55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210</v>
      </c>
      <c r="B210" s="150">
        <f>MAX(G75:N75)</f>
        <v>1344.44</v>
      </c>
      <c r="C210" s="151">
        <f>INDEX(G9:N9,1,MATCH(MAX(G75:N75),G75:N75,0))</f>
        <v>0.375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30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9" t="s">
        <v>211</v>
      </c>
      <c r="B212" s="199"/>
      <c r="C212" s="47"/>
      <c r="D212" s="152" t="str">
        <f ca="1">"Pie Chart of Daily Peak Demand(Inclusive of Export) of Nepal ("&amp;A4&amp;" "&amp;B4&amp;")"</f>
        <v>Pie Chart of Daily Peak Demand(Inclusive of Export) of Nepal (Nepali Date: 2079/02/30)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2079/02/30)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212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213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214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215</v>
      </c>
      <c r="T215" s="161">
        <f t="shared" ref="T215:AX215" si="62">B75</f>
        <v>1229.9400000000003</v>
      </c>
      <c r="U215" s="161">
        <f t="shared" si="62"/>
        <v>1224.3400000000001</v>
      </c>
      <c r="V215" s="161">
        <f t="shared" si="62"/>
        <v>1207.9400000000003</v>
      </c>
      <c r="W215" s="161">
        <f t="shared" si="62"/>
        <v>1166.0400000000002</v>
      </c>
      <c r="X215" s="161">
        <f t="shared" si="62"/>
        <v>1130.7400000000002</v>
      </c>
      <c r="Y215" s="161">
        <f t="shared" si="62"/>
        <v>1092.7600000000002</v>
      </c>
      <c r="Z215" s="161">
        <f t="shared" si="62"/>
        <v>1121.2400000000002</v>
      </c>
      <c r="AA215" s="161">
        <f t="shared" si="62"/>
        <v>1154.7300000000002</v>
      </c>
      <c r="AB215" s="161">
        <f t="shared" si="62"/>
        <v>1228.94</v>
      </c>
      <c r="AC215" s="161">
        <f t="shared" si="62"/>
        <v>1253.7400000000002</v>
      </c>
      <c r="AD215" s="161">
        <f t="shared" si="62"/>
        <v>1291.54</v>
      </c>
      <c r="AE215" s="161">
        <f t="shared" si="62"/>
        <v>1331.51</v>
      </c>
      <c r="AF215" s="161">
        <f t="shared" si="62"/>
        <v>1344.44</v>
      </c>
      <c r="AG215" s="161">
        <f t="shared" si="62"/>
        <v>1350.84</v>
      </c>
      <c r="AH215" s="161">
        <f t="shared" si="62"/>
        <v>1387.94</v>
      </c>
      <c r="AI215" s="161">
        <f t="shared" si="62"/>
        <v>0</v>
      </c>
      <c r="AJ215" s="161">
        <f t="shared" si="62"/>
        <v>1393.3400000000001</v>
      </c>
      <c r="AK215" s="161">
        <f t="shared" si="62"/>
        <v>1478.8400000000001</v>
      </c>
      <c r="AL215" s="161">
        <f t="shared" si="62"/>
        <v>1477.7400000000002</v>
      </c>
      <c r="AM215" s="161">
        <f t="shared" si="62"/>
        <v>1480.94</v>
      </c>
      <c r="AN215" s="161">
        <f t="shared" si="62"/>
        <v>1482.14</v>
      </c>
      <c r="AO215" s="161">
        <f t="shared" si="62"/>
        <v>1495.8400000000001</v>
      </c>
      <c r="AP215" s="161">
        <f t="shared" si="62"/>
        <v>1428.8400000000001</v>
      </c>
      <c r="AQ215" s="161">
        <f t="shared" si="62"/>
        <v>1433.2400000000002</v>
      </c>
      <c r="AR215" s="161">
        <f t="shared" si="62"/>
        <v>1459.5400000000002</v>
      </c>
      <c r="AS215" s="161">
        <f t="shared" si="62"/>
        <v>1520.3400000000001</v>
      </c>
      <c r="AT215" s="161">
        <f t="shared" si="62"/>
        <v>1520.1400000000003</v>
      </c>
      <c r="AU215" s="161">
        <f t="shared" si="62"/>
        <v>1510.5400000000002</v>
      </c>
      <c r="AV215" s="161">
        <f t="shared" si="62"/>
        <v>1566.1400000000003</v>
      </c>
      <c r="AW215" s="161">
        <f t="shared" si="62"/>
        <v>1507.0400000000002</v>
      </c>
      <c r="AX215" s="161">
        <f t="shared" si="62"/>
        <v>1415.6400000000003</v>
      </c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220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205</v>
      </c>
      <c r="B236" s="164">
        <f t="shared" ref="B236:AE236" si="63">C200</f>
        <v>0.64</v>
      </c>
      <c r="C236" s="164">
        <f t="shared" si="63"/>
        <v>0.64</v>
      </c>
      <c r="D236" s="164">
        <f t="shared" si="63"/>
        <v>0.64</v>
      </c>
      <c r="E236" s="164">
        <f t="shared" si="63"/>
        <v>0.64</v>
      </c>
      <c r="F236" s="164">
        <f t="shared" si="63"/>
        <v>0.64</v>
      </c>
      <c r="G236" s="164">
        <f t="shared" si="63"/>
        <v>0.64</v>
      </c>
      <c r="H236" s="164">
        <f t="shared" si="63"/>
        <v>0.64</v>
      </c>
      <c r="I236" s="164">
        <f t="shared" si="63"/>
        <v>0.64</v>
      </c>
      <c r="J236" s="164">
        <f t="shared" si="63"/>
        <v>0.64</v>
      </c>
      <c r="K236" s="164">
        <f t="shared" si="63"/>
        <v>0.64</v>
      </c>
      <c r="L236" s="164">
        <f t="shared" si="63"/>
        <v>0.64</v>
      </c>
      <c r="M236" s="164">
        <f t="shared" si="63"/>
        <v>0.64</v>
      </c>
      <c r="N236" s="164">
        <f t="shared" si="63"/>
        <v>0.64</v>
      </c>
      <c r="O236" s="164">
        <f t="shared" si="63"/>
        <v>0.64</v>
      </c>
      <c r="P236" s="164">
        <f t="shared" si="63"/>
        <v>0.64</v>
      </c>
      <c r="Q236" s="164">
        <f t="shared" si="63"/>
        <v>0.64</v>
      </c>
      <c r="R236" s="164">
        <f t="shared" si="63"/>
        <v>0.64</v>
      </c>
      <c r="S236" s="164">
        <f t="shared" si="63"/>
        <v>0.64</v>
      </c>
      <c r="T236" s="164">
        <f t="shared" si="63"/>
        <v>0.64</v>
      </c>
      <c r="U236" s="164">
        <f t="shared" si="63"/>
        <v>0.64</v>
      </c>
      <c r="V236" s="164">
        <f t="shared" si="63"/>
        <v>0.64</v>
      </c>
      <c r="W236" s="164">
        <f t="shared" si="63"/>
        <v>0.64</v>
      </c>
      <c r="X236" s="164">
        <f t="shared" si="63"/>
        <v>0.64</v>
      </c>
      <c r="Y236" s="164">
        <f t="shared" si="63"/>
        <v>0.64</v>
      </c>
      <c r="Z236" s="164">
        <f t="shared" si="63"/>
        <v>0.64</v>
      </c>
      <c r="AA236" s="164">
        <f t="shared" si="63"/>
        <v>0.64</v>
      </c>
      <c r="AB236" s="164">
        <f t="shared" si="63"/>
        <v>0.64</v>
      </c>
      <c r="AC236" s="164">
        <f t="shared" si="63"/>
        <v>0.64</v>
      </c>
      <c r="AD236" s="164">
        <f t="shared" si="63"/>
        <v>0.64</v>
      </c>
      <c r="AE236" s="164">
        <f t="shared" si="63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4">IF(C204&lt;100,"",C204-520)</f>
        <v/>
      </c>
      <c r="D237" s="107" t="str">
        <f t="shared" si="64"/>
        <v/>
      </c>
      <c r="E237" s="107" t="str">
        <f t="shared" si="64"/>
        <v/>
      </c>
      <c r="F237" s="107" t="str">
        <f t="shared" si="64"/>
        <v/>
      </c>
      <c r="G237" s="107" t="str">
        <f t="shared" si="64"/>
        <v/>
      </c>
      <c r="H237" s="107" t="str">
        <f t="shared" si="64"/>
        <v/>
      </c>
      <c r="I237" s="107" t="str">
        <f t="shared" si="64"/>
        <v/>
      </c>
      <c r="J237" s="107" t="str">
        <f t="shared" si="64"/>
        <v/>
      </c>
      <c r="K237" s="107" t="str">
        <f t="shared" si="64"/>
        <v/>
      </c>
      <c r="L237" s="107" t="str">
        <f t="shared" si="64"/>
        <v/>
      </c>
      <c r="M237" s="107" t="str">
        <f t="shared" si="64"/>
        <v/>
      </c>
      <c r="N237" s="107" t="str">
        <f t="shared" si="64"/>
        <v/>
      </c>
      <c r="O237" s="107" t="str">
        <f t="shared" si="64"/>
        <v/>
      </c>
      <c r="P237" s="107" t="str">
        <f t="shared" si="64"/>
        <v/>
      </c>
      <c r="Q237" s="107" t="str">
        <f t="shared" si="64"/>
        <v/>
      </c>
      <c r="R237" s="107" t="str">
        <f t="shared" si="64"/>
        <v/>
      </c>
      <c r="S237" s="107" t="str">
        <f t="shared" si="64"/>
        <v/>
      </c>
      <c r="T237" s="107" t="str">
        <f t="shared" si="64"/>
        <v/>
      </c>
      <c r="U237" s="107" t="str">
        <f t="shared" si="64"/>
        <v/>
      </c>
      <c r="V237" s="107" t="str">
        <f t="shared" si="64"/>
        <v/>
      </c>
      <c r="W237" s="107" t="str">
        <f t="shared" si="64"/>
        <v/>
      </c>
      <c r="X237" s="107" t="str">
        <f t="shared" si="64"/>
        <v/>
      </c>
      <c r="Y237" s="107" t="str">
        <f t="shared" si="64"/>
        <v/>
      </c>
      <c r="Z237" s="107" t="str">
        <f t="shared" si="64"/>
        <v/>
      </c>
      <c r="AA237" s="107" t="str">
        <f t="shared" si="64"/>
        <v/>
      </c>
      <c r="AB237" s="107" t="str">
        <f t="shared" si="64"/>
        <v/>
      </c>
      <c r="AC237" s="107" t="str">
        <f t="shared" si="64"/>
        <v/>
      </c>
      <c r="AD237" s="107" t="str">
        <f t="shared" si="64"/>
        <v/>
      </c>
      <c r="AE237" s="107" t="str">
        <f t="shared" si="64"/>
        <v/>
      </c>
      <c r="AF237" s="107" t="str">
        <f t="shared" si="64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5">IF(B205&lt;100,"",B205-620)</f>
        <v/>
      </c>
      <c r="C238" s="107" t="str">
        <f t="shared" si="65"/>
        <v/>
      </c>
      <c r="D238" s="107" t="str">
        <f t="shared" si="65"/>
        <v/>
      </c>
      <c r="E238" s="107" t="str">
        <f t="shared" si="65"/>
        <v/>
      </c>
      <c r="F238" s="107" t="str">
        <f t="shared" si="65"/>
        <v/>
      </c>
      <c r="G238" s="107" t="str">
        <f t="shared" si="65"/>
        <v/>
      </c>
      <c r="H238" s="107" t="str">
        <f t="shared" si="65"/>
        <v/>
      </c>
      <c r="I238" s="107" t="str">
        <f t="shared" si="65"/>
        <v/>
      </c>
      <c r="J238" s="107" t="str">
        <f t="shared" si="65"/>
        <v/>
      </c>
      <c r="K238" s="107" t="str">
        <f t="shared" si="65"/>
        <v/>
      </c>
      <c r="L238" s="107" t="str">
        <f t="shared" si="65"/>
        <v/>
      </c>
      <c r="M238" s="107" t="str">
        <f t="shared" si="65"/>
        <v/>
      </c>
      <c r="N238" s="107" t="str">
        <f t="shared" si="65"/>
        <v/>
      </c>
      <c r="O238" s="107" t="str">
        <f t="shared" si="65"/>
        <v/>
      </c>
      <c r="P238" s="107" t="str">
        <f t="shared" si="65"/>
        <v/>
      </c>
      <c r="Q238" s="107" t="str">
        <f t="shared" si="65"/>
        <v/>
      </c>
      <c r="R238" s="107" t="str">
        <f t="shared" si="65"/>
        <v/>
      </c>
      <c r="S238" s="107" t="str">
        <f t="shared" si="65"/>
        <v/>
      </c>
      <c r="T238" s="107" t="str">
        <f t="shared" si="65"/>
        <v/>
      </c>
      <c r="U238" s="107" t="str">
        <f t="shared" si="65"/>
        <v/>
      </c>
      <c r="V238" s="107" t="str">
        <f t="shared" si="65"/>
        <v/>
      </c>
      <c r="W238" s="107" t="str">
        <f t="shared" si="65"/>
        <v/>
      </c>
      <c r="X238" s="107" t="str">
        <f t="shared" si="65"/>
        <v/>
      </c>
      <c r="Y238" s="107" t="str">
        <f t="shared" si="65"/>
        <v/>
      </c>
      <c r="Z238" s="107" t="str">
        <f t="shared" si="65"/>
        <v/>
      </c>
      <c r="AA238" s="107" t="str">
        <f t="shared" si="65"/>
        <v/>
      </c>
      <c r="AB238" s="107" t="str">
        <f t="shared" si="65"/>
        <v/>
      </c>
      <c r="AC238" s="107" t="str">
        <f t="shared" si="65"/>
        <v/>
      </c>
      <c r="AD238" s="107" t="str">
        <f t="shared" si="65"/>
        <v/>
      </c>
      <c r="AE238" s="107" t="str">
        <f t="shared" si="65"/>
        <v/>
      </c>
      <c r="AF238" s="107" t="str">
        <f t="shared" si="65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6">IF(B206&lt;100,"",B206-330)</f>
        <v/>
      </c>
      <c r="C239" s="107" t="str">
        <f t="shared" si="66"/>
        <v/>
      </c>
      <c r="D239" s="107" t="str">
        <f t="shared" si="66"/>
        <v/>
      </c>
      <c r="E239" s="107" t="str">
        <f t="shared" si="66"/>
        <v/>
      </c>
      <c r="F239" s="107" t="str">
        <f t="shared" si="66"/>
        <v/>
      </c>
      <c r="G239" s="107" t="str">
        <f t="shared" si="66"/>
        <v/>
      </c>
      <c r="H239" s="107" t="str">
        <f t="shared" si="66"/>
        <v/>
      </c>
      <c r="I239" s="107" t="str">
        <f t="shared" si="66"/>
        <v/>
      </c>
      <c r="J239" s="107" t="str">
        <f t="shared" si="66"/>
        <v/>
      </c>
      <c r="K239" s="107" t="str">
        <f t="shared" si="66"/>
        <v/>
      </c>
      <c r="L239" s="107" t="str">
        <f t="shared" si="66"/>
        <v/>
      </c>
      <c r="M239" s="107" t="str">
        <f t="shared" si="66"/>
        <v/>
      </c>
      <c r="N239" s="107" t="str">
        <f t="shared" si="66"/>
        <v/>
      </c>
      <c r="O239" s="107" t="str">
        <f t="shared" si="66"/>
        <v/>
      </c>
      <c r="P239" s="107" t="str">
        <f t="shared" si="66"/>
        <v/>
      </c>
      <c r="Q239" s="107" t="str">
        <f t="shared" si="66"/>
        <v/>
      </c>
      <c r="R239" s="107" t="str">
        <f t="shared" si="66"/>
        <v/>
      </c>
      <c r="S239" s="107" t="str">
        <f t="shared" si="66"/>
        <v/>
      </c>
      <c r="T239" s="107" t="str">
        <f t="shared" si="66"/>
        <v/>
      </c>
      <c r="U239" s="107" t="str">
        <f t="shared" si="66"/>
        <v/>
      </c>
      <c r="V239" s="107" t="str">
        <f t="shared" si="66"/>
        <v/>
      </c>
      <c r="W239" s="107" t="str">
        <f t="shared" si="66"/>
        <v/>
      </c>
      <c r="X239" s="107" t="str">
        <f t="shared" si="66"/>
        <v/>
      </c>
      <c r="Y239" s="107" t="str">
        <f t="shared" si="66"/>
        <v/>
      </c>
      <c r="Z239" s="107" t="str">
        <f t="shared" si="66"/>
        <v/>
      </c>
      <c r="AA239" s="107" t="str">
        <f t="shared" si="66"/>
        <v/>
      </c>
      <c r="AB239" s="107" t="str">
        <f t="shared" si="66"/>
        <v/>
      </c>
      <c r="AC239" s="107" t="str">
        <f t="shared" si="66"/>
        <v/>
      </c>
      <c r="AD239" s="107" t="str">
        <f t="shared" si="66"/>
        <v/>
      </c>
      <c r="AE239" s="107" t="str">
        <f t="shared" si="66"/>
        <v/>
      </c>
      <c r="AF239" s="107" t="str">
        <f t="shared" si="66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7">IF(C207&lt;100,"",C207-1500)</f>
        <v/>
      </c>
      <c r="D240" s="107" t="str">
        <f t="shared" si="67"/>
        <v/>
      </c>
      <c r="E240" s="107" t="str">
        <f t="shared" si="67"/>
        <v/>
      </c>
      <c r="F240" s="107" t="str">
        <f t="shared" si="67"/>
        <v/>
      </c>
      <c r="G240" s="107" t="str">
        <f t="shared" si="67"/>
        <v/>
      </c>
      <c r="H240" s="107" t="str">
        <f t="shared" si="67"/>
        <v/>
      </c>
      <c r="I240" s="107" t="str">
        <f t="shared" si="67"/>
        <v/>
      </c>
      <c r="J240" s="107" t="str">
        <f t="shared" si="67"/>
        <v/>
      </c>
      <c r="K240" s="107" t="str">
        <f t="shared" si="67"/>
        <v/>
      </c>
      <c r="L240" s="107" t="str">
        <f t="shared" si="67"/>
        <v/>
      </c>
      <c r="M240" s="107" t="str">
        <f t="shared" si="67"/>
        <v/>
      </c>
      <c r="N240" s="107" t="str">
        <f t="shared" si="67"/>
        <v/>
      </c>
      <c r="O240" s="107" t="str">
        <f t="shared" si="67"/>
        <v/>
      </c>
      <c r="P240" s="107" t="str">
        <f t="shared" si="67"/>
        <v/>
      </c>
      <c r="Q240" s="107" t="str">
        <f t="shared" si="67"/>
        <v/>
      </c>
      <c r="R240" s="107" t="str">
        <f t="shared" si="67"/>
        <v/>
      </c>
      <c r="S240" s="107" t="str">
        <f t="shared" si="67"/>
        <v/>
      </c>
      <c r="T240" s="107" t="str">
        <f t="shared" si="67"/>
        <v/>
      </c>
      <c r="U240" s="107" t="str">
        <f t="shared" si="67"/>
        <v/>
      </c>
      <c r="V240" s="107" t="str">
        <f t="shared" si="67"/>
        <v/>
      </c>
      <c r="W240" s="107" t="str">
        <f t="shared" si="67"/>
        <v/>
      </c>
      <c r="X240" s="107" t="str">
        <f t="shared" si="67"/>
        <v/>
      </c>
      <c r="Y240" s="107" t="str">
        <f t="shared" si="67"/>
        <v/>
      </c>
      <c r="Z240" s="107" t="str">
        <f t="shared" si="67"/>
        <v/>
      </c>
      <c r="AA240" s="107" t="str">
        <f t="shared" si="67"/>
        <v/>
      </c>
      <c r="AB240" s="107" t="str">
        <f t="shared" si="67"/>
        <v/>
      </c>
      <c r="AC240" s="107" t="str">
        <f t="shared" si="67"/>
        <v/>
      </c>
      <c r="AD240" s="107" t="str">
        <f t="shared" si="67"/>
        <v/>
      </c>
      <c r="AE240" s="107" t="str">
        <f t="shared" si="67"/>
        <v/>
      </c>
      <c r="AF240" s="107" t="str">
        <f t="shared" si="67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C82:AF82 J74:AF74 AA11:AF11 C94:AF100">
    <cfRule type="expression" dxfId="597" priority="207">
      <formula>B$9&gt;=20/24</formula>
    </cfRule>
    <cfRule type="expression" dxfId="596" priority="208">
      <formula>AND(B$9&gt;=14/24,B$9&lt;20/24)</formula>
    </cfRule>
    <cfRule type="expression" dxfId="595" priority="209">
      <formula>AND(B$9&gt;=8/24,B$9&lt;14/24)</formula>
    </cfRule>
    <cfRule type="expression" dxfId="594" priority="210">
      <formula>B$9&lt;8/24</formula>
    </cfRule>
  </conditionalFormatting>
  <conditionalFormatting sqref="AL4:AL6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593" priority="202">
      <formula>S$9&gt;=20/24</formula>
    </cfRule>
    <cfRule type="expression" dxfId="592" priority="203">
      <formula>AND(S$9&gt;=14/24,S$9&lt;20/24)</formula>
    </cfRule>
    <cfRule type="expression" dxfId="591" priority="204">
      <formula>AND(S$9&gt;=8/24,S$9&lt;14/24)</formula>
    </cfRule>
    <cfRule type="expression" dxfId="590" priority="205">
      <formula>S$9&lt;8/24</formula>
    </cfRule>
  </conditionalFormatting>
  <conditionalFormatting sqref="AG51 S37:AF37 M11:AF11">
    <cfRule type="expression" dxfId="589" priority="201">
      <formula>M11&gt;$AG11</formula>
    </cfRule>
  </conditionalFormatting>
  <conditionalFormatting sqref="A102:A158 A84:A97 A11:A14 A16:A32 A45:A72 A80:A82 A74:A78 A35:A43 A171:A201">
    <cfRule type="expression" dxfId="588" priority="200">
      <formula>$AH11=0</formula>
    </cfRule>
  </conditionalFormatting>
  <conditionalFormatting sqref="A98">
    <cfRule type="expression" dxfId="587" priority="199">
      <formula>$AH98=0</formula>
    </cfRule>
  </conditionalFormatting>
  <conditionalFormatting sqref="AL32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86" priority="197">
      <formula>$AH34=0</formula>
    </cfRule>
  </conditionalFormatting>
  <conditionalFormatting sqref="A83">
    <cfRule type="expression" dxfId="585" priority="196">
      <formula>$AH83=0</formula>
    </cfRule>
  </conditionalFormatting>
  <conditionalFormatting sqref="A15">
    <cfRule type="expression" dxfId="584" priority="195">
      <formula>$AH15=0</formula>
    </cfRule>
  </conditionalFormatting>
  <conditionalFormatting sqref="A165:A170">
    <cfRule type="expression" dxfId="583" priority="194">
      <formula>$AH165=0</formula>
    </cfRule>
  </conditionalFormatting>
  <conditionalFormatting sqref="A159:A164">
    <cfRule type="expression" dxfId="582" priority="193">
      <formula>$AH159=0</formula>
    </cfRule>
  </conditionalFormatting>
  <conditionalFormatting sqref="A44">
    <cfRule type="expression" dxfId="581" priority="192">
      <formula>$AH44=0</formula>
    </cfRule>
  </conditionalFormatting>
  <conditionalFormatting sqref="A79">
    <cfRule type="expression" dxfId="580" priority="191">
      <formula>$AH79=0</formula>
    </cfRule>
  </conditionalFormatting>
  <conditionalFormatting sqref="A73">
    <cfRule type="expression" dxfId="579" priority="190">
      <formula>$AH73=0</formula>
    </cfRule>
  </conditionalFormatting>
  <conditionalFormatting sqref="AL34:AL35 AL7:AL31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78" priority="186">
      <formula>C$9&gt;=20/24</formula>
    </cfRule>
    <cfRule type="expression" dxfId="577" priority="187">
      <formula>AND(C$9&gt;=14/24,C$9&lt;20/24)</formula>
    </cfRule>
    <cfRule type="expression" dxfId="576" priority="188">
      <formula>AND(C$9&gt;=8/24,C$9&lt;14/24)</formula>
    </cfRule>
    <cfRule type="expression" dxfId="575" priority="189">
      <formula>C$9&lt;8/24</formula>
    </cfRule>
  </conditionalFormatting>
  <conditionalFormatting sqref="AL3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74" priority="214">
      <formula>C$9&gt;=20/24</formula>
    </cfRule>
    <cfRule type="expression" dxfId="573" priority="215">
      <formula>AND(C$9&gt;=14/24,C$9&lt;20/24)</formula>
    </cfRule>
    <cfRule type="expression" dxfId="572" priority="216">
      <formula>AND(C$9&gt;=8/24,C$9&lt;14/24)</formula>
    </cfRule>
    <cfRule type="expression" dxfId="571" priority="217">
      <formula>C$9&lt;8/24</formula>
    </cfRule>
  </conditionalFormatting>
  <conditionalFormatting sqref="A202">
    <cfRule type="expression" dxfId="570" priority="218">
      <formula>$AH202=0</formula>
    </cfRule>
  </conditionalFormatting>
  <conditionalFormatting sqref="AG214">
    <cfRule type="expression" dxfId="569" priority="219">
      <formula>B$9&gt;=20/24</formula>
    </cfRule>
    <cfRule type="expression" dxfId="568" priority="220">
      <formula>AND(B$9&gt;=14/24,B$9&lt;20/24)</formula>
    </cfRule>
    <cfRule type="expression" dxfId="567" priority="221">
      <formula>AND(B$9&gt;=8/24,B$9&lt;14/24)</formula>
    </cfRule>
    <cfRule type="expression" dxfId="566" priority="222">
      <formula>B$9&lt;8/24</formula>
    </cfRule>
  </conditionalFormatting>
  <conditionalFormatting sqref="S8">
    <cfRule type="expression" dxfId="565" priority="180">
      <formula>U$9&gt;=20/24</formula>
    </cfRule>
    <cfRule type="expression" dxfId="564" priority="181">
      <formula>AND(U$9&gt;=14/24,U$9&lt;20/24)</formula>
    </cfRule>
    <cfRule type="expression" dxfId="563" priority="182">
      <formula>AND(U$9&gt;=8/24,U$9&lt;14/24)</formula>
    </cfRule>
    <cfRule type="expression" dxfId="562" priority="183">
      <formula>U$9&lt;8/24</formula>
    </cfRule>
  </conditionalFormatting>
  <conditionalFormatting sqref="AB8">
    <cfRule type="expression" dxfId="561" priority="176">
      <formula>AD$9&gt;=20/24</formula>
    </cfRule>
    <cfRule type="expression" dxfId="560" priority="177">
      <formula>AND(AD$9&gt;=14/24,AD$9&lt;20/24)</formula>
    </cfRule>
    <cfRule type="expression" dxfId="559" priority="178">
      <formula>AND(AD$9&gt;=8/24,AD$9&lt;14/24)</formula>
    </cfRule>
    <cfRule type="expression" dxfId="558" priority="179">
      <formula>AD$9&lt;8/24</formula>
    </cfRule>
  </conditionalFormatting>
  <conditionalFormatting sqref="AH214:AX214">
    <cfRule type="expression" dxfId="557" priority="223">
      <formula>AG$9&gt;=20/24</formula>
    </cfRule>
    <cfRule type="expression" dxfId="556" priority="224">
      <formula>AND(AG$9&gt;=14/24,AG$9&lt;20/24)</formula>
    </cfRule>
    <cfRule type="expression" dxfId="555" priority="225">
      <formula>AND(AG$9&gt;=8/24,AG$9&lt;14/24)</formula>
    </cfRule>
    <cfRule type="expression" dxfId="554" priority="226">
      <formula>AG$9&lt;8/24</formula>
    </cfRule>
  </conditionalFormatting>
  <conditionalFormatting sqref="T214">
    <cfRule type="expression" dxfId="553" priority="227">
      <formula>AX$9&gt;=20/24</formula>
    </cfRule>
    <cfRule type="expression" dxfId="552" priority="228">
      <formula>AND(AX$9&gt;=14/24,AX$9&lt;20/24)</formula>
    </cfRule>
    <cfRule type="expression" dxfId="551" priority="229">
      <formula>AND(AX$9&gt;=8/24,AX$9&lt;14/24)</formula>
    </cfRule>
    <cfRule type="expression" dxfId="550" priority="230">
      <formula>AX$9&lt;8/24</formula>
    </cfRule>
  </conditionalFormatting>
  <conditionalFormatting sqref="A99:A100">
    <cfRule type="expression" dxfId="549" priority="175">
      <formula>$AH99=0</formula>
    </cfRule>
  </conditionalFormatting>
  <conditionalFormatting sqref="F40:L41 S40:AF41 C57:AF57">
    <cfRule type="expression" dxfId="548" priority="171">
      <formula>C$9&gt;=20/24</formula>
    </cfRule>
    <cfRule type="expression" dxfId="547" priority="172">
      <formula>AND(C$9&gt;=14/24,C$9&lt;20/24)</formula>
    </cfRule>
    <cfRule type="expression" dxfId="546" priority="173">
      <formula>AND(C$9&gt;=8/24,C$9&lt;14/24)</formula>
    </cfRule>
    <cfRule type="expression" dxfId="545" priority="174">
      <formula>C$9&lt;8/24</formula>
    </cfRule>
  </conditionalFormatting>
  <conditionalFormatting sqref="E39:L39 S39:AF39">
    <cfRule type="expression" dxfId="544" priority="167">
      <formula>E$9&gt;=20/24</formula>
    </cfRule>
    <cfRule type="expression" dxfId="543" priority="168">
      <formula>AND(E$9&gt;=14/24,E$9&lt;20/24)</formula>
    </cfRule>
    <cfRule type="expression" dxfId="542" priority="169">
      <formula>AND(E$9&gt;=8/24,E$9&lt;14/24)</formula>
    </cfRule>
    <cfRule type="expression" dxfId="541" priority="170">
      <formula>E$9&lt;8/24</formula>
    </cfRule>
  </conditionalFormatting>
  <conditionalFormatting sqref="E39:L39 F40:L41 S39:AF41">
    <cfRule type="expression" dxfId="540" priority="166">
      <formula>E39&gt;$AG39</formula>
    </cfRule>
  </conditionalFormatting>
  <conditionalFormatting sqref="C83:AF83 F67:L67 F61:L63 M11:R14 C58:R60 M61:R67 C56:AF56 C68:AF73 C75:AF81 M36:AF36 S12:AF14 M16:AF16 M28:AF31 M24:AF26 M18:AF22 F53:AF55 S58:AF67 C85:AF91">
    <cfRule type="expression" dxfId="539" priority="162">
      <formula>C$9&gt;=20/24</formula>
    </cfRule>
    <cfRule type="expression" dxfId="538" priority="163">
      <formula>AND(C$9&gt;=14/24,C$9&lt;20/24)</formula>
    </cfRule>
    <cfRule type="expression" dxfId="537" priority="164">
      <formula>AND(C$9&gt;=8/24,C$9&lt;14/24)</formula>
    </cfRule>
    <cfRule type="expression" dxfId="536" priority="165">
      <formula>C$9&lt;8/24</formula>
    </cfRule>
  </conditionalFormatting>
  <conditionalFormatting sqref="M32:AF32">
    <cfRule type="expression" dxfId="535" priority="158">
      <formula>M$9&gt;=20/24</formula>
    </cfRule>
    <cfRule type="expression" dxfId="534" priority="159">
      <formula>AND(M$9&gt;=14/24,M$9&lt;20/24)</formula>
    </cfRule>
    <cfRule type="expression" dxfId="533" priority="160">
      <formula>AND(M$9&gt;=8/24,M$9&lt;14/24)</formula>
    </cfRule>
    <cfRule type="expression" dxfId="532" priority="161">
      <formula>M$9&lt;8/24</formula>
    </cfRule>
  </conditionalFormatting>
  <conditionalFormatting sqref="M35:AF35">
    <cfRule type="expression" dxfId="531" priority="154">
      <formula>M$9&gt;=20/24</formula>
    </cfRule>
    <cfRule type="expression" dxfId="530" priority="155">
      <formula>AND(M$9&gt;=14/24,M$9&lt;20/24)</formula>
    </cfRule>
    <cfRule type="expression" dxfId="529" priority="156">
      <formula>AND(M$9&gt;=8/24,M$9&lt;14/24)</formula>
    </cfRule>
    <cfRule type="expression" dxfId="528" priority="157">
      <formula>M$9&lt;8/24</formula>
    </cfRule>
  </conditionalFormatting>
  <conditionalFormatting sqref="C37:R37 C38:AF38 C51:AF52 F42:L44 M11:R16 C56:AF56 S12:AF16 M24:AF32 M34:AF36 M18:AF22 AB42:AF43 F53:AF55">
    <cfRule type="expression" dxfId="527" priority="153">
      <formula>C11&gt;$AG11</formula>
    </cfRule>
  </conditionalFormatting>
  <conditionalFormatting sqref="M34:AF34">
    <cfRule type="expression" dxfId="526" priority="149">
      <formula>M$9&gt;=20/24</formula>
    </cfRule>
    <cfRule type="expression" dxfId="525" priority="150">
      <formula>AND(M$9&gt;=14/24,M$9&lt;20/24)</formula>
    </cfRule>
    <cfRule type="expression" dxfId="524" priority="151">
      <formula>AND(M$9&gt;=8/24,M$9&lt;14/24)</formula>
    </cfRule>
    <cfRule type="expression" dxfId="523" priority="152">
      <formula>M$9&lt;8/24</formula>
    </cfRule>
  </conditionalFormatting>
  <conditionalFormatting sqref="M15:AF15">
    <cfRule type="expression" dxfId="522" priority="145">
      <formula>M$9&gt;=20/24</formula>
    </cfRule>
    <cfRule type="expression" dxfId="521" priority="146">
      <formula>AND(M$9&gt;=14/24,M$9&lt;20/24)</formula>
    </cfRule>
    <cfRule type="expression" dxfId="520" priority="147">
      <formula>AND(M$9&gt;=8/24,M$9&lt;14/24)</formula>
    </cfRule>
    <cfRule type="expression" dxfId="519" priority="148">
      <formula>M$9&lt;8/24</formula>
    </cfRule>
  </conditionalFormatting>
  <conditionalFormatting sqref="M33:AF33">
    <cfRule type="expression" dxfId="518" priority="141">
      <formula>M$9&gt;=20/24</formula>
    </cfRule>
    <cfRule type="expression" dxfId="517" priority="142">
      <formula>AND(M$9&gt;=14/24,M$9&lt;20/24)</formula>
    </cfRule>
    <cfRule type="expression" dxfId="516" priority="143">
      <formula>AND(M$9&gt;=8/24,M$9&lt;14/24)</formula>
    </cfRule>
    <cfRule type="expression" dxfId="515" priority="144">
      <formula>M$9&lt;8/24</formula>
    </cfRule>
  </conditionalFormatting>
  <conditionalFormatting sqref="M33:AF33">
    <cfRule type="expression" dxfId="514" priority="140">
      <formula>M33&gt;$AG33</formula>
    </cfRule>
  </conditionalFormatting>
  <conditionalFormatting sqref="S11:Z11">
    <cfRule type="expression" dxfId="513" priority="136">
      <formula>S$9&gt;=20/24</formula>
    </cfRule>
    <cfRule type="expression" dxfId="512" priority="137">
      <formula>AND(S$9&gt;=14/24,S$9&lt;20/24)</formula>
    </cfRule>
    <cfRule type="expression" dxfId="511" priority="138">
      <formula>AND(S$9&gt;=8/24,S$9&lt;14/24)</formula>
    </cfRule>
    <cfRule type="expression" dxfId="510" priority="139">
      <formula>S$9&lt;8/24</formula>
    </cfRule>
  </conditionalFormatting>
  <conditionalFormatting sqref="AB44:AF50">
    <cfRule type="expression" dxfId="509" priority="132">
      <formula>AB$9&gt;=20/24</formula>
    </cfRule>
    <cfRule type="expression" dxfId="508" priority="133">
      <formula>AND(AB$9&gt;=14/24,AB$9&lt;20/24)</formula>
    </cfRule>
    <cfRule type="expression" dxfId="507" priority="134">
      <formula>AND(AB$9&gt;=8/24,AB$9&lt;14/24)</formula>
    </cfRule>
    <cfRule type="expression" dxfId="506" priority="135">
      <formula>AB$9&lt;8/24</formula>
    </cfRule>
  </conditionalFormatting>
  <conditionalFormatting sqref="AB44:AF50">
    <cfRule type="expression" dxfId="505" priority="131">
      <formula>AB44&gt;$AG44</formula>
    </cfRule>
  </conditionalFormatting>
  <conditionalFormatting sqref="M39:R50 S42:AA50">
    <cfRule type="expression" dxfId="504" priority="127">
      <formula>M$9&gt;=20/24</formula>
    </cfRule>
    <cfRule type="expression" dxfId="503" priority="128">
      <formula>AND(M$9&gt;=14/24,M$9&lt;20/24)</formula>
    </cfRule>
    <cfRule type="expression" dxfId="502" priority="129">
      <formula>AND(M$9&gt;=8/24,M$9&lt;14/24)</formula>
    </cfRule>
    <cfRule type="expression" dxfId="501" priority="130">
      <formula>M$9&lt;8/24</formula>
    </cfRule>
  </conditionalFormatting>
  <conditionalFormatting sqref="M39:R50 S42:AA50">
    <cfRule type="expression" dxfId="500" priority="126">
      <formula>M39&gt;$AG39</formula>
    </cfRule>
  </conditionalFormatting>
  <conditionalFormatting sqref="M27:AF27">
    <cfRule type="expression" dxfId="499" priority="122">
      <formula>M$9&gt;=20/24</formula>
    </cfRule>
    <cfRule type="expression" dxfId="498" priority="123">
      <formula>AND(M$9&gt;=14/24,M$9&lt;20/24)</formula>
    </cfRule>
    <cfRule type="expression" dxfId="497" priority="124">
      <formula>AND(M$9&gt;=8/24,M$9&lt;14/24)</formula>
    </cfRule>
    <cfRule type="expression" dxfId="496" priority="125">
      <formula>M$9&lt;8/24</formula>
    </cfRule>
  </conditionalFormatting>
  <conditionalFormatting sqref="C74:I74 M17:AF17 M23:AF23">
    <cfRule type="expression" dxfId="495" priority="118">
      <formula>C$9&gt;=20/24</formula>
    </cfRule>
    <cfRule type="expression" dxfId="494" priority="119">
      <formula>AND(C$9&gt;=14/24,C$9&lt;20/24)</formula>
    </cfRule>
    <cfRule type="expression" dxfId="493" priority="120">
      <formula>AND(C$9&gt;=8/24,C$9&lt;14/24)</formula>
    </cfRule>
    <cfRule type="expression" dxfId="492" priority="121">
      <formula>C$9&lt;8/24</formula>
    </cfRule>
  </conditionalFormatting>
  <conditionalFormatting sqref="M17:AF17 M23:AF23">
    <cfRule type="expression" dxfId="491" priority="109">
      <formula>M17&gt;$AG17</formula>
    </cfRule>
  </conditionalFormatting>
  <conditionalFormatting sqref="C40:E41">
    <cfRule type="expression" dxfId="490" priority="92">
      <formula>C$9&gt;=20/24</formula>
    </cfRule>
    <cfRule type="expression" dxfId="489" priority="93">
      <formula>AND(C$9&gt;=14/24,C$9&lt;20/24)</formula>
    </cfRule>
    <cfRule type="expression" dxfId="488" priority="94">
      <formula>AND(C$9&gt;=8/24,C$9&lt;14/24)</formula>
    </cfRule>
    <cfRule type="expression" dxfId="487" priority="95">
      <formula>C$9&lt;8/24</formula>
    </cfRule>
  </conditionalFormatting>
  <conditionalFormatting sqref="C39:D39">
    <cfRule type="expression" dxfId="486" priority="88">
      <formula>C$9&gt;=20/24</formula>
    </cfRule>
    <cfRule type="expression" dxfId="485" priority="89">
      <formula>AND(C$9&gt;=14/24,C$9&lt;20/24)</formula>
    </cfRule>
    <cfRule type="expression" dxfId="484" priority="90">
      <formula>AND(C$9&gt;=8/24,C$9&lt;14/24)</formula>
    </cfRule>
    <cfRule type="expression" dxfId="483" priority="91">
      <formula>C$9&lt;8/24</formula>
    </cfRule>
  </conditionalFormatting>
  <conditionalFormatting sqref="C39:D41 E40:E41">
    <cfRule type="expression" dxfId="482" priority="87">
      <formula>C39&gt;$AG39</formula>
    </cfRule>
  </conditionalFormatting>
  <conditionalFormatting sqref="F64:L66">
    <cfRule type="expression" dxfId="481" priority="83">
      <formula>F$9&gt;=20/24</formula>
    </cfRule>
    <cfRule type="expression" dxfId="480" priority="84">
      <formula>AND(F$9&gt;=14/24,F$9&lt;20/24)</formula>
    </cfRule>
    <cfRule type="expression" dxfId="479" priority="85">
      <formula>AND(F$9&gt;=8/24,F$9&lt;14/24)</formula>
    </cfRule>
    <cfRule type="expression" dxfId="478" priority="86">
      <formula>F$9&lt;8/24</formula>
    </cfRule>
  </conditionalFormatting>
  <conditionalFormatting sqref="C42:E43">
    <cfRule type="expression" dxfId="477" priority="82">
      <formula>C42&gt;$AG42</formula>
    </cfRule>
  </conditionalFormatting>
  <conditionalFormatting sqref="C48:E48 F45:L50">
    <cfRule type="expression" dxfId="476" priority="78">
      <formula>C$9&gt;=20/24</formula>
    </cfRule>
    <cfRule type="expression" dxfId="475" priority="79">
      <formula>AND(C$9&gt;=14/24,C$9&lt;20/24)</formula>
    </cfRule>
    <cfRule type="expression" dxfId="474" priority="80">
      <formula>AND(C$9&gt;=8/24,C$9&lt;14/24)</formula>
    </cfRule>
    <cfRule type="expression" dxfId="473" priority="81">
      <formula>C$9&lt;8/24</formula>
    </cfRule>
  </conditionalFormatting>
  <conditionalFormatting sqref="C48:E48 F45:L50">
    <cfRule type="expression" dxfId="472" priority="77">
      <formula>C45&gt;$AG45</formula>
    </cfRule>
  </conditionalFormatting>
  <conditionalFormatting sqref="B82 B74 B94:B100 B11:L11">
    <cfRule type="expression" dxfId="471" priority="64">
      <formula>B$9&gt;=20/24</formula>
    </cfRule>
    <cfRule type="expression" dxfId="470" priority="65">
      <formula>AND(B$9&gt;=14/24,B$9&lt;20/24)</formula>
    </cfRule>
    <cfRule type="expression" dxfId="469" priority="66">
      <formula>AND(B$9&gt;=8/24,B$9&lt;14/24)</formula>
    </cfRule>
    <cfRule type="expression" dxfId="468" priority="67">
      <formula>B$9&lt;8/24</formula>
    </cfRule>
  </conditionalFormatting>
  <conditionalFormatting sqref="B37">
    <cfRule type="expression" dxfId="467" priority="60">
      <formula>B$9&gt;=20/24</formula>
    </cfRule>
    <cfRule type="expression" dxfId="466" priority="61">
      <formula>AND(B$9&gt;=14/24,B$9&lt;20/24)</formula>
    </cfRule>
    <cfRule type="expression" dxfId="465" priority="62">
      <formula>AND(B$9&gt;=8/24,B$9&lt;14/24)</formula>
    </cfRule>
    <cfRule type="expression" dxfId="464" priority="63">
      <formula>B$9&lt;8/24</formula>
    </cfRule>
  </conditionalFormatting>
  <conditionalFormatting sqref="B37 B11:L11">
    <cfRule type="expression" dxfId="463" priority="59">
      <formula>B11&gt;$AG11</formula>
    </cfRule>
  </conditionalFormatting>
  <conditionalFormatting sqref="B84">
    <cfRule type="expression" dxfId="462" priority="55">
      <formula>B$9&gt;=20/24</formula>
    </cfRule>
    <cfRule type="expression" dxfId="461" priority="56">
      <formula>AND(B$9&gt;=14/24,B$9&lt;20/24)</formula>
    </cfRule>
    <cfRule type="expression" dxfId="460" priority="57">
      <formula>AND(B$9&gt;=8/24,B$9&lt;14/24)</formula>
    </cfRule>
    <cfRule type="expression" dxfId="459" priority="58">
      <formula>B$9&lt;8/24</formula>
    </cfRule>
  </conditionalFormatting>
  <conditionalFormatting sqref="B40:B41 B57 B36:L36">
    <cfRule type="expression" dxfId="458" priority="51">
      <formula>B$9&gt;=20/24</formula>
    </cfRule>
    <cfRule type="expression" dxfId="457" priority="52">
      <formula>AND(B$9&gt;=14/24,B$9&lt;20/24)</formula>
    </cfRule>
    <cfRule type="expression" dxfId="456" priority="53">
      <formula>AND(B$9&gt;=8/24,B$9&lt;14/24)</formula>
    </cfRule>
    <cfRule type="expression" dxfId="455" priority="54">
      <formula>B$9&lt;8/24</formula>
    </cfRule>
  </conditionalFormatting>
  <conditionalFormatting sqref="B39">
    <cfRule type="expression" dxfId="454" priority="47">
      <formula>B$9&gt;=20/24</formula>
    </cfRule>
    <cfRule type="expression" dxfId="453" priority="48">
      <formula>AND(B$9&gt;=14/24,B$9&lt;20/24)</formula>
    </cfRule>
    <cfRule type="expression" dxfId="452" priority="49">
      <formula>AND(B$9&gt;=8/24,B$9&lt;14/24)</formula>
    </cfRule>
    <cfRule type="expression" dxfId="451" priority="50">
      <formula>B$9&lt;8/24</formula>
    </cfRule>
  </conditionalFormatting>
  <conditionalFormatting sqref="B39:B41 B36:L36">
    <cfRule type="expression" dxfId="450" priority="46">
      <formula>B36&gt;$AG36</formula>
    </cfRule>
  </conditionalFormatting>
  <conditionalFormatting sqref="B83 B75:B81 B85:B91 B53:B56 B58:B73 C53:E55 C61:E67 B12:L14 B16:L16 B28:L31 B18:L22 B24:L26">
    <cfRule type="expression" dxfId="449" priority="42">
      <formula>B$9&gt;=20/24</formula>
    </cfRule>
    <cfRule type="expression" dxfId="448" priority="43">
      <formula>AND(B$9&gt;=14/24,B$9&lt;20/24)</formula>
    </cfRule>
    <cfRule type="expression" dxfId="447" priority="44">
      <formula>AND(B$9&gt;=8/24,B$9&lt;14/24)</formula>
    </cfRule>
    <cfRule type="expression" dxfId="446" priority="45">
      <formula>B$9&lt;8/24</formula>
    </cfRule>
  </conditionalFormatting>
  <conditionalFormatting sqref="B32:L32">
    <cfRule type="expression" dxfId="445" priority="38">
      <formula>B$9&gt;=20/24</formula>
    </cfRule>
    <cfRule type="expression" dxfId="444" priority="39">
      <formula>AND(B$9&gt;=14/24,B$9&lt;20/24)</formula>
    </cfRule>
    <cfRule type="expression" dxfId="443" priority="40">
      <formula>AND(B$9&gt;=8/24,B$9&lt;14/24)</formula>
    </cfRule>
    <cfRule type="expression" dxfId="442" priority="41">
      <formula>B$9&lt;8/24</formula>
    </cfRule>
  </conditionalFormatting>
  <conditionalFormatting sqref="B35:L35">
    <cfRule type="expression" dxfId="441" priority="34">
      <formula>B$9&gt;=20/24</formula>
    </cfRule>
    <cfRule type="expression" dxfId="440" priority="35">
      <formula>AND(B$9&gt;=14/24,B$9&lt;20/24)</formula>
    </cfRule>
    <cfRule type="expression" dxfId="439" priority="36">
      <formula>AND(B$9&gt;=8/24,B$9&lt;14/24)</formula>
    </cfRule>
    <cfRule type="expression" dxfId="438" priority="37">
      <formula>B$9&lt;8/24</formula>
    </cfRule>
  </conditionalFormatting>
  <conditionalFormatting sqref="B38 B42:B43 B51:B56 C53:E55 B34:L35 B12:L16 B18:L22 B24:L32">
    <cfRule type="expression" dxfId="437" priority="33">
      <formula>B12&gt;$AG12</formula>
    </cfRule>
  </conditionalFormatting>
  <conditionalFormatting sqref="B34:L34">
    <cfRule type="expression" dxfId="436" priority="29">
      <formula>B$9&gt;=20/24</formula>
    </cfRule>
    <cfRule type="expression" dxfId="435" priority="30">
      <formula>AND(B$9&gt;=14/24,B$9&lt;20/24)</formula>
    </cfRule>
    <cfRule type="expression" dxfId="434" priority="31">
      <formula>AND(B$9&gt;=8/24,B$9&lt;14/24)</formula>
    </cfRule>
    <cfRule type="expression" dxfId="433" priority="32">
      <formula>B$9&lt;8/24</formula>
    </cfRule>
  </conditionalFormatting>
  <conditionalFormatting sqref="B15:L15">
    <cfRule type="expression" dxfId="432" priority="25">
      <formula>B$9&gt;=20/24</formula>
    </cfRule>
    <cfRule type="expression" dxfId="431" priority="26">
      <formula>AND(B$9&gt;=14/24,B$9&lt;20/24)</formula>
    </cfRule>
    <cfRule type="expression" dxfId="430" priority="27">
      <formula>AND(B$9&gt;=8/24,B$9&lt;14/24)</formula>
    </cfRule>
    <cfRule type="expression" dxfId="429" priority="28">
      <formula>B$9&lt;8/24</formula>
    </cfRule>
  </conditionalFormatting>
  <conditionalFormatting sqref="B33:L33">
    <cfRule type="expression" dxfId="428" priority="21">
      <formula>B$9&gt;=20/24</formula>
    </cfRule>
    <cfRule type="expression" dxfId="427" priority="22">
      <formula>AND(B$9&gt;=14/24,B$9&lt;20/24)</formula>
    </cfRule>
    <cfRule type="expression" dxfId="426" priority="23">
      <formula>AND(B$9&gt;=8/24,B$9&lt;14/24)</formula>
    </cfRule>
    <cfRule type="expression" dxfId="425" priority="24">
      <formula>B$9&lt;8/24</formula>
    </cfRule>
  </conditionalFormatting>
  <conditionalFormatting sqref="B33:L33">
    <cfRule type="expression" dxfId="424" priority="20">
      <formula>B33&gt;$AG33</formula>
    </cfRule>
  </conditionalFormatting>
  <conditionalFormatting sqref="B44:E47 B49:E50 B48">
    <cfRule type="expression" dxfId="423" priority="16">
      <formula>B$9&gt;=20/24</formula>
    </cfRule>
    <cfRule type="expression" dxfId="422" priority="17">
      <formula>AND(B$9&gt;=14/24,B$9&lt;20/24)</formula>
    </cfRule>
    <cfRule type="expression" dxfId="421" priority="18">
      <formula>AND(B$9&gt;=8/24,B$9&lt;14/24)</formula>
    </cfRule>
    <cfRule type="expression" dxfId="420" priority="19">
      <formula>B$9&lt;8/24</formula>
    </cfRule>
  </conditionalFormatting>
  <conditionalFormatting sqref="B44:E47 B49:E50 B48">
    <cfRule type="expression" dxfId="419" priority="15">
      <formula>B44&gt;$AG44</formula>
    </cfRule>
  </conditionalFormatting>
  <conditionalFormatting sqref="B27:L27">
    <cfRule type="expression" dxfId="418" priority="11">
      <formula>B$9&gt;=20/24</formula>
    </cfRule>
    <cfRule type="expression" dxfId="417" priority="12">
      <formula>AND(B$9&gt;=14/24,B$9&lt;20/24)</formula>
    </cfRule>
    <cfRule type="expression" dxfId="416" priority="13">
      <formula>AND(B$9&gt;=8/24,B$9&lt;14/24)</formula>
    </cfRule>
    <cfRule type="expression" dxfId="415" priority="14">
      <formula>B$9&lt;8/24</formula>
    </cfRule>
  </conditionalFormatting>
  <conditionalFormatting sqref="B17:L17 B23:L23">
    <cfRule type="expression" dxfId="414" priority="7">
      <formula>B$9&gt;=20/24</formula>
    </cfRule>
    <cfRule type="expression" dxfId="413" priority="8">
      <formula>AND(B$9&gt;=14/24,B$9&lt;20/24)</formula>
    </cfRule>
    <cfRule type="expression" dxfId="412" priority="9">
      <formula>AND(B$9&gt;=8/24,B$9&lt;14/24)</formula>
    </cfRule>
    <cfRule type="expression" dxfId="411" priority="10">
      <formula>B$9&lt;8/24</formula>
    </cfRule>
  </conditionalFormatting>
  <conditionalFormatting sqref="B17:L17 B23:L23">
    <cfRule type="expression" dxfId="410" priority="6">
      <formula>B17&gt;$AG17</formula>
    </cfRule>
  </conditionalFormatting>
  <pageMargins left="0.2" right="0.2" top="0.75" bottom="0.75" header="0.3" footer="0.3"/>
  <pageSetup paperSize="9" scale="21" fitToWidth="0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5" id="{6700FA79-DEB8-4261-A4D0-D205DFFBF844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  <x14:conditionalFormatting xmlns:xm="http://schemas.microsoft.com/office/excel/2006/main">
          <x14:cfRule type="expression" priority="2" id="{7A6CD650-C45A-4828-8BBB-3E9CF23D6BB8}">
            <xm:f>'28'!B$9&gt;=20/24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" id="{7A10166E-761C-4803-867C-F7564044FB38}">
            <xm:f>AND('28'!B$9&gt;=14/24,'28'!B$9&lt;20/24)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" id="{D7A6E5C8-C872-4A97-9A19-46092CE7B31E}">
            <xm:f>AND('28'!B$9&gt;=8/24,'28'!B$9&lt;14/24)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" id="{6D2D4AFB-6B6A-4675-9696-928E91D9D193}">
            <xm:f>'28'!B$9&lt;8/24</xm:f>
            <x14:dxf>
              <fill>
                <patternFill>
                  <bgColor rgb="FFFFFF66"/>
                </patternFill>
              </fill>
            </x14:dxf>
          </x14:cfRule>
          <xm:sqref>B101:AF101</xm:sqref>
        </x14:conditionalFormatting>
        <x14:conditionalFormatting xmlns:xm="http://schemas.microsoft.com/office/excel/2006/main">
          <x14:cfRule type="expression" priority="1" id="{1A0B0CC7-F5C4-48F5-BCF9-1F4ADB2F0770}">
            <xm:f>'28'!$AH101=0</xm:f>
            <x14:dxf>
              <fill>
                <patternFill>
                  <bgColor rgb="FF51E2F1"/>
                </patternFill>
              </fill>
            </x14:dxf>
          </x14:cfRule>
          <xm:sqref>A101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3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M87" sqref="M8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str">
        <f ca="1">"2079/"&amp;"02/"&amp;INT(MID(CELL("filename",D6),FIND("]",CELL("filename",D6))+1,200))</f>
        <v>2079/02/31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("&amp;ROUND(B218,0)&amp;" MW)"&amp;"    IPP   = "&amp;ROUND(B213,0)&amp;" MW     NEA RoR = "&amp;ROUND(B214,0)&amp;" MWImport   = "&amp;ROUND(B216,0)&amp;" MW      KL1+KL2+K3 = "&amp;ROUND(B215,0) &amp;" MW    EXPORT = "&amp;ROUND(B217,0)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91.5</v>
      </c>
      <c r="C5" s="32">
        <f t="shared" si="0"/>
        <v>94.9</v>
      </c>
      <c r="D5" s="32">
        <f t="shared" si="0"/>
        <v>90.7</v>
      </c>
      <c r="E5" s="32">
        <f t="shared" si="0"/>
        <v>87.5</v>
      </c>
      <c r="F5" s="32">
        <f t="shared" si="0"/>
        <v>88.2</v>
      </c>
      <c r="G5" s="32">
        <f t="shared" si="0"/>
        <v>87.3</v>
      </c>
      <c r="H5" s="32">
        <f t="shared" si="0"/>
        <v>84.2</v>
      </c>
      <c r="I5" s="32">
        <f t="shared" si="0"/>
        <v>81.180000000000007</v>
      </c>
      <c r="J5" s="32">
        <f t="shared" si="0"/>
        <v>75.900000000000006</v>
      </c>
      <c r="K5" s="32">
        <f t="shared" si="0"/>
        <v>83.6</v>
      </c>
      <c r="L5" s="32">
        <f t="shared" si="0"/>
        <v>83.6</v>
      </c>
      <c r="M5" s="32">
        <f t="shared" si="0"/>
        <v>86.9</v>
      </c>
      <c r="N5" s="32">
        <f t="shared" si="0"/>
        <v>86.9</v>
      </c>
      <c r="O5" s="32">
        <f t="shared" si="0"/>
        <v>87.5</v>
      </c>
      <c r="P5" s="32">
        <f t="shared" si="0"/>
        <v>89</v>
      </c>
      <c r="Q5" s="32">
        <f t="shared" si="0"/>
        <v>89</v>
      </c>
      <c r="R5" s="32">
        <f t="shared" si="0"/>
        <v>90.8</v>
      </c>
      <c r="S5" s="32">
        <f t="shared" si="0"/>
        <v>93.9</v>
      </c>
      <c r="T5" s="32">
        <f t="shared" si="0"/>
        <v>92.5</v>
      </c>
      <c r="U5" s="32">
        <f t="shared" si="0"/>
        <v>94.1</v>
      </c>
      <c r="V5" s="32">
        <f t="shared" si="0"/>
        <v>87.3</v>
      </c>
      <c r="W5" s="32">
        <f t="shared" si="0"/>
        <v>84</v>
      </c>
      <c r="X5" s="32">
        <f t="shared" si="0"/>
        <v>84</v>
      </c>
      <c r="Y5" s="32">
        <f t="shared" si="0"/>
        <v>83.7</v>
      </c>
      <c r="Z5" s="32">
        <f t="shared" si="0"/>
        <v>64.7</v>
      </c>
      <c r="AA5" s="32">
        <f t="shared" si="0"/>
        <v>64.7</v>
      </c>
      <c r="AB5" s="32">
        <f t="shared" si="0"/>
        <v>82.5</v>
      </c>
      <c r="AC5" s="32">
        <f t="shared" si="0"/>
        <v>84.5</v>
      </c>
      <c r="AD5" s="32">
        <f t="shared" si="0"/>
        <v>96.4</v>
      </c>
      <c r="AE5" s="32">
        <f t="shared" si="0"/>
        <v>75.5</v>
      </c>
      <c r="AF5" s="32">
        <f>B68</f>
        <v>73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"&amp;ROUND(B218,0)&amp;"MW at "&amp;TRUNC(B219*24,0)&amp;":"&amp;ROUND((B219*24-TRUNC(B219*24,0))*60,0)&amp;"hr at "&amp;ROUND(B220,1)&amp;"Hz     "&amp;A210&amp;" "&amp;ROUND(B210,0)&amp;"MW at "&amp;TRUNC(C210*24,0)&amp;":"&amp;ROUND((C210*24-TRUNC(C210*24,0))*6,0)&amp;"0hr"</f>
        <v>Evening Peak 0MW at 0:0hr at 0Hz     Morning Peak 1772MW at 9:00hr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Load=1577</v>
      </c>
      <c r="B7" s="37">
        <f>B75</f>
        <v>1807.7400000000002</v>
      </c>
      <c r="C7" s="37">
        <f t="shared" ref="C7:AF7" si="1">C75</f>
        <v>1732.5400000000002</v>
      </c>
      <c r="D7" s="37">
        <f t="shared" si="1"/>
        <v>1710.9400000000003</v>
      </c>
      <c r="E7" s="37">
        <f t="shared" si="1"/>
        <v>1618.74</v>
      </c>
      <c r="F7" s="37">
        <f t="shared" si="1"/>
        <v>1596.14</v>
      </c>
      <c r="G7" s="37">
        <f t="shared" si="1"/>
        <v>1576.8400000000001</v>
      </c>
      <c r="H7" s="37">
        <f t="shared" si="1"/>
        <v>1606.94</v>
      </c>
      <c r="I7" s="37">
        <f t="shared" si="1"/>
        <v>1582.54</v>
      </c>
      <c r="J7" s="37">
        <f t="shared" si="1"/>
        <v>1632.42</v>
      </c>
      <c r="K7" s="37">
        <f t="shared" si="1"/>
        <v>1631.1400000000003</v>
      </c>
      <c r="L7" s="37">
        <f t="shared" si="1"/>
        <v>1636.44</v>
      </c>
      <c r="M7" s="37">
        <f t="shared" si="1"/>
        <v>1738.94</v>
      </c>
      <c r="N7" s="37">
        <f t="shared" si="1"/>
        <v>1772.2400000000002</v>
      </c>
      <c r="O7" s="37">
        <f t="shared" si="1"/>
        <v>1777.2400000000002</v>
      </c>
      <c r="P7" s="37">
        <f t="shared" si="1"/>
        <v>1772.8400000000001</v>
      </c>
      <c r="Q7" s="37">
        <f t="shared" si="1"/>
        <v>1775.7400000000002</v>
      </c>
      <c r="R7" s="37">
        <f t="shared" si="1"/>
        <v>1889.7400000000002</v>
      </c>
      <c r="S7" s="37">
        <f t="shared" si="1"/>
        <v>1812.2400000000002</v>
      </c>
      <c r="T7" s="37">
        <f t="shared" si="1"/>
        <v>1785.8400000000001</v>
      </c>
      <c r="U7" s="37">
        <f t="shared" si="1"/>
        <v>1785.5400000000002</v>
      </c>
      <c r="V7" s="37">
        <f t="shared" si="1"/>
        <v>1781.8400000000001</v>
      </c>
      <c r="W7" s="37">
        <f t="shared" si="1"/>
        <v>1759.44</v>
      </c>
      <c r="X7" s="37">
        <f t="shared" si="1"/>
        <v>1753.2400000000002</v>
      </c>
      <c r="Y7" s="37">
        <f t="shared" si="1"/>
        <v>1697.4400000000003</v>
      </c>
      <c r="Z7" s="37">
        <f t="shared" si="1"/>
        <v>1717.5400000000002</v>
      </c>
      <c r="AA7" s="37">
        <f t="shared" si="1"/>
        <v>1678.6400000000003</v>
      </c>
      <c r="AB7" s="37">
        <f t="shared" si="1"/>
        <v>1726.9400000000003</v>
      </c>
      <c r="AC7" s="37">
        <f t="shared" si="1"/>
        <v>1804.7400000000002</v>
      </c>
      <c r="AD7" s="37">
        <f t="shared" si="1"/>
        <v>1823.24</v>
      </c>
      <c r="AE7" s="37">
        <f t="shared" si="1"/>
        <v>1792.14</v>
      </c>
      <c r="AF7" s="37">
        <f t="shared" si="1"/>
        <v>1807.0400000000004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>
        <v>456</v>
      </c>
      <c r="C11" s="70">
        <v>456</v>
      </c>
      <c r="D11" s="70">
        <v>456</v>
      </c>
      <c r="E11" s="70">
        <v>400</v>
      </c>
      <c r="F11" s="51">
        <v>420</v>
      </c>
      <c r="G11" s="51">
        <v>400</v>
      </c>
      <c r="H11" s="51">
        <v>370</v>
      </c>
      <c r="I11" s="51">
        <v>370</v>
      </c>
      <c r="J11" s="52">
        <v>370</v>
      </c>
      <c r="K11" s="52">
        <v>370</v>
      </c>
      <c r="L11" s="52">
        <v>375</v>
      </c>
      <c r="M11" s="52">
        <v>456</v>
      </c>
      <c r="N11" s="52">
        <v>456</v>
      </c>
      <c r="O11" s="52">
        <v>456</v>
      </c>
      <c r="P11" s="52">
        <v>456</v>
      </c>
      <c r="Q11" s="52">
        <v>456</v>
      </c>
      <c r="R11" s="52">
        <v>456</v>
      </c>
      <c r="S11" s="49">
        <v>456</v>
      </c>
      <c r="T11" s="49">
        <v>456</v>
      </c>
      <c r="U11" s="49">
        <v>456</v>
      </c>
      <c r="V11" s="49">
        <v>456</v>
      </c>
      <c r="W11" s="49">
        <v>456</v>
      </c>
      <c r="X11" s="49">
        <v>456</v>
      </c>
      <c r="Y11" s="49">
        <v>400</v>
      </c>
      <c r="Z11" s="49">
        <v>420</v>
      </c>
      <c r="AA11" s="49">
        <v>400</v>
      </c>
      <c r="AB11" s="49">
        <v>400</v>
      </c>
      <c r="AC11" s="49">
        <v>456</v>
      </c>
      <c r="AD11" s="49">
        <v>456</v>
      </c>
      <c r="AE11" s="49">
        <v>436</v>
      </c>
      <c r="AF11" s="49">
        <v>456</v>
      </c>
      <c r="AG11" s="53">
        <v>456</v>
      </c>
      <c r="AH11" s="54">
        <f>MAX(B11:AF11)</f>
        <v>456</v>
      </c>
      <c r="AI11" s="55">
        <f>MIN(B11:AF11)</f>
        <v>370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>
        <v>60</v>
      </c>
      <c r="C12" s="51">
        <v>60</v>
      </c>
      <c r="D12" s="51">
        <v>60</v>
      </c>
      <c r="E12" s="51">
        <v>60</v>
      </c>
      <c r="F12" s="51">
        <v>60</v>
      </c>
      <c r="G12" s="51">
        <v>60</v>
      </c>
      <c r="H12" s="51">
        <v>60</v>
      </c>
      <c r="I12" s="51">
        <v>60</v>
      </c>
      <c r="J12" s="51">
        <v>60</v>
      </c>
      <c r="K12" s="51">
        <v>60</v>
      </c>
      <c r="L12" s="51">
        <v>60</v>
      </c>
      <c r="M12" s="51">
        <v>60</v>
      </c>
      <c r="N12" s="51">
        <v>60</v>
      </c>
      <c r="O12" s="51">
        <v>60</v>
      </c>
      <c r="P12" s="51">
        <v>60</v>
      </c>
      <c r="Q12" s="51">
        <v>60</v>
      </c>
      <c r="R12" s="51">
        <v>60</v>
      </c>
      <c r="S12" s="51">
        <v>60</v>
      </c>
      <c r="T12" s="51">
        <v>60</v>
      </c>
      <c r="U12" s="51">
        <v>60</v>
      </c>
      <c r="V12" s="51">
        <v>60</v>
      </c>
      <c r="W12" s="51">
        <v>60</v>
      </c>
      <c r="X12" s="51">
        <v>58</v>
      </c>
      <c r="Y12" s="51">
        <v>58</v>
      </c>
      <c r="Z12" s="51">
        <v>58</v>
      </c>
      <c r="AA12" s="51">
        <v>58</v>
      </c>
      <c r="AB12" s="51">
        <v>58</v>
      </c>
      <c r="AC12" s="51">
        <v>58</v>
      </c>
      <c r="AD12" s="51">
        <v>58</v>
      </c>
      <c r="AE12" s="51">
        <v>58</v>
      </c>
      <c r="AF12" s="51">
        <v>58</v>
      </c>
      <c r="AG12" s="58">
        <v>60</v>
      </c>
      <c r="AH12" s="54">
        <f t="shared" ref="AH12:AH75" si="2">MAX(B12:AF12)</f>
        <v>60</v>
      </c>
      <c r="AI12" s="55">
        <f t="shared" ref="AI12:AI75" si="3">MIN(B12:AF12)</f>
        <v>58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>
        <v>29</v>
      </c>
      <c r="C13" s="51">
        <v>29</v>
      </c>
      <c r="D13" s="51">
        <v>29</v>
      </c>
      <c r="E13" s="51">
        <v>33.700000000000003</v>
      </c>
      <c r="F13" s="51">
        <v>33.700000000000003</v>
      </c>
      <c r="G13" s="51">
        <v>33.700000000000003</v>
      </c>
      <c r="H13" s="51">
        <v>33.700000000000003</v>
      </c>
      <c r="I13" s="51">
        <v>33.700000000000003</v>
      </c>
      <c r="J13" s="51">
        <v>33.700000000000003</v>
      </c>
      <c r="K13" s="51">
        <v>33.700000000000003</v>
      </c>
      <c r="L13" s="51">
        <v>33.700000000000003</v>
      </c>
      <c r="M13" s="51">
        <v>33.700000000000003</v>
      </c>
      <c r="N13" s="51">
        <v>33.700000000000003</v>
      </c>
      <c r="O13" s="51">
        <v>33.700000000000003</v>
      </c>
      <c r="P13" s="51">
        <v>33.700000000000003</v>
      </c>
      <c r="Q13" s="51">
        <v>33.700000000000003</v>
      </c>
      <c r="R13" s="51">
        <v>33.700000000000003</v>
      </c>
      <c r="S13" s="51">
        <v>33.700000000000003</v>
      </c>
      <c r="T13" s="51">
        <v>33.700000000000003</v>
      </c>
      <c r="U13" s="51">
        <v>33.700000000000003</v>
      </c>
      <c r="V13" s="51">
        <v>33.700000000000003</v>
      </c>
      <c r="W13" s="51">
        <v>33.700000000000003</v>
      </c>
      <c r="X13" s="51">
        <v>32.1</v>
      </c>
      <c r="Y13" s="51">
        <v>32.1</v>
      </c>
      <c r="Z13" s="51">
        <v>32.1</v>
      </c>
      <c r="AA13" s="51">
        <v>32.1</v>
      </c>
      <c r="AB13" s="51">
        <v>32.1</v>
      </c>
      <c r="AC13" s="51">
        <v>32.1</v>
      </c>
      <c r="AD13" s="51">
        <v>29.3</v>
      </c>
      <c r="AE13" s="51">
        <v>31.7</v>
      </c>
      <c r="AF13" s="51">
        <v>36</v>
      </c>
      <c r="AG13" s="58">
        <v>52.4</v>
      </c>
      <c r="AH13" s="54">
        <f t="shared" si="2"/>
        <v>36</v>
      </c>
      <c r="AI13" s="55">
        <f t="shared" si="3"/>
        <v>29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>
        <v>30</v>
      </c>
      <c r="C14" s="51">
        <v>35</v>
      </c>
      <c r="D14" s="51">
        <v>50.6</v>
      </c>
      <c r="E14" s="51">
        <v>50.4</v>
      </c>
      <c r="F14" s="51">
        <v>50.4</v>
      </c>
      <c r="G14" s="51">
        <v>50.4</v>
      </c>
      <c r="H14" s="51">
        <v>50.4</v>
      </c>
      <c r="I14" s="51">
        <v>50.4</v>
      </c>
      <c r="J14" s="51">
        <v>50.4</v>
      </c>
      <c r="K14" s="51">
        <v>50.4</v>
      </c>
      <c r="L14" s="51">
        <v>50.4</v>
      </c>
      <c r="M14" s="51">
        <v>50.4</v>
      </c>
      <c r="N14" s="51">
        <v>50.4</v>
      </c>
      <c r="O14" s="51">
        <v>50.4</v>
      </c>
      <c r="P14" s="51">
        <v>50.4</v>
      </c>
      <c r="Q14" s="51">
        <v>50.4</v>
      </c>
      <c r="R14" s="51">
        <v>50.4</v>
      </c>
      <c r="S14" s="51">
        <v>50.4</v>
      </c>
      <c r="T14" s="51">
        <v>50.4</v>
      </c>
      <c r="U14" s="51">
        <v>50.4</v>
      </c>
      <c r="V14" s="51">
        <v>50.4</v>
      </c>
      <c r="W14" s="51">
        <v>50.4</v>
      </c>
      <c r="X14" s="51">
        <v>50.4</v>
      </c>
      <c r="Y14" s="51">
        <v>50.4</v>
      </c>
      <c r="Z14" s="51">
        <v>50.4</v>
      </c>
      <c r="AA14" s="51">
        <v>50.4</v>
      </c>
      <c r="AB14" s="51">
        <v>50.4</v>
      </c>
      <c r="AC14" s="51">
        <v>50.4</v>
      </c>
      <c r="AD14" s="51">
        <v>50.2</v>
      </c>
      <c r="AE14" s="51">
        <v>50.5</v>
      </c>
      <c r="AF14" s="51">
        <v>50.7</v>
      </c>
      <c r="AG14" s="58">
        <v>50</v>
      </c>
      <c r="AH14" s="54">
        <f t="shared" si="2"/>
        <v>50.7</v>
      </c>
      <c r="AI14" s="55">
        <f t="shared" si="3"/>
        <v>30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>
        <v>45.7</v>
      </c>
      <c r="C15" s="51">
        <v>45.7</v>
      </c>
      <c r="D15" s="51">
        <v>45.7</v>
      </c>
      <c r="E15" s="51">
        <v>45.7</v>
      </c>
      <c r="F15" s="51">
        <v>45.7</v>
      </c>
      <c r="G15" s="51">
        <v>45.7</v>
      </c>
      <c r="H15" s="51">
        <v>45.7</v>
      </c>
      <c r="I15" s="51">
        <v>45.7</v>
      </c>
      <c r="J15" s="51">
        <v>45.7</v>
      </c>
      <c r="K15" s="51">
        <v>45.7</v>
      </c>
      <c r="L15" s="51">
        <v>45.7</v>
      </c>
      <c r="M15" s="51">
        <v>45.7</v>
      </c>
      <c r="N15" s="51">
        <v>45.7</v>
      </c>
      <c r="O15" s="51">
        <v>45.7</v>
      </c>
      <c r="P15" s="51">
        <v>45.7</v>
      </c>
      <c r="Q15" s="51">
        <v>45.7</v>
      </c>
      <c r="R15" s="51">
        <v>45.7</v>
      </c>
      <c r="S15" s="51">
        <v>45.7</v>
      </c>
      <c r="T15" s="51">
        <v>45.7</v>
      </c>
      <c r="U15" s="51">
        <v>45.7</v>
      </c>
      <c r="V15" s="51">
        <v>45.7</v>
      </c>
      <c r="W15" s="51">
        <v>45.7</v>
      </c>
      <c r="X15" s="51">
        <v>45.7</v>
      </c>
      <c r="Y15" s="51">
        <v>45.7</v>
      </c>
      <c r="Z15" s="51">
        <v>45.7</v>
      </c>
      <c r="AA15" s="51">
        <v>45.7</v>
      </c>
      <c r="AB15" s="51">
        <v>45.7</v>
      </c>
      <c r="AC15" s="51">
        <v>45.7</v>
      </c>
      <c r="AD15" s="51">
        <v>45.7</v>
      </c>
      <c r="AE15" s="51">
        <v>45.6</v>
      </c>
      <c r="AF15" s="51">
        <v>45.7</v>
      </c>
      <c r="AG15" s="59">
        <v>45</v>
      </c>
      <c r="AH15" s="54">
        <f t="shared" si="2"/>
        <v>45.7</v>
      </c>
      <c r="AI15" s="55">
        <f t="shared" si="3"/>
        <v>45.6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>
        <v>37</v>
      </c>
      <c r="C16" s="51">
        <v>40</v>
      </c>
      <c r="D16" s="51">
        <v>40</v>
      </c>
      <c r="E16" s="51">
        <v>38</v>
      </c>
      <c r="F16" s="51">
        <v>38</v>
      </c>
      <c r="G16" s="51">
        <v>38</v>
      </c>
      <c r="H16" s="51">
        <v>38</v>
      </c>
      <c r="I16" s="51">
        <v>38</v>
      </c>
      <c r="J16" s="51">
        <v>38</v>
      </c>
      <c r="K16" s="51">
        <v>38</v>
      </c>
      <c r="L16" s="51">
        <v>38</v>
      </c>
      <c r="M16" s="51">
        <v>38</v>
      </c>
      <c r="N16" s="51">
        <v>38</v>
      </c>
      <c r="O16" s="51">
        <v>38</v>
      </c>
      <c r="P16" s="51">
        <v>33</v>
      </c>
      <c r="Q16" s="51">
        <v>33</v>
      </c>
      <c r="R16" s="51">
        <v>33</v>
      </c>
      <c r="S16" s="51">
        <v>35</v>
      </c>
      <c r="T16" s="51">
        <v>34</v>
      </c>
      <c r="U16" s="51">
        <v>34</v>
      </c>
      <c r="V16" s="51">
        <v>34</v>
      </c>
      <c r="W16" s="51">
        <v>34</v>
      </c>
      <c r="X16" s="51">
        <v>34</v>
      </c>
      <c r="Y16" s="51">
        <v>34</v>
      </c>
      <c r="Z16" s="51">
        <v>34</v>
      </c>
      <c r="AA16" s="51">
        <v>34</v>
      </c>
      <c r="AB16" s="51">
        <v>34</v>
      </c>
      <c r="AC16" s="51">
        <v>34</v>
      </c>
      <c r="AD16" s="51">
        <v>40</v>
      </c>
      <c r="AE16" s="51">
        <v>40</v>
      </c>
      <c r="AF16" s="51">
        <v>40</v>
      </c>
      <c r="AG16" s="58">
        <v>45</v>
      </c>
      <c r="AH16" s="54">
        <f t="shared" si="2"/>
        <v>40</v>
      </c>
      <c r="AI16" s="55">
        <f t="shared" si="3"/>
        <v>33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>
        <v>20</v>
      </c>
      <c r="C17" s="51">
        <v>20</v>
      </c>
      <c r="D17" s="51">
        <v>20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12.5</v>
      </c>
      <c r="O17" s="51">
        <v>12.5</v>
      </c>
      <c r="P17" s="51">
        <v>12.5</v>
      </c>
      <c r="Q17" s="51">
        <v>12.5</v>
      </c>
      <c r="R17" s="51">
        <v>12.5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25</v>
      </c>
      <c r="AC17" s="51">
        <v>25</v>
      </c>
      <c r="AD17" s="51">
        <v>25</v>
      </c>
      <c r="AE17" s="51">
        <v>25</v>
      </c>
      <c r="AF17" s="51">
        <v>25</v>
      </c>
      <c r="AG17" s="58">
        <v>42</v>
      </c>
      <c r="AH17" s="54">
        <f t="shared" si="2"/>
        <v>25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14</v>
      </c>
      <c r="S18" s="51">
        <v>14</v>
      </c>
      <c r="T18" s="51">
        <v>14</v>
      </c>
      <c r="U18" s="51">
        <v>14</v>
      </c>
      <c r="V18" s="51">
        <v>14</v>
      </c>
      <c r="W18" s="51">
        <v>14</v>
      </c>
      <c r="X18" s="51">
        <v>14</v>
      </c>
      <c r="Y18" s="51">
        <v>14</v>
      </c>
      <c r="Z18" s="51">
        <v>14</v>
      </c>
      <c r="AA18" s="51">
        <v>14</v>
      </c>
      <c r="AB18" s="51">
        <v>15</v>
      </c>
      <c r="AC18" s="51">
        <v>25</v>
      </c>
      <c r="AD18" s="51">
        <v>25</v>
      </c>
      <c r="AE18" s="51">
        <v>25</v>
      </c>
      <c r="AF18" s="51">
        <v>25</v>
      </c>
      <c r="AG18" s="58">
        <v>36</v>
      </c>
      <c r="AH18" s="54">
        <f t="shared" si="2"/>
        <v>25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>
        <v>26</v>
      </c>
      <c r="C19" s="51">
        <v>26</v>
      </c>
      <c r="D19" s="51">
        <v>26</v>
      </c>
      <c r="E19" s="51">
        <v>26.2</v>
      </c>
      <c r="F19" s="51">
        <v>26.2</v>
      </c>
      <c r="G19" s="51">
        <v>26.2</v>
      </c>
      <c r="H19" s="51">
        <v>26.2</v>
      </c>
      <c r="I19" s="51">
        <v>26.2</v>
      </c>
      <c r="J19" s="51">
        <v>26.2</v>
      </c>
      <c r="K19" s="51">
        <v>26.2</v>
      </c>
      <c r="L19" s="51">
        <v>26.2</v>
      </c>
      <c r="M19" s="51">
        <v>26.2</v>
      </c>
      <c r="N19" s="51">
        <v>26.2</v>
      </c>
      <c r="O19" s="51">
        <v>26.2</v>
      </c>
      <c r="P19" s="51">
        <v>26.2</v>
      </c>
      <c r="Q19" s="51">
        <v>26.2</v>
      </c>
      <c r="R19" s="51">
        <v>26.2</v>
      </c>
      <c r="S19" s="51">
        <v>26.2</v>
      </c>
      <c r="T19" s="51">
        <v>26.2</v>
      </c>
      <c r="U19" s="51">
        <v>26.2</v>
      </c>
      <c r="V19" s="51">
        <v>26.2</v>
      </c>
      <c r="W19" s="51">
        <v>26.2</v>
      </c>
      <c r="X19" s="51">
        <v>26.2</v>
      </c>
      <c r="Y19" s="51">
        <v>26.2</v>
      </c>
      <c r="Z19" s="51">
        <v>26.2</v>
      </c>
      <c r="AA19" s="51">
        <v>26.2</v>
      </c>
      <c r="AB19" s="51">
        <v>26.2</v>
      </c>
      <c r="AC19" s="51">
        <v>26.2</v>
      </c>
      <c r="AD19" s="51">
        <v>26.2</v>
      </c>
      <c r="AE19" s="51">
        <v>26.2</v>
      </c>
      <c r="AF19" s="51">
        <v>26.1</v>
      </c>
      <c r="AG19" s="58">
        <v>30</v>
      </c>
      <c r="AH19" s="54">
        <f t="shared" si="2"/>
        <v>26.2</v>
      </c>
      <c r="AI19" s="55">
        <f t="shared" si="3"/>
        <v>26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>
        <v>0</v>
      </c>
      <c r="C20" s="51">
        <v>0</v>
      </c>
      <c r="D20" s="51">
        <v>0</v>
      </c>
      <c r="E20" s="51">
        <v>11</v>
      </c>
      <c r="F20" s="51">
        <v>11</v>
      </c>
      <c r="G20" s="51">
        <v>11</v>
      </c>
      <c r="H20" s="51">
        <v>11</v>
      </c>
      <c r="I20" s="51">
        <v>11</v>
      </c>
      <c r="J20" s="51">
        <v>11</v>
      </c>
      <c r="K20" s="51">
        <v>11</v>
      </c>
      <c r="L20" s="51">
        <v>11</v>
      </c>
      <c r="M20" s="51">
        <v>11</v>
      </c>
      <c r="N20" s="51">
        <v>11</v>
      </c>
      <c r="O20" s="51">
        <v>11</v>
      </c>
      <c r="P20" s="51">
        <v>11</v>
      </c>
      <c r="Q20" s="51">
        <v>11</v>
      </c>
      <c r="R20" s="51">
        <v>11</v>
      </c>
      <c r="S20" s="51">
        <v>11</v>
      </c>
      <c r="T20" s="51">
        <v>11</v>
      </c>
      <c r="U20" s="51">
        <v>11</v>
      </c>
      <c r="V20" s="51">
        <v>11</v>
      </c>
      <c r="W20" s="51">
        <v>11</v>
      </c>
      <c r="X20" s="51">
        <v>11</v>
      </c>
      <c r="Y20" s="51">
        <v>11</v>
      </c>
      <c r="Z20" s="51">
        <v>11</v>
      </c>
      <c r="AA20" s="51">
        <v>11</v>
      </c>
      <c r="AB20" s="51">
        <v>11</v>
      </c>
      <c r="AC20" s="51">
        <v>11</v>
      </c>
      <c r="AD20" s="51">
        <v>11</v>
      </c>
      <c r="AE20" s="51">
        <v>11</v>
      </c>
      <c r="AF20" s="51">
        <v>11</v>
      </c>
      <c r="AG20" s="58">
        <v>27</v>
      </c>
      <c r="AH20" s="54">
        <f t="shared" si="2"/>
        <v>11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>
        <v>4</v>
      </c>
      <c r="C21" s="51">
        <v>4</v>
      </c>
      <c r="D21" s="51">
        <v>4</v>
      </c>
      <c r="E21" s="51">
        <v>4</v>
      </c>
      <c r="F21" s="51">
        <v>4</v>
      </c>
      <c r="G21" s="51">
        <v>4</v>
      </c>
      <c r="H21" s="51">
        <v>4</v>
      </c>
      <c r="I21" s="51">
        <v>4</v>
      </c>
      <c r="J21" s="51">
        <v>4</v>
      </c>
      <c r="K21" s="51">
        <v>4</v>
      </c>
      <c r="L21" s="51">
        <v>4</v>
      </c>
      <c r="M21" s="51">
        <v>4</v>
      </c>
      <c r="N21" s="51">
        <v>4</v>
      </c>
      <c r="O21" s="51">
        <v>4</v>
      </c>
      <c r="P21" s="51">
        <v>4</v>
      </c>
      <c r="Q21" s="51">
        <v>4</v>
      </c>
      <c r="R21" s="51">
        <v>4</v>
      </c>
      <c r="S21" s="51">
        <v>4</v>
      </c>
      <c r="T21" s="51">
        <v>4</v>
      </c>
      <c r="U21" s="51">
        <v>4</v>
      </c>
      <c r="V21" s="51">
        <v>4</v>
      </c>
      <c r="W21" s="51">
        <v>4</v>
      </c>
      <c r="X21" s="51">
        <v>4</v>
      </c>
      <c r="Y21" s="51">
        <v>4</v>
      </c>
      <c r="Z21" s="51">
        <v>4</v>
      </c>
      <c r="AA21" s="51">
        <v>4</v>
      </c>
      <c r="AB21" s="51">
        <v>4</v>
      </c>
      <c r="AC21" s="51">
        <v>4</v>
      </c>
      <c r="AD21" s="51">
        <v>4</v>
      </c>
      <c r="AE21" s="51">
        <v>4</v>
      </c>
      <c r="AF21" s="51">
        <v>4</v>
      </c>
      <c r="AG21" s="58">
        <v>25</v>
      </c>
      <c r="AH21" s="54">
        <f t="shared" si="2"/>
        <v>4</v>
      </c>
      <c r="AI21" s="55">
        <f t="shared" si="3"/>
        <v>4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>
        <v>24.7</v>
      </c>
      <c r="C22" s="51">
        <v>24.7</v>
      </c>
      <c r="D22" s="51">
        <v>24.7</v>
      </c>
      <c r="E22" s="51">
        <v>24.7</v>
      </c>
      <c r="F22" s="51">
        <v>24.7</v>
      </c>
      <c r="G22" s="51">
        <v>24.7</v>
      </c>
      <c r="H22" s="51">
        <v>24.7</v>
      </c>
      <c r="I22" s="51">
        <v>24.7</v>
      </c>
      <c r="J22" s="51">
        <v>24.7</v>
      </c>
      <c r="K22" s="51">
        <v>24.7</v>
      </c>
      <c r="L22" s="51">
        <v>24.7</v>
      </c>
      <c r="M22" s="51">
        <v>24.7</v>
      </c>
      <c r="N22" s="51">
        <v>24.7</v>
      </c>
      <c r="O22" s="51">
        <v>24.7</v>
      </c>
      <c r="P22" s="51">
        <v>24.7</v>
      </c>
      <c r="Q22" s="51">
        <v>24.7</v>
      </c>
      <c r="R22" s="51">
        <v>24.7</v>
      </c>
      <c r="S22" s="51">
        <v>24.7</v>
      </c>
      <c r="T22" s="51">
        <v>24.7</v>
      </c>
      <c r="U22" s="51">
        <v>24.7</v>
      </c>
      <c r="V22" s="51">
        <v>24.7</v>
      </c>
      <c r="W22" s="51">
        <v>24.7</v>
      </c>
      <c r="X22" s="51">
        <v>24.7</v>
      </c>
      <c r="Y22" s="51">
        <v>24.7</v>
      </c>
      <c r="Z22" s="51">
        <v>24.7</v>
      </c>
      <c r="AA22" s="51">
        <v>24.7</v>
      </c>
      <c r="AB22" s="51">
        <v>24.7</v>
      </c>
      <c r="AC22" s="51">
        <v>24.7</v>
      </c>
      <c r="AD22" s="51">
        <v>24.7</v>
      </c>
      <c r="AE22" s="51">
        <v>24.7</v>
      </c>
      <c r="AF22" s="51">
        <v>24.6</v>
      </c>
      <c r="AG22" s="58">
        <v>25</v>
      </c>
      <c r="AH22" s="54">
        <f t="shared" si="2"/>
        <v>24.7</v>
      </c>
      <c r="AI22" s="55">
        <f t="shared" si="3"/>
        <v>24.6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>
        <v>10</v>
      </c>
      <c r="C23" s="51">
        <v>10</v>
      </c>
      <c r="D23" s="51">
        <v>10</v>
      </c>
      <c r="E23" s="51">
        <v>10</v>
      </c>
      <c r="F23" s="51">
        <v>10</v>
      </c>
      <c r="G23" s="51">
        <v>10</v>
      </c>
      <c r="H23" s="51">
        <v>0</v>
      </c>
      <c r="I23" s="51">
        <v>0</v>
      </c>
      <c r="J23" s="51">
        <v>0</v>
      </c>
      <c r="K23" s="51">
        <v>10</v>
      </c>
      <c r="L23" s="51">
        <v>10</v>
      </c>
      <c r="M23" s="51">
        <v>10</v>
      </c>
      <c r="N23" s="51">
        <v>10</v>
      </c>
      <c r="O23" s="51">
        <v>10</v>
      </c>
      <c r="P23" s="51">
        <v>10</v>
      </c>
      <c r="Q23" s="51">
        <v>10</v>
      </c>
      <c r="R23" s="51">
        <v>10</v>
      </c>
      <c r="S23" s="51">
        <v>10</v>
      </c>
      <c r="T23" s="51">
        <v>10</v>
      </c>
      <c r="U23" s="51">
        <v>10</v>
      </c>
      <c r="V23" s="51">
        <v>10</v>
      </c>
      <c r="W23" s="51">
        <v>10</v>
      </c>
      <c r="X23" s="51">
        <v>10</v>
      </c>
      <c r="Y23" s="51">
        <v>10</v>
      </c>
      <c r="Z23" s="51">
        <v>10</v>
      </c>
      <c r="AA23" s="51">
        <v>10</v>
      </c>
      <c r="AB23" s="51">
        <v>10</v>
      </c>
      <c r="AC23" s="51">
        <v>10</v>
      </c>
      <c r="AD23" s="51">
        <v>10</v>
      </c>
      <c r="AE23" s="51">
        <v>10</v>
      </c>
      <c r="AF23" s="51">
        <v>10</v>
      </c>
      <c r="AG23" s="58">
        <v>25</v>
      </c>
      <c r="AH23" s="54">
        <f t="shared" si="2"/>
        <v>10</v>
      </c>
      <c r="AI23" s="55">
        <f t="shared" si="3"/>
        <v>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>
        <v>15.7</v>
      </c>
      <c r="C24" s="51">
        <v>15.7</v>
      </c>
      <c r="D24" s="51">
        <v>15.7</v>
      </c>
      <c r="E24" s="51">
        <v>15.7</v>
      </c>
      <c r="F24" s="51">
        <v>15.7</v>
      </c>
      <c r="G24" s="51">
        <v>15.7</v>
      </c>
      <c r="H24" s="51">
        <v>15.7</v>
      </c>
      <c r="I24" s="51">
        <v>15.7</v>
      </c>
      <c r="J24" s="51">
        <v>15.7</v>
      </c>
      <c r="K24" s="51">
        <v>15.7</v>
      </c>
      <c r="L24" s="51">
        <v>15.7</v>
      </c>
      <c r="M24" s="51">
        <v>15.7</v>
      </c>
      <c r="N24" s="51">
        <v>15.7</v>
      </c>
      <c r="O24" s="51">
        <v>15.7</v>
      </c>
      <c r="P24" s="51">
        <v>15.7</v>
      </c>
      <c r="Q24" s="51">
        <v>15.7</v>
      </c>
      <c r="R24" s="51">
        <v>15.7</v>
      </c>
      <c r="S24" s="51">
        <v>15.7</v>
      </c>
      <c r="T24" s="51">
        <v>15.7</v>
      </c>
      <c r="U24" s="51">
        <v>15.7</v>
      </c>
      <c r="V24" s="51">
        <v>15.7</v>
      </c>
      <c r="W24" s="51">
        <v>15.7</v>
      </c>
      <c r="X24" s="51">
        <v>15.7</v>
      </c>
      <c r="Y24" s="51">
        <v>15.7</v>
      </c>
      <c r="Z24" s="51">
        <v>15.7</v>
      </c>
      <c r="AA24" s="51">
        <v>15.7</v>
      </c>
      <c r="AB24" s="51">
        <v>15.7</v>
      </c>
      <c r="AC24" s="51">
        <v>15.7</v>
      </c>
      <c r="AD24" s="51">
        <v>23.9</v>
      </c>
      <c r="AE24" s="51">
        <v>23.9</v>
      </c>
      <c r="AF24" s="51">
        <v>23.1</v>
      </c>
      <c r="AG24" s="58">
        <v>25</v>
      </c>
      <c r="AH24" s="54">
        <f t="shared" si="2"/>
        <v>23.9</v>
      </c>
      <c r="AI24" s="55">
        <f t="shared" si="3"/>
        <v>15.7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>
        <v>14</v>
      </c>
      <c r="C25" s="51">
        <v>14</v>
      </c>
      <c r="D25" s="51">
        <v>14</v>
      </c>
      <c r="E25" s="51">
        <v>14</v>
      </c>
      <c r="F25" s="51">
        <v>14</v>
      </c>
      <c r="G25" s="51">
        <v>14</v>
      </c>
      <c r="H25" s="51">
        <v>0</v>
      </c>
      <c r="I25" s="51">
        <v>0</v>
      </c>
      <c r="J25" s="51">
        <v>15</v>
      </c>
      <c r="K25" s="51">
        <v>20</v>
      </c>
      <c r="L25" s="51">
        <v>20</v>
      </c>
      <c r="M25" s="51">
        <v>20</v>
      </c>
      <c r="N25" s="51">
        <v>20</v>
      </c>
      <c r="O25" s="51">
        <v>20</v>
      </c>
      <c r="P25" s="51">
        <v>20</v>
      </c>
      <c r="Q25" s="51">
        <v>20</v>
      </c>
      <c r="R25" s="51">
        <v>20</v>
      </c>
      <c r="S25" s="51">
        <v>20</v>
      </c>
      <c r="T25" s="51">
        <v>20</v>
      </c>
      <c r="U25" s="51">
        <v>20</v>
      </c>
      <c r="V25" s="51">
        <v>20</v>
      </c>
      <c r="W25" s="51">
        <v>20</v>
      </c>
      <c r="X25" s="51">
        <v>20</v>
      </c>
      <c r="Y25" s="51">
        <v>20</v>
      </c>
      <c r="Z25" s="51">
        <v>20</v>
      </c>
      <c r="AA25" s="51">
        <v>20</v>
      </c>
      <c r="AB25" s="51">
        <v>20</v>
      </c>
      <c r="AC25" s="51">
        <v>20</v>
      </c>
      <c r="AD25" s="51">
        <v>20</v>
      </c>
      <c r="AE25" s="51">
        <v>20</v>
      </c>
      <c r="AF25" s="51">
        <v>20</v>
      </c>
      <c r="AG25" s="58">
        <v>24.2</v>
      </c>
      <c r="AH25" s="54">
        <f t="shared" si="2"/>
        <v>20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>
        <v>10</v>
      </c>
      <c r="C26" s="51">
        <v>10</v>
      </c>
      <c r="D26" s="51">
        <v>10</v>
      </c>
      <c r="E26" s="51">
        <v>10</v>
      </c>
      <c r="F26" s="51">
        <v>10</v>
      </c>
      <c r="G26" s="51">
        <v>10</v>
      </c>
      <c r="H26" s="51">
        <v>10</v>
      </c>
      <c r="I26" s="51">
        <v>10</v>
      </c>
      <c r="J26" s="51">
        <v>10</v>
      </c>
      <c r="K26" s="51">
        <v>10</v>
      </c>
      <c r="L26" s="51">
        <v>10</v>
      </c>
      <c r="M26" s="51">
        <v>10</v>
      </c>
      <c r="N26" s="51">
        <v>10</v>
      </c>
      <c r="O26" s="51">
        <v>10</v>
      </c>
      <c r="P26" s="51">
        <v>10</v>
      </c>
      <c r="Q26" s="51">
        <v>10</v>
      </c>
      <c r="R26" s="51">
        <v>10</v>
      </c>
      <c r="S26" s="51">
        <v>10</v>
      </c>
      <c r="T26" s="51">
        <v>10</v>
      </c>
      <c r="U26" s="51">
        <v>10</v>
      </c>
      <c r="V26" s="51">
        <v>10</v>
      </c>
      <c r="W26" s="51">
        <v>10</v>
      </c>
      <c r="X26" s="51">
        <v>10</v>
      </c>
      <c r="Y26" s="51">
        <v>10</v>
      </c>
      <c r="Z26" s="51">
        <v>10</v>
      </c>
      <c r="AA26" s="51">
        <v>10</v>
      </c>
      <c r="AB26" s="51">
        <v>10</v>
      </c>
      <c r="AC26" s="51">
        <v>10</v>
      </c>
      <c r="AD26" s="51">
        <v>10</v>
      </c>
      <c r="AE26" s="51">
        <v>10</v>
      </c>
      <c r="AF26" s="51">
        <v>10</v>
      </c>
      <c r="AG26" s="58">
        <v>20</v>
      </c>
      <c r="AH26" s="54">
        <f t="shared" si="2"/>
        <v>10</v>
      </c>
      <c r="AI26" s="55">
        <f t="shared" si="3"/>
        <v>10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>
        <v>8</v>
      </c>
      <c r="C27" s="51">
        <v>8</v>
      </c>
      <c r="D27" s="51">
        <v>8</v>
      </c>
      <c r="E27" s="51">
        <v>8</v>
      </c>
      <c r="F27" s="51">
        <v>8</v>
      </c>
      <c r="G27" s="51">
        <v>8</v>
      </c>
      <c r="H27" s="51">
        <v>0</v>
      </c>
      <c r="I27" s="51">
        <v>0</v>
      </c>
      <c r="J27" s="51">
        <v>8</v>
      </c>
      <c r="K27" s="51">
        <v>8</v>
      </c>
      <c r="L27" s="51">
        <v>8</v>
      </c>
      <c r="M27" s="51">
        <v>8</v>
      </c>
      <c r="N27" s="51">
        <v>8</v>
      </c>
      <c r="O27" s="51">
        <v>8</v>
      </c>
      <c r="P27" s="51">
        <v>8</v>
      </c>
      <c r="Q27" s="51">
        <v>8</v>
      </c>
      <c r="R27" s="51">
        <v>8</v>
      </c>
      <c r="S27" s="51">
        <v>8</v>
      </c>
      <c r="T27" s="51">
        <v>8</v>
      </c>
      <c r="U27" s="51">
        <v>8</v>
      </c>
      <c r="V27" s="51">
        <v>8</v>
      </c>
      <c r="W27" s="51">
        <v>8</v>
      </c>
      <c r="X27" s="51">
        <v>8</v>
      </c>
      <c r="Y27" s="51">
        <v>8</v>
      </c>
      <c r="Z27" s="51">
        <v>8</v>
      </c>
      <c r="AA27" s="51">
        <v>8</v>
      </c>
      <c r="AB27" s="51">
        <v>8</v>
      </c>
      <c r="AC27" s="51">
        <v>8</v>
      </c>
      <c r="AD27" s="51">
        <v>8</v>
      </c>
      <c r="AE27" s="51">
        <v>8</v>
      </c>
      <c r="AF27" s="51">
        <v>8</v>
      </c>
      <c r="AG27" s="58">
        <v>23.5</v>
      </c>
      <c r="AH27" s="54">
        <f t="shared" si="2"/>
        <v>8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>
        <v>7</v>
      </c>
      <c r="C28" s="51">
        <v>7</v>
      </c>
      <c r="D28" s="51">
        <v>7</v>
      </c>
      <c r="E28" s="51">
        <v>7</v>
      </c>
      <c r="F28" s="51">
        <v>7</v>
      </c>
      <c r="G28" s="51">
        <v>7</v>
      </c>
      <c r="H28" s="51">
        <v>7</v>
      </c>
      <c r="I28" s="51">
        <v>7</v>
      </c>
      <c r="J28" s="51">
        <v>7</v>
      </c>
      <c r="K28" s="51">
        <v>7</v>
      </c>
      <c r="L28" s="51">
        <v>7</v>
      </c>
      <c r="M28" s="51">
        <v>7</v>
      </c>
      <c r="N28" s="51">
        <v>7</v>
      </c>
      <c r="O28" s="51">
        <v>7</v>
      </c>
      <c r="P28" s="51">
        <v>7</v>
      </c>
      <c r="Q28" s="51">
        <v>7</v>
      </c>
      <c r="R28" s="51">
        <v>7</v>
      </c>
      <c r="S28" s="51">
        <v>7</v>
      </c>
      <c r="T28" s="51">
        <v>7</v>
      </c>
      <c r="U28" s="51">
        <v>7</v>
      </c>
      <c r="V28" s="51">
        <v>7</v>
      </c>
      <c r="W28" s="51">
        <v>7</v>
      </c>
      <c r="X28" s="51">
        <v>7</v>
      </c>
      <c r="Y28" s="51">
        <v>7</v>
      </c>
      <c r="Z28" s="51">
        <v>7</v>
      </c>
      <c r="AA28" s="51">
        <v>7</v>
      </c>
      <c r="AB28" s="51">
        <v>7</v>
      </c>
      <c r="AC28" s="51">
        <v>7</v>
      </c>
      <c r="AD28" s="51">
        <v>7</v>
      </c>
      <c r="AE28" s="51">
        <v>7</v>
      </c>
      <c r="AF28" s="51">
        <v>7</v>
      </c>
      <c r="AG28" s="58">
        <v>22.2</v>
      </c>
      <c r="AH28" s="54">
        <f t="shared" si="2"/>
        <v>7</v>
      </c>
      <c r="AI28" s="55">
        <f t="shared" si="3"/>
        <v>7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>
        <v>7</v>
      </c>
      <c r="C29" s="51">
        <v>7</v>
      </c>
      <c r="D29" s="51">
        <v>7</v>
      </c>
      <c r="E29" s="51">
        <v>7</v>
      </c>
      <c r="F29" s="51">
        <v>7</v>
      </c>
      <c r="G29" s="51">
        <v>7</v>
      </c>
      <c r="H29" s="51">
        <v>7</v>
      </c>
      <c r="I29" s="51">
        <v>7</v>
      </c>
      <c r="J29" s="51">
        <v>7</v>
      </c>
      <c r="K29" s="51">
        <v>7</v>
      </c>
      <c r="L29" s="51">
        <v>7</v>
      </c>
      <c r="M29" s="51">
        <v>7</v>
      </c>
      <c r="N29" s="51">
        <v>7</v>
      </c>
      <c r="O29" s="51">
        <v>7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7</v>
      </c>
      <c r="Y29" s="51">
        <v>7</v>
      </c>
      <c r="Z29" s="51">
        <v>7</v>
      </c>
      <c r="AA29" s="51">
        <v>7</v>
      </c>
      <c r="AB29" s="51">
        <v>7</v>
      </c>
      <c r="AC29" s="51">
        <v>7</v>
      </c>
      <c r="AD29" s="51">
        <v>7</v>
      </c>
      <c r="AE29" s="51">
        <v>7</v>
      </c>
      <c r="AF29" s="51">
        <v>7</v>
      </c>
      <c r="AG29" s="58">
        <v>22.1</v>
      </c>
      <c r="AH29" s="54">
        <f t="shared" si="2"/>
        <v>7</v>
      </c>
      <c r="AI29" s="55">
        <f t="shared" si="3"/>
        <v>7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>
        <v>12</v>
      </c>
      <c r="C30" s="51">
        <v>12</v>
      </c>
      <c r="D30" s="51">
        <v>12</v>
      </c>
      <c r="E30" s="51">
        <v>12</v>
      </c>
      <c r="F30" s="51">
        <v>12</v>
      </c>
      <c r="G30" s="51">
        <v>12</v>
      </c>
      <c r="H30" s="51">
        <v>12</v>
      </c>
      <c r="I30" s="51">
        <v>12</v>
      </c>
      <c r="J30" s="51">
        <v>12</v>
      </c>
      <c r="K30" s="51">
        <v>12</v>
      </c>
      <c r="L30" s="51">
        <v>12</v>
      </c>
      <c r="M30" s="51">
        <v>12</v>
      </c>
      <c r="N30" s="51">
        <v>12</v>
      </c>
      <c r="O30" s="51">
        <v>12</v>
      </c>
      <c r="P30" s="51">
        <v>12</v>
      </c>
      <c r="Q30" s="51">
        <v>12</v>
      </c>
      <c r="R30" s="51">
        <v>12</v>
      </c>
      <c r="S30" s="51">
        <v>12</v>
      </c>
      <c r="T30" s="51">
        <v>12</v>
      </c>
      <c r="U30" s="51">
        <v>12</v>
      </c>
      <c r="V30" s="51">
        <v>12</v>
      </c>
      <c r="W30" s="51">
        <v>12</v>
      </c>
      <c r="X30" s="51">
        <v>12</v>
      </c>
      <c r="Y30" s="51">
        <v>12</v>
      </c>
      <c r="Z30" s="51">
        <v>12</v>
      </c>
      <c r="AA30" s="51">
        <v>12</v>
      </c>
      <c r="AB30" s="51">
        <v>12</v>
      </c>
      <c r="AC30" s="51">
        <v>12</v>
      </c>
      <c r="AD30" s="51">
        <v>12</v>
      </c>
      <c r="AE30" s="51">
        <v>12</v>
      </c>
      <c r="AF30" s="51">
        <v>12</v>
      </c>
      <c r="AG30" s="58">
        <v>22.1</v>
      </c>
      <c r="AH30" s="54">
        <f t="shared" si="2"/>
        <v>12</v>
      </c>
      <c r="AI30" s="55">
        <f t="shared" si="3"/>
        <v>12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9">
        <v>22</v>
      </c>
      <c r="AH31" s="54">
        <f t="shared" si="2"/>
        <v>0</v>
      </c>
      <c r="AI31" s="55">
        <f t="shared" si="3"/>
        <v>0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>
        <v>7</v>
      </c>
      <c r="C32" s="51">
        <v>7</v>
      </c>
      <c r="D32" s="51">
        <v>7</v>
      </c>
      <c r="E32" s="51">
        <v>7</v>
      </c>
      <c r="F32" s="51">
        <v>7</v>
      </c>
      <c r="G32" s="51">
        <v>7</v>
      </c>
      <c r="H32" s="51">
        <v>7</v>
      </c>
      <c r="I32" s="51">
        <v>7</v>
      </c>
      <c r="J32" s="51">
        <v>7</v>
      </c>
      <c r="K32" s="51">
        <v>7</v>
      </c>
      <c r="L32" s="51">
        <v>7</v>
      </c>
      <c r="M32" s="51">
        <v>7</v>
      </c>
      <c r="N32" s="51">
        <v>7</v>
      </c>
      <c r="O32" s="51">
        <v>7</v>
      </c>
      <c r="P32" s="51">
        <v>7</v>
      </c>
      <c r="Q32" s="51">
        <v>7</v>
      </c>
      <c r="R32" s="51">
        <v>7</v>
      </c>
      <c r="S32" s="51">
        <v>7</v>
      </c>
      <c r="T32" s="51">
        <v>7</v>
      </c>
      <c r="U32" s="51">
        <v>7</v>
      </c>
      <c r="V32" s="51">
        <v>7</v>
      </c>
      <c r="W32" s="51">
        <v>7</v>
      </c>
      <c r="X32" s="51">
        <v>7</v>
      </c>
      <c r="Y32" s="51">
        <v>7</v>
      </c>
      <c r="Z32" s="51">
        <v>7</v>
      </c>
      <c r="AA32" s="51">
        <v>7</v>
      </c>
      <c r="AB32" s="51">
        <v>7</v>
      </c>
      <c r="AC32" s="51">
        <v>7</v>
      </c>
      <c r="AD32" s="51">
        <v>7</v>
      </c>
      <c r="AE32" s="51">
        <v>7</v>
      </c>
      <c r="AF32" s="51">
        <v>7</v>
      </c>
      <c r="AG32" s="63">
        <v>22</v>
      </c>
      <c r="AH32" s="54">
        <f t="shared" si="2"/>
        <v>7</v>
      </c>
      <c r="AI32" s="55">
        <f t="shared" si="3"/>
        <v>7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>
        <v>2.5</v>
      </c>
      <c r="C33" s="51">
        <v>2.5</v>
      </c>
      <c r="D33" s="51">
        <v>2.5</v>
      </c>
      <c r="E33" s="51">
        <v>2.5</v>
      </c>
      <c r="F33" s="51">
        <v>2.5</v>
      </c>
      <c r="G33" s="51">
        <v>2.5</v>
      </c>
      <c r="H33" s="51">
        <v>2.5</v>
      </c>
      <c r="I33" s="51">
        <v>2.5</v>
      </c>
      <c r="J33" s="51">
        <v>2.5</v>
      </c>
      <c r="K33" s="51">
        <v>2.5</v>
      </c>
      <c r="L33" s="51">
        <v>2.5</v>
      </c>
      <c r="M33" s="51">
        <v>2.5</v>
      </c>
      <c r="N33" s="51">
        <v>2.5</v>
      </c>
      <c r="O33" s="51">
        <v>2.5</v>
      </c>
      <c r="P33" s="51">
        <v>2.5</v>
      </c>
      <c r="Q33" s="51">
        <v>2.5</v>
      </c>
      <c r="R33" s="51">
        <v>2.5</v>
      </c>
      <c r="S33" s="51">
        <v>2.5</v>
      </c>
      <c r="T33" s="51">
        <v>2.5</v>
      </c>
      <c r="U33" s="51">
        <v>2.5</v>
      </c>
      <c r="V33" s="51">
        <v>2.5</v>
      </c>
      <c r="W33" s="51">
        <v>2.5</v>
      </c>
      <c r="X33" s="51">
        <v>2.5</v>
      </c>
      <c r="Y33" s="51">
        <v>2.5</v>
      </c>
      <c r="Z33" s="51">
        <v>2.5</v>
      </c>
      <c r="AA33" s="51">
        <v>2.5</v>
      </c>
      <c r="AB33" s="51">
        <v>2.5</v>
      </c>
      <c r="AC33" s="51">
        <v>2.5</v>
      </c>
      <c r="AD33" s="51">
        <v>2.5</v>
      </c>
      <c r="AE33" s="51">
        <v>2.5</v>
      </c>
      <c r="AF33" s="51">
        <v>2.5</v>
      </c>
      <c r="AG33" s="63">
        <v>11</v>
      </c>
      <c r="AH33" s="54">
        <f t="shared" si="2"/>
        <v>2.5</v>
      </c>
      <c r="AI33" s="55">
        <f t="shared" si="3"/>
        <v>2.5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>
        <v>8</v>
      </c>
      <c r="C34" s="51">
        <v>8</v>
      </c>
      <c r="D34" s="51">
        <v>8</v>
      </c>
      <c r="E34" s="51">
        <v>8</v>
      </c>
      <c r="F34" s="51">
        <v>8</v>
      </c>
      <c r="G34" s="51">
        <v>8</v>
      </c>
      <c r="H34" s="51">
        <v>8</v>
      </c>
      <c r="I34" s="51">
        <v>8</v>
      </c>
      <c r="J34" s="51">
        <v>8</v>
      </c>
      <c r="K34" s="51">
        <v>8</v>
      </c>
      <c r="L34" s="51">
        <v>8</v>
      </c>
      <c r="M34" s="51">
        <v>8</v>
      </c>
      <c r="N34" s="51">
        <v>8</v>
      </c>
      <c r="O34" s="51">
        <v>8</v>
      </c>
      <c r="P34" s="51">
        <v>8</v>
      </c>
      <c r="Q34" s="51">
        <v>8</v>
      </c>
      <c r="R34" s="51">
        <v>8</v>
      </c>
      <c r="S34" s="51">
        <v>8</v>
      </c>
      <c r="T34" s="51">
        <v>8</v>
      </c>
      <c r="U34" s="51">
        <v>8</v>
      </c>
      <c r="V34" s="51">
        <v>8</v>
      </c>
      <c r="W34" s="51">
        <v>8</v>
      </c>
      <c r="X34" s="51">
        <v>8</v>
      </c>
      <c r="Y34" s="51">
        <v>8</v>
      </c>
      <c r="Z34" s="51">
        <v>8</v>
      </c>
      <c r="AA34" s="51">
        <v>8</v>
      </c>
      <c r="AB34" s="51">
        <v>8</v>
      </c>
      <c r="AC34" s="51">
        <v>8</v>
      </c>
      <c r="AD34" s="51">
        <v>8</v>
      </c>
      <c r="AE34" s="51">
        <v>8</v>
      </c>
      <c r="AF34" s="51">
        <v>8</v>
      </c>
      <c r="AG34" s="63">
        <v>20</v>
      </c>
      <c r="AH34" s="54">
        <f t="shared" si="2"/>
        <v>8</v>
      </c>
      <c r="AI34" s="55">
        <f t="shared" si="3"/>
        <v>8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>
        <v>0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>
        <v>300</v>
      </c>
      <c r="C36" s="65">
        <v>300</v>
      </c>
      <c r="D36" s="65">
        <v>300</v>
      </c>
      <c r="E36" s="65">
        <v>300</v>
      </c>
      <c r="F36" s="65">
        <v>300</v>
      </c>
      <c r="G36" s="65">
        <v>300</v>
      </c>
      <c r="H36" s="65">
        <v>300</v>
      </c>
      <c r="I36" s="65">
        <v>300</v>
      </c>
      <c r="J36" s="65">
        <v>300</v>
      </c>
      <c r="K36" s="65">
        <v>300</v>
      </c>
      <c r="L36" s="65">
        <v>300</v>
      </c>
      <c r="M36" s="65">
        <v>300</v>
      </c>
      <c r="N36" s="65">
        <v>300</v>
      </c>
      <c r="O36" s="65">
        <v>300</v>
      </c>
      <c r="P36" s="65">
        <v>300</v>
      </c>
      <c r="Q36" s="65">
        <v>300</v>
      </c>
      <c r="R36" s="65">
        <v>300</v>
      </c>
      <c r="S36" s="65">
        <v>300</v>
      </c>
      <c r="T36" s="65">
        <v>300</v>
      </c>
      <c r="U36" s="65">
        <v>300</v>
      </c>
      <c r="V36" s="65">
        <v>300</v>
      </c>
      <c r="W36" s="65">
        <v>300</v>
      </c>
      <c r="X36" s="65">
        <v>300</v>
      </c>
      <c r="Y36" s="65">
        <v>300</v>
      </c>
      <c r="Z36" s="65">
        <v>300</v>
      </c>
      <c r="AA36" s="65">
        <v>300</v>
      </c>
      <c r="AB36" s="65">
        <v>300</v>
      </c>
      <c r="AC36" s="65">
        <v>300</v>
      </c>
      <c r="AD36" s="65">
        <v>300</v>
      </c>
      <c r="AE36" s="65">
        <v>300</v>
      </c>
      <c r="AF36" s="65">
        <v>300</v>
      </c>
      <c r="AG36" s="63">
        <v>85</v>
      </c>
      <c r="AH36" s="54">
        <f t="shared" si="2"/>
        <v>300</v>
      </c>
      <c r="AI36" s="55">
        <f t="shared" si="3"/>
        <v>300</v>
      </c>
      <c r="AK36" s="56"/>
    </row>
    <row r="37" spans="1:88" ht="15.75" thickBot="1" x14ac:dyDescent="0.3">
      <c r="A37" s="66" t="s">
        <v>45</v>
      </c>
      <c r="B37" s="67">
        <v>158.5</v>
      </c>
      <c r="C37" s="65">
        <f>65.3+88.6</f>
        <v>153.89999999999998</v>
      </c>
      <c r="D37" s="65">
        <f>20.7+92.4</f>
        <v>113.10000000000001</v>
      </c>
      <c r="E37" s="65">
        <f>30.2+92.7</f>
        <v>122.9</v>
      </c>
      <c r="F37" s="65">
        <v>112</v>
      </c>
      <c r="G37" s="65">
        <v>115</v>
      </c>
      <c r="H37" s="65">
        <f>7</f>
        <v>7</v>
      </c>
      <c r="I37" s="65">
        <f>17.9+61.1</f>
        <v>79</v>
      </c>
      <c r="J37" s="65">
        <f>28.9+85</f>
        <v>113.9</v>
      </c>
      <c r="K37" s="65">
        <f>35.7+91.9</f>
        <v>127.60000000000001</v>
      </c>
      <c r="L37" s="65">
        <f>31.1+80.6</f>
        <v>111.69999999999999</v>
      </c>
      <c r="M37" s="65">
        <v>130</v>
      </c>
      <c r="N37" s="65">
        <f>44.4+89.8</f>
        <v>134.19999999999999</v>
      </c>
      <c r="O37" s="65">
        <f t="shared" ref="O37:Q37" si="4">44.4+89.8</f>
        <v>134.19999999999999</v>
      </c>
      <c r="P37" s="65">
        <f t="shared" si="4"/>
        <v>134.19999999999999</v>
      </c>
      <c r="Q37" s="65">
        <f t="shared" si="4"/>
        <v>134.19999999999999</v>
      </c>
      <c r="R37" s="65">
        <f>59.8+90.2</f>
        <v>150</v>
      </c>
      <c r="S37" s="67">
        <f>64.7+90.9</f>
        <v>155.60000000000002</v>
      </c>
      <c r="T37" s="67">
        <f>62.8+84.3</f>
        <v>147.1</v>
      </c>
      <c r="U37" s="67">
        <f>67.4+87.5</f>
        <v>154.9</v>
      </c>
      <c r="V37" s="67">
        <f>64.7+83.9</f>
        <v>148.60000000000002</v>
      </c>
      <c r="W37" s="67">
        <f>63.3+87.3</f>
        <v>150.6</v>
      </c>
      <c r="X37" s="67">
        <f>64.4+87.8</f>
        <v>152.19999999999999</v>
      </c>
      <c r="Y37" s="67">
        <f>64.4+87.8</f>
        <v>152.19999999999999</v>
      </c>
      <c r="Z37" s="67">
        <v>148.30000000000001</v>
      </c>
      <c r="AA37" s="67">
        <v>158</v>
      </c>
      <c r="AB37" s="67">
        <v>158</v>
      </c>
      <c r="AC37" s="67">
        <v>158</v>
      </c>
      <c r="AD37" s="67">
        <f>72.4+88.8</f>
        <v>161.19999999999999</v>
      </c>
      <c r="AE37" s="67">
        <f>72.6+88.6</f>
        <v>161.19999999999999</v>
      </c>
      <c r="AF37" s="67">
        <f>72.6+89.6</f>
        <v>162.19999999999999</v>
      </c>
      <c r="AG37" s="63">
        <v>240</v>
      </c>
      <c r="AH37" s="54">
        <f t="shared" si="2"/>
        <v>162.19999999999999</v>
      </c>
      <c r="AI37" s="55">
        <f t="shared" si="3"/>
        <v>7</v>
      </c>
      <c r="AK37" s="56"/>
    </row>
    <row r="38" spans="1:88" ht="15.75" thickBot="1" x14ac:dyDescent="0.3">
      <c r="A38" s="68" t="s">
        <v>46</v>
      </c>
      <c r="B38" s="69">
        <f t="shared" ref="B38:AF38" si="5">SUM(B11:B36)</f>
        <v>1133.6000000000001</v>
      </c>
      <c r="C38" s="69">
        <f t="shared" si="5"/>
        <v>1141.6000000000001</v>
      </c>
      <c r="D38" s="69">
        <f t="shared" si="5"/>
        <v>1157.2000000000003</v>
      </c>
      <c r="E38" s="69">
        <f t="shared" si="5"/>
        <v>1094.9000000000001</v>
      </c>
      <c r="F38" s="69">
        <f t="shared" si="5"/>
        <v>1114.9000000000001</v>
      </c>
      <c r="G38" s="69">
        <f t="shared" si="5"/>
        <v>1094.9000000000001</v>
      </c>
      <c r="H38" s="69">
        <f t="shared" si="5"/>
        <v>1032.9000000000001</v>
      </c>
      <c r="I38" s="69">
        <f t="shared" si="5"/>
        <v>1032.9000000000001</v>
      </c>
      <c r="J38" s="69">
        <f t="shared" si="5"/>
        <v>1055.9000000000001</v>
      </c>
      <c r="K38" s="69">
        <f t="shared" si="5"/>
        <v>1070.9000000000001</v>
      </c>
      <c r="L38" s="69">
        <f t="shared" si="5"/>
        <v>1075.9000000000001</v>
      </c>
      <c r="M38" s="69">
        <f t="shared" si="5"/>
        <v>1156.9000000000001</v>
      </c>
      <c r="N38" s="69">
        <f t="shared" si="5"/>
        <v>1169.4000000000001</v>
      </c>
      <c r="O38" s="69">
        <f t="shared" si="5"/>
        <v>1169.4000000000001</v>
      </c>
      <c r="P38" s="69">
        <f t="shared" si="5"/>
        <v>1164.4000000000001</v>
      </c>
      <c r="Q38" s="69">
        <f t="shared" si="5"/>
        <v>1164.4000000000001</v>
      </c>
      <c r="R38" s="69">
        <f t="shared" si="5"/>
        <v>1178.4000000000001</v>
      </c>
      <c r="S38" s="69">
        <f t="shared" si="5"/>
        <v>1167.9000000000001</v>
      </c>
      <c r="T38" s="69">
        <f t="shared" si="5"/>
        <v>1166.9000000000001</v>
      </c>
      <c r="U38" s="69">
        <f t="shared" si="5"/>
        <v>1166.9000000000001</v>
      </c>
      <c r="V38" s="69">
        <f t="shared" si="5"/>
        <v>1166.9000000000001</v>
      </c>
      <c r="W38" s="69">
        <f t="shared" si="5"/>
        <v>1166.9000000000001</v>
      </c>
      <c r="X38" s="69">
        <f t="shared" si="5"/>
        <v>1163.3000000000002</v>
      </c>
      <c r="Y38" s="69">
        <f t="shared" si="5"/>
        <v>1107.3000000000002</v>
      </c>
      <c r="Z38" s="69">
        <f t="shared" si="5"/>
        <v>1127.3000000000002</v>
      </c>
      <c r="AA38" s="69">
        <f t="shared" si="5"/>
        <v>1107.3000000000002</v>
      </c>
      <c r="AB38" s="69">
        <f t="shared" si="5"/>
        <v>1133.3000000000002</v>
      </c>
      <c r="AC38" s="69">
        <f t="shared" si="5"/>
        <v>1199.3000000000002</v>
      </c>
      <c r="AD38" s="69">
        <f t="shared" si="5"/>
        <v>1210.5</v>
      </c>
      <c r="AE38" s="69">
        <f t="shared" si="5"/>
        <v>1193.1000000000001</v>
      </c>
      <c r="AF38" s="69">
        <f t="shared" si="5"/>
        <v>1216.7000000000003</v>
      </c>
      <c r="AG38" s="63">
        <f>SUM(AG11:AG37)</f>
        <v>1492.8299999999997</v>
      </c>
      <c r="AH38" s="54">
        <f t="shared" si="2"/>
        <v>1216.7000000000003</v>
      </c>
      <c r="AI38" s="55">
        <f t="shared" si="3"/>
        <v>1032.9000000000001</v>
      </c>
      <c r="AK38" s="56"/>
    </row>
    <row r="39" spans="1:88" x14ac:dyDescent="0.25">
      <c r="A39" s="57" t="s">
        <v>47</v>
      </c>
      <c r="B39" s="51">
        <v>145</v>
      </c>
      <c r="C39" s="51">
        <v>145</v>
      </c>
      <c r="D39" s="51">
        <v>144.80000000000001</v>
      </c>
      <c r="E39" s="51">
        <v>144.1</v>
      </c>
      <c r="F39" s="51">
        <v>144.1</v>
      </c>
      <c r="G39" s="51">
        <v>144.1</v>
      </c>
      <c r="H39" s="51">
        <v>142.30000000000001</v>
      </c>
      <c r="I39" s="51">
        <v>142</v>
      </c>
      <c r="J39" s="51">
        <v>142</v>
      </c>
      <c r="K39" s="51">
        <v>142</v>
      </c>
      <c r="L39" s="51">
        <v>143.80000000000001</v>
      </c>
      <c r="M39" s="51">
        <v>143.80000000000001</v>
      </c>
      <c r="N39" s="51">
        <v>143.80000000000001</v>
      </c>
      <c r="O39" s="51">
        <v>143.80000000000001</v>
      </c>
      <c r="P39" s="51">
        <v>143.80000000000001</v>
      </c>
      <c r="Q39" s="51">
        <v>144.6</v>
      </c>
      <c r="R39" s="51">
        <v>144.6</v>
      </c>
      <c r="S39" s="51">
        <v>144.80000000000001</v>
      </c>
      <c r="T39" s="51">
        <v>142</v>
      </c>
      <c r="U39" s="51">
        <v>142</v>
      </c>
      <c r="V39" s="51">
        <v>137.69999999999999</v>
      </c>
      <c r="W39" s="51">
        <v>144.1</v>
      </c>
      <c r="X39" s="51">
        <v>144.6</v>
      </c>
      <c r="Y39" s="51">
        <v>144.80000000000001</v>
      </c>
      <c r="Z39" s="51">
        <v>144.9</v>
      </c>
      <c r="AA39" s="51">
        <v>145</v>
      </c>
      <c r="AB39" s="51">
        <v>145</v>
      </c>
      <c r="AC39" s="51">
        <v>145</v>
      </c>
      <c r="AD39" s="51">
        <v>144.6</v>
      </c>
      <c r="AE39" s="51">
        <v>144.4</v>
      </c>
      <c r="AF39" s="51">
        <v>144.1</v>
      </c>
      <c r="AG39" s="59">
        <v>144</v>
      </c>
      <c r="AH39" s="54">
        <f t="shared" si="2"/>
        <v>145</v>
      </c>
      <c r="AI39" s="55">
        <f t="shared" si="3"/>
        <v>137.69999999999999</v>
      </c>
      <c r="AK39" s="56"/>
    </row>
    <row r="40" spans="1:88" x14ac:dyDescent="0.25">
      <c r="A40" s="62" t="s">
        <v>48</v>
      </c>
      <c r="B40" s="70">
        <v>34.799999999999997</v>
      </c>
      <c r="C40" s="70">
        <v>34.799999999999997</v>
      </c>
      <c r="D40" s="70">
        <v>25</v>
      </c>
      <c r="E40" s="70">
        <v>25</v>
      </c>
      <c r="F40" s="70">
        <v>25</v>
      </c>
      <c r="G40" s="70">
        <v>25</v>
      </c>
      <c r="H40" s="70">
        <v>24.8</v>
      </c>
      <c r="I40" s="70">
        <v>24.8</v>
      </c>
      <c r="J40" s="70">
        <v>24.8</v>
      </c>
      <c r="K40" s="70">
        <v>22</v>
      </c>
      <c r="L40" s="70">
        <v>22.1</v>
      </c>
      <c r="M40" s="70">
        <v>55</v>
      </c>
      <c r="N40" s="70">
        <v>65</v>
      </c>
      <c r="O40" s="70">
        <v>70</v>
      </c>
      <c r="P40" s="70">
        <v>70</v>
      </c>
      <c r="Q40" s="70">
        <v>70.599999999999994</v>
      </c>
      <c r="R40" s="70">
        <v>70.599999999999994</v>
      </c>
      <c r="S40" s="70">
        <v>68.7</v>
      </c>
      <c r="T40" s="70">
        <v>69.7</v>
      </c>
      <c r="U40" s="70">
        <v>69.7</v>
      </c>
      <c r="V40" s="70">
        <v>69.7</v>
      </c>
      <c r="W40" s="70">
        <v>69.5</v>
      </c>
      <c r="X40" s="70">
        <v>68.900000000000006</v>
      </c>
      <c r="Y40" s="70">
        <v>68.900000000000006</v>
      </c>
      <c r="Z40" s="70">
        <v>69.400000000000006</v>
      </c>
      <c r="AA40" s="70">
        <v>69.400000000000006</v>
      </c>
      <c r="AB40" s="70">
        <v>69.400000000000006</v>
      </c>
      <c r="AC40" s="70">
        <v>69.400000000000006</v>
      </c>
      <c r="AD40" s="70">
        <v>72.5</v>
      </c>
      <c r="AE40" s="70">
        <v>69.3</v>
      </c>
      <c r="AF40" s="70">
        <v>70.3</v>
      </c>
      <c r="AG40" s="63">
        <v>70</v>
      </c>
      <c r="AH40" s="54">
        <f t="shared" si="2"/>
        <v>72.5</v>
      </c>
      <c r="AI40" s="55">
        <f t="shared" si="3"/>
        <v>22</v>
      </c>
      <c r="AK40" s="56"/>
    </row>
    <row r="41" spans="1:88" x14ac:dyDescent="0.25">
      <c r="A41" s="62" t="s">
        <v>49</v>
      </c>
      <c r="B41" s="70">
        <v>36.700000000000003</v>
      </c>
      <c r="C41" s="70">
        <v>35</v>
      </c>
      <c r="D41" s="70">
        <v>33.6</v>
      </c>
      <c r="E41" s="70">
        <v>33.6</v>
      </c>
      <c r="F41" s="70">
        <v>36</v>
      </c>
      <c r="G41" s="70">
        <v>36</v>
      </c>
      <c r="H41" s="70">
        <v>32.299999999999997</v>
      </c>
      <c r="I41" s="70">
        <v>32.200000000000003</v>
      </c>
      <c r="J41" s="70">
        <v>61.5</v>
      </c>
      <c r="K41" s="70">
        <v>64.400000000000006</v>
      </c>
      <c r="L41" s="70">
        <v>64.5</v>
      </c>
      <c r="M41" s="70">
        <v>64.5</v>
      </c>
      <c r="N41" s="70">
        <v>64.5</v>
      </c>
      <c r="O41" s="70">
        <v>64.5</v>
      </c>
      <c r="P41" s="70">
        <v>64.5</v>
      </c>
      <c r="Q41" s="70">
        <v>64.5</v>
      </c>
      <c r="R41" s="70">
        <v>64.5</v>
      </c>
      <c r="S41" s="70">
        <v>63.3</v>
      </c>
      <c r="T41" s="70">
        <v>63.3</v>
      </c>
      <c r="U41" s="70">
        <v>63.3</v>
      </c>
      <c r="V41" s="70">
        <v>63.3</v>
      </c>
      <c r="W41" s="70">
        <v>63.3</v>
      </c>
      <c r="X41" s="70">
        <v>64.099999999999994</v>
      </c>
      <c r="Y41" s="70">
        <v>64.099999999999994</v>
      </c>
      <c r="Z41" s="70">
        <v>64.099999999999994</v>
      </c>
      <c r="AA41" s="70">
        <v>64.099999999999994</v>
      </c>
      <c r="AB41" s="70">
        <v>64.099999999999994</v>
      </c>
      <c r="AC41" s="70">
        <v>64.099999999999994</v>
      </c>
      <c r="AD41" s="70">
        <v>64.599999999999994</v>
      </c>
      <c r="AE41" s="70">
        <v>64.599999999999994</v>
      </c>
      <c r="AF41" s="70">
        <v>64.5</v>
      </c>
      <c r="AG41" s="63">
        <v>69</v>
      </c>
      <c r="AH41" s="54">
        <f t="shared" si="2"/>
        <v>64.599999999999994</v>
      </c>
      <c r="AI41" s="55">
        <f t="shared" si="3"/>
        <v>32.200000000000003</v>
      </c>
      <c r="AK41" s="56"/>
    </row>
    <row r="42" spans="1:88" x14ac:dyDescent="0.25">
      <c r="A42" s="62" t="s">
        <v>50</v>
      </c>
      <c r="B42" s="65">
        <v>60</v>
      </c>
      <c r="C42" s="65">
        <v>51</v>
      </c>
      <c r="D42" s="65">
        <v>60.2</v>
      </c>
      <c r="E42" s="65">
        <v>60.4</v>
      </c>
      <c r="F42" s="65">
        <v>60.4</v>
      </c>
      <c r="G42" s="65">
        <v>60.4</v>
      </c>
      <c r="H42" s="65">
        <v>60.4</v>
      </c>
      <c r="I42" s="65">
        <v>60.7</v>
      </c>
      <c r="J42" s="65">
        <v>60.7</v>
      </c>
      <c r="K42" s="65">
        <v>60.7</v>
      </c>
      <c r="L42" s="65">
        <v>60.7</v>
      </c>
      <c r="M42" s="65">
        <v>60.7</v>
      </c>
      <c r="N42" s="65">
        <v>60.7</v>
      </c>
      <c r="O42" s="65">
        <v>60.7</v>
      </c>
      <c r="P42" s="65">
        <v>60.7</v>
      </c>
      <c r="Q42" s="65">
        <v>60.7</v>
      </c>
      <c r="R42" s="65">
        <v>60.7</v>
      </c>
      <c r="S42" s="51">
        <v>60.9</v>
      </c>
      <c r="T42" s="51">
        <v>60.9</v>
      </c>
      <c r="U42" s="51">
        <v>60.9</v>
      </c>
      <c r="V42" s="51">
        <v>60.9</v>
      </c>
      <c r="W42" s="70">
        <v>60.7</v>
      </c>
      <c r="X42" s="70">
        <v>60.7</v>
      </c>
      <c r="Y42" s="70">
        <v>60.7</v>
      </c>
      <c r="Z42" s="70">
        <v>60.7</v>
      </c>
      <c r="AA42" s="70">
        <v>60.7</v>
      </c>
      <c r="AB42" s="70">
        <v>60.7</v>
      </c>
      <c r="AC42" s="70">
        <v>60.7</v>
      </c>
      <c r="AD42" s="65">
        <v>60.7</v>
      </c>
      <c r="AE42" s="65">
        <v>60.9</v>
      </c>
      <c r="AF42" s="65">
        <v>60.7</v>
      </c>
      <c r="AG42" s="63">
        <v>60</v>
      </c>
      <c r="AH42" s="54">
        <f t="shared" si="2"/>
        <v>60.9</v>
      </c>
      <c r="AI42" s="55">
        <f t="shared" si="3"/>
        <v>51</v>
      </c>
      <c r="AK42" s="56"/>
    </row>
    <row r="43" spans="1:88" x14ac:dyDescent="0.25">
      <c r="A43" s="62" t="s">
        <v>51</v>
      </c>
      <c r="B43" s="65">
        <v>20.100000000000001</v>
      </c>
      <c r="C43" s="65">
        <v>30</v>
      </c>
      <c r="D43" s="65">
        <v>30</v>
      </c>
      <c r="E43" s="65">
        <v>30</v>
      </c>
      <c r="F43" s="65">
        <v>30</v>
      </c>
      <c r="G43" s="65">
        <v>30</v>
      </c>
      <c r="H43" s="65">
        <v>30</v>
      </c>
      <c r="I43" s="65">
        <v>30</v>
      </c>
      <c r="J43" s="65">
        <v>30</v>
      </c>
      <c r="K43" s="65">
        <v>20</v>
      </c>
      <c r="L43" s="65">
        <v>20</v>
      </c>
      <c r="M43" s="65">
        <v>20</v>
      </c>
      <c r="N43" s="65">
        <v>20</v>
      </c>
      <c r="O43" s="65">
        <v>20</v>
      </c>
      <c r="P43" s="65">
        <v>20</v>
      </c>
      <c r="Q43" s="65">
        <v>20</v>
      </c>
      <c r="R43" s="65">
        <v>20</v>
      </c>
      <c r="S43" s="65">
        <v>20</v>
      </c>
      <c r="T43" s="51">
        <v>28.3</v>
      </c>
      <c r="U43" s="51">
        <v>28.3</v>
      </c>
      <c r="V43" s="51">
        <v>28.3</v>
      </c>
      <c r="W43" s="70">
        <v>6</v>
      </c>
      <c r="X43" s="70">
        <v>6</v>
      </c>
      <c r="Y43" s="70">
        <v>6</v>
      </c>
      <c r="Z43" s="70">
        <v>6</v>
      </c>
      <c r="AA43" s="70">
        <v>6</v>
      </c>
      <c r="AB43" s="65">
        <v>27</v>
      </c>
      <c r="AC43" s="65">
        <v>21</v>
      </c>
      <c r="AD43" s="65">
        <v>19.8</v>
      </c>
      <c r="AE43" s="65">
        <v>0</v>
      </c>
      <c r="AF43" s="65">
        <v>25.7</v>
      </c>
      <c r="AG43" s="63">
        <v>30</v>
      </c>
      <c r="AH43" s="54">
        <f t="shared" si="2"/>
        <v>30</v>
      </c>
      <c r="AI43" s="55">
        <f t="shared" si="3"/>
        <v>0</v>
      </c>
      <c r="AK43" s="56"/>
    </row>
    <row r="44" spans="1:88" x14ac:dyDescent="0.25">
      <c r="A44" s="62" t="s">
        <v>52</v>
      </c>
      <c r="B44" s="70">
        <v>0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70">
        <v>0</v>
      </c>
      <c r="AE44" s="70">
        <v>0</v>
      </c>
      <c r="AF44" s="70">
        <v>0</v>
      </c>
      <c r="AG44" s="63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2" t="s">
        <v>53</v>
      </c>
      <c r="B45" s="70">
        <v>14.7</v>
      </c>
      <c r="C45" s="70">
        <v>14.7</v>
      </c>
      <c r="D45" s="70">
        <v>14.7</v>
      </c>
      <c r="E45" s="70">
        <v>14.7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14.8</v>
      </c>
      <c r="N45" s="70">
        <v>14.8</v>
      </c>
      <c r="O45" s="70">
        <v>14.8</v>
      </c>
      <c r="P45" s="70">
        <v>14.8</v>
      </c>
      <c r="Q45" s="70">
        <v>14.8</v>
      </c>
      <c r="R45" s="70">
        <v>14.8</v>
      </c>
      <c r="S45" s="70">
        <v>0</v>
      </c>
      <c r="T45" s="70">
        <v>0</v>
      </c>
      <c r="U45" s="70">
        <v>0</v>
      </c>
      <c r="V45" s="70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14.8</v>
      </c>
      <c r="AC45" s="51">
        <v>14.8</v>
      </c>
      <c r="AD45" s="70">
        <v>17.8</v>
      </c>
      <c r="AE45" s="70">
        <v>14.8</v>
      </c>
      <c r="AF45" s="70">
        <v>14.8</v>
      </c>
      <c r="AG45" s="63">
        <v>24</v>
      </c>
      <c r="AH45" s="54">
        <f t="shared" si="2"/>
        <v>17.8</v>
      </c>
      <c r="AI45" s="55">
        <f t="shared" si="3"/>
        <v>0</v>
      </c>
      <c r="AK45" s="56"/>
    </row>
    <row r="46" spans="1:88" x14ac:dyDescent="0.25">
      <c r="A46" s="62" t="s">
        <v>54</v>
      </c>
      <c r="B46" s="70">
        <v>3.6</v>
      </c>
      <c r="C46" s="70">
        <v>3.6</v>
      </c>
      <c r="D46" s="70">
        <v>3.6</v>
      </c>
      <c r="E46" s="70">
        <v>3.6</v>
      </c>
      <c r="F46" s="70">
        <v>3.6</v>
      </c>
      <c r="G46" s="70">
        <v>3.6</v>
      </c>
      <c r="H46" s="70">
        <v>3.6</v>
      </c>
      <c r="I46" s="70">
        <v>3.6</v>
      </c>
      <c r="J46" s="70">
        <v>3.6</v>
      </c>
      <c r="K46" s="70">
        <v>3.6</v>
      </c>
      <c r="L46" s="70">
        <v>3.6</v>
      </c>
      <c r="M46" s="70">
        <v>3.6</v>
      </c>
      <c r="N46" s="70">
        <v>3.6</v>
      </c>
      <c r="O46" s="70">
        <v>3.6</v>
      </c>
      <c r="P46" s="70">
        <v>3.6</v>
      </c>
      <c r="Q46" s="70">
        <v>3.6</v>
      </c>
      <c r="R46" s="70">
        <v>3.6</v>
      </c>
      <c r="S46" s="70">
        <v>3.6</v>
      </c>
      <c r="T46" s="70">
        <v>3.6</v>
      </c>
      <c r="U46" s="70">
        <v>3.6</v>
      </c>
      <c r="V46" s="70">
        <v>3.6</v>
      </c>
      <c r="W46" s="51">
        <v>3.6</v>
      </c>
      <c r="X46" s="51">
        <v>3.6</v>
      </c>
      <c r="Y46" s="51">
        <v>3.6</v>
      </c>
      <c r="Z46" s="51">
        <v>3.6</v>
      </c>
      <c r="AA46" s="51">
        <v>3.6</v>
      </c>
      <c r="AB46" s="51">
        <v>3.6</v>
      </c>
      <c r="AC46" s="51">
        <v>3.6</v>
      </c>
      <c r="AD46" s="70">
        <v>3.6</v>
      </c>
      <c r="AE46" s="70">
        <v>3.6</v>
      </c>
      <c r="AF46" s="70">
        <v>3.6</v>
      </c>
      <c r="AG46" s="63">
        <v>15</v>
      </c>
      <c r="AH46" s="54">
        <f t="shared" si="2"/>
        <v>3.6</v>
      </c>
      <c r="AI46" s="55">
        <f t="shared" si="3"/>
        <v>3.6</v>
      </c>
      <c r="AK46" s="56"/>
      <c r="AL46" s="71"/>
      <c r="AO46" s="71"/>
    </row>
    <row r="47" spans="1:88" s="71" customFormat="1" x14ac:dyDescent="0.25">
      <c r="A47" s="62" t="s">
        <v>55</v>
      </c>
      <c r="B47" s="70">
        <v>10.7</v>
      </c>
      <c r="C47" s="70">
        <v>10.7</v>
      </c>
      <c r="D47" s="70">
        <v>10.7</v>
      </c>
      <c r="E47" s="70">
        <v>10.7</v>
      </c>
      <c r="F47" s="70">
        <v>3.6</v>
      </c>
      <c r="G47" s="70">
        <v>3.6</v>
      </c>
      <c r="H47" s="70">
        <v>3.6</v>
      </c>
      <c r="I47" s="70">
        <v>0.7</v>
      </c>
      <c r="J47" s="70">
        <v>0.7</v>
      </c>
      <c r="K47" s="70">
        <v>0.7</v>
      </c>
      <c r="L47" s="70">
        <v>0.7</v>
      </c>
      <c r="M47" s="70">
        <v>4.5</v>
      </c>
      <c r="N47" s="70">
        <v>12</v>
      </c>
      <c r="O47" s="70">
        <v>12</v>
      </c>
      <c r="P47" s="70">
        <v>12</v>
      </c>
      <c r="Q47" s="70">
        <v>12</v>
      </c>
      <c r="R47" s="70">
        <v>12</v>
      </c>
      <c r="S47" s="70">
        <v>0.7</v>
      </c>
      <c r="T47" s="70">
        <v>0.7</v>
      </c>
      <c r="U47" s="70">
        <v>0.7</v>
      </c>
      <c r="V47" s="70">
        <v>0.7</v>
      </c>
      <c r="W47" s="70">
        <v>0.7</v>
      </c>
      <c r="X47" s="70">
        <v>0.7</v>
      </c>
      <c r="Y47" s="70">
        <v>0.7</v>
      </c>
      <c r="Z47" s="70">
        <v>0.7</v>
      </c>
      <c r="AA47" s="70">
        <v>0.7</v>
      </c>
      <c r="AB47" s="70">
        <v>12.2</v>
      </c>
      <c r="AC47" s="70">
        <v>12.2</v>
      </c>
      <c r="AD47" s="70">
        <v>12.2</v>
      </c>
      <c r="AE47" s="70">
        <v>12.8</v>
      </c>
      <c r="AF47" s="70">
        <v>9.1</v>
      </c>
      <c r="AG47" s="63">
        <v>14.1</v>
      </c>
      <c r="AH47" s="54">
        <f t="shared" si="2"/>
        <v>12.8</v>
      </c>
      <c r="AI47" s="55">
        <f t="shared" si="3"/>
        <v>0.7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>
        <v>13.3</v>
      </c>
      <c r="C48" s="70">
        <v>13.3</v>
      </c>
      <c r="D48" s="70">
        <v>13.3</v>
      </c>
      <c r="E48" s="70">
        <v>13.3</v>
      </c>
      <c r="F48" s="70">
        <v>13.3</v>
      </c>
      <c r="G48" s="70">
        <v>13.3</v>
      </c>
      <c r="H48" s="70">
        <v>13.3</v>
      </c>
      <c r="I48" s="70">
        <v>13.4</v>
      </c>
      <c r="J48" s="70">
        <v>13.4</v>
      </c>
      <c r="K48" s="70">
        <v>13.3</v>
      </c>
      <c r="L48" s="70">
        <v>13.3</v>
      </c>
      <c r="M48" s="70">
        <v>13.3</v>
      </c>
      <c r="N48" s="70">
        <v>13.3</v>
      </c>
      <c r="O48" s="70">
        <v>13.3</v>
      </c>
      <c r="P48" s="70">
        <v>13.3</v>
      </c>
      <c r="Q48" s="70">
        <v>13.3</v>
      </c>
      <c r="R48" s="70">
        <v>13.3</v>
      </c>
      <c r="S48" s="70">
        <v>13.3</v>
      </c>
      <c r="T48" s="70">
        <v>13.3</v>
      </c>
      <c r="U48" s="70">
        <v>13.3</v>
      </c>
      <c r="V48" s="70">
        <v>13.3</v>
      </c>
      <c r="W48" s="70">
        <v>13.3</v>
      </c>
      <c r="X48" s="70">
        <v>13.3</v>
      </c>
      <c r="Y48" s="70">
        <v>13.3</v>
      </c>
      <c r="Z48" s="70">
        <v>13.3</v>
      </c>
      <c r="AA48" s="70">
        <v>13.3</v>
      </c>
      <c r="AB48" s="70">
        <v>13.3</v>
      </c>
      <c r="AC48" s="70">
        <v>13.3</v>
      </c>
      <c r="AD48" s="70">
        <v>13.4</v>
      </c>
      <c r="AE48" s="70">
        <v>13.4</v>
      </c>
      <c r="AF48" s="70">
        <v>13.5</v>
      </c>
      <c r="AG48" s="63">
        <v>14</v>
      </c>
      <c r="AH48" s="54">
        <f t="shared" si="2"/>
        <v>13.5</v>
      </c>
      <c r="AI48" s="55">
        <f t="shared" si="3"/>
        <v>13.3</v>
      </c>
      <c r="AK48" s="56"/>
    </row>
    <row r="49" spans="1:37" x14ac:dyDescent="0.25">
      <c r="A49" s="62" t="s">
        <v>57</v>
      </c>
      <c r="B49" s="70">
        <v>9.6999999999999993</v>
      </c>
      <c r="C49" s="70">
        <v>9.6999999999999993</v>
      </c>
      <c r="D49" s="70">
        <v>9.6999999999999993</v>
      </c>
      <c r="E49" s="70">
        <v>9.6999999999999993</v>
      </c>
      <c r="F49" s="70">
        <v>9.6999999999999993</v>
      </c>
      <c r="G49" s="70">
        <v>9.6999999999999993</v>
      </c>
      <c r="H49" s="70">
        <v>9.6999999999999993</v>
      </c>
      <c r="I49" s="70">
        <v>9.6</v>
      </c>
      <c r="J49" s="70">
        <v>9.6</v>
      </c>
      <c r="K49" s="70">
        <v>9.6</v>
      </c>
      <c r="L49" s="70">
        <v>9.6</v>
      </c>
      <c r="M49" s="70">
        <v>9.6</v>
      </c>
      <c r="N49" s="70">
        <v>9.6</v>
      </c>
      <c r="O49" s="70">
        <v>9.6</v>
      </c>
      <c r="P49" s="70">
        <v>9.6</v>
      </c>
      <c r="Q49" s="70">
        <v>9.6</v>
      </c>
      <c r="R49" s="70">
        <v>9.6</v>
      </c>
      <c r="S49" s="70">
        <v>9.6</v>
      </c>
      <c r="T49" s="70">
        <v>9.6</v>
      </c>
      <c r="U49" s="70">
        <v>9.6</v>
      </c>
      <c r="V49" s="70">
        <v>9.6</v>
      </c>
      <c r="W49" s="70">
        <v>9.6</v>
      </c>
      <c r="X49" s="70">
        <v>9.6</v>
      </c>
      <c r="Y49" s="70">
        <v>9.6</v>
      </c>
      <c r="Z49" s="70">
        <v>9.6</v>
      </c>
      <c r="AA49" s="70">
        <v>9.6</v>
      </c>
      <c r="AB49" s="70">
        <v>9.6</v>
      </c>
      <c r="AC49" s="70">
        <v>9.6</v>
      </c>
      <c r="AD49" s="70">
        <v>9.6</v>
      </c>
      <c r="AE49" s="70">
        <v>9.6</v>
      </c>
      <c r="AF49" s="70">
        <v>9.6</v>
      </c>
      <c r="AG49" s="63">
        <v>10.050000000000001</v>
      </c>
      <c r="AH49" s="54">
        <f t="shared" si="2"/>
        <v>9.6999999999999993</v>
      </c>
      <c r="AI49" s="55">
        <f t="shared" si="3"/>
        <v>9.6</v>
      </c>
      <c r="AK49" s="56"/>
    </row>
    <row r="50" spans="1:37" x14ac:dyDescent="0.25">
      <c r="A50" s="62" t="s">
        <v>58</v>
      </c>
      <c r="B50" s="70">
        <v>3.2</v>
      </c>
      <c r="C50" s="70">
        <v>3.2</v>
      </c>
      <c r="D50" s="70">
        <v>3.2</v>
      </c>
      <c r="E50" s="70">
        <v>3.2</v>
      </c>
      <c r="F50" s="70">
        <v>3.2</v>
      </c>
      <c r="G50" s="70">
        <v>3.2</v>
      </c>
      <c r="H50" s="70">
        <v>3.2</v>
      </c>
      <c r="I50" s="70">
        <v>3.2</v>
      </c>
      <c r="J50" s="70">
        <v>3.2</v>
      </c>
      <c r="K50" s="70">
        <v>3.2</v>
      </c>
      <c r="L50" s="70">
        <v>3.2</v>
      </c>
      <c r="M50" s="70">
        <v>3.2</v>
      </c>
      <c r="N50" s="70">
        <v>3.2</v>
      </c>
      <c r="O50" s="70">
        <v>3.2</v>
      </c>
      <c r="P50" s="70">
        <v>3.2</v>
      </c>
      <c r="Q50" s="70">
        <v>3.2</v>
      </c>
      <c r="R50" s="70">
        <v>3.2</v>
      </c>
      <c r="S50" s="70">
        <v>3.2</v>
      </c>
      <c r="T50" s="70">
        <v>3.2</v>
      </c>
      <c r="U50" s="70">
        <v>3.2</v>
      </c>
      <c r="V50" s="70">
        <v>3.2</v>
      </c>
      <c r="W50" s="70">
        <v>3.2</v>
      </c>
      <c r="X50" s="70">
        <v>3.2</v>
      </c>
      <c r="Y50" s="70">
        <v>3.2</v>
      </c>
      <c r="Z50" s="70">
        <v>3.2</v>
      </c>
      <c r="AA50" s="70">
        <v>3.2</v>
      </c>
      <c r="AB50" s="70">
        <v>3.2</v>
      </c>
      <c r="AC50" s="70">
        <v>3.2</v>
      </c>
      <c r="AD50" s="70">
        <v>3.2</v>
      </c>
      <c r="AE50" s="70">
        <v>3.2</v>
      </c>
      <c r="AF50" s="70">
        <v>3.2</v>
      </c>
      <c r="AG50" s="63">
        <v>6.2</v>
      </c>
      <c r="AH50" s="54">
        <f t="shared" si="2"/>
        <v>3.2</v>
      </c>
      <c r="AI50" s="55">
        <f t="shared" si="3"/>
        <v>3.2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6">AG201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7">SUM(B39:B51)</f>
        <v>355.34000000000003</v>
      </c>
      <c r="C52" s="69">
        <f t="shared" si="7"/>
        <v>354.54</v>
      </c>
      <c r="D52" s="69">
        <f t="shared" si="7"/>
        <v>352.34000000000003</v>
      </c>
      <c r="E52" s="69">
        <f t="shared" si="7"/>
        <v>351.84</v>
      </c>
      <c r="F52" s="69">
        <f t="shared" si="7"/>
        <v>332.44000000000005</v>
      </c>
      <c r="G52" s="69">
        <f t="shared" si="7"/>
        <v>332.44000000000005</v>
      </c>
      <c r="H52" s="69">
        <f t="shared" si="7"/>
        <v>326.74000000000007</v>
      </c>
      <c r="I52" s="69">
        <f t="shared" si="7"/>
        <v>323.74</v>
      </c>
      <c r="J52" s="69">
        <f t="shared" si="7"/>
        <v>353.04</v>
      </c>
      <c r="K52" s="69">
        <f t="shared" si="7"/>
        <v>343.04000000000008</v>
      </c>
      <c r="L52" s="69">
        <f t="shared" si="7"/>
        <v>345.04000000000008</v>
      </c>
      <c r="M52" s="69">
        <f t="shared" si="7"/>
        <v>396.54000000000008</v>
      </c>
      <c r="N52" s="69">
        <f t="shared" si="7"/>
        <v>414.04000000000008</v>
      </c>
      <c r="O52" s="69">
        <f t="shared" si="7"/>
        <v>419.04000000000008</v>
      </c>
      <c r="P52" s="69">
        <f t="shared" si="7"/>
        <v>419.04000000000008</v>
      </c>
      <c r="Q52" s="69">
        <f t="shared" si="7"/>
        <v>420.44000000000005</v>
      </c>
      <c r="R52" s="69">
        <f t="shared" si="7"/>
        <v>420.44000000000005</v>
      </c>
      <c r="S52" s="69">
        <f t="shared" si="7"/>
        <v>391.64000000000004</v>
      </c>
      <c r="T52" s="69">
        <f t="shared" si="7"/>
        <v>398.14000000000004</v>
      </c>
      <c r="U52" s="69">
        <f t="shared" si="7"/>
        <v>398.14000000000004</v>
      </c>
      <c r="V52" s="69">
        <f t="shared" si="7"/>
        <v>393.84000000000003</v>
      </c>
      <c r="W52" s="69">
        <f t="shared" si="7"/>
        <v>377.54</v>
      </c>
      <c r="X52" s="69">
        <f>SUM(X39:X51)</f>
        <v>378.24000000000007</v>
      </c>
      <c r="Y52" s="69">
        <f t="shared" si="7"/>
        <v>378.44000000000005</v>
      </c>
      <c r="Z52" s="69">
        <f t="shared" si="7"/>
        <v>379.04</v>
      </c>
      <c r="AA52" s="69">
        <f t="shared" si="7"/>
        <v>379.14000000000004</v>
      </c>
      <c r="AB52" s="69">
        <f t="shared" si="7"/>
        <v>426.44000000000005</v>
      </c>
      <c r="AC52" s="69">
        <f t="shared" si="7"/>
        <v>420.44000000000005</v>
      </c>
      <c r="AD52" s="69">
        <f t="shared" si="7"/>
        <v>425.54</v>
      </c>
      <c r="AE52" s="69">
        <f t="shared" si="7"/>
        <v>400.14</v>
      </c>
      <c r="AF52" s="69">
        <f t="shared" si="7"/>
        <v>422.64000000000004</v>
      </c>
      <c r="AG52" s="74">
        <f>SUM(AG39:AG51)</f>
        <v>489.91</v>
      </c>
      <c r="AH52" s="54">
        <f t="shared" si="2"/>
        <v>426.44000000000005</v>
      </c>
      <c r="AI52" s="55">
        <f t="shared" si="3"/>
        <v>323.74</v>
      </c>
      <c r="AK52" s="56"/>
    </row>
    <row r="53" spans="1:37" x14ac:dyDescent="0.25">
      <c r="A53" s="57" t="s">
        <v>61</v>
      </c>
      <c r="B53" s="51">
        <v>40</v>
      </c>
      <c r="C53" s="51">
        <v>39.4</v>
      </c>
      <c r="D53" s="51">
        <v>50</v>
      </c>
      <c r="E53" s="51">
        <v>30</v>
      </c>
      <c r="F53" s="51">
        <v>30</v>
      </c>
      <c r="G53" s="51">
        <v>30</v>
      </c>
      <c r="H53" s="51">
        <v>59.6</v>
      </c>
      <c r="I53" s="51">
        <v>59.7</v>
      </c>
      <c r="J53" s="51">
        <v>60.1</v>
      </c>
      <c r="K53" s="51">
        <v>58.8</v>
      </c>
      <c r="L53" s="51">
        <v>59.5</v>
      </c>
      <c r="M53" s="51">
        <v>59.5</v>
      </c>
      <c r="N53" s="51">
        <v>59.5</v>
      </c>
      <c r="O53" s="51">
        <v>59.5</v>
      </c>
      <c r="P53" s="51">
        <v>59.5</v>
      </c>
      <c r="Q53" s="51">
        <v>59.5</v>
      </c>
      <c r="R53" s="51">
        <v>59.5</v>
      </c>
      <c r="S53" s="51">
        <v>59.5</v>
      </c>
      <c r="T53" s="51">
        <v>59.5</v>
      </c>
      <c r="U53" s="51">
        <v>60</v>
      </c>
      <c r="V53" s="51">
        <v>60</v>
      </c>
      <c r="W53" s="51">
        <v>60</v>
      </c>
      <c r="X53" s="51">
        <v>60</v>
      </c>
      <c r="Y53" s="51">
        <v>60</v>
      </c>
      <c r="Z53" s="51">
        <v>59.8</v>
      </c>
      <c r="AA53" s="51">
        <v>59.8</v>
      </c>
      <c r="AB53" s="51">
        <v>59.8</v>
      </c>
      <c r="AC53" s="51">
        <v>59.8</v>
      </c>
      <c r="AD53" s="51">
        <v>59.8</v>
      </c>
      <c r="AE53" s="51">
        <v>59.8</v>
      </c>
      <c r="AF53" s="51">
        <v>58.4</v>
      </c>
      <c r="AG53" s="59">
        <v>60</v>
      </c>
      <c r="AH53" s="54">
        <f t="shared" si="2"/>
        <v>60.1</v>
      </c>
      <c r="AI53" s="55">
        <f t="shared" si="3"/>
        <v>30</v>
      </c>
      <c r="AK53" s="56"/>
    </row>
    <row r="54" spans="1:37" x14ac:dyDescent="0.25">
      <c r="A54" s="62" t="s">
        <v>62</v>
      </c>
      <c r="B54" s="70">
        <v>18.899999999999999</v>
      </c>
      <c r="C54" s="70">
        <v>18.7</v>
      </c>
      <c r="D54" s="70">
        <v>19</v>
      </c>
      <c r="E54" s="70">
        <v>15.6</v>
      </c>
      <c r="F54" s="70">
        <v>15.6</v>
      </c>
      <c r="G54" s="70">
        <v>15.6</v>
      </c>
      <c r="H54" s="70">
        <v>29.6</v>
      </c>
      <c r="I54" s="70">
        <v>30.8</v>
      </c>
      <c r="J54" s="70">
        <v>30.9</v>
      </c>
      <c r="K54" s="70">
        <v>31.1</v>
      </c>
      <c r="L54" s="70">
        <v>31.1</v>
      </c>
      <c r="M54" s="70">
        <v>31.1</v>
      </c>
      <c r="N54" s="70">
        <v>31.1</v>
      </c>
      <c r="O54" s="70">
        <v>31.1</v>
      </c>
      <c r="P54" s="70">
        <v>31.1</v>
      </c>
      <c r="Q54" s="70">
        <v>31.1</v>
      </c>
      <c r="R54" s="70">
        <v>31.1</v>
      </c>
      <c r="S54" s="70">
        <v>31.1</v>
      </c>
      <c r="T54" s="70">
        <v>31.1</v>
      </c>
      <c r="U54" s="70">
        <v>31.5</v>
      </c>
      <c r="V54" s="70">
        <v>30.8</v>
      </c>
      <c r="W54" s="70">
        <v>31.3</v>
      </c>
      <c r="X54" s="70">
        <v>31.3</v>
      </c>
      <c r="Y54" s="70">
        <v>31.3</v>
      </c>
      <c r="Z54" s="70">
        <v>31.3</v>
      </c>
      <c r="AA54" s="70">
        <v>31.3</v>
      </c>
      <c r="AB54" s="70">
        <v>31.3</v>
      </c>
      <c r="AC54" s="70">
        <v>31.3</v>
      </c>
      <c r="AD54" s="70">
        <v>31.4</v>
      </c>
      <c r="AE54" s="70">
        <v>31.3</v>
      </c>
      <c r="AF54" s="70">
        <v>24.8</v>
      </c>
      <c r="AG54" s="63">
        <v>32</v>
      </c>
      <c r="AH54" s="54">
        <f t="shared" si="2"/>
        <v>31.5</v>
      </c>
      <c r="AI54" s="55">
        <f t="shared" si="3"/>
        <v>15.6</v>
      </c>
      <c r="AK54" s="56"/>
    </row>
    <row r="55" spans="1:37" ht="15.75" thickBot="1" x14ac:dyDescent="0.3">
      <c r="A55" s="72" t="s">
        <v>63</v>
      </c>
      <c r="B55" s="75">
        <v>6.9</v>
      </c>
      <c r="C55" s="75">
        <v>6.8</v>
      </c>
      <c r="D55" s="75">
        <v>7.5</v>
      </c>
      <c r="E55" s="75">
        <v>5.7</v>
      </c>
      <c r="F55" s="75">
        <v>5.7</v>
      </c>
      <c r="G55" s="75">
        <v>5.7</v>
      </c>
      <c r="H55" s="75">
        <v>10.8</v>
      </c>
      <c r="I55" s="75">
        <v>11.2</v>
      </c>
      <c r="J55" s="75">
        <v>11.3</v>
      </c>
      <c r="K55" s="75">
        <v>11.4</v>
      </c>
      <c r="L55" s="75">
        <v>11.3</v>
      </c>
      <c r="M55" s="75">
        <v>11.3</v>
      </c>
      <c r="N55" s="75">
        <v>11.3</v>
      </c>
      <c r="O55" s="75">
        <v>11.3</v>
      </c>
      <c r="P55" s="75">
        <v>11.3</v>
      </c>
      <c r="Q55" s="75">
        <v>11.3</v>
      </c>
      <c r="R55" s="75">
        <v>11.3</v>
      </c>
      <c r="S55" s="75">
        <v>11.3</v>
      </c>
      <c r="T55" s="75">
        <v>11.3</v>
      </c>
      <c r="U55" s="75">
        <v>11.5</v>
      </c>
      <c r="V55" s="75">
        <v>11.2</v>
      </c>
      <c r="W55" s="75">
        <v>11.4</v>
      </c>
      <c r="X55" s="75">
        <v>11.4</v>
      </c>
      <c r="Y55" s="75">
        <v>11.4</v>
      </c>
      <c r="Z55" s="75">
        <v>11.4</v>
      </c>
      <c r="AA55" s="75">
        <v>11.4</v>
      </c>
      <c r="AB55" s="75">
        <v>11.4</v>
      </c>
      <c r="AC55" s="75">
        <v>11.4</v>
      </c>
      <c r="AD55" s="75">
        <v>11.5</v>
      </c>
      <c r="AE55" s="75">
        <v>11.4</v>
      </c>
      <c r="AF55" s="75">
        <v>9</v>
      </c>
      <c r="AG55" s="76">
        <v>14</v>
      </c>
      <c r="AH55" s="54">
        <f t="shared" si="2"/>
        <v>11.5</v>
      </c>
      <c r="AI55" s="55">
        <f t="shared" si="3"/>
        <v>5.7</v>
      </c>
      <c r="AK55" s="56"/>
    </row>
    <row r="56" spans="1:37" ht="15.75" thickBot="1" x14ac:dyDescent="0.3">
      <c r="A56" s="68" t="s">
        <v>64</v>
      </c>
      <c r="B56" s="69">
        <f t="shared" ref="B56:AF56" si="8">SUM(B53:B55)</f>
        <v>65.8</v>
      </c>
      <c r="C56" s="69">
        <f t="shared" si="8"/>
        <v>64.899999999999991</v>
      </c>
      <c r="D56" s="69">
        <f t="shared" si="8"/>
        <v>76.5</v>
      </c>
      <c r="E56" s="69">
        <f t="shared" si="8"/>
        <v>51.300000000000004</v>
      </c>
      <c r="F56" s="69">
        <f t="shared" si="8"/>
        <v>51.300000000000004</v>
      </c>
      <c r="G56" s="69">
        <f t="shared" si="8"/>
        <v>51.300000000000004</v>
      </c>
      <c r="H56" s="69">
        <f t="shared" si="8"/>
        <v>100</v>
      </c>
      <c r="I56" s="69">
        <f t="shared" si="8"/>
        <v>101.7</v>
      </c>
      <c r="J56" s="69">
        <f t="shared" si="8"/>
        <v>102.3</v>
      </c>
      <c r="K56" s="69">
        <f t="shared" si="8"/>
        <v>101.30000000000001</v>
      </c>
      <c r="L56" s="69">
        <f t="shared" si="8"/>
        <v>101.89999999999999</v>
      </c>
      <c r="M56" s="69">
        <f t="shared" si="8"/>
        <v>101.89999999999999</v>
      </c>
      <c r="N56" s="69">
        <f t="shared" si="8"/>
        <v>101.89999999999999</v>
      </c>
      <c r="O56" s="69">
        <f t="shared" si="8"/>
        <v>101.89999999999999</v>
      </c>
      <c r="P56" s="69">
        <f t="shared" si="8"/>
        <v>101.89999999999999</v>
      </c>
      <c r="Q56" s="69">
        <f t="shared" si="8"/>
        <v>101.89999999999999</v>
      </c>
      <c r="R56" s="69">
        <f t="shared" si="8"/>
        <v>101.89999999999999</v>
      </c>
      <c r="S56" s="69">
        <f t="shared" si="8"/>
        <v>101.89999999999999</v>
      </c>
      <c r="T56" s="69">
        <f t="shared" si="8"/>
        <v>101.89999999999999</v>
      </c>
      <c r="U56" s="69">
        <f t="shared" si="8"/>
        <v>103</v>
      </c>
      <c r="V56" s="69">
        <f t="shared" si="8"/>
        <v>102</v>
      </c>
      <c r="W56" s="69">
        <f t="shared" si="8"/>
        <v>102.7</v>
      </c>
      <c r="X56" s="69">
        <f t="shared" si="8"/>
        <v>102.7</v>
      </c>
      <c r="Y56" s="69">
        <f t="shared" si="8"/>
        <v>102.7</v>
      </c>
      <c r="Z56" s="69">
        <f t="shared" si="8"/>
        <v>102.5</v>
      </c>
      <c r="AA56" s="69">
        <f t="shared" si="8"/>
        <v>102.5</v>
      </c>
      <c r="AB56" s="69">
        <f t="shared" si="8"/>
        <v>102.5</v>
      </c>
      <c r="AC56" s="69">
        <f t="shared" si="8"/>
        <v>102.5</v>
      </c>
      <c r="AD56" s="69">
        <f t="shared" si="8"/>
        <v>102.69999999999999</v>
      </c>
      <c r="AE56" s="69">
        <f t="shared" si="8"/>
        <v>102.5</v>
      </c>
      <c r="AF56" s="69">
        <f t="shared" si="8"/>
        <v>92.2</v>
      </c>
      <c r="AG56" s="74">
        <f>SUM(AG53:AG55)</f>
        <v>106</v>
      </c>
      <c r="AH56" s="54">
        <f t="shared" si="2"/>
        <v>103</v>
      </c>
      <c r="AI56" s="55">
        <f t="shared" si="3"/>
        <v>51.300000000000004</v>
      </c>
      <c r="AK56" s="56"/>
    </row>
    <row r="57" spans="1:37" x14ac:dyDescent="0.25">
      <c r="A57" s="57" t="s">
        <v>65</v>
      </c>
      <c r="B57" s="51">
        <v>53.5</v>
      </c>
      <c r="C57" s="51">
        <v>72</v>
      </c>
      <c r="D57" s="51">
        <v>75.400000000000006</v>
      </c>
      <c r="E57" s="51">
        <v>71.2</v>
      </c>
      <c r="F57" s="51">
        <v>68</v>
      </c>
      <c r="G57" s="51">
        <v>68.7</v>
      </c>
      <c r="H57" s="51">
        <v>67.8</v>
      </c>
      <c r="I57" s="51">
        <v>64.7</v>
      </c>
      <c r="J57" s="51">
        <v>61.68</v>
      </c>
      <c r="K57" s="51">
        <v>60.4</v>
      </c>
      <c r="L57" s="51">
        <v>68.099999999999994</v>
      </c>
      <c r="M57" s="51">
        <v>68.099999999999994</v>
      </c>
      <c r="N57" s="51">
        <v>71.400000000000006</v>
      </c>
      <c r="O57" s="51">
        <v>71.400000000000006</v>
      </c>
      <c r="P57" s="51">
        <v>72</v>
      </c>
      <c r="Q57" s="51">
        <v>73.5</v>
      </c>
      <c r="R57" s="51">
        <v>73.5</v>
      </c>
      <c r="S57" s="51">
        <v>75.3</v>
      </c>
      <c r="T57" s="51">
        <v>78.400000000000006</v>
      </c>
      <c r="U57" s="51">
        <v>73</v>
      </c>
      <c r="V57" s="51">
        <v>74.599999999999994</v>
      </c>
      <c r="W57" s="51">
        <v>67.8</v>
      </c>
      <c r="X57" s="51">
        <v>64.5</v>
      </c>
      <c r="Y57" s="51">
        <v>64.5</v>
      </c>
      <c r="Z57" s="51">
        <v>64.2</v>
      </c>
      <c r="AA57" s="51">
        <v>45.2</v>
      </c>
      <c r="AB57" s="51">
        <v>45.2</v>
      </c>
      <c r="AC57" s="51">
        <v>63</v>
      </c>
      <c r="AD57" s="51">
        <v>65</v>
      </c>
      <c r="AE57" s="51">
        <v>76.900000000000006</v>
      </c>
      <c r="AF57" s="51">
        <v>56</v>
      </c>
      <c r="AG57" s="59"/>
      <c r="AH57" s="54">
        <f t="shared" si="2"/>
        <v>78.400000000000006</v>
      </c>
      <c r="AI57" s="55">
        <f t="shared" si="3"/>
        <v>45.2</v>
      </c>
      <c r="AK57" s="56"/>
    </row>
    <row r="58" spans="1:37" x14ac:dyDescent="0.25">
      <c r="A58" s="62" t="s">
        <v>66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O58" s="70">
        <v>0</v>
      </c>
      <c r="P58" s="70">
        <v>0</v>
      </c>
      <c r="Q58" s="70">
        <v>0</v>
      </c>
      <c r="R58" s="70">
        <v>0</v>
      </c>
      <c r="S58" s="70">
        <v>0</v>
      </c>
      <c r="T58" s="70">
        <v>0</v>
      </c>
      <c r="U58" s="70">
        <v>0</v>
      </c>
      <c r="V58" s="70">
        <v>0</v>
      </c>
      <c r="W58" s="70">
        <v>0</v>
      </c>
      <c r="X58" s="70">
        <v>0</v>
      </c>
      <c r="Y58" s="70">
        <v>0</v>
      </c>
      <c r="Z58" s="70">
        <v>0</v>
      </c>
      <c r="AA58" s="70">
        <v>0</v>
      </c>
      <c r="AB58" s="70">
        <v>0</v>
      </c>
      <c r="AC58" s="70">
        <v>0</v>
      </c>
      <c r="AD58" s="70">
        <v>0</v>
      </c>
      <c r="AE58" s="70">
        <v>0</v>
      </c>
      <c r="AF58" s="70">
        <v>0</v>
      </c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>
        <v>-341.4</v>
      </c>
      <c r="C59" s="70">
        <v>-384.5</v>
      </c>
      <c r="D59" s="70">
        <v>-356</v>
      </c>
      <c r="E59" s="70">
        <v>-366.9</v>
      </c>
      <c r="F59" s="70">
        <v>-379</v>
      </c>
      <c r="G59" s="70">
        <v>-356</v>
      </c>
      <c r="H59" s="70">
        <v>-320.7</v>
      </c>
      <c r="I59" s="70">
        <v>-323</v>
      </c>
      <c r="J59" s="70">
        <v>-305.89999999999998</v>
      </c>
      <c r="K59" s="70">
        <v>-282.10000000000002</v>
      </c>
      <c r="L59" s="70">
        <v>-238.1</v>
      </c>
      <c r="M59" s="70">
        <v>-300</v>
      </c>
      <c r="N59" s="70">
        <v>-300</v>
      </c>
      <c r="O59" s="70">
        <v>-245</v>
      </c>
      <c r="P59" s="70">
        <v>-215</v>
      </c>
      <c r="Q59" s="70">
        <v>-191</v>
      </c>
      <c r="R59" s="70">
        <v>-320</v>
      </c>
      <c r="S59" s="70">
        <v>-290</v>
      </c>
      <c r="T59" s="70">
        <v>-291.8</v>
      </c>
      <c r="U59" s="70">
        <v>-227.2</v>
      </c>
      <c r="V59" s="70">
        <v>-259</v>
      </c>
      <c r="W59" s="70">
        <v>-247.7</v>
      </c>
      <c r="X59" s="70">
        <v>-268</v>
      </c>
      <c r="Y59" s="70">
        <v>-200</v>
      </c>
      <c r="Z59" s="70">
        <v>-200</v>
      </c>
      <c r="AA59" s="70">
        <v>-118.3</v>
      </c>
      <c r="AB59" s="70">
        <v>-155</v>
      </c>
      <c r="AC59" s="70">
        <v>-255</v>
      </c>
      <c r="AD59" s="70">
        <v>-240</v>
      </c>
      <c r="AE59" s="70">
        <v>-335</v>
      </c>
      <c r="AF59" s="70">
        <v>-359</v>
      </c>
      <c r="AG59" s="77"/>
      <c r="AH59" s="54">
        <f t="shared" si="2"/>
        <v>-118.3</v>
      </c>
      <c r="AI59" s="55">
        <f t="shared" si="3"/>
        <v>-384.5</v>
      </c>
      <c r="AK59" s="56"/>
    </row>
    <row r="60" spans="1:37" x14ac:dyDescent="0.25">
      <c r="A60" s="62" t="s">
        <v>68</v>
      </c>
      <c r="B60" s="78">
        <v>14</v>
      </c>
      <c r="C60" s="78">
        <v>14</v>
      </c>
      <c r="D60" s="78">
        <v>14</v>
      </c>
      <c r="E60" s="78">
        <v>14</v>
      </c>
      <c r="F60" s="78">
        <v>14</v>
      </c>
      <c r="G60" s="78">
        <v>14</v>
      </c>
      <c r="H60" s="78">
        <v>14</v>
      </c>
      <c r="I60" s="78">
        <v>14</v>
      </c>
      <c r="J60" s="78">
        <v>14</v>
      </c>
      <c r="K60" s="78">
        <v>10</v>
      </c>
      <c r="L60" s="78">
        <v>10</v>
      </c>
      <c r="M60" s="78">
        <v>10</v>
      </c>
      <c r="N60" s="78">
        <v>10</v>
      </c>
      <c r="O60" s="78">
        <v>10</v>
      </c>
      <c r="P60" s="78">
        <v>10</v>
      </c>
      <c r="Q60" s="78">
        <v>10</v>
      </c>
      <c r="R60" s="78">
        <v>10</v>
      </c>
      <c r="S60" s="78">
        <v>10</v>
      </c>
      <c r="T60" s="78">
        <v>10</v>
      </c>
      <c r="U60" s="78">
        <v>14</v>
      </c>
      <c r="V60" s="78">
        <v>14</v>
      </c>
      <c r="W60" s="78">
        <v>14</v>
      </c>
      <c r="X60" s="78">
        <v>14</v>
      </c>
      <c r="Y60" s="78">
        <v>14</v>
      </c>
      <c r="Z60" s="78">
        <v>14</v>
      </c>
      <c r="AA60" s="78">
        <v>14</v>
      </c>
      <c r="AB60" s="78">
        <v>14</v>
      </c>
      <c r="AC60" s="78">
        <v>14</v>
      </c>
      <c r="AD60" s="78">
        <v>14</v>
      </c>
      <c r="AE60" s="78">
        <v>14</v>
      </c>
      <c r="AF60" s="78">
        <v>14</v>
      </c>
      <c r="AG60" s="77"/>
      <c r="AH60" s="54">
        <f t="shared" si="2"/>
        <v>14</v>
      </c>
      <c r="AI60" s="55">
        <f t="shared" si="3"/>
        <v>10</v>
      </c>
      <c r="AK60" s="56"/>
    </row>
    <row r="61" spans="1:37" x14ac:dyDescent="0.25">
      <c r="A61" s="62" t="s">
        <v>69</v>
      </c>
      <c r="B61" s="51">
        <v>0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>
        <v>5.5</v>
      </c>
      <c r="C62" s="79">
        <v>5.5</v>
      </c>
      <c r="D62" s="79">
        <v>5.5</v>
      </c>
      <c r="E62" s="79">
        <v>5.5</v>
      </c>
      <c r="F62" s="79">
        <v>5.5</v>
      </c>
      <c r="G62" s="79">
        <v>5.5</v>
      </c>
      <c r="H62" s="79">
        <v>5.5</v>
      </c>
      <c r="I62" s="79">
        <v>5.5</v>
      </c>
      <c r="J62" s="79">
        <v>5.5</v>
      </c>
      <c r="K62" s="79">
        <v>5.5</v>
      </c>
      <c r="L62" s="79">
        <v>5.5</v>
      </c>
      <c r="M62" s="79">
        <v>5.5</v>
      </c>
      <c r="N62" s="79">
        <v>5.5</v>
      </c>
      <c r="O62" s="79">
        <v>5.5</v>
      </c>
      <c r="P62" s="79">
        <v>5.5</v>
      </c>
      <c r="Q62" s="79">
        <v>5.5</v>
      </c>
      <c r="R62" s="79">
        <v>5.5</v>
      </c>
      <c r="S62" s="79">
        <v>5.5</v>
      </c>
      <c r="T62" s="79">
        <v>5.5</v>
      </c>
      <c r="U62" s="79">
        <v>5.5</v>
      </c>
      <c r="V62" s="79">
        <v>5.5</v>
      </c>
      <c r="W62" s="79">
        <v>5.5</v>
      </c>
      <c r="X62" s="79">
        <v>5.5</v>
      </c>
      <c r="Y62" s="79">
        <v>5.5</v>
      </c>
      <c r="Z62" s="79">
        <v>5.5</v>
      </c>
      <c r="AA62" s="79">
        <v>5.5</v>
      </c>
      <c r="AB62" s="79">
        <v>5.5</v>
      </c>
      <c r="AC62" s="79">
        <v>5.5</v>
      </c>
      <c r="AD62" s="79">
        <v>5.5</v>
      </c>
      <c r="AE62" s="79">
        <v>5.5</v>
      </c>
      <c r="AF62" s="79">
        <v>5.5</v>
      </c>
      <c r="AG62" s="77"/>
      <c r="AH62" s="54">
        <f t="shared" si="2"/>
        <v>5.5</v>
      </c>
      <c r="AI62" s="55">
        <f t="shared" si="3"/>
        <v>5.5</v>
      </c>
      <c r="AK62" s="56"/>
    </row>
    <row r="63" spans="1:37" x14ac:dyDescent="0.25">
      <c r="A63" s="62" t="s">
        <v>71</v>
      </c>
      <c r="B63" s="79">
        <v>0</v>
      </c>
      <c r="C63" s="79">
        <v>0</v>
      </c>
      <c r="D63" s="79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79">
        <v>0</v>
      </c>
      <c r="L63" s="79">
        <v>0</v>
      </c>
      <c r="M63" s="79">
        <v>0</v>
      </c>
      <c r="N63" s="79">
        <v>0</v>
      </c>
      <c r="O63" s="79">
        <v>0</v>
      </c>
      <c r="P63" s="79">
        <v>0</v>
      </c>
      <c r="Q63" s="79">
        <v>0</v>
      </c>
      <c r="R63" s="79">
        <v>0</v>
      </c>
      <c r="S63" s="79">
        <v>0</v>
      </c>
      <c r="T63" s="79">
        <v>0</v>
      </c>
      <c r="U63" s="79">
        <v>0</v>
      </c>
      <c r="V63" s="79">
        <v>0</v>
      </c>
      <c r="W63" s="79">
        <v>0</v>
      </c>
      <c r="X63" s="79">
        <v>0</v>
      </c>
      <c r="Y63" s="79">
        <v>0</v>
      </c>
      <c r="Z63" s="79">
        <v>0</v>
      </c>
      <c r="AA63" s="79">
        <v>0</v>
      </c>
      <c r="AB63" s="79">
        <v>0</v>
      </c>
      <c r="AC63" s="79">
        <v>0</v>
      </c>
      <c r="AD63" s="79">
        <v>0</v>
      </c>
      <c r="AE63" s="79">
        <v>0</v>
      </c>
      <c r="AF63" s="79">
        <v>0</v>
      </c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9">
        <v>0</v>
      </c>
      <c r="AE64" s="79">
        <v>0</v>
      </c>
      <c r="AF64" s="79">
        <v>0</v>
      </c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9">
        <v>0</v>
      </c>
      <c r="AE65" s="79">
        <v>0</v>
      </c>
      <c r="AF65" s="79">
        <v>0</v>
      </c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>
        <v>0</v>
      </c>
      <c r="C66" s="81">
        <v>0</v>
      </c>
      <c r="D66" s="81">
        <v>0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1">
        <v>0</v>
      </c>
      <c r="X66" s="81">
        <v>0</v>
      </c>
      <c r="Y66" s="81">
        <v>0</v>
      </c>
      <c r="Z66" s="81">
        <v>0</v>
      </c>
      <c r="AA66" s="81">
        <v>0</v>
      </c>
      <c r="AB66" s="81">
        <v>0</v>
      </c>
      <c r="AC66" s="81">
        <v>0</v>
      </c>
      <c r="AD66" s="79">
        <v>0</v>
      </c>
      <c r="AE66" s="79">
        <v>0</v>
      </c>
      <c r="AF66" s="79">
        <v>0</v>
      </c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>
        <v>0</v>
      </c>
      <c r="C67" s="81">
        <v>0</v>
      </c>
      <c r="D67" s="81">
        <v>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1">
        <v>0</v>
      </c>
      <c r="X67" s="81">
        <v>0</v>
      </c>
      <c r="Y67" s="81">
        <v>0</v>
      </c>
      <c r="Z67" s="81">
        <v>0</v>
      </c>
      <c r="AA67" s="81">
        <v>0</v>
      </c>
      <c r="AB67" s="81">
        <v>0</v>
      </c>
      <c r="AC67" s="81">
        <v>0</v>
      </c>
      <c r="AD67" s="79">
        <v>0</v>
      </c>
      <c r="AE67" s="79">
        <v>0</v>
      </c>
      <c r="AF67" s="79">
        <v>0</v>
      </c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>SUMIF(B57:B67,"&gt;0")</f>
        <v>73</v>
      </c>
      <c r="C68" s="69">
        <f t="shared" ref="C68:AF68" si="9">SUMIF(C57:C67,"&gt;0")</f>
        <v>91.5</v>
      </c>
      <c r="D68" s="69">
        <f t="shared" si="9"/>
        <v>94.9</v>
      </c>
      <c r="E68" s="69">
        <f t="shared" si="9"/>
        <v>90.7</v>
      </c>
      <c r="F68" s="69">
        <f t="shared" si="9"/>
        <v>87.5</v>
      </c>
      <c r="G68" s="69">
        <f t="shared" si="9"/>
        <v>88.2</v>
      </c>
      <c r="H68" s="69">
        <f t="shared" si="9"/>
        <v>87.3</v>
      </c>
      <c r="I68" s="69">
        <f t="shared" si="9"/>
        <v>84.2</v>
      </c>
      <c r="J68" s="69">
        <f t="shared" si="9"/>
        <v>81.180000000000007</v>
      </c>
      <c r="K68" s="69">
        <f t="shared" si="9"/>
        <v>75.900000000000006</v>
      </c>
      <c r="L68" s="69">
        <f t="shared" si="9"/>
        <v>83.6</v>
      </c>
      <c r="M68" s="69">
        <f t="shared" si="9"/>
        <v>83.6</v>
      </c>
      <c r="N68" s="69">
        <f t="shared" si="9"/>
        <v>86.9</v>
      </c>
      <c r="O68" s="69">
        <f t="shared" si="9"/>
        <v>86.9</v>
      </c>
      <c r="P68" s="69">
        <f t="shared" si="9"/>
        <v>87.5</v>
      </c>
      <c r="Q68" s="69">
        <f t="shared" si="9"/>
        <v>89</v>
      </c>
      <c r="R68" s="69">
        <f t="shared" si="9"/>
        <v>89</v>
      </c>
      <c r="S68" s="69">
        <f t="shared" si="9"/>
        <v>90.8</v>
      </c>
      <c r="T68" s="69">
        <f t="shared" si="9"/>
        <v>93.9</v>
      </c>
      <c r="U68" s="69">
        <f t="shared" si="9"/>
        <v>92.5</v>
      </c>
      <c r="V68" s="69">
        <f t="shared" si="9"/>
        <v>94.1</v>
      </c>
      <c r="W68" s="69">
        <f t="shared" si="9"/>
        <v>87.3</v>
      </c>
      <c r="X68" s="69">
        <f t="shared" si="9"/>
        <v>84</v>
      </c>
      <c r="Y68" s="69">
        <f t="shared" si="9"/>
        <v>84</v>
      </c>
      <c r="Z68" s="69">
        <f t="shared" si="9"/>
        <v>83.7</v>
      </c>
      <c r="AA68" s="69">
        <f t="shared" si="9"/>
        <v>64.7</v>
      </c>
      <c r="AB68" s="69">
        <f t="shared" si="9"/>
        <v>64.7</v>
      </c>
      <c r="AC68" s="69">
        <f t="shared" si="9"/>
        <v>82.5</v>
      </c>
      <c r="AD68" s="69">
        <f t="shared" si="9"/>
        <v>84.5</v>
      </c>
      <c r="AE68" s="69">
        <f t="shared" si="9"/>
        <v>96.4</v>
      </c>
      <c r="AF68" s="69">
        <f t="shared" si="9"/>
        <v>75.5</v>
      </c>
      <c r="AG68" s="74">
        <f>SUM(AG57:AG67)</f>
        <v>0</v>
      </c>
      <c r="AH68" s="54">
        <f t="shared" si="2"/>
        <v>96.4</v>
      </c>
      <c r="AI68" s="55">
        <f t="shared" si="3"/>
        <v>64.7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10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>
        <v>180</v>
      </c>
      <c r="C74" s="86">
        <v>80</v>
      </c>
      <c r="D74" s="86">
        <v>30</v>
      </c>
      <c r="E74" s="86">
        <v>30</v>
      </c>
      <c r="F74" s="86">
        <v>10</v>
      </c>
      <c r="G74" s="86">
        <v>10</v>
      </c>
      <c r="H74" s="86">
        <v>60</v>
      </c>
      <c r="I74" s="86">
        <v>40</v>
      </c>
      <c r="J74" s="86">
        <v>40</v>
      </c>
      <c r="K74" s="86">
        <v>40</v>
      </c>
      <c r="L74" s="86">
        <v>30</v>
      </c>
      <c r="M74" s="86"/>
      <c r="N74" s="86"/>
      <c r="O74" s="86"/>
      <c r="P74" s="86"/>
      <c r="Q74" s="86"/>
      <c r="R74" s="86">
        <v>100</v>
      </c>
      <c r="S74" s="86">
        <v>60</v>
      </c>
      <c r="T74" s="86">
        <v>25</v>
      </c>
      <c r="U74" s="86">
        <v>25</v>
      </c>
      <c r="V74" s="86">
        <v>25</v>
      </c>
      <c r="W74" s="86">
        <v>25</v>
      </c>
      <c r="X74" s="86">
        <v>25</v>
      </c>
      <c r="Y74" s="86">
        <v>25</v>
      </c>
      <c r="Z74" s="86">
        <v>25</v>
      </c>
      <c r="AA74" s="86">
        <v>25</v>
      </c>
      <c r="AB74" s="86"/>
      <c r="AC74" s="86"/>
      <c r="AD74" s="86"/>
      <c r="AE74" s="86"/>
      <c r="AF74" s="86"/>
      <c r="AG74" s="74"/>
      <c r="AH74" s="54">
        <f t="shared" si="2"/>
        <v>180</v>
      </c>
      <c r="AI74" s="55">
        <f t="shared" si="3"/>
        <v>10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>B72+B68+B56+B52+B38+B74</f>
        <v>1807.7400000000002</v>
      </c>
      <c r="C75" s="84">
        <f t="shared" ref="C75:AF75" si="11">C72+C68+C56+C52+C38+C74</f>
        <v>1732.5400000000002</v>
      </c>
      <c r="D75" s="84">
        <f t="shared" si="11"/>
        <v>1710.9400000000003</v>
      </c>
      <c r="E75" s="84">
        <f t="shared" si="11"/>
        <v>1618.74</v>
      </c>
      <c r="F75" s="84">
        <f t="shared" si="11"/>
        <v>1596.14</v>
      </c>
      <c r="G75" s="84">
        <f t="shared" si="11"/>
        <v>1576.8400000000001</v>
      </c>
      <c r="H75" s="84">
        <f t="shared" si="11"/>
        <v>1606.94</v>
      </c>
      <c r="I75" s="84">
        <f t="shared" si="11"/>
        <v>1582.54</v>
      </c>
      <c r="J75" s="84">
        <f t="shared" si="11"/>
        <v>1632.42</v>
      </c>
      <c r="K75" s="84">
        <f t="shared" si="11"/>
        <v>1631.1400000000003</v>
      </c>
      <c r="L75" s="84">
        <f t="shared" si="11"/>
        <v>1636.44</v>
      </c>
      <c r="M75" s="84">
        <f t="shared" si="11"/>
        <v>1738.94</v>
      </c>
      <c r="N75" s="84">
        <f t="shared" si="11"/>
        <v>1772.2400000000002</v>
      </c>
      <c r="O75" s="84">
        <f t="shared" si="11"/>
        <v>1777.2400000000002</v>
      </c>
      <c r="P75" s="84">
        <f t="shared" si="11"/>
        <v>1772.8400000000001</v>
      </c>
      <c r="Q75" s="84">
        <f t="shared" si="11"/>
        <v>1775.7400000000002</v>
      </c>
      <c r="R75" s="84">
        <f t="shared" si="11"/>
        <v>1889.7400000000002</v>
      </c>
      <c r="S75" s="84">
        <f t="shared" si="11"/>
        <v>1812.2400000000002</v>
      </c>
      <c r="T75" s="84">
        <f t="shared" si="11"/>
        <v>1785.8400000000001</v>
      </c>
      <c r="U75" s="84">
        <f t="shared" si="11"/>
        <v>1785.5400000000002</v>
      </c>
      <c r="V75" s="84">
        <f t="shared" si="11"/>
        <v>1781.8400000000001</v>
      </c>
      <c r="W75" s="84">
        <f t="shared" si="11"/>
        <v>1759.44</v>
      </c>
      <c r="X75" s="84">
        <f t="shared" si="11"/>
        <v>1753.2400000000002</v>
      </c>
      <c r="Y75" s="84">
        <f t="shared" si="11"/>
        <v>1697.4400000000003</v>
      </c>
      <c r="Z75" s="84">
        <f t="shared" si="11"/>
        <v>1717.5400000000002</v>
      </c>
      <c r="AA75" s="84">
        <f t="shared" si="11"/>
        <v>1678.6400000000003</v>
      </c>
      <c r="AB75" s="84">
        <f t="shared" si="11"/>
        <v>1726.9400000000003</v>
      </c>
      <c r="AC75" s="84">
        <f t="shared" si="11"/>
        <v>1804.7400000000002</v>
      </c>
      <c r="AD75" s="84">
        <f t="shared" si="11"/>
        <v>1823.24</v>
      </c>
      <c r="AE75" s="84">
        <f t="shared" si="11"/>
        <v>1792.14</v>
      </c>
      <c r="AF75" s="84">
        <f t="shared" si="11"/>
        <v>1807.0400000000004</v>
      </c>
      <c r="AG75" s="74">
        <f>AG72+AG68+AG56+AG52+AG38+AG74</f>
        <v>2144.14</v>
      </c>
      <c r="AH75" s="54">
        <f t="shared" si="2"/>
        <v>1889.7400000000002</v>
      </c>
      <c r="AI75" s="55">
        <f t="shared" si="3"/>
        <v>1576.8400000000001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f>IF(B60&lt;0,B60*-1,0)</f>
        <v>0</v>
      </c>
      <c r="C76" s="78">
        <f t="shared" ref="C76:AF76" si="12">IF(C60&lt;0,C60*-1,0)</f>
        <v>0</v>
      </c>
      <c r="D76" s="78">
        <f t="shared" si="12"/>
        <v>0</v>
      </c>
      <c r="E76" s="78">
        <f t="shared" si="12"/>
        <v>0</v>
      </c>
      <c r="F76" s="78">
        <f t="shared" si="12"/>
        <v>0</v>
      </c>
      <c r="G76" s="78">
        <f t="shared" si="12"/>
        <v>0</v>
      </c>
      <c r="H76" s="78">
        <f t="shared" si="12"/>
        <v>0</v>
      </c>
      <c r="I76" s="78">
        <f t="shared" si="12"/>
        <v>0</v>
      </c>
      <c r="J76" s="78">
        <f t="shared" si="12"/>
        <v>0</v>
      </c>
      <c r="K76" s="78">
        <f t="shared" si="12"/>
        <v>0</v>
      </c>
      <c r="L76" s="78">
        <f t="shared" si="12"/>
        <v>0</v>
      </c>
      <c r="M76" s="78">
        <f t="shared" si="12"/>
        <v>0</v>
      </c>
      <c r="N76" s="78">
        <f t="shared" si="12"/>
        <v>0</v>
      </c>
      <c r="O76" s="78">
        <f t="shared" si="12"/>
        <v>0</v>
      </c>
      <c r="P76" s="78">
        <f t="shared" si="12"/>
        <v>0</v>
      </c>
      <c r="Q76" s="78">
        <f t="shared" si="12"/>
        <v>0</v>
      </c>
      <c r="R76" s="78">
        <f t="shared" si="12"/>
        <v>0</v>
      </c>
      <c r="S76" s="78">
        <f t="shared" si="12"/>
        <v>0</v>
      </c>
      <c r="T76" s="78">
        <f t="shared" si="12"/>
        <v>0</v>
      </c>
      <c r="U76" s="78">
        <f t="shared" si="12"/>
        <v>0</v>
      </c>
      <c r="V76" s="78">
        <f t="shared" si="12"/>
        <v>0</v>
      </c>
      <c r="W76" s="78">
        <f t="shared" si="12"/>
        <v>0</v>
      </c>
      <c r="X76" s="78">
        <f t="shared" si="12"/>
        <v>0</v>
      </c>
      <c r="Y76" s="78">
        <f t="shared" si="12"/>
        <v>0</v>
      </c>
      <c r="Z76" s="78">
        <f t="shared" si="12"/>
        <v>0</v>
      </c>
      <c r="AA76" s="78">
        <f t="shared" si="12"/>
        <v>0</v>
      </c>
      <c r="AB76" s="78">
        <f t="shared" si="12"/>
        <v>0</v>
      </c>
      <c r="AC76" s="78">
        <f t="shared" si="12"/>
        <v>0</v>
      </c>
      <c r="AD76" s="78">
        <f t="shared" si="12"/>
        <v>0</v>
      </c>
      <c r="AE76" s="78">
        <f t="shared" si="12"/>
        <v>0</v>
      </c>
      <c r="AF76" s="78">
        <f t="shared" si="12"/>
        <v>0</v>
      </c>
      <c r="AG76" s="59"/>
      <c r="AH76" s="54">
        <f t="shared" ref="AH76:AH91" si="13">MAX(B76:AF76)</f>
        <v>0</v>
      </c>
      <c r="AI76" s="55">
        <f t="shared" ref="AI76:AI91" si="14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f>IF(B58&lt;0,B58*-1,0)</f>
        <v>0</v>
      </c>
      <c r="C77" s="78">
        <f t="shared" ref="C77:AF77" si="15">IF(C58&lt;0,C58*-1,0)</f>
        <v>0</v>
      </c>
      <c r="D77" s="78">
        <f t="shared" si="15"/>
        <v>0</v>
      </c>
      <c r="E77" s="78">
        <f t="shared" si="15"/>
        <v>0</v>
      </c>
      <c r="F77" s="78">
        <f t="shared" si="15"/>
        <v>0</v>
      </c>
      <c r="G77" s="78">
        <f t="shared" si="15"/>
        <v>0</v>
      </c>
      <c r="H77" s="78">
        <f t="shared" si="15"/>
        <v>0</v>
      </c>
      <c r="I77" s="78">
        <f t="shared" si="15"/>
        <v>0</v>
      </c>
      <c r="J77" s="78">
        <f t="shared" si="15"/>
        <v>0</v>
      </c>
      <c r="K77" s="78">
        <f t="shared" si="15"/>
        <v>0</v>
      </c>
      <c r="L77" s="78">
        <f t="shared" si="15"/>
        <v>0</v>
      </c>
      <c r="M77" s="78">
        <f t="shared" si="15"/>
        <v>0</v>
      </c>
      <c r="N77" s="78">
        <f t="shared" si="15"/>
        <v>0</v>
      </c>
      <c r="O77" s="78">
        <f t="shared" si="15"/>
        <v>0</v>
      </c>
      <c r="P77" s="78">
        <f t="shared" si="15"/>
        <v>0</v>
      </c>
      <c r="Q77" s="78">
        <f t="shared" si="15"/>
        <v>0</v>
      </c>
      <c r="R77" s="78">
        <f t="shared" si="15"/>
        <v>0</v>
      </c>
      <c r="S77" s="78">
        <f t="shared" si="15"/>
        <v>0</v>
      </c>
      <c r="T77" s="78">
        <f t="shared" si="15"/>
        <v>0</v>
      </c>
      <c r="U77" s="78">
        <f t="shared" si="15"/>
        <v>0</v>
      </c>
      <c r="V77" s="78">
        <f t="shared" si="15"/>
        <v>0</v>
      </c>
      <c r="W77" s="78">
        <f t="shared" si="15"/>
        <v>0</v>
      </c>
      <c r="X77" s="78">
        <f t="shared" si="15"/>
        <v>0</v>
      </c>
      <c r="Y77" s="78">
        <f t="shared" si="15"/>
        <v>0</v>
      </c>
      <c r="Z77" s="78">
        <f t="shared" si="15"/>
        <v>0</v>
      </c>
      <c r="AA77" s="78">
        <f t="shared" si="15"/>
        <v>0</v>
      </c>
      <c r="AB77" s="78">
        <f t="shared" si="15"/>
        <v>0</v>
      </c>
      <c r="AC77" s="78">
        <f t="shared" si="15"/>
        <v>0</v>
      </c>
      <c r="AD77" s="78">
        <f t="shared" si="15"/>
        <v>0</v>
      </c>
      <c r="AE77" s="78">
        <f t="shared" si="15"/>
        <v>0</v>
      </c>
      <c r="AF77" s="78">
        <f t="shared" si="15"/>
        <v>0</v>
      </c>
      <c r="AG77" s="63"/>
      <c r="AH77" s="54">
        <f t="shared" si="13"/>
        <v>0</v>
      </c>
      <c r="AI77" s="55">
        <f t="shared" si="14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f>IF(B61&lt;0,B61*-1,0)</f>
        <v>0</v>
      </c>
      <c r="C78" s="78">
        <f t="shared" ref="C78:AF78" si="16">IF(C61&lt;0,C61*-1,0)</f>
        <v>0</v>
      </c>
      <c r="D78" s="78">
        <f t="shared" si="16"/>
        <v>0</v>
      </c>
      <c r="E78" s="78">
        <f t="shared" si="16"/>
        <v>0</v>
      </c>
      <c r="F78" s="78">
        <f t="shared" si="16"/>
        <v>0</v>
      </c>
      <c r="G78" s="78">
        <f t="shared" si="16"/>
        <v>0</v>
      </c>
      <c r="H78" s="78">
        <f t="shared" si="16"/>
        <v>0</v>
      </c>
      <c r="I78" s="78">
        <f t="shared" si="16"/>
        <v>0</v>
      </c>
      <c r="J78" s="78">
        <f t="shared" si="16"/>
        <v>0</v>
      </c>
      <c r="K78" s="78">
        <f t="shared" si="16"/>
        <v>0</v>
      </c>
      <c r="L78" s="78">
        <f t="shared" si="16"/>
        <v>0</v>
      </c>
      <c r="M78" s="78">
        <f t="shared" si="16"/>
        <v>0</v>
      </c>
      <c r="N78" s="78">
        <f t="shared" si="16"/>
        <v>0</v>
      </c>
      <c r="O78" s="78">
        <f t="shared" si="16"/>
        <v>0</v>
      </c>
      <c r="P78" s="78">
        <f t="shared" si="16"/>
        <v>0</v>
      </c>
      <c r="Q78" s="78">
        <f t="shared" si="16"/>
        <v>0</v>
      </c>
      <c r="R78" s="78">
        <f t="shared" si="16"/>
        <v>0</v>
      </c>
      <c r="S78" s="78">
        <f t="shared" si="16"/>
        <v>0</v>
      </c>
      <c r="T78" s="78">
        <f t="shared" si="16"/>
        <v>0</v>
      </c>
      <c r="U78" s="78">
        <f t="shared" si="16"/>
        <v>0</v>
      </c>
      <c r="V78" s="78">
        <f t="shared" si="16"/>
        <v>0</v>
      </c>
      <c r="W78" s="78">
        <f t="shared" si="16"/>
        <v>0</v>
      </c>
      <c r="X78" s="78">
        <f t="shared" si="16"/>
        <v>0</v>
      </c>
      <c r="Y78" s="78">
        <f t="shared" si="16"/>
        <v>0</v>
      </c>
      <c r="Z78" s="78">
        <f t="shared" si="16"/>
        <v>0</v>
      </c>
      <c r="AA78" s="78">
        <f t="shared" si="16"/>
        <v>0</v>
      </c>
      <c r="AB78" s="78">
        <f t="shared" si="16"/>
        <v>0</v>
      </c>
      <c r="AC78" s="78">
        <f t="shared" si="16"/>
        <v>0</v>
      </c>
      <c r="AD78" s="78">
        <f t="shared" si="16"/>
        <v>0</v>
      </c>
      <c r="AE78" s="78">
        <f t="shared" si="16"/>
        <v>0</v>
      </c>
      <c r="AF78" s="78">
        <f t="shared" si="16"/>
        <v>0</v>
      </c>
      <c r="AG78" s="87"/>
      <c r="AH78" s="54">
        <f t="shared" si="13"/>
        <v>0</v>
      </c>
      <c r="AI78" s="55">
        <f t="shared" si="14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f>IF(B59&lt;0,B59*-1,0)</f>
        <v>341.4</v>
      </c>
      <c r="C79" s="78">
        <f t="shared" ref="C79:AF79" si="17">IF(C59&lt;0,C59*-1,0)</f>
        <v>384.5</v>
      </c>
      <c r="D79" s="78">
        <f t="shared" si="17"/>
        <v>356</v>
      </c>
      <c r="E79" s="78">
        <f t="shared" si="17"/>
        <v>366.9</v>
      </c>
      <c r="F79" s="78">
        <f t="shared" si="17"/>
        <v>379</v>
      </c>
      <c r="G79" s="78">
        <f t="shared" si="17"/>
        <v>356</v>
      </c>
      <c r="H79" s="78">
        <f t="shared" si="17"/>
        <v>320.7</v>
      </c>
      <c r="I79" s="78">
        <f t="shared" si="17"/>
        <v>323</v>
      </c>
      <c r="J79" s="78">
        <f t="shared" si="17"/>
        <v>305.89999999999998</v>
      </c>
      <c r="K79" s="78">
        <f t="shared" si="17"/>
        <v>282.10000000000002</v>
      </c>
      <c r="L79" s="78">
        <f t="shared" si="17"/>
        <v>238.1</v>
      </c>
      <c r="M79" s="78">
        <f t="shared" si="17"/>
        <v>300</v>
      </c>
      <c r="N79" s="78">
        <f t="shared" si="17"/>
        <v>300</v>
      </c>
      <c r="O79" s="78">
        <f t="shared" si="17"/>
        <v>245</v>
      </c>
      <c r="P79" s="78">
        <f t="shared" si="17"/>
        <v>215</v>
      </c>
      <c r="Q79" s="78">
        <f t="shared" si="17"/>
        <v>191</v>
      </c>
      <c r="R79" s="78">
        <f t="shared" si="17"/>
        <v>320</v>
      </c>
      <c r="S79" s="78">
        <f t="shared" si="17"/>
        <v>290</v>
      </c>
      <c r="T79" s="78">
        <f t="shared" si="17"/>
        <v>291.8</v>
      </c>
      <c r="U79" s="78">
        <f t="shared" si="17"/>
        <v>227.2</v>
      </c>
      <c r="V79" s="78">
        <f t="shared" si="17"/>
        <v>259</v>
      </c>
      <c r="W79" s="78">
        <f t="shared" si="17"/>
        <v>247.7</v>
      </c>
      <c r="X79" s="78">
        <f t="shared" si="17"/>
        <v>268</v>
      </c>
      <c r="Y79" s="78">
        <f t="shared" si="17"/>
        <v>200</v>
      </c>
      <c r="Z79" s="78">
        <f t="shared" si="17"/>
        <v>200</v>
      </c>
      <c r="AA79" s="78">
        <f t="shared" si="17"/>
        <v>118.3</v>
      </c>
      <c r="AB79" s="78">
        <f t="shared" si="17"/>
        <v>155</v>
      </c>
      <c r="AC79" s="78">
        <f t="shared" si="17"/>
        <v>255</v>
      </c>
      <c r="AD79" s="78">
        <f t="shared" si="17"/>
        <v>240</v>
      </c>
      <c r="AE79" s="78">
        <f t="shared" si="17"/>
        <v>335</v>
      </c>
      <c r="AF79" s="78">
        <f t="shared" si="17"/>
        <v>359</v>
      </c>
      <c r="AG79" s="87"/>
      <c r="AH79" s="54">
        <f t="shared" si="13"/>
        <v>384.5</v>
      </c>
      <c r="AI79" s="55">
        <f t="shared" si="14"/>
        <v>118.3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f>IF(B57&lt;0,B57*-1,0)</f>
        <v>0</v>
      </c>
      <c r="C80" s="78">
        <f t="shared" ref="C80:AF80" si="18">IF(C57&lt;0,C57*-1,0)</f>
        <v>0</v>
      </c>
      <c r="D80" s="78">
        <f t="shared" si="18"/>
        <v>0</v>
      </c>
      <c r="E80" s="78">
        <f t="shared" si="18"/>
        <v>0</v>
      </c>
      <c r="F80" s="78">
        <f t="shared" si="18"/>
        <v>0</v>
      </c>
      <c r="G80" s="78">
        <f t="shared" si="18"/>
        <v>0</v>
      </c>
      <c r="H80" s="78">
        <f t="shared" si="18"/>
        <v>0</v>
      </c>
      <c r="I80" s="78">
        <f t="shared" si="18"/>
        <v>0</v>
      </c>
      <c r="J80" s="78">
        <f t="shared" si="18"/>
        <v>0</v>
      </c>
      <c r="K80" s="78">
        <f t="shared" si="18"/>
        <v>0</v>
      </c>
      <c r="L80" s="78">
        <f t="shared" si="18"/>
        <v>0</v>
      </c>
      <c r="M80" s="78">
        <f t="shared" si="18"/>
        <v>0</v>
      </c>
      <c r="N80" s="78">
        <f t="shared" si="18"/>
        <v>0</v>
      </c>
      <c r="O80" s="78">
        <f t="shared" si="18"/>
        <v>0</v>
      </c>
      <c r="P80" s="78">
        <f t="shared" si="18"/>
        <v>0</v>
      </c>
      <c r="Q80" s="78">
        <f t="shared" si="18"/>
        <v>0</v>
      </c>
      <c r="R80" s="78">
        <f t="shared" si="18"/>
        <v>0</v>
      </c>
      <c r="S80" s="78">
        <f t="shared" si="18"/>
        <v>0</v>
      </c>
      <c r="T80" s="78">
        <f t="shared" si="18"/>
        <v>0</v>
      </c>
      <c r="U80" s="78">
        <f t="shared" si="18"/>
        <v>0</v>
      </c>
      <c r="V80" s="78">
        <f t="shared" si="18"/>
        <v>0</v>
      </c>
      <c r="W80" s="78">
        <f t="shared" si="18"/>
        <v>0</v>
      </c>
      <c r="X80" s="78">
        <f t="shared" si="18"/>
        <v>0</v>
      </c>
      <c r="Y80" s="78">
        <f t="shared" si="18"/>
        <v>0</v>
      </c>
      <c r="Z80" s="78">
        <f t="shared" si="18"/>
        <v>0</v>
      </c>
      <c r="AA80" s="78">
        <f t="shared" si="18"/>
        <v>0</v>
      </c>
      <c r="AB80" s="78">
        <f t="shared" si="18"/>
        <v>0</v>
      </c>
      <c r="AC80" s="78">
        <f t="shared" si="18"/>
        <v>0</v>
      </c>
      <c r="AD80" s="78">
        <f t="shared" si="18"/>
        <v>0</v>
      </c>
      <c r="AE80" s="78">
        <f t="shared" si="18"/>
        <v>0</v>
      </c>
      <c r="AF80" s="78">
        <f t="shared" si="18"/>
        <v>0</v>
      </c>
      <c r="AG80" s="87"/>
      <c r="AH80" s="54">
        <f t="shared" si="13"/>
        <v>0</v>
      </c>
      <c r="AI80" s="55">
        <f t="shared" si="14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3"/>
        <v>0</v>
      </c>
      <c r="AI81" s="55">
        <f t="shared" si="14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9">SUM(AG76:AG81)</f>
        <v>0</v>
      </c>
      <c r="AH82" s="54">
        <f t="shared" si="13"/>
        <v>0</v>
      </c>
      <c r="AI82" s="55">
        <f t="shared" si="14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20">SUM(B70:B82)</f>
        <v>3531.03</v>
      </c>
      <c r="C83" s="69">
        <f t="shared" si="20"/>
        <v>3398.9300000000003</v>
      </c>
      <c r="D83" s="69">
        <f t="shared" si="20"/>
        <v>3298.83</v>
      </c>
      <c r="E83" s="69">
        <f t="shared" si="20"/>
        <v>3217.53</v>
      </c>
      <c r="F83" s="69">
        <f t="shared" si="20"/>
        <v>3187.0299999999997</v>
      </c>
      <c r="G83" s="69">
        <f t="shared" si="20"/>
        <v>3144.73</v>
      </c>
      <c r="H83" s="69">
        <f t="shared" si="20"/>
        <v>3189.5299999999997</v>
      </c>
      <c r="I83" s="69">
        <f t="shared" si="20"/>
        <v>3147.43</v>
      </c>
      <c r="J83" s="69">
        <f t="shared" si="20"/>
        <v>3180.21</v>
      </c>
      <c r="K83" s="69">
        <f t="shared" si="20"/>
        <v>3155.13</v>
      </c>
      <c r="L83" s="69">
        <f t="shared" si="20"/>
        <v>3106.43</v>
      </c>
      <c r="M83" s="69">
        <f t="shared" si="20"/>
        <v>3240.83</v>
      </c>
      <c r="N83" s="69">
        <f t="shared" si="20"/>
        <v>3274.13</v>
      </c>
      <c r="O83" s="69">
        <f t="shared" si="20"/>
        <v>3224.13</v>
      </c>
      <c r="P83" s="69">
        <f t="shared" si="20"/>
        <v>3189.73</v>
      </c>
      <c r="Q83" s="69">
        <f t="shared" si="20"/>
        <v>3168.63</v>
      </c>
      <c r="R83" s="69">
        <f t="shared" si="20"/>
        <v>3511.63</v>
      </c>
      <c r="S83" s="69">
        <f t="shared" si="20"/>
        <v>3364.13</v>
      </c>
      <c r="T83" s="69">
        <f t="shared" si="20"/>
        <v>3304.53</v>
      </c>
      <c r="U83" s="69">
        <f t="shared" si="20"/>
        <v>3239.63</v>
      </c>
      <c r="V83" s="69">
        <f t="shared" si="20"/>
        <v>3267.73</v>
      </c>
      <c r="W83" s="69">
        <f t="shared" si="20"/>
        <v>3234.0299999999997</v>
      </c>
      <c r="X83" s="69">
        <f t="shared" si="20"/>
        <v>3248.13</v>
      </c>
      <c r="Y83" s="69">
        <f t="shared" si="20"/>
        <v>3124.33</v>
      </c>
      <c r="Z83" s="69">
        <f t="shared" si="20"/>
        <v>3144.4300000000003</v>
      </c>
      <c r="AA83" s="69">
        <f t="shared" si="20"/>
        <v>3023.8300000000004</v>
      </c>
      <c r="AB83" s="69">
        <f t="shared" si="20"/>
        <v>3083.83</v>
      </c>
      <c r="AC83" s="69">
        <f t="shared" si="20"/>
        <v>3261.63</v>
      </c>
      <c r="AD83" s="69">
        <f t="shared" si="20"/>
        <v>3265.13</v>
      </c>
      <c r="AE83" s="69">
        <f t="shared" si="20"/>
        <v>3329.0299999999997</v>
      </c>
      <c r="AF83" s="69">
        <f t="shared" si="20"/>
        <v>3367.9300000000003</v>
      </c>
      <c r="AG83" s="74">
        <f t="shared" si="20"/>
        <v>4360.08</v>
      </c>
      <c r="AH83" s="54">
        <f t="shared" si="13"/>
        <v>3531.03</v>
      </c>
      <c r="AI83" s="55">
        <f t="shared" si="14"/>
        <v>3023.8300000000004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>
        <v>49.85</v>
      </c>
      <c r="C84" s="90">
        <v>49.987000000000002</v>
      </c>
      <c r="D84" s="90">
        <v>50.003999999999998</v>
      </c>
      <c r="E84" s="90">
        <v>49.935000000000002</v>
      </c>
      <c r="F84" s="90">
        <v>50.02</v>
      </c>
      <c r="G84" s="90">
        <v>49.978000000000002</v>
      </c>
      <c r="H84" s="90">
        <v>49.92</v>
      </c>
      <c r="I84" s="90">
        <v>49.92</v>
      </c>
      <c r="J84" s="90">
        <v>49.89</v>
      </c>
      <c r="K84" s="90">
        <v>49.886000000000003</v>
      </c>
      <c r="L84" s="90">
        <v>49.968000000000004</v>
      </c>
      <c r="M84" s="90">
        <v>49.968000000000004</v>
      </c>
      <c r="N84" s="90">
        <v>49.85</v>
      </c>
      <c r="O84" s="90">
        <v>49.98</v>
      </c>
      <c r="P84" s="90">
        <v>49.85</v>
      </c>
      <c r="Q84" s="90">
        <v>49.88</v>
      </c>
      <c r="R84" s="90"/>
      <c r="S84" s="90">
        <v>49.985999999999997</v>
      </c>
      <c r="T84" s="90">
        <v>49.994999999999997</v>
      </c>
      <c r="U84" s="90">
        <v>50.073</v>
      </c>
      <c r="V84" s="90">
        <v>50.031999999999996</v>
      </c>
      <c r="W84" s="90">
        <v>50.031999999999996</v>
      </c>
      <c r="X84" s="90">
        <v>50.066000000000003</v>
      </c>
      <c r="Y84" s="90">
        <v>49.978000000000002</v>
      </c>
      <c r="Z84" s="90">
        <v>49.978000000000002</v>
      </c>
      <c r="AA84" s="90">
        <v>49.970999999999997</v>
      </c>
      <c r="AB84" s="90">
        <v>49.970999999999997</v>
      </c>
      <c r="AC84" s="90">
        <v>50.05</v>
      </c>
      <c r="AD84" s="90">
        <v>50.01</v>
      </c>
      <c r="AE84" s="90">
        <v>49.99</v>
      </c>
      <c r="AF84" s="90">
        <v>49.95</v>
      </c>
      <c r="AG84" s="91"/>
      <c r="AH84" s="54">
        <f t="shared" si="13"/>
        <v>50.073</v>
      </c>
      <c r="AI84" s="55">
        <f t="shared" si="14"/>
        <v>49.85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>
        <v>124.1</v>
      </c>
      <c r="C85" s="70">
        <v>124.9</v>
      </c>
      <c r="D85" s="70">
        <v>125.3</v>
      </c>
      <c r="E85" s="70">
        <v>123.4</v>
      </c>
      <c r="F85" s="70">
        <v>123</v>
      </c>
      <c r="G85" s="70">
        <v>124.6</v>
      </c>
      <c r="H85" s="70">
        <v>124.6</v>
      </c>
      <c r="I85" s="70">
        <v>124.6</v>
      </c>
      <c r="J85" s="70">
        <v>124</v>
      </c>
      <c r="K85" s="70">
        <v>123.8</v>
      </c>
      <c r="L85" s="70">
        <v>123.8</v>
      </c>
      <c r="M85" s="70">
        <v>123.8</v>
      </c>
      <c r="N85" s="70">
        <v>124.4</v>
      </c>
      <c r="O85" s="70">
        <v>122</v>
      </c>
      <c r="P85" s="70">
        <v>124.4</v>
      </c>
      <c r="Q85" s="70">
        <v>121.7</v>
      </c>
      <c r="R85" s="70"/>
      <c r="S85" s="70">
        <v>123.6</v>
      </c>
      <c r="T85" s="70">
        <v>121.8</v>
      </c>
      <c r="U85" s="70">
        <v>122</v>
      </c>
      <c r="V85" s="70">
        <v>124.1</v>
      </c>
      <c r="W85" s="70">
        <v>124.1</v>
      </c>
      <c r="X85" s="70">
        <v>124.4</v>
      </c>
      <c r="Y85" s="70">
        <v>124.4</v>
      </c>
      <c r="Z85" s="70">
        <v>125.3</v>
      </c>
      <c r="AA85" s="70">
        <v>124.1</v>
      </c>
      <c r="AB85" s="70">
        <v>124.1</v>
      </c>
      <c r="AC85" s="70">
        <v>124.1</v>
      </c>
      <c r="AD85" s="70">
        <v>124.6</v>
      </c>
      <c r="AE85" s="70">
        <v>125.8</v>
      </c>
      <c r="AF85" s="70">
        <v>123</v>
      </c>
      <c r="AG85" s="93"/>
      <c r="AH85" s="54">
        <f t="shared" si="13"/>
        <v>125.8</v>
      </c>
      <c r="AI85" s="55">
        <f t="shared" si="14"/>
        <v>121.7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>
        <v>128.69999999999999</v>
      </c>
      <c r="C86" s="70">
        <v>128.69999999999999</v>
      </c>
      <c r="D86" s="70">
        <v>128.69999999999999</v>
      </c>
      <c r="E86" s="70">
        <v>128.4</v>
      </c>
      <c r="F86" s="70">
        <v>128.5</v>
      </c>
      <c r="G86" s="70">
        <v>128.9</v>
      </c>
      <c r="H86" s="70">
        <v>128.9</v>
      </c>
      <c r="I86" s="70">
        <v>128.9</v>
      </c>
      <c r="J86" s="70">
        <v>127.9</v>
      </c>
      <c r="K86" s="70">
        <v>128.80000000000001</v>
      </c>
      <c r="L86" s="70">
        <v>128.80000000000001</v>
      </c>
      <c r="M86" s="70">
        <v>128.80000000000001</v>
      </c>
      <c r="N86" s="70">
        <v>127.7</v>
      </c>
      <c r="O86" s="70">
        <v>125.4</v>
      </c>
      <c r="P86" s="70">
        <v>127.7</v>
      </c>
      <c r="Q86" s="70">
        <v>125.4</v>
      </c>
      <c r="R86" s="70"/>
      <c r="S86" s="70">
        <v>126.5</v>
      </c>
      <c r="T86" s="70">
        <v>125.6</v>
      </c>
      <c r="U86" s="70">
        <v>125.6</v>
      </c>
      <c r="V86" s="70">
        <v>127.5</v>
      </c>
      <c r="W86" s="70">
        <v>127.5</v>
      </c>
      <c r="X86" s="70">
        <v>127.7</v>
      </c>
      <c r="Y86" s="70">
        <v>127.7</v>
      </c>
      <c r="Z86" s="70">
        <v>127.7</v>
      </c>
      <c r="AA86" s="70">
        <v>127.5</v>
      </c>
      <c r="AB86" s="70">
        <v>127.5</v>
      </c>
      <c r="AC86" s="70">
        <v>127.5</v>
      </c>
      <c r="AD86" s="70">
        <v>128.69999999999999</v>
      </c>
      <c r="AE86" s="70">
        <v>129.80000000000001</v>
      </c>
      <c r="AF86" s="70">
        <v>128.30000000000001</v>
      </c>
      <c r="AG86" s="93"/>
      <c r="AH86" s="54">
        <f t="shared" si="13"/>
        <v>129.80000000000001</v>
      </c>
      <c r="AI86" s="55">
        <f t="shared" si="14"/>
        <v>125.4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>
        <v>128.6</v>
      </c>
      <c r="C87" s="70">
        <v>128.6</v>
      </c>
      <c r="D87" s="70">
        <v>128.6</v>
      </c>
      <c r="E87" s="70">
        <v>130.6</v>
      </c>
      <c r="F87" s="70">
        <v>130</v>
      </c>
      <c r="G87" s="70">
        <v>127.8</v>
      </c>
      <c r="H87" s="70">
        <v>127.8</v>
      </c>
      <c r="I87" s="70">
        <v>127.8</v>
      </c>
      <c r="J87" s="70">
        <v>128.4</v>
      </c>
      <c r="K87" s="70">
        <v>131.5</v>
      </c>
      <c r="L87" s="70">
        <v>131.5</v>
      </c>
      <c r="M87" s="70">
        <v>131.5</v>
      </c>
      <c r="N87" s="70">
        <v>126</v>
      </c>
      <c r="O87" s="70">
        <v>125.7</v>
      </c>
      <c r="P87" s="70">
        <v>125</v>
      </c>
      <c r="Q87" s="70">
        <v>126.5</v>
      </c>
      <c r="R87" s="70"/>
      <c r="S87" s="70">
        <v>126.1</v>
      </c>
      <c r="T87" s="70">
        <v>126</v>
      </c>
      <c r="U87" s="70">
        <v>125.1</v>
      </c>
      <c r="V87" s="70">
        <v>126.6</v>
      </c>
      <c r="W87" s="70">
        <v>126.6</v>
      </c>
      <c r="X87" s="70">
        <v>130.19999999999999</v>
      </c>
      <c r="Y87" s="70">
        <v>130.19999999999999</v>
      </c>
      <c r="Z87" s="70">
        <v>130.19999999999999</v>
      </c>
      <c r="AA87" s="70">
        <v>126.6</v>
      </c>
      <c r="AB87" s="70">
        <v>126.6</v>
      </c>
      <c r="AC87" s="70">
        <v>126.6</v>
      </c>
      <c r="AD87" s="70">
        <v>124.3</v>
      </c>
      <c r="AE87" s="70">
        <v>125.5</v>
      </c>
      <c r="AF87" s="70">
        <v>124.9</v>
      </c>
      <c r="AG87" s="93"/>
      <c r="AH87" s="54">
        <f t="shared" si="13"/>
        <v>131.5</v>
      </c>
      <c r="AI87" s="55">
        <f t="shared" si="14"/>
        <v>124.3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>
        <v>132.80000000000001</v>
      </c>
      <c r="C88" s="70">
        <v>132.80000000000001</v>
      </c>
      <c r="D88" s="70">
        <v>132.80000000000001</v>
      </c>
      <c r="E88" s="70">
        <v>133.69999999999999</v>
      </c>
      <c r="F88" s="70"/>
      <c r="G88" s="70">
        <v>128.69999999999999</v>
      </c>
      <c r="H88" s="70">
        <v>128.69999999999999</v>
      </c>
      <c r="I88" s="70">
        <v>128.69999999999999</v>
      </c>
      <c r="J88" s="70">
        <v>131.80000000000001</v>
      </c>
      <c r="K88" s="70">
        <v>133.80000000000001</v>
      </c>
      <c r="L88" s="70">
        <v>133.80000000000001</v>
      </c>
      <c r="M88" s="70">
        <v>133.80000000000001</v>
      </c>
      <c r="N88" s="70">
        <v>126.8</v>
      </c>
      <c r="O88" s="70">
        <v>126.8</v>
      </c>
      <c r="P88" s="70">
        <v>126.8</v>
      </c>
      <c r="Q88" s="70">
        <v>128.30000000000001</v>
      </c>
      <c r="R88" s="70"/>
      <c r="S88" s="70">
        <v>129</v>
      </c>
      <c r="T88" s="70">
        <v>128.6</v>
      </c>
      <c r="U88" s="70">
        <v>127.7</v>
      </c>
      <c r="V88" s="70">
        <v>129.4</v>
      </c>
      <c r="W88" s="70">
        <v>129.4</v>
      </c>
      <c r="X88" s="70">
        <v>132.4</v>
      </c>
      <c r="Y88" s="70">
        <v>132.4</v>
      </c>
      <c r="Z88" s="70">
        <v>132.4</v>
      </c>
      <c r="AA88" s="70">
        <v>129.4</v>
      </c>
      <c r="AB88" s="70">
        <v>129.4</v>
      </c>
      <c r="AC88" s="70">
        <v>129.4</v>
      </c>
      <c r="AD88" s="70">
        <v>129</v>
      </c>
      <c r="AE88" s="70">
        <v>131</v>
      </c>
      <c r="AF88" s="70">
        <v>130.4</v>
      </c>
      <c r="AG88" s="93"/>
      <c r="AH88" s="54">
        <f t="shared" si="13"/>
        <v>133.80000000000001</v>
      </c>
      <c r="AI88" s="55">
        <f t="shared" si="14"/>
        <v>126.8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>
        <v>132.1</v>
      </c>
      <c r="C89" s="95">
        <v>132.1</v>
      </c>
      <c r="D89" s="95">
        <v>132.1</v>
      </c>
      <c r="E89" s="95">
        <v>130.4</v>
      </c>
      <c r="F89" s="95">
        <v>128</v>
      </c>
      <c r="G89" s="95">
        <v>130.80000000000001</v>
      </c>
      <c r="H89" s="95">
        <v>130.80000000000001</v>
      </c>
      <c r="I89" s="95">
        <v>130.80000000000001</v>
      </c>
      <c r="J89" s="95">
        <v>134</v>
      </c>
      <c r="K89" s="95">
        <v>132.9</v>
      </c>
      <c r="L89" s="95">
        <v>132.9</v>
      </c>
      <c r="M89" s="95">
        <v>132.9</v>
      </c>
      <c r="N89" s="95">
        <v>132.9</v>
      </c>
      <c r="O89" s="95">
        <v>132.9</v>
      </c>
      <c r="P89" s="95">
        <v>132.9</v>
      </c>
      <c r="Q89" s="95">
        <v>131.4</v>
      </c>
      <c r="R89" s="95"/>
      <c r="S89" s="95">
        <v>127.5</v>
      </c>
      <c r="T89" s="95">
        <v>133.4</v>
      </c>
      <c r="U89" s="95">
        <v>129</v>
      </c>
      <c r="V89" s="95">
        <v>134.6</v>
      </c>
      <c r="W89" s="95">
        <v>134.6</v>
      </c>
      <c r="X89" s="95">
        <v>129.69999999999999</v>
      </c>
      <c r="Y89" s="95">
        <v>129.69999999999999</v>
      </c>
      <c r="Z89" s="95">
        <v>129.69999999999999</v>
      </c>
      <c r="AA89" s="95">
        <v>134.6</v>
      </c>
      <c r="AB89" s="95">
        <v>134.6</v>
      </c>
      <c r="AC89" s="95">
        <v>134.6</v>
      </c>
      <c r="AD89" s="95">
        <v>127.9</v>
      </c>
      <c r="AE89" s="95">
        <v>133.19999999999999</v>
      </c>
      <c r="AF89" s="95">
        <v>126.1</v>
      </c>
      <c r="AG89" s="96"/>
      <c r="AH89" s="54">
        <f t="shared" si="13"/>
        <v>134.6</v>
      </c>
      <c r="AI89" s="55">
        <f t="shared" si="14"/>
        <v>126.1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>
        <v>127.1</v>
      </c>
      <c r="C90" s="70">
        <v>127.1</v>
      </c>
      <c r="D90" s="70">
        <v>127.1</v>
      </c>
      <c r="E90" s="70">
        <v>123.1</v>
      </c>
      <c r="F90" s="70">
        <v>120</v>
      </c>
      <c r="G90" s="70">
        <v>123.1</v>
      </c>
      <c r="H90" s="70">
        <v>123.1</v>
      </c>
      <c r="I90" s="70">
        <v>123.1</v>
      </c>
      <c r="J90" s="70">
        <v>126.9</v>
      </c>
      <c r="K90" s="70">
        <v>128.9</v>
      </c>
      <c r="L90" s="70">
        <v>128.9</v>
      </c>
      <c r="M90" s="70">
        <v>128.9</v>
      </c>
      <c r="N90" s="70">
        <v>128.9</v>
      </c>
      <c r="O90" s="70">
        <v>128.9</v>
      </c>
      <c r="P90" s="70">
        <v>128.9</v>
      </c>
      <c r="Q90" s="70">
        <v>126.9</v>
      </c>
      <c r="R90" s="70"/>
      <c r="S90" s="70">
        <v>123.7</v>
      </c>
      <c r="T90" s="70">
        <v>123.9</v>
      </c>
      <c r="U90" s="70">
        <v>120.3</v>
      </c>
      <c r="V90" s="70">
        <v>121.2</v>
      </c>
      <c r="W90" s="70">
        <v>121.2</v>
      </c>
      <c r="X90" s="70">
        <v>122.6</v>
      </c>
      <c r="Y90" s="70">
        <v>122.6</v>
      </c>
      <c r="Z90" s="70">
        <v>122.6</v>
      </c>
      <c r="AA90" s="70">
        <v>121.2</v>
      </c>
      <c r="AB90" s="70">
        <v>121.2</v>
      </c>
      <c r="AC90" s="70">
        <v>121.2</v>
      </c>
      <c r="AD90" s="70">
        <v>120.5</v>
      </c>
      <c r="AE90" s="70">
        <v>127.4</v>
      </c>
      <c r="AF90" s="70">
        <v>113.6</v>
      </c>
      <c r="AG90" s="93"/>
      <c r="AH90" s="54">
        <f t="shared" si="13"/>
        <v>128.9</v>
      </c>
      <c r="AI90" s="55">
        <f t="shared" si="14"/>
        <v>113.6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>
        <v>65.599999999999994</v>
      </c>
      <c r="C91" s="97">
        <v>65.599999999999994</v>
      </c>
      <c r="D91" s="97">
        <v>65.599999999999994</v>
      </c>
      <c r="E91" s="97">
        <v>65.3</v>
      </c>
      <c r="F91" s="97">
        <v>65.400000000000006</v>
      </c>
      <c r="G91" s="97">
        <v>65.400000000000006</v>
      </c>
      <c r="H91" s="97">
        <v>65.400000000000006</v>
      </c>
      <c r="I91" s="97">
        <v>65.400000000000006</v>
      </c>
      <c r="J91" s="97">
        <v>64.7</v>
      </c>
      <c r="K91" s="97">
        <v>65.400000000000006</v>
      </c>
      <c r="L91" s="97">
        <v>65.400000000000006</v>
      </c>
      <c r="M91" s="97">
        <v>65.400000000000006</v>
      </c>
      <c r="N91" s="97">
        <v>65.400000000000006</v>
      </c>
      <c r="O91" s="97">
        <v>64</v>
      </c>
      <c r="P91" s="97">
        <v>65.400000000000006</v>
      </c>
      <c r="Q91" s="97">
        <v>64</v>
      </c>
      <c r="R91" s="97"/>
      <c r="S91" s="97">
        <v>64.2</v>
      </c>
      <c r="T91" s="97">
        <v>63.6</v>
      </c>
      <c r="U91" s="97">
        <v>63.7</v>
      </c>
      <c r="V91" s="97">
        <v>64.5</v>
      </c>
      <c r="W91" s="97">
        <v>64.5</v>
      </c>
      <c r="X91" s="97">
        <v>64.8</v>
      </c>
      <c r="Y91" s="97">
        <v>64.8</v>
      </c>
      <c r="Z91" s="97">
        <v>64.8</v>
      </c>
      <c r="AA91" s="97">
        <v>64.5</v>
      </c>
      <c r="AB91" s="97">
        <v>64.5</v>
      </c>
      <c r="AC91" s="97">
        <v>64.5</v>
      </c>
      <c r="AD91" s="97">
        <v>65.5</v>
      </c>
      <c r="AE91" s="97">
        <v>65.8</v>
      </c>
      <c r="AF91" s="97">
        <v>65.400000000000006</v>
      </c>
      <c r="AG91" s="98"/>
      <c r="AH91" s="54">
        <f t="shared" si="13"/>
        <v>65.8</v>
      </c>
      <c r="AI91" s="55">
        <f t="shared" si="14"/>
        <v>63.6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21">SUM(B15,B18,B21:B22,B42,B44:B45,B47,B49,B94:B97,B104,B110,B116,B125,B127,B139,B146,B149:B150,B157,B159,B161,B165:B167,B169:B171,B176,B182:B183,B185:B187,B195,B200)</f>
        <v>179.03999999999996</v>
      </c>
      <c r="C93" s="103">
        <f t="shared" si="21"/>
        <v>160.73999999999998</v>
      </c>
      <c r="D93" s="103">
        <f t="shared" si="21"/>
        <v>179.63999999999996</v>
      </c>
      <c r="E93" s="103">
        <f t="shared" si="21"/>
        <v>163.83999999999995</v>
      </c>
      <c r="F93" s="103">
        <f t="shared" si="21"/>
        <v>146.93999999999997</v>
      </c>
      <c r="G93" s="103">
        <f t="shared" si="21"/>
        <v>174.53999999999996</v>
      </c>
      <c r="H93" s="103">
        <f t="shared" si="21"/>
        <v>179.83999999999997</v>
      </c>
      <c r="I93" s="103">
        <f t="shared" si="21"/>
        <v>202.03999999999996</v>
      </c>
      <c r="J93" s="103">
        <f t="shared" si="21"/>
        <v>230.04</v>
      </c>
      <c r="K93" s="103">
        <f t="shared" si="21"/>
        <v>252.14</v>
      </c>
      <c r="L93" s="103">
        <f t="shared" si="21"/>
        <v>296.24000000000007</v>
      </c>
      <c r="M93" s="103">
        <f t="shared" si="21"/>
        <v>331.84000000000009</v>
      </c>
      <c r="N93" s="103">
        <f t="shared" si="21"/>
        <v>294.64000000000004</v>
      </c>
      <c r="O93" s="103">
        <f t="shared" si="21"/>
        <v>295.64000000000004</v>
      </c>
      <c r="P93" s="103">
        <f t="shared" si="21"/>
        <v>317.54000000000008</v>
      </c>
      <c r="Q93" s="103">
        <f t="shared" si="21"/>
        <v>313.1400000000001</v>
      </c>
      <c r="R93" s="103">
        <f t="shared" si="21"/>
        <v>220.34</v>
      </c>
      <c r="S93" s="103">
        <f t="shared" si="21"/>
        <v>281.14</v>
      </c>
      <c r="T93" s="103">
        <f t="shared" si="21"/>
        <v>289.24</v>
      </c>
      <c r="U93" s="103">
        <f t="shared" si="21"/>
        <v>286.64000000000004</v>
      </c>
      <c r="V93" s="103">
        <f t="shared" si="21"/>
        <v>308.54000000000002</v>
      </c>
      <c r="W93" s="103">
        <f>SUM(W15,W18,W21:W22,W42,W44:W45,W47,W49,W94:W97,W104,W110,W116,W125,W127,W139,W146,W149:W150,W157,W159,W161,W165:W167,W169:W171,W176,W182:W183,W185:W187,W195,W200)</f>
        <v>308.34000000000003</v>
      </c>
      <c r="X93" s="103">
        <f>SUM(X15,X18,X21:X22,X42,X44:X45,X47,X49,X94:X97,X104,X110,X116,X125,X127,X139,X146,X149:X150,X157,X159,X161,X165:X167,X169:X171,X176,X182:X183,X185:X187,X195,X200)</f>
        <v>298.14000000000004</v>
      </c>
      <c r="Y93" s="103">
        <f t="shared" si="21"/>
        <v>298.14000000000004</v>
      </c>
      <c r="Z93" s="103">
        <f t="shared" si="21"/>
        <v>320.84000000000003</v>
      </c>
      <c r="AA93" s="103">
        <f t="shared" si="21"/>
        <v>322.44000000000005</v>
      </c>
      <c r="AB93" s="103">
        <f t="shared" si="21"/>
        <v>349.74000000000007</v>
      </c>
      <c r="AC93" s="103">
        <f t="shared" si="21"/>
        <v>312.54000000000008</v>
      </c>
      <c r="AD93" s="103">
        <f t="shared" si="21"/>
        <v>280.84000000000003</v>
      </c>
      <c r="AE93" s="103">
        <f t="shared" si="21"/>
        <v>232.23999999999995</v>
      </c>
      <c r="AF93" s="103">
        <f t="shared" si="21"/>
        <v>184.03999999999996</v>
      </c>
      <c r="AG93" s="104"/>
      <c r="AH93" s="54">
        <f>MAX(C93:AF93)</f>
        <v>349.74000000000007</v>
      </c>
      <c r="AI93" s="55">
        <f>MIN(C93:AF93)</f>
        <v>146.93999999999997</v>
      </c>
    </row>
    <row r="94" spans="1:88" x14ac:dyDescent="0.25">
      <c r="A94" s="105" t="s">
        <v>99</v>
      </c>
      <c r="B94" s="106">
        <v>104</v>
      </c>
      <c r="C94" s="106">
        <v>101.7</v>
      </c>
      <c r="D94" s="106">
        <v>41.6</v>
      </c>
      <c r="E94" s="106">
        <v>48.1</v>
      </c>
      <c r="F94" s="106">
        <v>45</v>
      </c>
      <c r="G94" s="106">
        <v>41.5</v>
      </c>
      <c r="H94" s="106">
        <v>43.4</v>
      </c>
      <c r="I94" s="106">
        <v>32.1</v>
      </c>
      <c r="J94" s="106">
        <v>59.7</v>
      </c>
      <c r="K94" s="106">
        <v>58.6</v>
      </c>
      <c r="L94" s="106">
        <v>58.2</v>
      </c>
      <c r="M94" s="106">
        <v>58.2</v>
      </c>
      <c r="N94" s="106">
        <v>41.1</v>
      </c>
      <c r="O94" s="106">
        <v>42.1</v>
      </c>
      <c r="P94" s="106">
        <v>34.5</v>
      </c>
      <c r="Q94" s="106">
        <v>29.8</v>
      </c>
      <c r="R94" s="106"/>
      <c r="S94" s="106">
        <v>40.799999999999997</v>
      </c>
      <c r="T94" s="106">
        <v>48.6</v>
      </c>
      <c r="U94" s="106">
        <v>28.8</v>
      </c>
      <c r="V94" s="106">
        <v>40</v>
      </c>
      <c r="W94" s="106">
        <v>40</v>
      </c>
      <c r="X94" s="106">
        <v>30.2</v>
      </c>
      <c r="Y94" s="106">
        <v>30.2</v>
      </c>
      <c r="Z94" s="106">
        <v>36.5</v>
      </c>
      <c r="AA94" s="106">
        <v>27.4</v>
      </c>
      <c r="AB94" s="106">
        <v>27.4</v>
      </c>
      <c r="AC94" s="106">
        <v>26</v>
      </c>
      <c r="AD94" s="106">
        <v>24.6</v>
      </c>
      <c r="AE94" s="106">
        <v>30.1</v>
      </c>
      <c r="AF94" s="106">
        <v>27.1</v>
      </c>
      <c r="AG94" s="107">
        <v>75</v>
      </c>
      <c r="AH94" s="54">
        <f t="shared" ref="AH94:AH100" si="22">IF(ABS(MAX(C94:AF94))&gt;ABS(MIN(C94:AF94)),MAX(C94:AF94),MIN(C94:AF94))</f>
        <v>101.7</v>
      </c>
      <c r="AI94" s="108">
        <f t="shared" ref="AI94:AI100" si="23">INDEX($C$9:$AF$9,1,MATCH(AH94,C94:AF94,0))</f>
        <v>4.1666666666666664E-2</v>
      </c>
    </row>
    <row r="95" spans="1:88" x14ac:dyDescent="0.25">
      <c r="A95" s="109" t="s">
        <v>100</v>
      </c>
      <c r="B95" s="110">
        <v>-151</v>
      </c>
      <c r="C95" s="110">
        <v>-151</v>
      </c>
      <c r="D95" s="110">
        <v>-100</v>
      </c>
      <c r="E95" s="110">
        <v>-105</v>
      </c>
      <c r="F95" s="110">
        <v>-91</v>
      </c>
      <c r="G95" s="110">
        <v>-80</v>
      </c>
      <c r="H95" s="110">
        <v>-77</v>
      </c>
      <c r="I95" s="110">
        <v>-46</v>
      </c>
      <c r="J95" s="110">
        <v>-47</v>
      </c>
      <c r="K95" s="110">
        <v>-26</v>
      </c>
      <c r="L95" s="110">
        <v>-40</v>
      </c>
      <c r="M95" s="110">
        <v>-23</v>
      </c>
      <c r="N95" s="110">
        <f>-19-31.6</f>
        <v>-50.6</v>
      </c>
      <c r="O95" s="110">
        <f t="shared" ref="O95" si="24">-19-31.6</f>
        <v>-50.6</v>
      </c>
      <c r="P95" s="110">
        <f>-20.5-32.9</f>
        <v>-53.4</v>
      </c>
      <c r="Q95" s="110">
        <f>-20-31.9</f>
        <v>-51.9</v>
      </c>
      <c r="R95" s="110"/>
      <c r="S95" s="110">
        <f>-22.4-35.3</f>
        <v>-57.699999999999996</v>
      </c>
      <c r="T95" s="110">
        <v>-60</v>
      </c>
      <c r="U95" s="110">
        <v>-57</v>
      </c>
      <c r="V95" s="110">
        <v>-50</v>
      </c>
      <c r="W95" s="110">
        <v>-50</v>
      </c>
      <c r="X95" s="110">
        <v>-51</v>
      </c>
      <c r="Y95" s="110">
        <v>-51</v>
      </c>
      <c r="Z95" s="110">
        <v>-39.1</v>
      </c>
      <c r="AA95" s="110">
        <v>-42.3</v>
      </c>
      <c r="AB95" s="110">
        <v>-42.3</v>
      </c>
      <c r="AC95" s="110">
        <v>-61</v>
      </c>
      <c r="AD95" s="110">
        <f>-31.9-45.9</f>
        <v>-77.8</v>
      </c>
      <c r="AE95" s="110">
        <f>-40.7-55.2</f>
        <v>-95.9</v>
      </c>
      <c r="AF95" s="110">
        <f>-49-61.9</f>
        <v>-110.9</v>
      </c>
      <c r="AG95" s="107">
        <v>240</v>
      </c>
      <c r="AH95" s="54">
        <f t="shared" si="22"/>
        <v>-151</v>
      </c>
      <c r="AI95" s="108">
        <f t="shared" si="23"/>
        <v>4.1666666666666664E-2</v>
      </c>
    </row>
    <row r="96" spans="1:88" x14ac:dyDescent="0.25">
      <c r="A96" s="109" t="s">
        <v>101</v>
      </c>
      <c r="B96" s="110">
        <v>21.7</v>
      </c>
      <c r="C96" s="110">
        <v>14.7</v>
      </c>
      <c r="D96" s="110">
        <v>33.5</v>
      </c>
      <c r="E96" s="110">
        <v>16</v>
      </c>
      <c r="F96" s="110">
        <v>10</v>
      </c>
      <c r="G96" s="110">
        <v>30.1</v>
      </c>
      <c r="H96" s="110">
        <v>30.5</v>
      </c>
      <c r="I96" s="110">
        <v>35.700000000000003</v>
      </c>
      <c r="J96" s="110">
        <v>37.1</v>
      </c>
      <c r="K96" s="110">
        <v>39.299999999999997</v>
      </c>
      <c r="L96" s="110">
        <v>40.299999999999997</v>
      </c>
      <c r="M96" s="110">
        <v>40.299999999999997</v>
      </c>
      <c r="N96" s="110">
        <v>40.299999999999997</v>
      </c>
      <c r="O96" s="110">
        <v>40.299999999999997</v>
      </c>
      <c r="P96" s="110">
        <v>48.6</v>
      </c>
      <c r="Q96" s="110">
        <v>48.8</v>
      </c>
      <c r="R96" s="110"/>
      <c r="S96" s="110">
        <v>49.2</v>
      </c>
      <c r="T96" s="110">
        <v>49.3</v>
      </c>
      <c r="U96" s="110">
        <v>51.2</v>
      </c>
      <c r="V96" s="110">
        <v>50.9</v>
      </c>
      <c r="W96" s="110">
        <v>50.9</v>
      </c>
      <c r="X96" s="110">
        <v>52.4</v>
      </c>
      <c r="Y96" s="110">
        <v>52.4</v>
      </c>
      <c r="Z96" s="110">
        <v>55.3</v>
      </c>
      <c r="AA96" s="110">
        <v>54.3</v>
      </c>
      <c r="AB96" s="110">
        <v>54.3</v>
      </c>
      <c r="AC96" s="110">
        <v>48</v>
      </c>
      <c r="AD96" s="110">
        <v>45.3</v>
      </c>
      <c r="AE96" s="110">
        <v>44.3</v>
      </c>
      <c r="AF96" s="110">
        <v>39.5</v>
      </c>
      <c r="AG96" s="107">
        <v>60</v>
      </c>
      <c r="AH96" s="54">
        <f t="shared" si="22"/>
        <v>55.3</v>
      </c>
      <c r="AI96" s="108">
        <f t="shared" si="23"/>
        <v>0.79166666666666663</v>
      </c>
    </row>
    <row r="97" spans="1:37" x14ac:dyDescent="0.25">
      <c r="A97" s="111" t="s">
        <v>102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57.5</v>
      </c>
      <c r="M97" s="112">
        <v>57.5</v>
      </c>
      <c r="N97" s="112">
        <v>57.5</v>
      </c>
      <c r="O97" s="112">
        <v>57.5</v>
      </c>
      <c r="P97" s="112">
        <v>81.5</v>
      </c>
      <c r="Q97" s="112">
        <v>80.099999999999994</v>
      </c>
      <c r="R97" s="112"/>
      <c r="S97" s="112">
        <v>54.4</v>
      </c>
      <c r="T97" s="112">
        <v>56.9</v>
      </c>
      <c r="U97" s="112">
        <v>69.2</v>
      </c>
      <c r="V97" s="112">
        <v>73.2</v>
      </c>
      <c r="W97" s="112">
        <v>73.2</v>
      </c>
      <c r="X97" s="112">
        <v>72.3</v>
      </c>
      <c r="Y97" s="112">
        <v>72.3</v>
      </c>
      <c r="Z97" s="112">
        <v>73.900000000000006</v>
      </c>
      <c r="AA97" s="112">
        <v>88.8</v>
      </c>
      <c r="AB97" s="112">
        <v>88.8</v>
      </c>
      <c r="AC97" s="112">
        <v>68</v>
      </c>
      <c r="AD97" s="112">
        <v>54.2</v>
      </c>
      <c r="AE97" s="112">
        <v>21.5</v>
      </c>
      <c r="AF97" s="112">
        <v>0</v>
      </c>
      <c r="AG97" s="113">
        <v>120</v>
      </c>
      <c r="AH97" s="54">
        <f t="shared" si="22"/>
        <v>88.8</v>
      </c>
      <c r="AI97" s="108">
        <f t="shared" si="23"/>
        <v>0.8125</v>
      </c>
    </row>
    <row r="98" spans="1:37" x14ac:dyDescent="0.25">
      <c r="A98" s="111" t="s">
        <v>103</v>
      </c>
      <c r="B98" s="112">
        <v>46.9</v>
      </c>
      <c r="C98" s="112">
        <v>23.2</v>
      </c>
      <c r="D98" s="112">
        <v>22.7</v>
      </c>
      <c r="E98" s="112">
        <v>34.799999999999997</v>
      </c>
      <c r="F98" s="112">
        <v>45</v>
      </c>
      <c r="G98" s="112">
        <v>21.3</v>
      </c>
      <c r="H98" s="112">
        <v>32</v>
      </c>
      <c r="I98" s="112">
        <v>61.8</v>
      </c>
      <c r="J98" s="112">
        <v>54</v>
      </c>
      <c r="K98" s="112">
        <v>81</v>
      </c>
      <c r="L98" s="112">
        <v>38.299999999999997</v>
      </c>
      <c r="M98" s="112">
        <v>38.299999999999997</v>
      </c>
      <c r="N98" s="112">
        <v>38.299999999999997</v>
      </c>
      <c r="O98" s="112">
        <v>38.299999999999997</v>
      </c>
      <c r="P98" s="112">
        <v>67.099999999999994</v>
      </c>
      <c r="Q98" s="112">
        <v>69.599999999999994</v>
      </c>
      <c r="R98" s="112"/>
      <c r="S98" s="112">
        <v>60.6</v>
      </c>
      <c r="T98" s="112">
        <v>55.9</v>
      </c>
      <c r="U98" s="112">
        <v>67.099999999999994</v>
      </c>
      <c r="V98" s="112">
        <v>60.3</v>
      </c>
      <c r="W98" s="112">
        <v>60.3</v>
      </c>
      <c r="X98" s="112">
        <v>61.3</v>
      </c>
      <c r="Y98" s="112">
        <v>61.3</v>
      </c>
      <c r="Z98" s="112">
        <v>62.2</v>
      </c>
      <c r="AA98" s="112">
        <v>38.299999999999997</v>
      </c>
      <c r="AB98" s="112">
        <v>38.299999999999997</v>
      </c>
      <c r="AC98" s="112">
        <v>63</v>
      </c>
      <c r="AD98" s="112">
        <v>55.8</v>
      </c>
      <c r="AE98" s="112">
        <v>23.9</v>
      </c>
      <c r="AF98" s="112">
        <v>39.9</v>
      </c>
      <c r="AG98" s="113"/>
      <c r="AH98" s="54">
        <f t="shared" si="22"/>
        <v>81</v>
      </c>
      <c r="AI98" s="108">
        <f t="shared" si="23"/>
        <v>0.29166666666666669</v>
      </c>
    </row>
    <row r="99" spans="1:37" x14ac:dyDescent="0.25">
      <c r="A99" s="111" t="s">
        <v>104</v>
      </c>
      <c r="B99" s="112">
        <v>66.5</v>
      </c>
      <c r="C99" s="112">
        <v>46.2</v>
      </c>
      <c r="D99" s="112">
        <v>6.2</v>
      </c>
      <c r="E99" s="112">
        <v>0</v>
      </c>
      <c r="F99" s="112">
        <v>6</v>
      </c>
      <c r="G99" s="112">
        <v>4.9000000000000004</v>
      </c>
      <c r="H99" s="112">
        <v>2.2999999999999998</v>
      </c>
      <c r="I99" s="112">
        <v>18</v>
      </c>
      <c r="J99" s="112">
        <v>17.7</v>
      </c>
      <c r="K99" s="112">
        <v>29</v>
      </c>
      <c r="L99" s="112">
        <v>10.3</v>
      </c>
      <c r="M99" s="112">
        <v>10.3</v>
      </c>
      <c r="N99" s="112">
        <v>10.3</v>
      </c>
      <c r="O99" s="112">
        <v>10.3</v>
      </c>
      <c r="P99" s="112">
        <v>58.5</v>
      </c>
      <c r="Q99" s="112">
        <v>70.8</v>
      </c>
      <c r="R99" s="112"/>
      <c r="S99" s="112">
        <v>53.4</v>
      </c>
      <c r="T99" s="112">
        <v>21</v>
      </c>
      <c r="U99" s="112">
        <v>53.4</v>
      </c>
      <c r="V99" s="112">
        <v>54.3</v>
      </c>
      <c r="W99" s="112">
        <v>54.3</v>
      </c>
      <c r="X99" s="112">
        <v>61.8</v>
      </c>
      <c r="Y99" s="112">
        <v>61.8</v>
      </c>
      <c r="Z99" s="112">
        <v>56.9</v>
      </c>
      <c r="AA99" s="112">
        <v>63.3</v>
      </c>
      <c r="AB99" s="112">
        <v>63.3</v>
      </c>
      <c r="AC99" s="112">
        <v>76</v>
      </c>
      <c r="AD99" s="112">
        <v>68</v>
      </c>
      <c r="AE99" s="112">
        <v>60</v>
      </c>
      <c r="AF99" s="112">
        <v>67.599999999999994</v>
      </c>
      <c r="AG99" s="114"/>
      <c r="AH99" s="54">
        <f t="shared" si="22"/>
        <v>76</v>
      </c>
      <c r="AI99" s="108">
        <f t="shared" si="23"/>
        <v>0.85416666666666663</v>
      </c>
    </row>
    <row r="100" spans="1:37" x14ac:dyDescent="0.25">
      <c r="A100" s="115" t="s">
        <v>105</v>
      </c>
      <c r="B100" s="95">
        <v>22.3</v>
      </c>
      <c r="C100" s="95">
        <v>20.100000000000001</v>
      </c>
      <c r="D100" s="95">
        <v>47.3</v>
      </c>
      <c r="E100" s="95">
        <v>24.8</v>
      </c>
      <c r="F100" s="95">
        <v>5</v>
      </c>
      <c r="G100" s="95">
        <v>34.1</v>
      </c>
      <c r="H100" s="95">
        <v>32.299999999999997</v>
      </c>
      <c r="I100" s="95">
        <v>14.2</v>
      </c>
      <c r="J100" s="95">
        <v>10.199999999999999</v>
      </c>
      <c r="K100" s="95">
        <v>10.9</v>
      </c>
      <c r="L100" s="95">
        <v>12.3</v>
      </c>
      <c r="M100" s="95">
        <v>13</v>
      </c>
      <c r="N100" s="95">
        <v>12.3</v>
      </c>
      <c r="O100" s="95">
        <v>42.4</v>
      </c>
      <c r="P100" s="95">
        <v>41.8</v>
      </c>
      <c r="Q100" s="95">
        <v>36.5</v>
      </c>
      <c r="R100" s="95"/>
      <c r="S100" s="95">
        <v>31</v>
      </c>
      <c r="T100" s="95">
        <v>30.4</v>
      </c>
      <c r="U100" s="95">
        <v>35.799999999999997</v>
      </c>
      <c r="V100" s="95">
        <v>34.9</v>
      </c>
      <c r="W100" s="95">
        <v>34.9</v>
      </c>
      <c r="X100" s="95">
        <v>19.8</v>
      </c>
      <c r="Y100" s="95">
        <v>19.8</v>
      </c>
      <c r="Z100" s="95">
        <v>42.5</v>
      </c>
      <c r="AA100" s="95">
        <v>38.4</v>
      </c>
      <c r="AB100" s="95">
        <v>38.4</v>
      </c>
      <c r="AC100" s="95">
        <v>32</v>
      </c>
      <c r="AD100" s="95">
        <v>30.2</v>
      </c>
      <c r="AE100" s="95">
        <v>24.3</v>
      </c>
      <c r="AF100" s="95">
        <v>22.1</v>
      </c>
      <c r="AG100" s="114"/>
      <c r="AH100" s="54">
        <f t="shared" si="22"/>
        <v>47.3</v>
      </c>
      <c r="AI100" s="108">
        <f t="shared" si="23"/>
        <v>8.3333333333333301E-2</v>
      </c>
    </row>
    <row r="101" spans="1:37" ht="15.75" thickBot="1" x14ac:dyDescent="0.3">
      <c r="A101" s="115" t="s">
        <v>236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>
        <v>60.9</v>
      </c>
      <c r="Y101" s="95">
        <v>60.9</v>
      </c>
      <c r="Z101" s="95">
        <v>56.9</v>
      </c>
      <c r="AA101" s="95">
        <v>57.5</v>
      </c>
      <c r="AB101" s="95">
        <v>57.5</v>
      </c>
      <c r="AC101" s="95"/>
      <c r="AD101" s="95">
        <v>77.5</v>
      </c>
      <c r="AE101" s="95">
        <v>93.7</v>
      </c>
      <c r="AF101" s="95">
        <v>98</v>
      </c>
      <c r="AG101" s="114"/>
      <c r="AH101" s="54"/>
      <c r="AI101" s="108"/>
    </row>
    <row r="102" spans="1:37" ht="15.75" thickBot="1" x14ac:dyDescent="0.3">
      <c r="A102" s="116" t="s">
        <v>106</v>
      </c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8"/>
      <c r="AH102" s="119"/>
      <c r="AI102" s="55"/>
      <c r="AK102" s="56"/>
    </row>
    <row r="103" spans="1:37" x14ac:dyDescent="0.25">
      <c r="A103" s="120" t="s">
        <v>107</v>
      </c>
      <c r="B103" s="121">
        <f t="shared" ref="B103:B108" si="25">AF103</f>
        <v>9.9</v>
      </c>
      <c r="C103" s="53">
        <v>9.9</v>
      </c>
      <c r="D103" s="121">
        <f t="shared" ref="D103:S108" si="26">C103</f>
        <v>9.9</v>
      </c>
      <c r="E103" s="121">
        <f t="shared" si="26"/>
        <v>9.9</v>
      </c>
      <c r="F103" s="121">
        <f t="shared" si="26"/>
        <v>9.9</v>
      </c>
      <c r="G103" s="121">
        <f t="shared" si="26"/>
        <v>9.9</v>
      </c>
      <c r="H103" s="121">
        <f t="shared" si="26"/>
        <v>9.9</v>
      </c>
      <c r="I103" s="121">
        <f t="shared" si="26"/>
        <v>9.9</v>
      </c>
      <c r="J103" s="121">
        <f t="shared" si="26"/>
        <v>9.9</v>
      </c>
      <c r="K103" s="121">
        <f t="shared" si="26"/>
        <v>9.9</v>
      </c>
      <c r="L103" s="121">
        <f t="shared" si="26"/>
        <v>9.9</v>
      </c>
      <c r="M103" s="121">
        <f t="shared" si="26"/>
        <v>9.9</v>
      </c>
      <c r="N103" s="121">
        <f t="shared" si="26"/>
        <v>9.9</v>
      </c>
      <c r="O103" s="121">
        <f t="shared" si="26"/>
        <v>9.9</v>
      </c>
      <c r="P103" s="121">
        <f t="shared" si="26"/>
        <v>9.9</v>
      </c>
      <c r="Q103" s="121">
        <f t="shared" si="26"/>
        <v>9.9</v>
      </c>
      <c r="R103" s="121">
        <f t="shared" si="26"/>
        <v>9.9</v>
      </c>
      <c r="S103" s="121">
        <f t="shared" si="26"/>
        <v>9.9</v>
      </c>
      <c r="T103" s="121">
        <f t="shared" ref="T103:AF108" si="27">S103</f>
        <v>9.9</v>
      </c>
      <c r="U103" s="121">
        <f t="shared" si="27"/>
        <v>9.9</v>
      </c>
      <c r="V103" s="121">
        <f t="shared" si="27"/>
        <v>9.9</v>
      </c>
      <c r="W103" s="121">
        <f t="shared" si="27"/>
        <v>9.9</v>
      </c>
      <c r="X103" s="121">
        <f t="shared" si="27"/>
        <v>9.9</v>
      </c>
      <c r="Y103" s="121">
        <f t="shared" si="27"/>
        <v>9.9</v>
      </c>
      <c r="Z103" s="121">
        <f t="shared" si="27"/>
        <v>9.9</v>
      </c>
      <c r="AA103" s="121">
        <f t="shared" si="27"/>
        <v>9.9</v>
      </c>
      <c r="AB103" s="121">
        <f t="shared" si="27"/>
        <v>9.9</v>
      </c>
      <c r="AC103" s="121">
        <f t="shared" si="27"/>
        <v>9.9</v>
      </c>
      <c r="AD103" s="121">
        <f t="shared" si="27"/>
        <v>9.9</v>
      </c>
      <c r="AE103" s="121">
        <f t="shared" si="27"/>
        <v>9.9</v>
      </c>
      <c r="AF103" s="121">
        <f t="shared" si="27"/>
        <v>9.9</v>
      </c>
      <c r="AG103" s="122">
        <v>9.94</v>
      </c>
      <c r="AH103" s="54"/>
      <c r="AI103" s="55"/>
      <c r="AK103" s="56"/>
    </row>
    <row r="104" spans="1:37" x14ac:dyDescent="0.25">
      <c r="A104" s="109" t="s">
        <v>108</v>
      </c>
      <c r="B104" s="123">
        <f t="shared" si="25"/>
        <v>9.6</v>
      </c>
      <c r="C104" s="124">
        <v>9.6</v>
      </c>
      <c r="D104" s="123">
        <f t="shared" si="26"/>
        <v>9.6</v>
      </c>
      <c r="E104" s="123">
        <f t="shared" si="26"/>
        <v>9.6</v>
      </c>
      <c r="F104" s="123">
        <f t="shared" si="26"/>
        <v>9.6</v>
      </c>
      <c r="G104" s="123">
        <f t="shared" si="26"/>
        <v>9.6</v>
      </c>
      <c r="H104" s="123">
        <f t="shared" si="26"/>
        <v>9.6</v>
      </c>
      <c r="I104" s="123">
        <f t="shared" si="26"/>
        <v>9.6</v>
      </c>
      <c r="J104" s="123">
        <f t="shared" si="26"/>
        <v>9.6</v>
      </c>
      <c r="K104" s="123">
        <f t="shared" si="26"/>
        <v>9.6</v>
      </c>
      <c r="L104" s="123">
        <f t="shared" si="26"/>
        <v>9.6</v>
      </c>
      <c r="M104" s="123">
        <f t="shared" si="26"/>
        <v>9.6</v>
      </c>
      <c r="N104" s="123">
        <f t="shared" si="26"/>
        <v>9.6</v>
      </c>
      <c r="O104" s="123">
        <f t="shared" si="26"/>
        <v>9.6</v>
      </c>
      <c r="P104" s="123">
        <f t="shared" si="26"/>
        <v>9.6</v>
      </c>
      <c r="Q104" s="123">
        <f t="shared" si="26"/>
        <v>9.6</v>
      </c>
      <c r="R104" s="123">
        <f t="shared" si="26"/>
        <v>9.6</v>
      </c>
      <c r="S104" s="123">
        <f t="shared" si="26"/>
        <v>9.6</v>
      </c>
      <c r="T104" s="123">
        <f t="shared" si="27"/>
        <v>9.6</v>
      </c>
      <c r="U104" s="123">
        <f t="shared" si="27"/>
        <v>9.6</v>
      </c>
      <c r="V104" s="123">
        <f t="shared" si="27"/>
        <v>9.6</v>
      </c>
      <c r="W104" s="123">
        <f t="shared" si="27"/>
        <v>9.6</v>
      </c>
      <c r="X104" s="123">
        <f t="shared" si="27"/>
        <v>9.6</v>
      </c>
      <c r="Y104" s="123">
        <f t="shared" si="27"/>
        <v>9.6</v>
      </c>
      <c r="Z104" s="123">
        <f t="shared" si="27"/>
        <v>9.6</v>
      </c>
      <c r="AA104" s="123">
        <f t="shared" si="27"/>
        <v>9.6</v>
      </c>
      <c r="AB104" s="123">
        <f t="shared" si="27"/>
        <v>9.6</v>
      </c>
      <c r="AC104" s="123">
        <f t="shared" si="27"/>
        <v>9.6</v>
      </c>
      <c r="AD104" s="123">
        <f t="shared" si="27"/>
        <v>9.6</v>
      </c>
      <c r="AE104" s="123">
        <f t="shared" si="27"/>
        <v>9.6</v>
      </c>
      <c r="AF104" s="123">
        <f t="shared" si="27"/>
        <v>9.6</v>
      </c>
      <c r="AG104" s="125">
        <v>9.9</v>
      </c>
      <c r="AH104" s="54"/>
      <c r="AI104" s="55"/>
      <c r="AK104" s="56"/>
    </row>
    <row r="105" spans="1:37" x14ac:dyDescent="0.25">
      <c r="A105" s="111" t="s">
        <v>109</v>
      </c>
      <c r="B105" s="123">
        <f t="shared" si="25"/>
        <v>9.98</v>
      </c>
      <c r="C105" s="124">
        <v>9.98</v>
      </c>
      <c r="D105" s="123">
        <f t="shared" si="26"/>
        <v>9.98</v>
      </c>
      <c r="E105" s="123">
        <f t="shared" si="26"/>
        <v>9.98</v>
      </c>
      <c r="F105" s="123">
        <f t="shared" si="26"/>
        <v>9.98</v>
      </c>
      <c r="G105" s="123">
        <f t="shared" si="26"/>
        <v>9.98</v>
      </c>
      <c r="H105" s="123">
        <f t="shared" si="26"/>
        <v>9.98</v>
      </c>
      <c r="I105" s="123">
        <f t="shared" si="26"/>
        <v>9.98</v>
      </c>
      <c r="J105" s="123">
        <f t="shared" si="26"/>
        <v>9.98</v>
      </c>
      <c r="K105" s="123">
        <f t="shared" si="26"/>
        <v>9.98</v>
      </c>
      <c r="L105" s="123">
        <f t="shared" si="26"/>
        <v>9.98</v>
      </c>
      <c r="M105" s="123">
        <f t="shared" si="26"/>
        <v>9.98</v>
      </c>
      <c r="N105" s="123">
        <f t="shared" si="26"/>
        <v>9.98</v>
      </c>
      <c r="O105" s="123">
        <f t="shared" si="26"/>
        <v>9.98</v>
      </c>
      <c r="P105" s="123">
        <f t="shared" si="26"/>
        <v>9.98</v>
      </c>
      <c r="Q105" s="123">
        <f t="shared" si="26"/>
        <v>9.98</v>
      </c>
      <c r="R105" s="123">
        <f t="shared" si="26"/>
        <v>9.98</v>
      </c>
      <c r="S105" s="123">
        <f t="shared" si="26"/>
        <v>9.98</v>
      </c>
      <c r="T105" s="123">
        <f t="shared" si="27"/>
        <v>9.98</v>
      </c>
      <c r="U105" s="123">
        <f t="shared" si="27"/>
        <v>9.98</v>
      </c>
      <c r="V105" s="123">
        <f t="shared" si="27"/>
        <v>9.98</v>
      </c>
      <c r="W105" s="123">
        <f t="shared" si="27"/>
        <v>9.98</v>
      </c>
      <c r="X105" s="123">
        <f t="shared" si="27"/>
        <v>9.98</v>
      </c>
      <c r="Y105" s="123">
        <f t="shared" si="27"/>
        <v>9.98</v>
      </c>
      <c r="Z105" s="123">
        <f t="shared" si="27"/>
        <v>9.98</v>
      </c>
      <c r="AA105" s="123">
        <f t="shared" si="27"/>
        <v>9.98</v>
      </c>
      <c r="AB105" s="123">
        <f t="shared" si="27"/>
        <v>9.98</v>
      </c>
      <c r="AC105" s="123">
        <f t="shared" si="27"/>
        <v>9.98</v>
      </c>
      <c r="AD105" s="123">
        <f t="shared" si="27"/>
        <v>9.98</v>
      </c>
      <c r="AE105" s="123">
        <f t="shared" si="27"/>
        <v>9.98</v>
      </c>
      <c r="AF105" s="123">
        <f t="shared" si="27"/>
        <v>9.98</v>
      </c>
      <c r="AG105" s="126">
        <v>9.6579999999999995</v>
      </c>
      <c r="AH105" s="54"/>
      <c r="AI105" s="55"/>
      <c r="AK105" s="56"/>
    </row>
    <row r="106" spans="1:37" x14ac:dyDescent="0.25">
      <c r="A106" s="111" t="s">
        <v>110</v>
      </c>
      <c r="B106" s="123">
        <f t="shared" si="25"/>
        <v>9.1</v>
      </c>
      <c r="C106" s="124">
        <v>9.1</v>
      </c>
      <c r="D106" s="123">
        <f t="shared" si="26"/>
        <v>9.1</v>
      </c>
      <c r="E106" s="123">
        <f t="shared" si="26"/>
        <v>9.1</v>
      </c>
      <c r="F106" s="123">
        <f t="shared" si="26"/>
        <v>9.1</v>
      </c>
      <c r="G106" s="123">
        <f t="shared" si="26"/>
        <v>9.1</v>
      </c>
      <c r="H106" s="123">
        <f t="shared" si="26"/>
        <v>9.1</v>
      </c>
      <c r="I106" s="123">
        <f t="shared" si="26"/>
        <v>9.1</v>
      </c>
      <c r="J106" s="123">
        <f t="shared" si="26"/>
        <v>9.1</v>
      </c>
      <c r="K106" s="123">
        <f t="shared" si="26"/>
        <v>9.1</v>
      </c>
      <c r="L106" s="123">
        <f t="shared" si="26"/>
        <v>9.1</v>
      </c>
      <c r="M106" s="123">
        <f t="shared" si="26"/>
        <v>9.1</v>
      </c>
      <c r="N106" s="123">
        <f t="shared" si="26"/>
        <v>9.1</v>
      </c>
      <c r="O106" s="123">
        <f t="shared" si="26"/>
        <v>9.1</v>
      </c>
      <c r="P106" s="123">
        <f t="shared" si="26"/>
        <v>9.1</v>
      </c>
      <c r="Q106" s="123">
        <f t="shared" si="26"/>
        <v>9.1</v>
      </c>
      <c r="R106" s="123">
        <f t="shared" si="26"/>
        <v>9.1</v>
      </c>
      <c r="S106" s="123">
        <f t="shared" si="26"/>
        <v>9.1</v>
      </c>
      <c r="T106" s="123">
        <f t="shared" si="27"/>
        <v>9.1</v>
      </c>
      <c r="U106" s="123">
        <f t="shared" si="27"/>
        <v>9.1</v>
      </c>
      <c r="V106" s="123">
        <f t="shared" si="27"/>
        <v>9.1</v>
      </c>
      <c r="W106" s="123">
        <f t="shared" si="27"/>
        <v>9.1</v>
      </c>
      <c r="X106" s="123">
        <f t="shared" si="27"/>
        <v>9.1</v>
      </c>
      <c r="Y106" s="123">
        <f t="shared" si="27"/>
        <v>9.1</v>
      </c>
      <c r="Z106" s="123">
        <f t="shared" si="27"/>
        <v>9.1</v>
      </c>
      <c r="AA106" s="123">
        <f t="shared" si="27"/>
        <v>9.1</v>
      </c>
      <c r="AB106" s="123">
        <f t="shared" si="27"/>
        <v>9.1</v>
      </c>
      <c r="AC106" s="123">
        <f t="shared" si="27"/>
        <v>9.1</v>
      </c>
      <c r="AD106" s="123">
        <f t="shared" si="27"/>
        <v>9.1</v>
      </c>
      <c r="AE106" s="123">
        <f t="shared" si="27"/>
        <v>9.1</v>
      </c>
      <c r="AF106" s="123">
        <f t="shared" si="27"/>
        <v>9.1</v>
      </c>
      <c r="AG106" s="126">
        <v>9.6</v>
      </c>
      <c r="AH106" s="54"/>
      <c r="AI106" s="55"/>
      <c r="AK106" s="56"/>
    </row>
    <row r="107" spans="1:37" x14ac:dyDescent="0.25">
      <c r="A107" s="111" t="s">
        <v>111</v>
      </c>
      <c r="B107" s="123">
        <f t="shared" si="25"/>
        <v>9.18</v>
      </c>
      <c r="C107" s="124">
        <v>9.18</v>
      </c>
      <c r="D107" s="123">
        <f t="shared" si="26"/>
        <v>9.18</v>
      </c>
      <c r="E107" s="123">
        <f t="shared" si="26"/>
        <v>9.18</v>
      </c>
      <c r="F107" s="123">
        <f t="shared" si="26"/>
        <v>9.18</v>
      </c>
      <c r="G107" s="123">
        <f t="shared" si="26"/>
        <v>9.18</v>
      </c>
      <c r="H107" s="123">
        <f t="shared" si="26"/>
        <v>9.18</v>
      </c>
      <c r="I107" s="123">
        <f t="shared" si="26"/>
        <v>9.18</v>
      </c>
      <c r="J107" s="123">
        <f t="shared" si="26"/>
        <v>9.18</v>
      </c>
      <c r="K107" s="123">
        <f t="shared" si="26"/>
        <v>9.18</v>
      </c>
      <c r="L107" s="123">
        <f t="shared" si="26"/>
        <v>9.18</v>
      </c>
      <c r="M107" s="123">
        <f t="shared" si="26"/>
        <v>9.18</v>
      </c>
      <c r="N107" s="123">
        <f t="shared" si="26"/>
        <v>9.18</v>
      </c>
      <c r="O107" s="123">
        <f t="shared" si="26"/>
        <v>9.18</v>
      </c>
      <c r="P107" s="123">
        <f t="shared" si="26"/>
        <v>9.18</v>
      </c>
      <c r="Q107" s="123">
        <f t="shared" si="26"/>
        <v>9.18</v>
      </c>
      <c r="R107" s="123">
        <f t="shared" si="26"/>
        <v>9.18</v>
      </c>
      <c r="S107" s="123">
        <f t="shared" si="26"/>
        <v>9.18</v>
      </c>
      <c r="T107" s="123">
        <f t="shared" si="27"/>
        <v>9.18</v>
      </c>
      <c r="U107" s="123">
        <f t="shared" si="27"/>
        <v>9.18</v>
      </c>
      <c r="V107" s="123">
        <f t="shared" si="27"/>
        <v>9.18</v>
      </c>
      <c r="W107" s="123">
        <f t="shared" si="27"/>
        <v>9.18</v>
      </c>
      <c r="X107" s="123">
        <f t="shared" si="27"/>
        <v>9.18</v>
      </c>
      <c r="Y107" s="123">
        <f t="shared" si="27"/>
        <v>9.18</v>
      </c>
      <c r="Z107" s="123">
        <f t="shared" si="27"/>
        <v>9.18</v>
      </c>
      <c r="AA107" s="123">
        <f t="shared" si="27"/>
        <v>9.18</v>
      </c>
      <c r="AB107" s="123">
        <f t="shared" si="27"/>
        <v>9.18</v>
      </c>
      <c r="AC107" s="123">
        <f t="shared" si="27"/>
        <v>9.18</v>
      </c>
      <c r="AD107" s="123">
        <f t="shared" si="27"/>
        <v>9.18</v>
      </c>
      <c r="AE107" s="123">
        <f t="shared" si="27"/>
        <v>9.18</v>
      </c>
      <c r="AF107" s="123">
        <f t="shared" si="27"/>
        <v>9.18</v>
      </c>
      <c r="AG107" s="126">
        <v>9.51</v>
      </c>
      <c r="AH107" s="54"/>
      <c r="AI107" s="55"/>
      <c r="AK107" s="56"/>
    </row>
    <row r="108" spans="1:37" x14ac:dyDescent="0.25">
      <c r="A108" s="111" t="s">
        <v>112</v>
      </c>
      <c r="B108" s="123">
        <f t="shared" si="25"/>
        <v>7</v>
      </c>
      <c r="C108" s="124">
        <v>7</v>
      </c>
      <c r="D108" s="123">
        <f t="shared" si="26"/>
        <v>7</v>
      </c>
      <c r="E108" s="123">
        <f t="shared" si="26"/>
        <v>7</v>
      </c>
      <c r="F108" s="123">
        <f t="shared" si="26"/>
        <v>7</v>
      </c>
      <c r="G108" s="123">
        <f t="shared" si="26"/>
        <v>7</v>
      </c>
      <c r="H108" s="123">
        <f t="shared" si="26"/>
        <v>7</v>
      </c>
      <c r="I108" s="123">
        <f t="shared" si="26"/>
        <v>7</v>
      </c>
      <c r="J108" s="123">
        <f t="shared" si="26"/>
        <v>7</v>
      </c>
      <c r="K108" s="123">
        <f t="shared" si="26"/>
        <v>7</v>
      </c>
      <c r="L108" s="123">
        <f t="shared" si="26"/>
        <v>7</v>
      </c>
      <c r="M108" s="123">
        <f t="shared" si="26"/>
        <v>7</v>
      </c>
      <c r="N108" s="123">
        <f t="shared" si="26"/>
        <v>7</v>
      </c>
      <c r="O108" s="123">
        <f t="shared" si="26"/>
        <v>7</v>
      </c>
      <c r="P108" s="123">
        <f t="shared" si="26"/>
        <v>7</v>
      </c>
      <c r="Q108" s="123">
        <f t="shared" si="26"/>
        <v>7</v>
      </c>
      <c r="R108" s="123">
        <f t="shared" si="26"/>
        <v>7</v>
      </c>
      <c r="S108" s="123">
        <f t="shared" si="26"/>
        <v>7</v>
      </c>
      <c r="T108" s="123">
        <f t="shared" si="27"/>
        <v>7</v>
      </c>
      <c r="U108" s="123">
        <f t="shared" si="27"/>
        <v>7</v>
      </c>
      <c r="V108" s="123">
        <f t="shared" si="27"/>
        <v>7</v>
      </c>
      <c r="W108" s="123">
        <f t="shared" si="27"/>
        <v>7</v>
      </c>
      <c r="X108" s="123">
        <f t="shared" si="27"/>
        <v>7</v>
      </c>
      <c r="Y108" s="123">
        <f t="shared" si="27"/>
        <v>7</v>
      </c>
      <c r="Z108" s="123">
        <f t="shared" si="27"/>
        <v>7</v>
      </c>
      <c r="AA108" s="123">
        <f t="shared" si="27"/>
        <v>7</v>
      </c>
      <c r="AB108" s="123">
        <f t="shared" si="27"/>
        <v>7</v>
      </c>
      <c r="AC108" s="123">
        <f t="shared" si="27"/>
        <v>7</v>
      </c>
      <c r="AD108" s="123">
        <f t="shared" si="27"/>
        <v>7</v>
      </c>
      <c r="AE108" s="123">
        <f t="shared" si="27"/>
        <v>7</v>
      </c>
      <c r="AF108" s="123">
        <f t="shared" si="27"/>
        <v>7</v>
      </c>
      <c r="AG108" s="126">
        <v>9.4</v>
      </c>
      <c r="AH108" s="54"/>
      <c r="AI108" s="55"/>
      <c r="AK108" s="56"/>
    </row>
    <row r="109" spans="1:37" x14ac:dyDescent="0.25">
      <c r="A109" s="111" t="s">
        <v>113</v>
      </c>
      <c r="B109" s="123"/>
      <c r="C109" s="124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  <c r="AC109" s="123"/>
      <c r="AD109" s="123"/>
      <c r="AE109" s="123"/>
      <c r="AF109" s="123"/>
      <c r="AG109" s="126">
        <v>8.8000000000000007</v>
      </c>
      <c r="AH109" s="54"/>
      <c r="AI109" s="55"/>
      <c r="AK109" s="56"/>
    </row>
    <row r="110" spans="1:37" x14ac:dyDescent="0.25">
      <c r="A110" s="111" t="s">
        <v>114</v>
      </c>
      <c r="B110" s="123">
        <f>AF110</f>
        <v>2.25</v>
      </c>
      <c r="C110" s="124">
        <v>2.25</v>
      </c>
      <c r="D110" s="123">
        <f t="shared" ref="D110:S111" si="28">C110</f>
        <v>2.25</v>
      </c>
      <c r="E110" s="123">
        <f t="shared" si="28"/>
        <v>2.25</v>
      </c>
      <c r="F110" s="123">
        <f t="shared" si="28"/>
        <v>2.25</v>
      </c>
      <c r="G110" s="123">
        <f t="shared" si="28"/>
        <v>2.25</v>
      </c>
      <c r="H110" s="123">
        <f t="shared" si="28"/>
        <v>2.25</v>
      </c>
      <c r="I110" s="123">
        <f t="shared" si="28"/>
        <v>2.25</v>
      </c>
      <c r="J110" s="123">
        <f t="shared" si="28"/>
        <v>2.25</v>
      </c>
      <c r="K110" s="123">
        <f t="shared" si="28"/>
        <v>2.25</v>
      </c>
      <c r="L110" s="123">
        <f t="shared" si="28"/>
        <v>2.25</v>
      </c>
      <c r="M110" s="123">
        <f t="shared" si="28"/>
        <v>2.25</v>
      </c>
      <c r="N110" s="123">
        <f t="shared" si="28"/>
        <v>2.25</v>
      </c>
      <c r="O110" s="123">
        <f t="shared" si="28"/>
        <v>2.25</v>
      </c>
      <c r="P110" s="123">
        <f t="shared" si="28"/>
        <v>2.25</v>
      </c>
      <c r="Q110" s="123">
        <f t="shared" si="28"/>
        <v>2.25</v>
      </c>
      <c r="R110" s="123">
        <f t="shared" si="28"/>
        <v>2.25</v>
      </c>
      <c r="S110" s="123">
        <f t="shared" si="28"/>
        <v>2.25</v>
      </c>
      <c r="T110" s="123">
        <f t="shared" ref="T110:AF111" si="29">S110</f>
        <v>2.25</v>
      </c>
      <c r="U110" s="123">
        <f t="shared" si="29"/>
        <v>2.25</v>
      </c>
      <c r="V110" s="123">
        <f t="shared" si="29"/>
        <v>2.25</v>
      </c>
      <c r="W110" s="123">
        <f t="shared" si="29"/>
        <v>2.25</v>
      </c>
      <c r="X110" s="123">
        <f t="shared" si="29"/>
        <v>2.25</v>
      </c>
      <c r="Y110" s="123">
        <f t="shared" si="29"/>
        <v>2.25</v>
      </c>
      <c r="Z110" s="123">
        <f t="shared" si="29"/>
        <v>2.25</v>
      </c>
      <c r="AA110" s="123">
        <f t="shared" si="29"/>
        <v>2.25</v>
      </c>
      <c r="AB110" s="123">
        <f t="shared" si="29"/>
        <v>2.25</v>
      </c>
      <c r="AC110" s="123">
        <f t="shared" si="29"/>
        <v>2.25</v>
      </c>
      <c r="AD110" s="123">
        <f t="shared" si="29"/>
        <v>2.25</v>
      </c>
      <c r="AE110" s="123">
        <f t="shared" si="29"/>
        <v>2.25</v>
      </c>
      <c r="AF110" s="123">
        <f t="shared" si="29"/>
        <v>2.25</v>
      </c>
      <c r="AG110" s="126">
        <v>8.5</v>
      </c>
      <c r="AH110" s="54"/>
      <c r="AI110" s="55"/>
      <c r="AK110" s="56"/>
    </row>
    <row r="111" spans="1:37" x14ac:dyDescent="0.25">
      <c r="A111" s="111" t="s">
        <v>115</v>
      </c>
      <c r="B111" s="123">
        <f>AF111</f>
        <v>1.64</v>
      </c>
      <c r="C111" s="124">
        <v>1.64</v>
      </c>
      <c r="D111" s="123">
        <f t="shared" si="28"/>
        <v>1.64</v>
      </c>
      <c r="E111" s="123">
        <f t="shared" si="28"/>
        <v>1.64</v>
      </c>
      <c r="F111" s="123">
        <f t="shared" si="28"/>
        <v>1.64</v>
      </c>
      <c r="G111" s="123">
        <f t="shared" si="28"/>
        <v>1.64</v>
      </c>
      <c r="H111" s="123">
        <f t="shared" si="28"/>
        <v>1.64</v>
      </c>
      <c r="I111" s="123">
        <f t="shared" si="28"/>
        <v>1.64</v>
      </c>
      <c r="J111" s="123">
        <f t="shared" si="28"/>
        <v>1.64</v>
      </c>
      <c r="K111" s="123">
        <f t="shared" si="28"/>
        <v>1.64</v>
      </c>
      <c r="L111" s="123">
        <f t="shared" si="28"/>
        <v>1.64</v>
      </c>
      <c r="M111" s="123">
        <f t="shared" si="28"/>
        <v>1.64</v>
      </c>
      <c r="N111" s="123">
        <f t="shared" si="28"/>
        <v>1.64</v>
      </c>
      <c r="O111" s="123">
        <f t="shared" si="28"/>
        <v>1.64</v>
      </c>
      <c r="P111" s="123">
        <f t="shared" si="28"/>
        <v>1.64</v>
      </c>
      <c r="Q111" s="123">
        <f t="shared" si="28"/>
        <v>1.64</v>
      </c>
      <c r="R111" s="123">
        <f t="shared" si="28"/>
        <v>1.64</v>
      </c>
      <c r="S111" s="123">
        <f t="shared" si="28"/>
        <v>1.64</v>
      </c>
      <c r="T111" s="123">
        <f t="shared" si="29"/>
        <v>1.64</v>
      </c>
      <c r="U111" s="123">
        <f t="shared" si="29"/>
        <v>1.64</v>
      </c>
      <c r="V111" s="123">
        <f t="shared" si="29"/>
        <v>1.64</v>
      </c>
      <c r="W111" s="123">
        <f t="shared" si="29"/>
        <v>1.64</v>
      </c>
      <c r="X111" s="123">
        <f t="shared" si="29"/>
        <v>1.64</v>
      </c>
      <c r="Y111" s="123">
        <f t="shared" si="29"/>
        <v>1.64</v>
      </c>
      <c r="Z111" s="123">
        <f t="shared" si="29"/>
        <v>1.64</v>
      </c>
      <c r="AA111" s="123">
        <f t="shared" si="29"/>
        <v>1.64</v>
      </c>
      <c r="AB111" s="123">
        <f t="shared" si="29"/>
        <v>1.64</v>
      </c>
      <c r="AC111" s="123">
        <f t="shared" si="29"/>
        <v>1.64</v>
      </c>
      <c r="AD111" s="123">
        <f t="shared" si="29"/>
        <v>1.64</v>
      </c>
      <c r="AE111" s="123">
        <f t="shared" si="29"/>
        <v>1.64</v>
      </c>
      <c r="AF111" s="123">
        <f t="shared" si="29"/>
        <v>1.64</v>
      </c>
      <c r="AG111" s="126">
        <v>8.5</v>
      </c>
      <c r="AH111" s="54"/>
      <c r="AI111" s="55"/>
      <c r="AK111" s="56"/>
    </row>
    <row r="112" spans="1:37" x14ac:dyDescent="0.25">
      <c r="A112" s="111" t="s">
        <v>116</v>
      </c>
      <c r="B112" s="123"/>
      <c r="C112" s="124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6">
        <v>8.4</v>
      </c>
      <c r="AH112" s="54"/>
      <c r="AI112" s="55"/>
      <c r="AK112" s="56"/>
    </row>
    <row r="113" spans="1:37" ht="13.5" customHeight="1" x14ac:dyDescent="0.25">
      <c r="A113" s="111" t="s">
        <v>117</v>
      </c>
      <c r="B113" s="123">
        <f t="shared" ref="B113:B130" si="30">AF113</f>
        <v>1.62</v>
      </c>
      <c r="C113" s="124">
        <v>1.62</v>
      </c>
      <c r="D113" s="123">
        <f t="shared" ref="D113:S120" si="31">C113</f>
        <v>1.62</v>
      </c>
      <c r="E113" s="123">
        <f t="shared" si="31"/>
        <v>1.62</v>
      </c>
      <c r="F113" s="123">
        <f t="shared" si="31"/>
        <v>1.62</v>
      </c>
      <c r="G113" s="123">
        <f t="shared" si="31"/>
        <v>1.62</v>
      </c>
      <c r="H113" s="123">
        <f t="shared" si="31"/>
        <v>1.62</v>
      </c>
      <c r="I113" s="123">
        <f t="shared" si="31"/>
        <v>1.62</v>
      </c>
      <c r="J113" s="123">
        <f t="shared" si="31"/>
        <v>1.62</v>
      </c>
      <c r="K113" s="123">
        <f t="shared" si="31"/>
        <v>1.62</v>
      </c>
      <c r="L113" s="123">
        <f t="shared" si="31"/>
        <v>1.62</v>
      </c>
      <c r="M113" s="123">
        <f t="shared" si="31"/>
        <v>1.62</v>
      </c>
      <c r="N113" s="123">
        <f t="shared" si="31"/>
        <v>1.62</v>
      </c>
      <c r="O113" s="123">
        <f t="shared" si="31"/>
        <v>1.62</v>
      </c>
      <c r="P113" s="123">
        <f t="shared" si="31"/>
        <v>1.62</v>
      </c>
      <c r="Q113" s="123">
        <f t="shared" si="31"/>
        <v>1.62</v>
      </c>
      <c r="R113" s="123">
        <f t="shared" si="31"/>
        <v>1.62</v>
      </c>
      <c r="S113" s="123">
        <f t="shared" si="31"/>
        <v>1.62</v>
      </c>
      <c r="T113" s="123">
        <f t="shared" ref="T113:AF128" si="32">S113</f>
        <v>1.62</v>
      </c>
      <c r="U113" s="123">
        <f t="shared" si="32"/>
        <v>1.62</v>
      </c>
      <c r="V113" s="123">
        <f t="shared" si="32"/>
        <v>1.62</v>
      </c>
      <c r="W113" s="123">
        <f t="shared" si="32"/>
        <v>1.62</v>
      </c>
      <c r="X113" s="123">
        <f t="shared" si="32"/>
        <v>1.62</v>
      </c>
      <c r="Y113" s="123">
        <f t="shared" si="32"/>
        <v>1.62</v>
      </c>
      <c r="Z113" s="123">
        <f t="shared" si="32"/>
        <v>1.62</v>
      </c>
      <c r="AA113" s="123">
        <f t="shared" si="32"/>
        <v>1.62</v>
      </c>
      <c r="AB113" s="123">
        <f t="shared" si="32"/>
        <v>1.62</v>
      </c>
      <c r="AC113" s="123">
        <f t="shared" si="32"/>
        <v>1.62</v>
      </c>
      <c r="AD113" s="123">
        <f t="shared" si="32"/>
        <v>1.62</v>
      </c>
      <c r="AE113" s="123">
        <f t="shared" si="32"/>
        <v>1.62</v>
      </c>
      <c r="AF113" s="123">
        <f t="shared" si="32"/>
        <v>1.62</v>
      </c>
      <c r="AG113" s="126">
        <v>8</v>
      </c>
      <c r="AH113" s="54"/>
      <c r="AI113" s="55"/>
      <c r="AK113" s="56"/>
    </row>
    <row r="114" spans="1:37" x14ac:dyDescent="0.25">
      <c r="A114" s="111" t="s">
        <v>118</v>
      </c>
      <c r="B114" s="123">
        <f t="shared" si="30"/>
        <v>8.36</v>
      </c>
      <c r="C114" s="124">
        <v>8.36</v>
      </c>
      <c r="D114" s="123">
        <f t="shared" si="31"/>
        <v>8.36</v>
      </c>
      <c r="E114" s="123">
        <f t="shared" si="31"/>
        <v>8.36</v>
      </c>
      <c r="F114" s="123">
        <f t="shared" si="31"/>
        <v>8.36</v>
      </c>
      <c r="G114" s="123">
        <f t="shared" si="31"/>
        <v>8.36</v>
      </c>
      <c r="H114" s="123">
        <f t="shared" si="31"/>
        <v>8.36</v>
      </c>
      <c r="I114" s="123">
        <f t="shared" si="31"/>
        <v>8.36</v>
      </c>
      <c r="J114" s="123">
        <f t="shared" si="31"/>
        <v>8.36</v>
      </c>
      <c r="K114" s="123">
        <f t="shared" si="31"/>
        <v>8.36</v>
      </c>
      <c r="L114" s="123">
        <f t="shared" si="31"/>
        <v>8.36</v>
      </c>
      <c r="M114" s="123">
        <f t="shared" si="31"/>
        <v>8.36</v>
      </c>
      <c r="N114" s="123">
        <f t="shared" si="31"/>
        <v>8.36</v>
      </c>
      <c r="O114" s="123">
        <f t="shared" si="31"/>
        <v>8.36</v>
      </c>
      <c r="P114" s="123">
        <f t="shared" si="31"/>
        <v>8.36</v>
      </c>
      <c r="Q114" s="123">
        <f t="shared" si="31"/>
        <v>8.36</v>
      </c>
      <c r="R114" s="123">
        <f t="shared" si="31"/>
        <v>8.36</v>
      </c>
      <c r="S114" s="123">
        <f t="shared" si="31"/>
        <v>8.36</v>
      </c>
      <c r="T114" s="123">
        <f t="shared" si="32"/>
        <v>8.36</v>
      </c>
      <c r="U114" s="123">
        <f t="shared" si="32"/>
        <v>8.36</v>
      </c>
      <c r="V114" s="123">
        <f t="shared" si="32"/>
        <v>8.36</v>
      </c>
      <c r="W114" s="123">
        <f t="shared" si="32"/>
        <v>8.36</v>
      </c>
      <c r="X114" s="123">
        <f t="shared" si="32"/>
        <v>8.36</v>
      </c>
      <c r="Y114" s="123">
        <f t="shared" si="32"/>
        <v>8.36</v>
      </c>
      <c r="Z114" s="123">
        <f t="shared" si="32"/>
        <v>8.36</v>
      </c>
      <c r="AA114" s="123">
        <f t="shared" si="32"/>
        <v>8.36</v>
      </c>
      <c r="AB114" s="123">
        <f t="shared" si="32"/>
        <v>8.36</v>
      </c>
      <c r="AC114" s="123">
        <f t="shared" si="32"/>
        <v>8.36</v>
      </c>
      <c r="AD114" s="123">
        <f t="shared" si="32"/>
        <v>8.36</v>
      </c>
      <c r="AE114" s="123">
        <f t="shared" si="32"/>
        <v>8.36</v>
      </c>
      <c r="AF114" s="123">
        <f t="shared" si="32"/>
        <v>8.36</v>
      </c>
      <c r="AG114" s="126">
        <v>8</v>
      </c>
      <c r="AH114" s="54"/>
      <c r="AI114" s="55"/>
      <c r="AK114" s="56"/>
    </row>
    <row r="115" spans="1:37" x14ac:dyDescent="0.25">
      <c r="A115" s="111" t="s">
        <v>119</v>
      </c>
      <c r="B115" s="123">
        <f t="shared" si="30"/>
        <v>5.4</v>
      </c>
      <c r="C115" s="124">
        <v>8</v>
      </c>
      <c r="D115" s="123">
        <f t="shared" si="31"/>
        <v>8</v>
      </c>
      <c r="E115" s="123">
        <f t="shared" si="31"/>
        <v>8</v>
      </c>
      <c r="F115" s="123">
        <f t="shared" si="31"/>
        <v>8</v>
      </c>
      <c r="G115" s="123">
        <f t="shared" si="31"/>
        <v>8</v>
      </c>
      <c r="H115" s="123">
        <f t="shared" si="31"/>
        <v>8</v>
      </c>
      <c r="I115" s="123">
        <f t="shared" si="31"/>
        <v>8</v>
      </c>
      <c r="J115" s="123">
        <v>5.4</v>
      </c>
      <c r="K115" s="123">
        <f t="shared" si="31"/>
        <v>5.4</v>
      </c>
      <c r="L115" s="123">
        <f t="shared" si="31"/>
        <v>5.4</v>
      </c>
      <c r="M115" s="123">
        <f t="shared" si="31"/>
        <v>5.4</v>
      </c>
      <c r="N115" s="123">
        <f t="shared" si="31"/>
        <v>5.4</v>
      </c>
      <c r="O115" s="123">
        <f t="shared" si="31"/>
        <v>5.4</v>
      </c>
      <c r="P115" s="123">
        <f t="shared" si="31"/>
        <v>5.4</v>
      </c>
      <c r="Q115" s="123">
        <f t="shared" si="31"/>
        <v>5.4</v>
      </c>
      <c r="R115" s="123">
        <f t="shared" si="31"/>
        <v>5.4</v>
      </c>
      <c r="S115" s="123">
        <f t="shared" si="31"/>
        <v>5.4</v>
      </c>
      <c r="T115" s="123">
        <f t="shared" si="32"/>
        <v>5.4</v>
      </c>
      <c r="U115" s="123">
        <f t="shared" si="32"/>
        <v>5.4</v>
      </c>
      <c r="V115" s="123">
        <f t="shared" si="32"/>
        <v>5.4</v>
      </c>
      <c r="W115" s="123">
        <f t="shared" si="32"/>
        <v>5.4</v>
      </c>
      <c r="X115" s="123">
        <f t="shared" si="32"/>
        <v>5.4</v>
      </c>
      <c r="Y115" s="123">
        <f t="shared" si="32"/>
        <v>5.4</v>
      </c>
      <c r="Z115" s="123">
        <f t="shared" si="32"/>
        <v>5.4</v>
      </c>
      <c r="AA115" s="123">
        <f t="shared" si="32"/>
        <v>5.4</v>
      </c>
      <c r="AB115" s="123">
        <f t="shared" si="32"/>
        <v>5.4</v>
      </c>
      <c r="AC115" s="123">
        <f t="shared" si="32"/>
        <v>5.4</v>
      </c>
      <c r="AD115" s="123">
        <f t="shared" si="32"/>
        <v>5.4</v>
      </c>
      <c r="AE115" s="123">
        <f t="shared" si="32"/>
        <v>5.4</v>
      </c>
      <c r="AF115" s="123">
        <f t="shared" si="32"/>
        <v>5.4</v>
      </c>
      <c r="AG115" s="126">
        <v>8</v>
      </c>
      <c r="AH115" s="54"/>
      <c r="AI115" s="55"/>
      <c r="AK115" s="56"/>
    </row>
    <row r="116" spans="1:37" x14ac:dyDescent="0.25">
      <c r="A116" s="111" t="s">
        <v>120</v>
      </c>
      <c r="B116" s="123">
        <f t="shared" si="30"/>
        <v>6.57</v>
      </c>
      <c r="C116" s="124">
        <v>6.57</v>
      </c>
      <c r="D116" s="123">
        <f t="shared" si="31"/>
        <v>6.57</v>
      </c>
      <c r="E116" s="123">
        <f t="shared" si="31"/>
        <v>6.57</v>
      </c>
      <c r="F116" s="123">
        <f t="shared" si="31"/>
        <v>6.57</v>
      </c>
      <c r="G116" s="123">
        <f t="shared" si="31"/>
        <v>6.57</v>
      </c>
      <c r="H116" s="123">
        <f t="shared" si="31"/>
        <v>6.57</v>
      </c>
      <c r="I116" s="123">
        <f t="shared" si="31"/>
        <v>6.57</v>
      </c>
      <c r="J116" s="123">
        <f t="shared" si="31"/>
        <v>6.57</v>
      </c>
      <c r="K116" s="123">
        <f t="shared" si="31"/>
        <v>6.57</v>
      </c>
      <c r="L116" s="123">
        <f t="shared" si="31"/>
        <v>6.57</v>
      </c>
      <c r="M116" s="123">
        <f t="shared" si="31"/>
        <v>6.57</v>
      </c>
      <c r="N116" s="123">
        <f t="shared" si="31"/>
        <v>6.57</v>
      </c>
      <c r="O116" s="123">
        <f t="shared" si="31"/>
        <v>6.57</v>
      </c>
      <c r="P116" s="123">
        <f t="shared" si="31"/>
        <v>6.57</v>
      </c>
      <c r="Q116" s="123">
        <f t="shared" si="31"/>
        <v>6.57</v>
      </c>
      <c r="R116" s="123">
        <f t="shared" si="31"/>
        <v>6.57</v>
      </c>
      <c r="S116" s="123">
        <f t="shared" si="31"/>
        <v>6.57</v>
      </c>
      <c r="T116" s="123">
        <f t="shared" si="32"/>
        <v>6.57</v>
      </c>
      <c r="U116" s="123">
        <f t="shared" si="32"/>
        <v>6.57</v>
      </c>
      <c r="V116" s="123">
        <f t="shared" si="32"/>
        <v>6.57</v>
      </c>
      <c r="W116" s="123">
        <f t="shared" si="32"/>
        <v>6.57</v>
      </c>
      <c r="X116" s="123">
        <f t="shared" si="32"/>
        <v>6.57</v>
      </c>
      <c r="Y116" s="123">
        <f t="shared" si="32"/>
        <v>6.57</v>
      </c>
      <c r="Z116" s="123">
        <f t="shared" si="32"/>
        <v>6.57</v>
      </c>
      <c r="AA116" s="123">
        <f t="shared" si="32"/>
        <v>6.57</v>
      </c>
      <c r="AB116" s="123">
        <f t="shared" si="32"/>
        <v>6.57</v>
      </c>
      <c r="AC116" s="123">
        <f t="shared" si="32"/>
        <v>6.57</v>
      </c>
      <c r="AD116" s="123">
        <f t="shared" si="32"/>
        <v>6.57</v>
      </c>
      <c r="AE116" s="123">
        <f t="shared" si="32"/>
        <v>6.57</v>
      </c>
      <c r="AF116" s="123">
        <f t="shared" si="32"/>
        <v>6.57</v>
      </c>
      <c r="AG116" s="126">
        <v>7.8</v>
      </c>
      <c r="AH116" s="54"/>
      <c r="AI116" s="55"/>
      <c r="AK116" s="56"/>
    </row>
    <row r="117" spans="1:37" x14ac:dyDescent="0.25">
      <c r="A117" s="111" t="s">
        <v>121</v>
      </c>
      <c r="B117" s="123">
        <f t="shared" si="30"/>
        <v>3.43</v>
      </c>
      <c r="C117" s="124">
        <v>3.43</v>
      </c>
      <c r="D117" s="123">
        <f t="shared" si="31"/>
        <v>3.43</v>
      </c>
      <c r="E117" s="123">
        <f t="shared" si="31"/>
        <v>3.43</v>
      </c>
      <c r="F117" s="123">
        <f t="shared" si="31"/>
        <v>3.43</v>
      </c>
      <c r="G117" s="123">
        <f t="shared" si="31"/>
        <v>3.43</v>
      </c>
      <c r="H117" s="123">
        <f t="shared" si="31"/>
        <v>3.43</v>
      </c>
      <c r="I117" s="123">
        <f t="shared" si="31"/>
        <v>3.43</v>
      </c>
      <c r="J117" s="123">
        <f t="shared" si="31"/>
        <v>3.43</v>
      </c>
      <c r="K117" s="123">
        <f t="shared" si="31"/>
        <v>3.43</v>
      </c>
      <c r="L117" s="123">
        <f t="shared" si="31"/>
        <v>3.43</v>
      </c>
      <c r="M117" s="123">
        <f t="shared" si="31"/>
        <v>3.43</v>
      </c>
      <c r="N117" s="123">
        <f t="shared" si="31"/>
        <v>3.43</v>
      </c>
      <c r="O117" s="123">
        <f t="shared" si="31"/>
        <v>3.43</v>
      </c>
      <c r="P117" s="123">
        <f t="shared" si="31"/>
        <v>3.43</v>
      </c>
      <c r="Q117" s="123">
        <f t="shared" si="31"/>
        <v>3.43</v>
      </c>
      <c r="R117" s="123">
        <f t="shared" si="31"/>
        <v>3.43</v>
      </c>
      <c r="S117" s="123">
        <f t="shared" si="31"/>
        <v>3.43</v>
      </c>
      <c r="T117" s="123">
        <f t="shared" si="32"/>
        <v>3.43</v>
      </c>
      <c r="U117" s="123">
        <f t="shared" si="32"/>
        <v>3.43</v>
      </c>
      <c r="V117" s="123">
        <f t="shared" si="32"/>
        <v>3.43</v>
      </c>
      <c r="W117" s="123">
        <f t="shared" si="32"/>
        <v>3.43</v>
      </c>
      <c r="X117" s="123">
        <f t="shared" si="32"/>
        <v>3.43</v>
      </c>
      <c r="Y117" s="123">
        <f t="shared" si="32"/>
        <v>3.43</v>
      </c>
      <c r="Z117" s="123">
        <f t="shared" si="32"/>
        <v>3.43</v>
      </c>
      <c r="AA117" s="123">
        <f t="shared" si="32"/>
        <v>3.43</v>
      </c>
      <c r="AB117" s="123">
        <f t="shared" si="32"/>
        <v>3.43</v>
      </c>
      <c r="AC117" s="123">
        <f t="shared" si="32"/>
        <v>3.43</v>
      </c>
      <c r="AD117" s="123">
        <f t="shared" si="32"/>
        <v>3.43</v>
      </c>
      <c r="AE117" s="123">
        <f t="shared" si="32"/>
        <v>3.43</v>
      </c>
      <c r="AF117" s="123">
        <f t="shared" si="32"/>
        <v>3.43</v>
      </c>
      <c r="AG117" s="126">
        <v>7.6</v>
      </c>
      <c r="AH117" s="54"/>
      <c r="AI117" s="55"/>
      <c r="AK117" s="56"/>
    </row>
    <row r="118" spans="1:37" x14ac:dyDescent="0.25">
      <c r="A118" s="111" t="s">
        <v>122</v>
      </c>
      <c r="B118" s="123">
        <f t="shared" si="30"/>
        <v>2.96</v>
      </c>
      <c r="C118" s="124">
        <v>2.96</v>
      </c>
      <c r="D118" s="123">
        <f t="shared" si="31"/>
        <v>2.96</v>
      </c>
      <c r="E118" s="123">
        <f t="shared" si="31"/>
        <v>2.96</v>
      </c>
      <c r="F118" s="123">
        <f t="shared" si="31"/>
        <v>2.96</v>
      </c>
      <c r="G118" s="123">
        <f t="shared" si="31"/>
        <v>2.96</v>
      </c>
      <c r="H118" s="123">
        <f t="shared" si="31"/>
        <v>2.96</v>
      </c>
      <c r="I118" s="123">
        <f t="shared" si="31"/>
        <v>2.96</v>
      </c>
      <c r="J118" s="123">
        <f t="shared" si="31"/>
        <v>2.96</v>
      </c>
      <c r="K118" s="123">
        <f t="shared" si="31"/>
        <v>2.96</v>
      </c>
      <c r="L118" s="123">
        <f t="shared" si="31"/>
        <v>2.96</v>
      </c>
      <c r="M118" s="123">
        <f t="shared" si="31"/>
        <v>2.96</v>
      </c>
      <c r="N118" s="123">
        <f t="shared" si="31"/>
        <v>2.96</v>
      </c>
      <c r="O118" s="123">
        <f t="shared" si="31"/>
        <v>2.96</v>
      </c>
      <c r="P118" s="123">
        <f t="shared" si="31"/>
        <v>2.96</v>
      </c>
      <c r="Q118" s="123">
        <f t="shared" si="31"/>
        <v>2.96</v>
      </c>
      <c r="R118" s="123">
        <f t="shared" si="31"/>
        <v>2.96</v>
      </c>
      <c r="S118" s="123">
        <f t="shared" si="31"/>
        <v>2.96</v>
      </c>
      <c r="T118" s="123">
        <f t="shared" si="32"/>
        <v>2.96</v>
      </c>
      <c r="U118" s="123">
        <f t="shared" si="32"/>
        <v>2.96</v>
      </c>
      <c r="V118" s="123">
        <f t="shared" si="32"/>
        <v>2.96</v>
      </c>
      <c r="W118" s="123">
        <f t="shared" si="32"/>
        <v>2.96</v>
      </c>
      <c r="X118" s="123">
        <f t="shared" si="32"/>
        <v>2.96</v>
      </c>
      <c r="Y118" s="123">
        <f t="shared" si="32"/>
        <v>2.96</v>
      </c>
      <c r="Z118" s="123">
        <f t="shared" si="32"/>
        <v>2.96</v>
      </c>
      <c r="AA118" s="123">
        <f t="shared" si="32"/>
        <v>2.96</v>
      </c>
      <c r="AB118" s="123">
        <f t="shared" si="32"/>
        <v>2.96</v>
      </c>
      <c r="AC118" s="123">
        <f t="shared" si="32"/>
        <v>2.96</v>
      </c>
      <c r="AD118" s="123">
        <f t="shared" si="32"/>
        <v>2.96</v>
      </c>
      <c r="AE118" s="123">
        <f t="shared" si="32"/>
        <v>2.96</v>
      </c>
      <c r="AF118" s="123">
        <f t="shared" si="32"/>
        <v>2.96</v>
      </c>
      <c r="AG118" s="126">
        <v>7.5</v>
      </c>
      <c r="AH118" s="54"/>
      <c r="AI118" s="55"/>
      <c r="AK118" s="56"/>
    </row>
    <row r="119" spans="1:37" x14ac:dyDescent="0.25">
      <c r="A119" s="111" t="s">
        <v>123</v>
      </c>
      <c r="B119" s="123">
        <f t="shared" si="30"/>
        <v>8</v>
      </c>
      <c r="C119" s="124">
        <v>8</v>
      </c>
      <c r="D119" s="123">
        <f t="shared" si="31"/>
        <v>8</v>
      </c>
      <c r="E119" s="123">
        <f t="shared" si="31"/>
        <v>8</v>
      </c>
      <c r="F119" s="123">
        <f t="shared" si="31"/>
        <v>8</v>
      </c>
      <c r="G119" s="123">
        <f t="shared" si="31"/>
        <v>8</v>
      </c>
      <c r="H119" s="123">
        <f t="shared" si="31"/>
        <v>8</v>
      </c>
      <c r="I119" s="123">
        <f t="shared" si="31"/>
        <v>8</v>
      </c>
      <c r="J119" s="123">
        <f t="shared" si="31"/>
        <v>8</v>
      </c>
      <c r="K119" s="123">
        <f t="shared" si="31"/>
        <v>8</v>
      </c>
      <c r="L119" s="123">
        <f t="shared" si="31"/>
        <v>8</v>
      </c>
      <c r="M119" s="123">
        <f t="shared" si="31"/>
        <v>8</v>
      </c>
      <c r="N119" s="123">
        <f t="shared" si="31"/>
        <v>8</v>
      </c>
      <c r="O119" s="123">
        <f t="shared" si="31"/>
        <v>8</v>
      </c>
      <c r="P119" s="123">
        <f t="shared" si="31"/>
        <v>8</v>
      </c>
      <c r="Q119" s="123">
        <f t="shared" si="31"/>
        <v>8</v>
      </c>
      <c r="R119" s="123">
        <f t="shared" si="31"/>
        <v>8</v>
      </c>
      <c r="S119" s="123">
        <f t="shared" si="31"/>
        <v>8</v>
      </c>
      <c r="T119" s="123">
        <f t="shared" si="32"/>
        <v>8</v>
      </c>
      <c r="U119" s="123">
        <f t="shared" si="32"/>
        <v>8</v>
      </c>
      <c r="V119" s="123">
        <f t="shared" si="32"/>
        <v>8</v>
      </c>
      <c r="W119" s="123">
        <f t="shared" si="32"/>
        <v>8</v>
      </c>
      <c r="X119" s="123">
        <f t="shared" si="32"/>
        <v>8</v>
      </c>
      <c r="Y119" s="123">
        <f t="shared" si="32"/>
        <v>8</v>
      </c>
      <c r="Z119" s="123">
        <f t="shared" si="32"/>
        <v>8</v>
      </c>
      <c r="AA119" s="123">
        <f t="shared" si="32"/>
        <v>8</v>
      </c>
      <c r="AB119" s="123">
        <f t="shared" si="32"/>
        <v>8</v>
      </c>
      <c r="AC119" s="123">
        <f t="shared" si="32"/>
        <v>8</v>
      </c>
      <c r="AD119" s="123">
        <f t="shared" si="32"/>
        <v>8</v>
      </c>
      <c r="AE119" s="123">
        <f t="shared" si="32"/>
        <v>8</v>
      </c>
      <c r="AF119" s="123">
        <f t="shared" si="32"/>
        <v>8</v>
      </c>
      <c r="AG119" s="126">
        <v>7.5</v>
      </c>
      <c r="AH119" s="54"/>
      <c r="AI119" s="55"/>
      <c r="AK119" s="56"/>
    </row>
    <row r="120" spans="1:37" x14ac:dyDescent="0.25">
      <c r="A120" s="111" t="s">
        <v>124</v>
      </c>
      <c r="B120" s="123">
        <f t="shared" si="30"/>
        <v>7</v>
      </c>
      <c r="C120" s="124">
        <v>7</v>
      </c>
      <c r="D120" s="123">
        <f>C120</f>
        <v>7</v>
      </c>
      <c r="E120" s="123">
        <f t="shared" si="31"/>
        <v>7</v>
      </c>
      <c r="F120" s="123">
        <f t="shared" si="31"/>
        <v>7</v>
      </c>
      <c r="G120" s="123">
        <f t="shared" si="31"/>
        <v>7</v>
      </c>
      <c r="H120" s="123">
        <f t="shared" si="31"/>
        <v>7</v>
      </c>
      <c r="I120" s="123">
        <f t="shared" si="31"/>
        <v>7</v>
      </c>
      <c r="J120" s="123">
        <f t="shared" si="31"/>
        <v>7</v>
      </c>
      <c r="K120" s="123">
        <f t="shared" si="31"/>
        <v>7</v>
      </c>
      <c r="L120" s="123">
        <f t="shared" si="31"/>
        <v>7</v>
      </c>
      <c r="M120" s="123">
        <f t="shared" si="31"/>
        <v>7</v>
      </c>
      <c r="N120" s="123">
        <f t="shared" si="31"/>
        <v>7</v>
      </c>
      <c r="O120" s="123">
        <f t="shared" si="31"/>
        <v>7</v>
      </c>
      <c r="P120" s="123">
        <f t="shared" si="31"/>
        <v>7</v>
      </c>
      <c r="Q120" s="123">
        <f t="shared" si="31"/>
        <v>7</v>
      </c>
      <c r="R120" s="123">
        <f t="shared" si="31"/>
        <v>7</v>
      </c>
      <c r="S120" s="123">
        <f t="shared" si="31"/>
        <v>7</v>
      </c>
      <c r="T120" s="123">
        <f t="shared" si="32"/>
        <v>7</v>
      </c>
      <c r="U120" s="123">
        <f t="shared" si="32"/>
        <v>7</v>
      </c>
      <c r="V120" s="123">
        <f t="shared" si="32"/>
        <v>7</v>
      </c>
      <c r="W120" s="123">
        <f t="shared" si="32"/>
        <v>7</v>
      </c>
      <c r="X120" s="123">
        <f t="shared" si="32"/>
        <v>7</v>
      </c>
      <c r="Y120" s="123">
        <f t="shared" si="32"/>
        <v>7</v>
      </c>
      <c r="Z120" s="123">
        <f t="shared" si="32"/>
        <v>7</v>
      </c>
      <c r="AA120" s="123">
        <f t="shared" si="32"/>
        <v>7</v>
      </c>
      <c r="AB120" s="123">
        <f t="shared" si="32"/>
        <v>7</v>
      </c>
      <c r="AC120" s="123">
        <f t="shared" si="32"/>
        <v>7</v>
      </c>
      <c r="AD120" s="123">
        <f t="shared" si="32"/>
        <v>7</v>
      </c>
      <c r="AE120" s="123">
        <f t="shared" si="32"/>
        <v>7</v>
      </c>
      <c r="AF120" s="123">
        <f t="shared" si="32"/>
        <v>7</v>
      </c>
      <c r="AG120" s="126">
        <v>7</v>
      </c>
      <c r="AH120" s="54"/>
      <c r="AI120" s="55"/>
      <c r="AK120" s="56"/>
    </row>
    <row r="121" spans="1:37" x14ac:dyDescent="0.25">
      <c r="A121" s="111" t="s">
        <v>125</v>
      </c>
      <c r="B121" s="123">
        <f t="shared" si="30"/>
        <v>3.47</v>
      </c>
      <c r="C121" s="124">
        <v>3.47</v>
      </c>
      <c r="D121" s="123">
        <f t="shared" ref="D121:S130" si="33">C121</f>
        <v>3.47</v>
      </c>
      <c r="E121" s="123">
        <f t="shared" si="33"/>
        <v>3.47</v>
      </c>
      <c r="F121" s="123">
        <f t="shared" si="33"/>
        <v>3.47</v>
      </c>
      <c r="G121" s="123">
        <f t="shared" si="33"/>
        <v>3.47</v>
      </c>
      <c r="H121" s="123">
        <f t="shared" si="33"/>
        <v>3.47</v>
      </c>
      <c r="I121" s="123">
        <f t="shared" si="33"/>
        <v>3.47</v>
      </c>
      <c r="J121" s="123">
        <f t="shared" si="33"/>
        <v>3.47</v>
      </c>
      <c r="K121" s="123">
        <f t="shared" si="33"/>
        <v>3.47</v>
      </c>
      <c r="L121" s="123">
        <f t="shared" si="33"/>
        <v>3.47</v>
      </c>
      <c r="M121" s="123">
        <f t="shared" si="33"/>
        <v>3.47</v>
      </c>
      <c r="N121" s="123">
        <f t="shared" si="33"/>
        <v>3.47</v>
      </c>
      <c r="O121" s="123">
        <f t="shared" si="33"/>
        <v>3.47</v>
      </c>
      <c r="P121" s="123">
        <f t="shared" si="33"/>
        <v>3.47</v>
      </c>
      <c r="Q121" s="123">
        <f t="shared" si="33"/>
        <v>3.47</v>
      </c>
      <c r="R121" s="123">
        <f t="shared" si="33"/>
        <v>3.47</v>
      </c>
      <c r="S121" s="123">
        <f t="shared" si="33"/>
        <v>3.47</v>
      </c>
      <c r="T121" s="123">
        <f t="shared" si="32"/>
        <v>3.47</v>
      </c>
      <c r="U121" s="123">
        <f t="shared" si="32"/>
        <v>3.47</v>
      </c>
      <c r="V121" s="123">
        <f t="shared" si="32"/>
        <v>3.47</v>
      </c>
      <c r="W121" s="123">
        <f t="shared" si="32"/>
        <v>3.47</v>
      </c>
      <c r="X121" s="123">
        <f t="shared" si="32"/>
        <v>3.47</v>
      </c>
      <c r="Y121" s="123">
        <f t="shared" si="32"/>
        <v>3.47</v>
      </c>
      <c r="Z121" s="123">
        <f t="shared" si="32"/>
        <v>3.47</v>
      </c>
      <c r="AA121" s="123">
        <f t="shared" si="32"/>
        <v>3.47</v>
      </c>
      <c r="AB121" s="123">
        <f t="shared" si="32"/>
        <v>3.47</v>
      </c>
      <c r="AC121" s="123">
        <f t="shared" si="32"/>
        <v>3.47</v>
      </c>
      <c r="AD121" s="123">
        <f t="shared" si="32"/>
        <v>3.47</v>
      </c>
      <c r="AE121" s="123">
        <f t="shared" si="32"/>
        <v>3.47</v>
      </c>
      <c r="AF121" s="123">
        <f t="shared" si="32"/>
        <v>3.47</v>
      </c>
      <c r="AG121" s="126">
        <v>7</v>
      </c>
      <c r="AH121" s="54"/>
      <c r="AI121" s="55"/>
      <c r="AK121" s="56"/>
    </row>
    <row r="122" spans="1:37" x14ac:dyDescent="0.25">
      <c r="A122" s="111" t="s">
        <v>126</v>
      </c>
      <c r="B122" s="123">
        <f t="shared" si="30"/>
        <v>2.1</v>
      </c>
      <c r="C122" s="124">
        <v>2.1</v>
      </c>
      <c r="D122" s="123">
        <f t="shared" si="33"/>
        <v>2.1</v>
      </c>
      <c r="E122" s="123">
        <f t="shared" si="33"/>
        <v>2.1</v>
      </c>
      <c r="F122" s="123">
        <f t="shared" si="33"/>
        <v>2.1</v>
      </c>
      <c r="G122" s="123">
        <f t="shared" si="33"/>
        <v>2.1</v>
      </c>
      <c r="H122" s="123">
        <f t="shared" si="33"/>
        <v>2.1</v>
      </c>
      <c r="I122" s="123">
        <f t="shared" si="33"/>
        <v>2.1</v>
      </c>
      <c r="J122" s="123">
        <f t="shared" si="33"/>
        <v>2.1</v>
      </c>
      <c r="K122" s="123">
        <f t="shared" si="33"/>
        <v>2.1</v>
      </c>
      <c r="L122" s="123">
        <f t="shared" si="33"/>
        <v>2.1</v>
      </c>
      <c r="M122" s="123">
        <f t="shared" si="33"/>
        <v>2.1</v>
      </c>
      <c r="N122" s="123">
        <f t="shared" si="33"/>
        <v>2.1</v>
      </c>
      <c r="O122" s="123">
        <f t="shared" si="33"/>
        <v>2.1</v>
      </c>
      <c r="P122" s="123">
        <f t="shared" si="33"/>
        <v>2.1</v>
      </c>
      <c r="Q122" s="123">
        <f t="shared" si="33"/>
        <v>2.1</v>
      </c>
      <c r="R122" s="123">
        <f t="shared" si="33"/>
        <v>2.1</v>
      </c>
      <c r="S122" s="123">
        <f t="shared" si="33"/>
        <v>2.1</v>
      </c>
      <c r="T122" s="123">
        <f t="shared" si="32"/>
        <v>2.1</v>
      </c>
      <c r="U122" s="123">
        <f t="shared" si="32"/>
        <v>2.1</v>
      </c>
      <c r="V122" s="123">
        <f t="shared" si="32"/>
        <v>2.1</v>
      </c>
      <c r="W122" s="123">
        <f t="shared" si="32"/>
        <v>2.1</v>
      </c>
      <c r="X122" s="123">
        <f t="shared" si="32"/>
        <v>2.1</v>
      </c>
      <c r="Y122" s="123">
        <f t="shared" si="32"/>
        <v>2.1</v>
      </c>
      <c r="Z122" s="123">
        <f t="shared" si="32"/>
        <v>2.1</v>
      </c>
      <c r="AA122" s="123">
        <f t="shared" si="32"/>
        <v>2.1</v>
      </c>
      <c r="AB122" s="123">
        <f t="shared" si="32"/>
        <v>2.1</v>
      </c>
      <c r="AC122" s="123">
        <f t="shared" si="32"/>
        <v>2.1</v>
      </c>
      <c r="AD122" s="123">
        <f t="shared" si="32"/>
        <v>2.1</v>
      </c>
      <c r="AE122" s="123">
        <f t="shared" si="32"/>
        <v>2.1</v>
      </c>
      <c r="AF122" s="123">
        <f t="shared" si="32"/>
        <v>2.1</v>
      </c>
      <c r="AG122" s="126">
        <v>7</v>
      </c>
      <c r="AH122" s="54"/>
      <c r="AI122" s="55"/>
      <c r="AK122" s="56"/>
    </row>
    <row r="123" spans="1:37" x14ac:dyDescent="0.25">
      <c r="A123" s="111" t="s">
        <v>127</v>
      </c>
      <c r="B123" s="123">
        <f t="shared" si="30"/>
        <v>9.3000000000000007</v>
      </c>
      <c r="C123" s="124">
        <v>9.3000000000000007</v>
      </c>
      <c r="D123" s="123">
        <f t="shared" si="33"/>
        <v>9.3000000000000007</v>
      </c>
      <c r="E123" s="123">
        <f t="shared" si="33"/>
        <v>9.3000000000000007</v>
      </c>
      <c r="F123" s="123">
        <f t="shared" si="33"/>
        <v>9.3000000000000007</v>
      </c>
      <c r="G123" s="123">
        <f t="shared" si="33"/>
        <v>9.3000000000000007</v>
      </c>
      <c r="H123" s="123">
        <f t="shared" si="33"/>
        <v>9.3000000000000007</v>
      </c>
      <c r="I123" s="123">
        <f t="shared" si="33"/>
        <v>9.3000000000000007</v>
      </c>
      <c r="J123" s="123">
        <f t="shared" si="33"/>
        <v>9.3000000000000007</v>
      </c>
      <c r="K123" s="123">
        <f t="shared" si="33"/>
        <v>9.3000000000000007</v>
      </c>
      <c r="L123" s="123">
        <f t="shared" si="33"/>
        <v>9.3000000000000007</v>
      </c>
      <c r="M123" s="123">
        <f t="shared" si="33"/>
        <v>9.3000000000000007</v>
      </c>
      <c r="N123" s="123">
        <f t="shared" si="33"/>
        <v>9.3000000000000007</v>
      </c>
      <c r="O123" s="123">
        <f t="shared" si="33"/>
        <v>9.3000000000000007</v>
      </c>
      <c r="P123" s="123">
        <f t="shared" si="33"/>
        <v>9.3000000000000007</v>
      </c>
      <c r="Q123" s="123">
        <f t="shared" si="33"/>
        <v>9.3000000000000007</v>
      </c>
      <c r="R123" s="123">
        <f t="shared" si="33"/>
        <v>9.3000000000000007</v>
      </c>
      <c r="S123" s="123">
        <f t="shared" si="33"/>
        <v>9.3000000000000007</v>
      </c>
      <c r="T123" s="123">
        <f t="shared" si="32"/>
        <v>9.3000000000000007</v>
      </c>
      <c r="U123" s="123">
        <f t="shared" si="32"/>
        <v>9.3000000000000007</v>
      </c>
      <c r="V123" s="123">
        <f t="shared" si="32"/>
        <v>9.3000000000000007</v>
      </c>
      <c r="W123" s="123">
        <f t="shared" si="32"/>
        <v>9.3000000000000007</v>
      </c>
      <c r="X123" s="123">
        <f t="shared" si="32"/>
        <v>9.3000000000000007</v>
      </c>
      <c r="Y123" s="123">
        <f t="shared" si="32"/>
        <v>9.3000000000000007</v>
      </c>
      <c r="Z123" s="123">
        <f t="shared" si="32"/>
        <v>9.3000000000000007</v>
      </c>
      <c r="AA123" s="123">
        <f t="shared" si="32"/>
        <v>9.3000000000000007</v>
      </c>
      <c r="AB123" s="123">
        <f t="shared" si="32"/>
        <v>9.3000000000000007</v>
      </c>
      <c r="AC123" s="123">
        <f t="shared" si="32"/>
        <v>9.3000000000000007</v>
      </c>
      <c r="AD123" s="123">
        <f t="shared" si="32"/>
        <v>9.3000000000000007</v>
      </c>
      <c r="AE123" s="123">
        <f t="shared" si="32"/>
        <v>9.3000000000000007</v>
      </c>
      <c r="AF123" s="123">
        <f t="shared" si="32"/>
        <v>9.3000000000000007</v>
      </c>
      <c r="AG123" s="126">
        <v>7</v>
      </c>
      <c r="AH123" s="54"/>
      <c r="AI123" s="55"/>
      <c r="AK123" s="56"/>
    </row>
    <row r="124" spans="1:37" x14ac:dyDescent="0.25">
      <c r="A124" s="111" t="s">
        <v>128</v>
      </c>
      <c r="B124" s="123">
        <f t="shared" si="30"/>
        <v>0</v>
      </c>
      <c r="C124" s="124">
        <v>0</v>
      </c>
      <c r="D124" s="123">
        <f t="shared" si="33"/>
        <v>0</v>
      </c>
      <c r="E124" s="123">
        <f t="shared" si="33"/>
        <v>0</v>
      </c>
      <c r="F124" s="123">
        <f t="shared" si="33"/>
        <v>0</v>
      </c>
      <c r="G124" s="123">
        <f t="shared" si="33"/>
        <v>0</v>
      </c>
      <c r="H124" s="123">
        <f t="shared" si="33"/>
        <v>0</v>
      </c>
      <c r="I124" s="123">
        <f t="shared" si="33"/>
        <v>0</v>
      </c>
      <c r="J124" s="123">
        <f t="shared" si="33"/>
        <v>0</v>
      </c>
      <c r="K124" s="123">
        <f t="shared" si="33"/>
        <v>0</v>
      </c>
      <c r="L124" s="123">
        <f t="shared" si="33"/>
        <v>0</v>
      </c>
      <c r="M124" s="123">
        <f t="shared" si="33"/>
        <v>0</v>
      </c>
      <c r="N124" s="123">
        <f t="shared" si="33"/>
        <v>0</v>
      </c>
      <c r="O124" s="123">
        <f t="shared" si="33"/>
        <v>0</v>
      </c>
      <c r="P124" s="123">
        <f t="shared" si="33"/>
        <v>0</v>
      </c>
      <c r="Q124" s="123">
        <f t="shared" si="33"/>
        <v>0</v>
      </c>
      <c r="R124" s="123">
        <f t="shared" si="33"/>
        <v>0</v>
      </c>
      <c r="S124" s="123">
        <f t="shared" si="33"/>
        <v>0</v>
      </c>
      <c r="T124" s="123">
        <f t="shared" si="32"/>
        <v>0</v>
      </c>
      <c r="U124" s="123">
        <f t="shared" si="32"/>
        <v>0</v>
      </c>
      <c r="V124" s="123">
        <f t="shared" si="32"/>
        <v>0</v>
      </c>
      <c r="W124" s="123">
        <f t="shared" si="32"/>
        <v>0</v>
      </c>
      <c r="X124" s="123">
        <f t="shared" si="32"/>
        <v>0</v>
      </c>
      <c r="Y124" s="123">
        <f t="shared" si="32"/>
        <v>0</v>
      </c>
      <c r="Z124" s="123">
        <f t="shared" si="32"/>
        <v>0</v>
      </c>
      <c r="AA124" s="123">
        <f t="shared" si="32"/>
        <v>0</v>
      </c>
      <c r="AB124" s="123">
        <f t="shared" si="32"/>
        <v>0</v>
      </c>
      <c r="AC124" s="123">
        <f t="shared" si="32"/>
        <v>0</v>
      </c>
      <c r="AD124" s="123">
        <f t="shared" si="32"/>
        <v>0</v>
      </c>
      <c r="AE124" s="123">
        <f t="shared" si="32"/>
        <v>0</v>
      </c>
      <c r="AF124" s="123">
        <f t="shared" si="32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129</v>
      </c>
      <c r="B125" s="123">
        <f t="shared" si="30"/>
        <v>0</v>
      </c>
      <c r="C125" s="124">
        <v>0</v>
      </c>
      <c r="D125" s="123">
        <f t="shared" si="33"/>
        <v>0</v>
      </c>
      <c r="E125" s="123">
        <f t="shared" si="33"/>
        <v>0</v>
      </c>
      <c r="F125" s="123">
        <f t="shared" si="33"/>
        <v>0</v>
      </c>
      <c r="G125" s="123">
        <f t="shared" si="33"/>
        <v>0</v>
      </c>
      <c r="H125" s="123">
        <f t="shared" si="33"/>
        <v>0</v>
      </c>
      <c r="I125" s="123">
        <f t="shared" si="33"/>
        <v>0</v>
      </c>
      <c r="J125" s="123">
        <f t="shared" si="33"/>
        <v>0</v>
      </c>
      <c r="K125" s="123">
        <f t="shared" si="33"/>
        <v>0</v>
      </c>
      <c r="L125" s="123">
        <f t="shared" si="33"/>
        <v>0</v>
      </c>
      <c r="M125" s="123">
        <f t="shared" si="33"/>
        <v>0</v>
      </c>
      <c r="N125" s="123">
        <f t="shared" si="33"/>
        <v>0</v>
      </c>
      <c r="O125" s="123">
        <f t="shared" si="33"/>
        <v>0</v>
      </c>
      <c r="P125" s="123">
        <f t="shared" si="33"/>
        <v>0</v>
      </c>
      <c r="Q125" s="123">
        <f t="shared" si="33"/>
        <v>0</v>
      </c>
      <c r="R125" s="123">
        <f t="shared" si="33"/>
        <v>0</v>
      </c>
      <c r="S125" s="123">
        <f t="shared" si="33"/>
        <v>0</v>
      </c>
      <c r="T125" s="123">
        <f t="shared" si="32"/>
        <v>0</v>
      </c>
      <c r="U125" s="123">
        <f t="shared" si="32"/>
        <v>0</v>
      </c>
      <c r="V125" s="123">
        <f t="shared" si="32"/>
        <v>0</v>
      </c>
      <c r="W125" s="123">
        <f t="shared" si="32"/>
        <v>0</v>
      </c>
      <c r="X125" s="123">
        <f t="shared" si="32"/>
        <v>0</v>
      </c>
      <c r="Y125" s="123">
        <f t="shared" si="32"/>
        <v>0</v>
      </c>
      <c r="Z125" s="123">
        <f t="shared" si="32"/>
        <v>0</v>
      </c>
      <c r="AA125" s="123">
        <f t="shared" si="32"/>
        <v>0</v>
      </c>
      <c r="AB125" s="123">
        <f t="shared" si="32"/>
        <v>0</v>
      </c>
      <c r="AC125" s="123">
        <f t="shared" si="32"/>
        <v>0</v>
      </c>
      <c r="AD125" s="123">
        <f t="shared" si="32"/>
        <v>0</v>
      </c>
      <c r="AE125" s="123">
        <f t="shared" si="32"/>
        <v>0</v>
      </c>
      <c r="AF125" s="123">
        <f t="shared" si="32"/>
        <v>0</v>
      </c>
      <c r="AG125" s="126">
        <v>6.6</v>
      </c>
      <c r="AH125" s="54"/>
      <c r="AI125" s="55"/>
      <c r="AK125" s="56"/>
    </row>
    <row r="126" spans="1:37" x14ac:dyDescent="0.25">
      <c r="A126" s="111" t="s">
        <v>130</v>
      </c>
      <c r="B126" s="123" t="str">
        <f t="shared" si="30"/>
        <v>;/</v>
      </c>
      <c r="C126" s="124">
        <v>5</v>
      </c>
      <c r="D126" s="123">
        <f t="shared" si="33"/>
        <v>5</v>
      </c>
      <c r="E126" s="123">
        <f t="shared" si="33"/>
        <v>5</v>
      </c>
      <c r="F126" s="123">
        <f t="shared" si="33"/>
        <v>5</v>
      </c>
      <c r="G126" s="123">
        <f t="shared" si="33"/>
        <v>5</v>
      </c>
      <c r="H126" s="123">
        <f t="shared" si="33"/>
        <v>5</v>
      </c>
      <c r="I126" s="123" t="s">
        <v>131</v>
      </c>
      <c r="J126" s="123" t="str">
        <f t="shared" si="33"/>
        <v>;/</v>
      </c>
      <c r="K126" s="123" t="str">
        <f t="shared" si="33"/>
        <v>;/</v>
      </c>
      <c r="L126" s="123" t="str">
        <f t="shared" si="33"/>
        <v>;/</v>
      </c>
      <c r="M126" s="123" t="str">
        <f t="shared" si="33"/>
        <v>;/</v>
      </c>
      <c r="N126" s="123" t="str">
        <f t="shared" si="33"/>
        <v>;/</v>
      </c>
      <c r="O126" s="123" t="str">
        <f t="shared" si="33"/>
        <v>;/</v>
      </c>
      <c r="P126" s="123" t="str">
        <f t="shared" si="33"/>
        <v>;/</v>
      </c>
      <c r="Q126" s="123" t="str">
        <f t="shared" si="33"/>
        <v>;/</v>
      </c>
      <c r="R126" s="123" t="str">
        <f t="shared" si="33"/>
        <v>;/</v>
      </c>
      <c r="S126" s="123" t="str">
        <f t="shared" si="33"/>
        <v>;/</v>
      </c>
      <c r="T126" s="123" t="str">
        <f t="shared" si="32"/>
        <v>;/</v>
      </c>
      <c r="U126" s="123" t="str">
        <f t="shared" si="32"/>
        <v>;/</v>
      </c>
      <c r="V126" s="123" t="str">
        <f t="shared" si="32"/>
        <v>;/</v>
      </c>
      <c r="W126" s="123" t="str">
        <f t="shared" si="32"/>
        <v>;/</v>
      </c>
      <c r="X126" s="123" t="str">
        <f t="shared" si="32"/>
        <v>;/</v>
      </c>
      <c r="Y126" s="123" t="str">
        <f t="shared" si="32"/>
        <v>;/</v>
      </c>
      <c r="Z126" s="123" t="str">
        <f t="shared" si="32"/>
        <v>;/</v>
      </c>
      <c r="AA126" s="123" t="str">
        <f t="shared" si="32"/>
        <v>;/</v>
      </c>
      <c r="AB126" s="123" t="str">
        <f t="shared" si="32"/>
        <v>;/</v>
      </c>
      <c r="AC126" s="123" t="str">
        <f t="shared" si="32"/>
        <v>;/</v>
      </c>
      <c r="AD126" s="123" t="str">
        <f t="shared" si="32"/>
        <v>;/</v>
      </c>
      <c r="AE126" s="123" t="str">
        <f t="shared" si="32"/>
        <v>;/</v>
      </c>
      <c r="AF126" s="123" t="str">
        <f t="shared" si="32"/>
        <v>;/</v>
      </c>
      <c r="AG126" s="126">
        <v>6.4</v>
      </c>
      <c r="AH126" s="54"/>
      <c r="AI126" s="55"/>
      <c r="AK126" s="56"/>
    </row>
    <row r="127" spans="1:37" x14ac:dyDescent="0.25">
      <c r="A127" s="111" t="s">
        <v>132</v>
      </c>
      <c r="B127" s="123">
        <f t="shared" si="30"/>
        <v>1</v>
      </c>
      <c r="C127" s="124">
        <v>1</v>
      </c>
      <c r="D127" s="123">
        <f t="shared" si="33"/>
        <v>1</v>
      </c>
      <c r="E127" s="123">
        <f t="shared" si="33"/>
        <v>1</v>
      </c>
      <c r="F127" s="123">
        <f t="shared" si="33"/>
        <v>1</v>
      </c>
      <c r="G127" s="123">
        <f t="shared" si="33"/>
        <v>1</v>
      </c>
      <c r="H127" s="123">
        <f t="shared" si="33"/>
        <v>1</v>
      </c>
      <c r="I127" s="123">
        <f t="shared" si="33"/>
        <v>1</v>
      </c>
      <c r="J127" s="123">
        <f t="shared" si="33"/>
        <v>1</v>
      </c>
      <c r="K127" s="123">
        <f t="shared" si="33"/>
        <v>1</v>
      </c>
      <c r="L127" s="123">
        <f t="shared" si="33"/>
        <v>1</v>
      </c>
      <c r="M127" s="123">
        <f t="shared" si="33"/>
        <v>1</v>
      </c>
      <c r="N127" s="123">
        <f t="shared" si="33"/>
        <v>1</v>
      </c>
      <c r="O127" s="123">
        <f t="shared" si="33"/>
        <v>1</v>
      </c>
      <c r="P127" s="123">
        <f t="shared" si="33"/>
        <v>1</v>
      </c>
      <c r="Q127" s="123">
        <f t="shared" si="33"/>
        <v>1</v>
      </c>
      <c r="R127" s="123">
        <f t="shared" si="33"/>
        <v>1</v>
      </c>
      <c r="S127" s="123">
        <f t="shared" si="33"/>
        <v>1</v>
      </c>
      <c r="T127" s="123">
        <f t="shared" si="32"/>
        <v>1</v>
      </c>
      <c r="U127" s="123">
        <f t="shared" si="32"/>
        <v>1</v>
      </c>
      <c r="V127" s="123">
        <f t="shared" si="32"/>
        <v>1</v>
      </c>
      <c r="W127" s="123">
        <f t="shared" si="32"/>
        <v>1</v>
      </c>
      <c r="X127" s="123">
        <f t="shared" si="32"/>
        <v>1</v>
      </c>
      <c r="Y127" s="123">
        <f t="shared" si="32"/>
        <v>1</v>
      </c>
      <c r="Z127" s="123">
        <f t="shared" si="32"/>
        <v>1</v>
      </c>
      <c r="AA127" s="123">
        <f t="shared" si="32"/>
        <v>1</v>
      </c>
      <c r="AB127" s="123">
        <f t="shared" si="32"/>
        <v>1</v>
      </c>
      <c r="AC127" s="123">
        <f t="shared" si="32"/>
        <v>1</v>
      </c>
      <c r="AD127" s="123">
        <f t="shared" si="32"/>
        <v>1</v>
      </c>
      <c r="AE127" s="123">
        <f t="shared" si="32"/>
        <v>1</v>
      </c>
      <c r="AF127" s="123">
        <f t="shared" si="32"/>
        <v>1</v>
      </c>
      <c r="AG127" s="126">
        <v>6</v>
      </c>
      <c r="AH127" s="54"/>
      <c r="AI127" s="55"/>
      <c r="AK127" s="56"/>
    </row>
    <row r="128" spans="1:37" x14ac:dyDescent="0.25">
      <c r="A128" s="111" t="s">
        <v>133</v>
      </c>
      <c r="B128" s="123">
        <f t="shared" si="30"/>
        <v>1.58</v>
      </c>
      <c r="C128" s="124">
        <v>1.58</v>
      </c>
      <c r="D128" s="123">
        <f t="shared" si="33"/>
        <v>1.58</v>
      </c>
      <c r="E128" s="123">
        <f t="shared" si="33"/>
        <v>1.58</v>
      </c>
      <c r="F128" s="123">
        <f t="shared" si="33"/>
        <v>1.58</v>
      </c>
      <c r="G128" s="123">
        <f t="shared" si="33"/>
        <v>1.58</v>
      </c>
      <c r="H128" s="123">
        <f t="shared" si="33"/>
        <v>1.58</v>
      </c>
      <c r="I128" s="123">
        <f t="shared" si="33"/>
        <v>1.58</v>
      </c>
      <c r="J128" s="123">
        <f t="shared" si="33"/>
        <v>1.58</v>
      </c>
      <c r="K128" s="123">
        <f t="shared" si="33"/>
        <v>1.58</v>
      </c>
      <c r="L128" s="123">
        <f t="shared" si="33"/>
        <v>1.58</v>
      </c>
      <c r="M128" s="123">
        <f t="shared" si="33"/>
        <v>1.58</v>
      </c>
      <c r="N128" s="123">
        <f t="shared" si="33"/>
        <v>1.58</v>
      </c>
      <c r="O128" s="123">
        <f t="shared" si="33"/>
        <v>1.58</v>
      </c>
      <c r="P128" s="123">
        <f t="shared" si="33"/>
        <v>1.58</v>
      </c>
      <c r="Q128" s="123">
        <f t="shared" si="33"/>
        <v>1.58</v>
      </c>
      <c r="R128" s="123">
        <f t="shared" si="33"/>
        <v>1.58</v>
      </c>
      <c r="S128" s="123">
        <f t="shared" si="33"/>
        <v>1.58</v>
      </c>
      <c r="T128" s="123">
        <f t="shared" si="32"/>
        <v>1.58</v>
      </c>
      <c r="U128" s="123">
        <f t="shared" si="32"/>
        <v>1.58</v>
      </c>
      <c r="V128" s="123">
        <f t="shared" si="32"/>
        <v>1.58</v>
      </c>
      <c r="W128" s="123">
        <f t="shared" si="32"/>
        <v>1.58</v>
      </c>
      <c r="X128" s="123">
        <f t="shared" si="32"/>
        <v>1.58</v>
      </c>
      <c r="Y128" s="123">
        <f t="shared" si="32"/>
        <v>1.58</v>
      </c>
      <c r="Z128" s="123">
        <f t="shared" si="32"/>
        <v>1.58</v>
      </c>
      <c r="AA128" s="123">
        <f t="shared" si="32"/>
        <v>1.58</v>
      </c>
      <c r="AB128" s="123">
        <f t="shared" si="32"/>
        <v>1.58</v>
      </c>
      <c r="AC128" s="123">
        <f t="shared" si="32"/>
        <v>1.58</v>
      </c>
      <c r="AD128" s="123">
        <f t="shared" si="32"/>
        <v>1.58</v>
      </c>
      <c r="AE128" s="123">
        <f t="shared" si="32"/>
        <v>1.58</v>
      </c>
      <c r="AF128" s="123">
        <f t="shared" si="32"/>
        <v>1.58</v>
      </c>
      <c r="AG128" s="126">
        <v>5.0999999999999996</v>
      </c>
      <c r="AH128" s="54"/>
      <c r="AI128" s="55"/>
      <c r="AK128" s="56"/>
    </row>
    <row r="129" spans="1:37" x14ac:dyDescent="0.25">
      <c r="A129" s="111" t="s">
        <v>134</v>
      </c>
      <c r="B129" s="123">
        <f t="shared" si="30"/>
        <v>1.46</v>
      </c>
      <c r="C129" s="124">
        <v>1.46</v>
      </c>
      <c r="D129" s="123">
        <f t="shared" si="33"/>
        <v>1.46</v>
      </c>
      <c r="E129" s="123">
        <f t="shared" si="33"/>
        <v>1.46</v>
      </c>
      <c r="F129" s="123">
        <f t="shared" si="33"/>
        <v>1.46</v>
      </c>
      <c r="G129" s="123">
        <f t="shared" si="33"/>
        <v>1.46</v>
      </c>
      <c r="H129" s="123">
        <f t="shared" si="33"/>
        <v>1.46</v>
      </c>
      <c r="I129" s="123">
        <f t="shared" si="33"/>
        <v>1.46</v>
      </c>
      <c r="J129" s="123">
        <f t="shared" si="33"/>
        <v>1.46</v>
      </c>
      <c r="K129" s="123">
        <f t="shared" si="33"/>
        <v>1.46</v>
      </c>
      <c r="L129" s="123">
        <f t="shared" si="33"/>
        <v>1.46</v>
      </c>
      <c r="M129" s="123">
        <f t="shared" si="33"/>
        <v>1.46</v>
      </c>
      <c r="N129" s="123">
        <f t="shared" si="33"/>
        <v>1.46</v>
      </c>
      <c r="O129" s="123">
        <f t="shared" si="33"/>
        <v>1.46</v>
      </c>
      <c r="P129" s="123">
        <f t="shared" si="33"/>
        <v>1.46</v>
      </c>
      <c r="Q129" s="123">
        <f t="shared" si="33"/>
        <v>1.46</v>
      </c>
      <c r="R129" s="123">
        <f t="shared" si="33"/>
        <v>1.46</v>
      </c>
      <c r="S129" s="123">
        <f t="shared" si="33"/>
        <v>1.46</v>
      </c>
      <c r="T129" s="123">
        <f t="shared" ref="T129:AF130" si="34">S129</f>
        <v>1.46</v>
      </c>
      <c r="U129" s="123">
        <f t="shared" si="34"/>
        <v>1.46</v>
      </c>
      <c r="V129" s="123">
        <f t="shared" si="34"/>
        <v>1.46</v>
      </c>
      <c r="W129" s="123">
        <f t="shared" si="34"/>
        <v>1.46</v>
      </c>
      <c r="X129" s="123">
        <f t="shared" si="34"/>
        <v>1.46</v>
      </c>
      <c r="Y129" s="123">
        <f t="shared" si="34"/>
        <v>1.46</v>
      </c>
      <c r="Z129" s="123">
        <f t="shared" si="34"/>
        <v>1.46</v>
      </c>
      <c r="AA129" s="123">
        <f t="shared" si="34"/>
        <v>1.46</v>
      </c>
      <c r="AB129" s="123">
        <f t="shared" si="34"/>
        <v>1.46</v>
      </c>
      <c r="AC129" s="123">
        <f t="shared" si="34"/>
        <v>1.46</v>
      </c>
      <c r="AD129" s="123">
        <f t="shared" si="34"/>
        <v>1.46</v>
      </c>
      <c r="AE129" s="123">
        <f t="shared" si="34"/>
        <v>1.46</v>
      </c>
      <c r="AF129" s="123">
        <f t="shared" si="34"/>
        <v>1.46</v>
      </c>
      <c r="AG129" s="126">
        <v>5</v>
      </c>
      <c r="AH129" s="54"/>
      <c r="AI129" s="55"/>
      <c r="AK129" s="56"/>
    </row>
    <row r="130" spans="1:37" x14ac:dyDescent="0.25">
      <c r="A130" s="109" t="s">
        <v>135</v>
      </c>
      <c r="B130" s="123">
        <f t="shared" si="30"/>
        <v>1.48</v>
      </c>
      <c r="C130" s="124">
        <v>1.48</v>
      </c>
      <c r="D130" s="123">
        <f t="shared" si="33"/>
        <v>1.48</v>
      </c>
      <c r="E130" s="123">
        <f t="shared" si="33"/>
        <v>1.48</v>
      </c>
      <c r="F130" s="123">
        <f t="shared" si="33"/>
        <v>1.48</v>
      </c>
      <c r="G130" s="123">
        <f t="shared" si="33"/>
        <v>1.48</v>
      </c>
      <c r="H130" s="123">
        <f t="shared" si="33"/>
        <v>1.48</v>
      </c>
      <c r="I130" s="123">
        <f t="shared" si="33"/>
        <v>1.48</v>
      </c>
      <c r="J130" s="123">
        <f t="shared" si="33"/>
        <v>1.48</v>
      </c>
      <c r="K130" s="123">
        <f t="shared" si="33"/>
        <v>1.48</v>
      </c>
      <c r="L130" s="123">
        <f t="shared" si="33"/>
        <v>1.48</v>
      </c>
      <c r="M130" s="123">
        <f t="shared" si="33"/>
        <v>1.48</v>
      </c>
      <c r="N130" s="123">
        <f t="shared" si="33"/>
        <v>1.48</v>
      </c>
      <c r="O130" s="123">
        <f t="shared" si="33"/>
        <v>1.48</v>
      </c>
      <c r="P130" s="123">
        <f t="shared" si="33"/>
        <v>1.48</v>
      </c>
      <c r="Q130" s="123">
        <f t="shared" si="33"/>
        <v>1.48</v>
      </c>
      <c r="R130" s="123">
        <f t="shared" si="33"/>
        <v>1.48</v>
      </c>
      <c r="S130" s="123">
        <f t="shared" si="33"/>
        <v>1.48</v>
      </c>
      <c r="T130" s="123">
        <f t="shared" si="34"/>
        <v>1.48</v>
      </c>
      <c r="U130" s="123">
        <f t="shared" si="34"/>
        <v>1.48</v>
      </c>
      <c r="V130" s="123">
        <f t="shared" si="34"/>
        <v>1.48</v>
      </c>
      <c r="W130" s="123">
        <f t="shared" si="34"/>
        <v>1.48</v>
      </c>
      <c r="X130" s="123">
        <f t="shared" si="34"/>
        <v>1.48</v>
      </c>
      <c r="Y130" s="123">
        <f t="shared" si="34"/>
        <v>1.48</v>
      </c>
      <c r="Z130" s="123">
        <f t="shared" si="34"/>
        <v>1.48</v>
      </c>
      <c r="AA130" s="123">
        <f t="shared" si="34"/>
        <v>1.48</v>
      </c>
      <c r="AB130" s="123">
        <f t="shared" si="34"/>
        <v>1.48</v>
      </c>
      <c r="AC130" s="123">
        <f t="shared" si="34"/>
        <v>1.48</v>
      </c>
      <c r="AD130" s="123">
        <f t="shared" si="34"/>
        <v>1.48</v>
      </c>
      <c r="AE130" s="123">
        <f t="shared" si="34"/>
        <v>1.48</v>
      </c>
      <c r="AF130" s="123">
        <f t="shared" si="34"/>
        <v>1.48</v>
      </c>
      <c r="AG130" s="125">
        <v>5</v>
      </c>
      <c r="AH130" s="54"/>
      <c r="AI130" s="55"/>
      <c r="AK130" s="56"/>
    </row>
    <row r="131" spans="1:37" x14ac:dyDescent="0.25">
      <c r="A131" s="111" t="s">
        <v>136</v>
      </c>
      <c r="B131" s="123"/>
      <c r="C131" s="124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6">
        <v>5</v>
      </c>
      <c r="AH131" s="54"/>
      <c r="AI131" s="55"/>
      <c r="AK131" s="56"/>
    </row>
    <row r="132" spans="1:37" x14ac:dyDescent="0.25">
      <c r="A132" s="111" t="s">
        <v>137</v>
      </c>
      <c r="B132" s="123">
        <f t="shared" ref="B132:B139" si="35">AF132</f>
        <v>2.2000000000000002</v>
      </c>
      <c r="C132" s="124">
        <v>2.2000000000000002</v>
      </c>
      <c r="D132" s="123">
        <f t="shared" ref="D132:S139" si="36">C132</f>
        <v>2.2000000000000002</v>
      </c>
      <c r="E132" s="123">
        <f t="shared" si="36"/>
        <v>2.2000000000000002</v>
      </c>
      <c r="F132" s="123">
        <f t="shared" si="36"/>
        <v>2.2000000000000002</v>
      </c>
      <c r="G132" s="123">
        <f t="shared" si="36"/>
        <v>2.2000000000000002</v>
      </c>
      <c r="H132" s="123">
        <f t="shared" si="36"/>
        <v>2.2000000000000002</v>
      </c>
      <c r="I132" s="123">
        <f t="shared" si="36"/>
        <v>2.2000000000000002</v>
      </c>
      <c r="J132" s="123">
        <f t="shared" si="36"/>
        <v>2.2000000000000002</v>
      </c>
      <c r="K132" s="123">
        <f t="shared" si="36"/>
        <v>2.2000000000000002</v>
      </c>
      <c r="L132" s="123">
        <f t="shared" si="36"/>
        <v>2.2000000000000002</v>
      </c>
      <c r="M132" s="123">
        <f t="shared" si="36"/>
        <v>2.2000000000000002</v>
      </c>
      <c r="N132" s="123">
        <f t="shared" si="36"/>
        <v>2.2000000000000002</v>
      </c>
      <c r="O132" s="123">
        <f t="shared" si="36"/>
        <v>2.2000000000000002</v>
      </c>
      <c r="P132" s="123">
        <f t="shared" si="36"/>
        <v>2.2000000000000002</v>
      </c>
      <c r="Q132" s="123">
        <f t="shared" si="36"/>
        <v>2.2000000000000002</v>
      </c>
      <c r="R132" s="123">
        <f t="shared" si="36"/>
        <v>2.2000000000000002</v>
      </c>
      <c r="S132" s="123">
        <f t="shared" si="36"/>
        <v>2.2000000000000002</v>
      </c>
      <c r="T132" s="123">
        <f t="shared" ref="T132:AF139" si="37">S132</f>
        <v>2.2000000000000002</v>
      </c>
      <c r="U132" s="123">
        <f t="shared" si="37"/>
        <v>2.2000000000000002</v>
      </c>
      <c r="V132" s="123">
        <f t="shared" si="37"/>
        <v>2.2000000000000002</v>
      </c>
      <c r="W132" s="123">
        <f t="shared" si="37"/>
        <v>2.2000000000000002</v>
      </c>
      <c r="X132" s="123">
        <f t="shared" si="37"/>
        <v>2.2000000000000002</v>
      </c>
      <c r="Y132" s="123">
        <f t="shared" si="37"/>
        <v>2.2000000000000002</v>
      </c>
      <c r="Z132" s="123">
        <f t="shared" si="37"/>
        <v>2.2000000000000002</v>
      </c>
      <c r="AA132" s="123">
        <f t="shared" si="37"/>
        <v>2.2000000000000002</v>
      </c>
      <c r="AB132" s="123">
        <f t="shared" si="37"/>
        <v>2.2000000000000002</v>
      </c>
      <c r="AC132" s="123">
        <f t="shared" si="37"/>
        <v>2.2000000000000002</v>
      </c>
      <c r="AD132" s="123">
        <f t="shared" si="37"/>
        <v>2.2000000000000002</v>
      </c>
      <c r="AE132" s="123">
        <f t="shared" si="37"/>
        <v>2.2000000000000002</v>
      </c>
      <c r="AF132" s="123">
        <f t="shared" si="37"/>
        <v>2.2000000000000002</v>
      </c>
      <c r="AG132" s="126">
        <v>5</v>
      </c>
      <c r="AH132" s="54"/>
      <c r="AI132" s="55"/>
      <c r="AK132" s="56"/>
    </row>
    <row r="133" spans="1:37" x14ac:dyDescent="0.25">
      <c r="A133" s="111" t="s">
        <v>138</v>
      </c>
      <c r="B133" s="123">
        <f t="shared" si="35"/>
        <v>2</v>
      </c>
      <c r="C133" s="124">
        <v>2</v>
      </c>
      <c r="D133" s="123">
        <f t="shared" si="36"/>
        <v>2</v>
      </c>
      <c r="E133" s="123">
        <f t="shared" si="36"/>
        <v>2</v>
      </c>
      <c r="F133" s="123">
        <f t="shared" si="36"/>
        <v>2</v>
      </c>
      <c r="G133" s="123">
        <f t="shared" si="36"/>
        <v>2</v>
      </c>
      <c r="H133" s="123">
        <f t="shared" si="36"/>
        <v>2</v>
      </c>
      <c r="I133" s="123">
        <f t="shared" si="36"/>
        <v>2</v>
      </c>
      <c r="J133" s="123">
        <f t="shared" si="36"/>
        <v>2</v>
      </c>
      <c r="K133" s="123">
        <f t="shared" si="36"/>
        <v>2</v>
      </c>
      <c r="L133" s="123">
        <f t="shared" si="36"/>
        <v>2</v>
      </c>
      <c r="M133" s="123">
        <f t="shared" si="36"/>
        <v>2</v>
      </c>
      <c r="N133" s="123">
        <f t="shared" si="36"/>
        <v>2</v>
      </c>
      <c r="O133" s="123">
        <f t="shared" si="36"/>
        <v>2</v>
      </c>
      <c r="P133" s="123">
        <f t="shared" si="36"/>
        <v>2</v>
      </c>
      <c r="Q133" s="123">
        <f t="shared" si="36"/>
        <v>2</v>
      </c>
      <c r="R133" s="123">
        <f t="shared" si="36"/>
        <v>2</v>
      </c>
      <c r="S133" s="123">
        <f t="shared" si="36"/>
        <v>2</v>
      </c>
      <c r="T133" s="123">
        <f t="shared" si="37"/>
        <v>2</v>
      </c>
      <c r="U133" s="123">
        <f t="shared" si="37"/>
        <v>2</v>
      </c>
      <c r="V133" s="123">
        <f t="shared" si="37"/>
        <v>2</v>
      </c>
      <c r="W133" s="123">
        <f t="shared" si="37"/>
        <v>2</v>
      </c>
      <c r="X133" s="123">
        <f t="shared" si="37"/>
        <v>2</v>
      </c>
      <c r="Y133" s="123">
        <f t="shared" si="37"/>
        <v>2</v>
      </c>
      <c r="Z133" s="123">
        <f t="shared" si="37"/>
        <v>2</v>
      </c>
      <c r="AA133" s="123">
        <f t="shared" si="37"/>
        <v>2</v>
      </c>
      <c r="AB133" s="123">
        <f t="shared" si="37"/>
        <v>2</v>
      </c>
      <c r="AC133" s="123">
        <f t="shared" si="37"/>
        <v>2</v>
      </c>
      <c r="AD133" s="123">
        <f t="shared" si="37"/>
        <v>2</v>
      </c>
      <c r="AE133" s="123">
        <f t="shared" si="37"/>
        <v>2</v>
      </c>
      <c r="AF133" s="123">
        <f t="shared" si="37"/>
        <v>2</v>
      </c>
      <c r="AG133" s="126">
        <v>5</v>
      </c>
      <c r="AH133" s="54"/>
      <c r="AI133" s="55"/>
      <c r="AK133" s="56"/>
    </row>
    <row r="134" spans="1:37" x14ac:dyDescent="0.25">
      <c r="A134" s="111" t="s">
        <v>139</v>
      </c>
      <c r="B134" s="123">
        <f t="shared" si="35"/>
        <v>1.25</v>
      </c>
      <c r="C134" s="124">
        <v>1.25</v>
      </c>
      <c r="D134" s="123">
        <f t="shared" si="36"/>
        <v>1.25</v>
      </c>
      <c r="E134" s="123">
        <f t="shared" si="36"/>
        <v>1.25</v>
      </c>
      <c r="F134" s="123">
        <f t="shared" si="36"/>
        <v>1.25</v>
      </c>
      <c r="G134" s="123">
        <f t="shared" si="36"/>
        <v>1.25</v>
      </c>
      <c r="H134" s="123">
        <f t="shared" si="36"/>
        <v>1.25</v>
      </c>
      <c r="I134" s="123">
        <f t="shared" si="36"/>
        <v>1.25</v>
      </c>
      <c r="J134" s="123">
        <f t="shared" si="36"/>
        <v>1.25</v>
      </c>
      <c r="K134" s="123">
        <f t="shared" si="36"/>
        <v>1.25</v>
      </c>
      <c r="L134" s="123">
        <f t="shared" si="36"/>
        <v>1.25</v>
      </c>
      <c r="M134" s="123">
        <f t="shared" si="36"/>
        <v>1.25</v>
      </c>
      <c r="N134" s="123">
        <f t="shared" si="36"/>
        <v>1.25</v>
      </c>
      <c r="O134" s="123">
        <f t="shared" si="36"/>
        <v>1.25</v>
      </c>
      <c r="P134" s="123">
        <f t="shared" si="36"/>
        <v>1.25</v>
      </c>
      <c r="Q134" s="123">
        <f t="shared" si="36"/>
        <v>1.25</v>
      </c>
      <c r="R134" s="123">
        <f t="shared" si="36"/>
        <v>1.25</v>
      </c>
      <c r="S134" s="123">
        <f t="shared" si="36"/>
        <v>1.25</v>
      </c>
      <c r="T134" s="123">
        <f t="shared" si="37"/>
        <v>1.25</v>
      </c>
      <c r="U134" s="123">
        <f t="shared" si="37"/>
        <v>1.25</v>
      </c>
      <c r="V134" s="123">
        <f t="shared" si="37"/>
        <v>1.25</v>
      </c>
      <c r="W134" s="123">
        <f t="shared" si="37"/>
        <v>1.25</v>
      </c>
      <c r="X134" s="123">
        <f t="shared" si="37"/>
        <v>1.25</v>
      </c>
      <c r="Y134" s="123">
        <f t="shared" si="37"/>
        <v>1.25</v>
      </c>
      <c r="Z134" s="123">
        <f t="shared" si="37"/>
        <v>1.25</v>
      </c>
      <c r="AA134" s="123">
        <f t="shared" si="37"/>
        <v>1.25</v>
      </c>
      <c r="AB134" s="123">
        <f t="shared" si="37"/>
        <v>1.25</v>
      </c>
      <c r="AC134" s="123">
        <f t="shared" si="37"/>
        <v>1.25</v>
      </c>
      <c r="AD134" s="123">
        <f t="shared" si="37"/>
        <v>1.25</v>
      </c>
      <c r="AE134" s="123">
        <f t="shared" si="37"/>
        <v>1.25</v>
      </c>
      <c r="AF134" s="123">
        <f t="shared" si="37"/>
        <v>1.25</v>
      </c>
      <c r="AG134" s="126">
        <v>5</v>
      </c>
      <c r="AH134" s="54"/>
      <c r="AI134" s="55"/>
      <c r="AK134" s="56"/>
    </row>
    <row r="135" spans="1:37" x14ac:dyDescent="0.25">
      <c r="A135" s="111" t="s">
        <v>140</v>
      </c>
      <c r="B135" s="123">
        <f t="shared" si="35"/>
        <v>1.1499999999999999</v>
      </c>
      <c r="C135" s="124">
        <v>1.1499999999999999</v>
      </c>
      <c r="D135" s="123">
        <f t="shared" si="36"/>
        <v>1.1499999999999999</v>
      </c>
      <c r="E135" s="123">
        <f t="shared" si="36"/>
        <v>1.1499999999999999</v>
      </c>
      <c r="F135" s="123">
        <f t="shared" si="36"/>
        <v>1.1499999999999999</v>
      </c>
      <c r="G135" s="123">
        <f t="shared" si="36"/>
        <v>1.1499999999999999</v>
      </c>
      <c r="H135" s="123">
        <f t="shared" si="36"/>
        <v>1.1499999999999999</v>
      </c>
      <c r="I135" s="123">
        <f t="shared" si="36"/>
        <v>1.1499999999999999</v>
      </c>
      <c r="J135" s="123">
        <f t="shared" si="36"/>
        <v>1.1499999999999999</v>
      </c>
      <c r="K135" s="123">
        <f t="shared" si="36"/>
        <v>1.1499999999999999</v>
      </c>
      <c r="L135" s="123">
        <f t="shared" si="36"/>
        <v>1.1499999999999999</v>
      </c>
      <c r="M135" s="123">
        <f t="shared" si="36"/>
        <v>1.1499999999999999</v>
      </c>
      <c r="N135" s="123">
        <f t="shared" si="36"/>
        <v>1.1499999999999999</v>
      </c>
      <c r="O135" s="123">
        <f t="shared" si="36"/>
        <v>1.1499999999999999</v>
      </c>
      <c r="P135" s="123">
        <f t="shared" si="36"/>
        <v>1.1499999999999999</v>
      </c>
      <c r="Q135" s="123">
        <f t="shared" si="36"/>
        <v>1.1499999999999999</v>
      </c>
      <c r="R135" s="123">
        <f t="shared" si="36"/>
        <v>1.1499999999999999</v>
      </c>
      <c r="S135" s="123">
        <f t="shared" si="36"/>
        <v>1.1499999999999999</v>
      </c>
      <c r="T135" s="123">
        <f t="shared" si="37"/>
        <v>1.1499999999999999</v>
      </c>
      <c r="U135" s="123">
        <f t="shared" si="37"/>
        <v>1.1499999999999999</v>
      </c>
      <c r="V135" s="123">
        <f t="shared" si="37"/>
        <v>1.1499999999999999</v>
      </c>
      <c r="W135" s="123">
        <f t="shared" si="37"/>
        <v>1.1499999999999999</v>
      </c>
      <c r="X135" s="123">
        <f t="shared" si="37"/>
        <v>1.1499999999999999</v>
      </c>
      <c r="Y135" s="123">
        <f t="shared" si="37"/>
        <v>1.1499999999999999</v>
      </c>
      <c r="Z135" s="123">
        <f t="shared" si="37"/>
        <v>1.1499999999999999</v>
      </c>
      <c r="AA135" s="123">
        <f t="shared" si="37"/>
        <v>1.1499999999999999</v>
      </c>
      <c r="AB135" s="123">
        <f t="shared" si="37"/>
        <v>1.1499999999999999</v>
      </c>
      <c r="AC135" s="123">
        <f t="shared" si="37"/>
        <v>1.1499999999999999</v>
      </c>
      <c r="AD135" s="123">
        <f t="shared" si="37"/>
        <v>1.1499999999999999</v>
      </c>
      <c r="AE135" s="123">
        <f t="shared" si="37"/>
        <v>1.1499999999999999</v>
      </c>
      <c r="AF135" s="123">
        <f t="shared" si="37"/>
        <v>1.1499999999999999</v>
      </c>
      <c r="AG135" s="126">
        <v>5</v>
      </c>
      <c r="AH135" s="54"/>
      <c r="AI135" s="55"/>
      <c r="AK135" s="56"/>
    </row>
    <row r="136" spans="1:37" x14ac:dyDescent="0.25">
      <c r="A136" s="111" t="s">
        <v>141</v>
      </c>
      <c r="B136" s="123">
        <f t="shared" si="35"/>
        <v>2.133</v>
      </c>
      <c r="C136" s="124">
        <v>2.133</v>
      </c>
      <c r="D136" s="123">
        <f t="shared" si="36"/>
        <v>2.133</v>
      </c>
      <c r="E136" s="123">
        <f t="shared" si="36"/>
        <v>2.133</v>
      </c>
      <c r="F136" s="123">
        <f t="shared" si="36"/>
        <v>2.133</v>
      </c>
      <c r="G136" s="123">
        <f t="shared" si="36"/>
        <v>2.133</v>
      </c>
      <c r="H136" s="123">
        <f t="shared" si="36"/>
        <v>2.133</v>
      </c>
      <c r="I136" s="123">
        <f t="shared" si="36"/>
        <v>2.133</v>
      </c>
      <c r="J136" s="123">
        <f t="shared" si="36"/>
        <v>2.133</v>
      </c>
      <c r="K136" s="123">
        <f t="shared" si="36"/>
        <v>2.133</v>
      </c>
      <c r="L136" s="123">
        <f t="shared" si="36"/>
        <v>2.133</v>
      </c>
      <c r="M136" s="123">
        <f t="shared" si="36"/>
        <v>2.133</v>
      </c>
      <c r="N136" s="123">
        <f t="shared" si="36"/>
        <v>2.133</v>
      </c>
      <c r="O136" s="123">
        <f t="shared" si="36"/>
        <v>2.133</v>
      </c>
      <c r="P136" s="123">
        <f t="shared" si="36"/>
        <v>2.133</v>
      </c>
      <c r="Q136" s="123">
        <f t="shared" si="36"/>
        <v>2.133</v>
      </c>
      <c r="R136" s="123">
        <f t="shared" si="36"/>
        <v>2.133</v>
      </c>
      <c r="S136" s="123">
        <f t="shared" si="36"/>
        <v>2.133</v>
      </c>
      <c r="T136" s="123">
        <f t="shared" si="37"/>
        <v>2.133</v>
      </c>
      <c r="U136" s="123">
        <f t="shared" si="37"/>
        <v>2.133</v>
      </c>
      <c r="V136" s="123">
        <f t="shared" si="37"/>
        <v>2.133</v>
      </c>
      <c r="W136" s="123">
        <f t="shared" si="37"/>
        <v>2.133</v>
      </c>
      <c r="X136" s="123">
        <f t="shared" si="37"/>
        <v>2.133</v>
      </c>
      <c r="Y136" s="123">
        <f t="shared" si="37"/>
        <v>2.133</v>
      </c>
      <c r="Z136" s="123">
        <f t="shared" si="37"/>
        <v>2.133</v>
      </c>
      <c r="AA136" s="123">
        <f t="shared" si="37"/>
        <v>2.133</v>
      </c>
      <c r="AB136" s="123">
        <f t="shared" si="37"/>
        <v>2.133</v>
      </c>
      <c r="AC136" s="123">
        <f t="shared" si="37"/>
        <v>2.133</v>
      </c>
      <c r="AD136" s="123">
        <f t="shared" si="37"/>
        <v>2.133</v>
      </c>
      <c r="AE136" s="123">
        <f t="shared" si="37"/>
        <v>2.133</v>
      </c>
      <c r="AF136" s="123">
        <f t="shared" si="37"/>
        <v>2.133</v>
      </c>
      <c r="AG136" s="126">
        <v>4.9930000000000003</v>
      </c>
      <c r="AH136" s="54"/>
      <c r="AI136" s="55"/>
      <c r="AK136" s="56"/>
    </row>
    <row r="137" spans="1:37" x14ac:dyDescent="0.25">
      <c r="A137" s="111" t="s">
        <v>142</v>
      </c>
      <c r="B137" s="123">
        <f t="shared" si="35"/>
        <v>2.09</v>
      </c>
      <c r="C137" s="124">
        <v>2.09</v>
      </c>
      <c r="D137" s="123">
        <f t="shared" si="36"/>
        <v>2.09</v>
      </c>
      <c r="E137" s="123">
        <f t="shared" si="36"/>
        <v>2.09</v>
      </c>
      <c r="F137" s="123">
        <f t="shared" si="36"/>
        <v>2.09</v>
      </c>
      <c r="G137" s="123">
        <f t="shared" si="36"/>
        <v>2.09</v>
      </c>
      <c r="H137" s="123">
        <f t="shared" si="36"/>
        <v>2.09</v>
      </c>
      <c r="I137" s="123">
        <f t="shared" si="36"/>
        <v>2.09</v>
      </c>
      <c r="J137" s="123">
        <f t="shared" si="36"/>
        <v>2.09</v>
      </c>
      <c r="K137" s="123">
        <f t="shared" si="36"/>
        <v>2.09</v>
      </c>
      <c r="L137" s="123">
        <f t="shared" si="36"/>
        <v>2.09</v>
      </c>
      <c r="M137" s="123">
        <f t="shared" si="36"/>
        <v>2.09</v>
      </c>
      <c r="N137" s="123">
        <f t="shared" si="36"/>
        <v>2.09</v>
      </c>
      <c r="O137" s="123">
        <f t="shared" si="36"/>
        <v>2.09</v>
      </c>
      <c r="P137" s="123">
        <f t="shared" si="36"/>
        <v>2.09</v>
      </c>
      <c r="Q137" s="123">
        <f t="shared" si="36"/>
        <v>2.09</v>
      </c>
      <c r="R137" s="123">
        <f t="shared" si="36"/>
        <v>2.09</v>
      </c>
      <c r="S137" s="123">
        <f t="shared" si="36"/>
        <v>2.09</v>
      </c>
      <c r="T137" s="123">
        <f t="shared" si="37"/>
        <v>2.09</v>
      </c>
      <c r="U137" s="123">
        <f t="shared" si="37"/>
        <v>2.09</v>
      </c>
      <c r="V137" s="123">
        <f t="shared" si="37"/>
        <v>2.09</v>
      </c>
      <c r="W137" s="123">
        <f t="shared" si="37"/>
        <v>2.09</v>
      </c>
      <c r="X137" s="123">
        <f t="shared" si="37"/>
        <v>2.09</v>
      </c>
      <c r="Y137" s="123">
        <f t="shared" si="37"/>
        <v>2.09</v>
      </c>
      <c r="Z137" s="123">
        <f t="shared" si="37"/>
        <v>2.09</v>
      </c>
      <c r="AA137" s="123">
        <f t="shared" si="37"/>
        <v>2.09</v>
      </c>
      <c r="AB137" s="123">
        <f t="shared" si="37"/>
        <v>2.09</v>
      </c>
      <c r="AC137" s="123">
        <f t="shared" si="37"/>
        <v>2.09</v>
      </c>
      <c r="AD137" s="123">
        <f t="shared" si="37"/>
        <v>2.09</v>
      </c>
      <c r="AE137" s="123">
        <f t="shared" si="37"/>
        <v>2.09</v>
      </c>
      <c r="AF137" s="123">
        <f t="shared" si="37"/>
        <v>2.09</v>
      </c>
      <c r="AG137" s="126">
        <v>4.9800000000000004</v>
      </c>
      <c r="AH137" s="54"/>
      <c r="AI137" s="55"/>
      <c r="AK137" s="56"/>
    </row>
    <row r="138" spans="1:37" x14ac:dyDescent="0.25">
      <c r="A138" s="111" t="s">
        <v>143</v>
      </c>
      <c r="B138" s="123">
        <f t="shared" si="35"/>
        <v>1.1399999999999999</v>
      </c>
      <c r="C138" s="124">
        <v>1.1399999999999999</v>
      </c>
      <c r="D138" s="123">
        <f t="shared" si="36"/>
        <v>1.1399999999999999</v>
      </c>
      <c r="E138" s="123">
        <f t="shared" si="36"/>
        <v>1.1399999999999999</v>
      </c>
      <c r="F138" s="123">
        <f t="shared" si="36"/>
        <v>1.1399999999999999</v>
      </c>
      <c r="G138" s="123">
        <f t="shared" si="36"/>
        <v>1.1399999999999999</v>
      </c>
      <c r="H138" s="123">
        <f t="shared" si="36"/>
        <v>1.1399999999999999</v>
      </c>
      <c r="I138" s="123">
        <f t="shared" si="36"/>
        <v>1.1399999999999999</v>
      </c>
      <c r="J138" s="123">
        <f t="shared" si="36"/>
        <v>1.1399999999999999</v>
      </c>
      <c r="K138" s="123">
        <f t="shared" si="36"/>
        <v>1.1399999999999999</v>
      </c>
      <c r="L138" s="123">
        <f t="shared" si="36"/>
        <v>1.1399999999999999</v>
      </c>
      <c r="M138" s="123">
        <f t="shared" si="36"/>
        <v>1.1399999999999999</v>
      </c>
      <c r="N138" s="123">
        <f t="shared" si="36"/>
        <v>1.1399999999999999</v>
      </c>
      <c r="O138" s="123">
        <f t="shared" si="36"/>
        <v>1.1399999999999999</v>
      </c>
      <c r="P138" s="123">
        <f t="shared" si="36"/>
        <v>1.1399999999999999</v>
      </c>
      <c r="Q138" s="123">
        <f t="shared" si="36"/>
        <v>1.1399999999999999</v>
      </c>
      <c r="R138" s="123">
        <f t="shared" si="36"/>
        <v>1.1399999999999999</v>
      </c>
      <c r="S138" s="123">
        <f t="shared" si="36"/>
        <v>1.1399999999999999</v>
      </c>
      <c r="T138" s="123">
        <f t="shared" si="37"/>
        <v>1.1399999999999999</v>
      </c>
      <c r="U138" s="123">
        <f t="shared" si="37"/>
        <v>1.1399999999999999</v>
      </c>
      <c r="V138" s="123">
        <f t="shared" si="37"/>
        <v>1.1399999999999999</v>
      </c>
      <c r="W138" s="123">
        <f t="shared" si="37"/>
        <v>1.1399999999999999</v>
      </c>
      <c r="X138" s="123">
        <f t="shared" si="37"/>
        <v>1.1399999999999999</v>
      </c>
      <c r="Y138" s="123">
        <f t="shared" si="37"/>
        <v>1.1399999999999999</v>
      </c>
      <c r="Z138" s="123">
        <f t="shared" si="37"/>
        <v>1.1399999999999999</v>
      </c>
      <c r="AA138" s="123">
        <f t="shared" si="37"/>
        <v>1.1399999999999999</v>
      </c>
      <c r="AB138" s="123">
        <f t="shared" si="37"/>
        <v>1.1399999999999999</v>
      </c>
      <c r="AC138" s="123">
        <f t="shared" si="37"/>
        <v>1.1399999999999999</v>
      </c>
      <c r="AD138" s="123">
        <f t="shared" si="37"/>
        <v>1.1399999999999999</v>
      </c>
      <c r="AE138" s="123">
        <f t="shared" si="37"/>
        <v>1.1399999999999999</v>
      </c>
      <c r="AF138" s="123">
        <f t="shared" si="37"/>
        <v>1.1399999999999999</v>
      </c>
      <c r="AG138" s="126">
        <v>4.95</v>
      </c>
      <c r="AH138" s="54"/>
      <c r="AI138" s="55"/>
      <c r="AK138" s="56"/>
    </row>
    <row r="139" spans="1:37" x14ac:dyDescent="0.25">
      <c r="A139" s="111" t="s">
        <v>144</v>
      </c>
      <c r="B139" s="123">
        <f t="shared" si="35"/>
        <v>0.82</v>
      </c>
      <c r="C139" s="124">
        <v>0.82</v>
      </c>
      <c r="D139" s="123">
        <f t="shared" si="36"/>
        <v>0.82</v>
      </c>
      <c r="E139" s="123">
        <f t="shared" si="36"/>
        <v>0.82</v>
      </c>
      <c r="F139" s="123">
        <f t="shared" si="36"/>
        <v>0.82</v>
      </c>
      <c r="G139" s="123">
        <f t="shared" si="36"/>
        <v>0.82</v>
      </c>
      <c r="H139" s="123">
        <f t="shared" si="36"/>
        <v>0.82</v>
      </c>
      <c r="I139" s="123">
        <f t="shared" si="36"/>
        <v>0.82</v>
      </c>
      <c r="J139" s="123">
        <f t="shared" si="36"/>
        <v>0.82</v>
      </c>
      <c r="K139" s="123">
        <f t="shared" si="36"/>
        <v>0.82</v>
      </c>
      <c r="L139" s="123">
        <f t="shared" si="36"/>
        <v>0.82</v>
      </c>
      <c r="M139" s="123">
        <f t="shared" si="36"/>
        <v>0.82</v>
      </c>
      <c r="N139" s="123">
        <f t="shared" si="36"/>
        <v>0.82</v>
      </c>
      <c r="O139" s="123">
        <f t="shared" si="36"/>
        <v>0.82</v>
      </c>
      <c r="P139" s="123">
        <f t="shared" si="36"/>
        <v>0.82</v>
      </c>
      <c r="Q139" s="123">
        <f t="shared" si="36"/>
        <v>0.82</v>
      </c>
      <c r="R139" s="123">
        <f t="shared" si="36"/>
        <v>0.82</v>
      </c>
      <c r="S139" s="123">
        <f t="shared" si="36"/>
        <v>0.82</v>
      </c>
      <c r="T139" s="123">
        <f t="shared" si="37"/>
        <v>0.82</v>
      </c>
      <c r="U139" s="123">
        <f t="shared" si="37"/>
        <v>0.82</v>
      </c>
      <c r="V139" s="123">
        <f t="shared" si="37"/>
        <v>0.82</v>
      </c>
      <c r="W139" s="123">
        <f t="shared" si="37"/>
        <v>0.82</v>
      </c>
      <c r="X139" s="123">
        <f t="shared" si="37"/>
        <v>0.82</v>
      </c>
      <c r="Y139" s="123">
        <f t="shared" si="37"/>
        <v>0.82</v>
      </c>
      <c r="Z139" s="123">
        <f t="shared" si="37"/>
        <v>0.82</v>
      </c>
      <c r="AA139" s="123">
        <f t="shared" si="37"/>
        <v>0.82</v>
      </c>
      <c r="AB139" s="123">
        <f t="shared" si="37"/>
        <v>0.82</v>
      </c>
      <c r="AC139" s="123">
        <f t="shared" si="37"/>
        <v>0.82</v>
      </c>
      <c r="AD139" s="123">
        <f t="shared" si="37"/>
        <v>0.82</v>
      </c>
      <c r="AE139" s="123">
        <f t="shared" si="37"/>
        <v>0.82</v>
      </c>
      <c r="AF139" s="123">
        <f t="shared" si="37"/>
        <v>0.82</v>
      </c>
      <c r="AG139" s="126">
        <v>4.95</v>
      </c>
      <c r="AH139" s="54"/>
      <c r="AI139" s="55"/>
      <c r="AK139" s="56"/>
    </row>
    <row r="140" spans="1:37" x14ac:dyDescent="0.25">
      <c r="A140" s="111" t="s">
        <v>145</v>
      </c>
      <c r="B140" s="123"/>
      <c r="C140" s="124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6">
        <v>4.8</v>
      </c>
      <c r="AH140" s="54"/>
      <c r="AI140" s="55"/>
      <c r="AK140" s="56"/>
    </row>
    <row r="141" spans="1:37" x14ac:dyDescent="0.25">
      <c r="A141" s="111" t="s">
        <v>146</v>
      </c>
      <c r="B141" s="123">
        <f t="shared" ref="B141:B147" si="38">AF141</f>
        <v>2</v>
      </c>
      <c r="C141" s="124">
        <v>2</v>
      </c>
      <c r="D141" s="123">
        <f t="shared" ref="D141:S147" si="39">C141</f>
        <v>2</v>
      </c>
      <c r="E141" s="123">
        <f t="shared" si="39"/>
        <v>2</v>
      </c>
      <c r="F141" s="123">
        <f t="shared" si="39"/>
        <v>2</v>
      </c>
      <c r="G141" s="123">
        <f t="shared" si="39"/>
        <v>2</v>
      </c>
      <c r="H141" s="123">
        <f t="shared" si="39"/>
        <v>2</v>
      </c>
      <c r="I141" s="123">
        <f t="shared" si="39"/>
        <v>2</v>
      </c>
      <c r="J141" s="123">
        <f t="shared" si="39"/>
        <v>2</v>
      </c>
      <c r="K141" s="123">
        <f t="shared" si="39"/>
        <v>2</v>
      </c>
      <c r="L141" s="123">
        <f t="shared" si="39"/>
        <v>2</v>
      </c>
      <c r="M141" s="123">
        <f t="shared" si="39"/>
        <v>2</v>
      </c>
      <c r="N141" s="123">
        <f t="shared" si="39"/>
        <v>2</v>
      </c>
      <c r="O141" s="123">
        <f t="shared" si="39"/>
        <v>2</v>
      </c>
      <c r="P141" s="123">
        <f t="shared" si="39"/>
        <v>2</v>
      </c>
      <c r="Q141" s="123">
        <f t="shared" si="39"/>
        <v>2</v>
      </c>
      <c r="R141" s="123">
        <f t="shared" si="39"/>
        <v>2</v>
      </c>
      <c r="S141" s="123">
        <f t="shared" si="39"/>
        <v>2</v>
      </c>
      <c r="T141" s="123">
        <f t="shared" ref="T141:AF147" si="40">S141</f>
        <v>2</v>
      </c>
      <c r="U141" s="123">
        <f t="shared" si="40"/>
        <v>2</v>
      </c>
      <c r="V141" s="123">
        <f t="shared" si="40"/>
        <v>2</v>
      </c>
      <c r="W141" s="123">
        <f t="shared" si="40"/>
        <v>2</v>
      </c>
      <c r="X141" s="123">
        <f t="shared" si="40"/>
        <v>2</v>
      </c>
      <c r="Y141" s="123">
        <f t="shared" si="40"/>
        <v>2</v>
      </c>
      <c r="Z141" s="123">
        <f t="shared" si="40"/>
        <v>2</v>
      </c>
      <c r="AA141" s="123">
        <f t="shared" si="40"/>
        <v>2</v>
      </c>
      <c r="AB141" s="123">
        <f t="shared" si="40"/>
        <v>2</v>
      </c>
      <c r="AC141" s="123">
        <f t="shared" si="40"/>
        <v>2</v>
      </c>
      <c r="AD141" s="123">
        <f t="shared" si="40"/>
        <v>2</v>
      </c>
      <c r="AE141" s="123">
        <f t="shared" si="40"/>
        <v>2</v>
      </c>
      <c r="AF141" s="123">
        <f t="shared" si="40"/>
        <v>2</v>
      </c>
      <c r="AG141" s="126">
        <v>4.8</v>
      </c>
      <c r="AH141" s="54"/>
      <c r="AI141" s="55"/>
      <c r="AK141" s="56"/>
    </row>
    <row r="142" spans="1:37" x14ac:dyDescent="0.25">
      <c r="A142" s="111" t="s">
        <v>147</v>
      </c>
      <c r="B142" s="123">
        <f t="shared" si="38"/>
        <v>5.61</v>
      </c>
      <c r="C142" s="124">
        <v>5.61</v>
      </c>
      <c r="D142" s="123">
        <f t="shared" si="39"/>
        <v>5.61</v>
      </c>
      <c r="E142" s="123">
        <f t="shared" si="39"/>
        <v>5.61</v>
      </c>
      <c r="F142" s="123">
        <f t="shared" si="39"/>
        <v>5.61</v>
      </c>
      <c r="G142" s="123">
        <f t="shared" si="39"/>
        <v>5.61</v>
      </c>
      <c r="H142" s="123">
        <f t="shared" si="39"/>
        <v>5.61</v>
      </c>
      <c r="I142" s="123">
        <f t="shared" si="39"/>
        <v>5.61</v>
      </c>
      <c r="J142" s="123">
        <f t="shared" si="39"/>
        <v>5.61</v>
      </c>
      <c r="K142" s="123">
        <f t="shared" si="39"/>
        <v>5.61</v>
      </c>
      <c r="L142" s="123">
        <f t="shared" si="39"/>
        <v>5.61</v>
      </c>
      <c r="M142" s="123">
        <f t="shared" si="39"/>
        <v>5.61</v>
      </c>
      <c r="N142" s="123">
        <f t="shared" si="39"/>
        <v>5.61</v>
      </c>
      <c r="O142" s="123">
        <f t="shared" si="39"/>
        <v>5.61</v>
      </c>
      <c r="P142" s="123">
        <f t="shared" si="39"/>
        <v>5.61</v>
      </c>
      <c r="Q142" s="123">
        <f t="shared" si="39"/>
        <v>5.61</v>
      </c>
      <c r="R142" s="123">
        <f t="shared" si="39"/>
        <v>5.61</v>
      </c>
      <c r="S142" s="123">
        <f t="shared" si="39"/>
        <v>5.61</v>
      </c>
      <c r="T142" s="123">
        <f t="shared" si="40"/>
        <v>5.61</v>
      </c>
      <c r="U142" s="123">
        <f t="shared" si="40"/>
        <v>5.61</v>
      </c>
      <c r="V142" s="123">
        <f t="shared" si="40"/>
        <v>5.61</v>
      </c>
      <c r="W142" s="123">
        <f t="shared" si="40"/>
        <v>5.61</v>
      </c>
      <c r="X142" s="123">
        <f t="shared" si="40"/>
        <v>5.61</v>
      </c>
      <c r="Y142" s="123">
        <f t="shared" si="40"/>
        <v>5.61</v>
      </c>
      <c r="Z142" s="123">
        <f t="shared" si="40"/>
        <v>5.61</v>
      </c>
      <c r="AA142" s="123">
        <f t="shared" si="40"/>
        <v>5.61</v>
      </c>
      <c r="AB142" s="123">
        <f t="shared" si="40"/>
        <v>5.61</v>
      </c>
      <c r="AC142" s="123">
        <f t="shared" si="40"/>
        <v>5.61</v>
      </c>
      <c r="AD142" s="123">
        <f t="shared" si="40"/>
        <v>5.61</v>
      </c>
      <c r="AE142" s="123">
        <f t="shared" si="40"/>
        <v>5.61</v>
      </c>
      <c r="AF142" s="123">
        <f t="shared" si="40"/>
        <v>5.61</v>
      </c>
      <c r="AG142" s="126">
        <v>4.8</v>
      </c>
      <c r="AH142" s="54"/>
      <c r="AI142" s="55"/>
      <c r="AK142" s="56"/>
    </row>
    <row r="143" spans="1:37" x14ac:dyDescent="0.25">
      <c r="A143" s="111" t="s">
        <v>148</v>
      </c>
      <c r="B143" s="123">
        <f t="shared" si="38"/>
        <v>1.25</v>
      </c>
      <c r="C143" s="124">
        <v>1.25</v>
      </c>
      <c r="D143" s="123">
        <f t="shared" si="39"/>
        <v>1.25</v>
      </c>
      <c r="E143" s="123">
        <f t="shared" si="39"/>
        <v>1.25</v>
      </c>
      <c r="F143" s="123">
        <f t="shared" si="39"/>
        <v>1.25</v>
      </c>
      <c r="G143" s="123">
        <f t="shared" si="39"/>
        <v>1.25</v>
      </c>
      <c r="H143" s="123">
        <f t="shared" si="39"/>
        <v>1.25</v>
      </c>
      <c r="I143" s="123">
        <f t="shared" si="39"/>
        <v>1.25</v>
      </c>
      <c r="J143" s="123">
        <f t="shared" si="39"/>
        <v>1.25</v>
      </c>
      <c r="K143" s="123">
        <f t="shared" si="39"/>
        <v>1.25</v>
      </c>
      <c r="L143" s="123">
        <f t="shared" si="39"/>
        <v>1.25</v>
      </c>
      <c r="M143" s="123">
        <f t="shared" si="39"/>
        <v>1.25</v>
      </c>
      <c r="N143" s="123">
        <f t="shared" si="39"/>
        <v>1.25</v>
      </c>
      <c r="O143" s="123">
        <f t="shared" si="39"/>
        <v>1.25</v>
      </c>
      <c r="P143" s="123">
        <f t="shared" si="39"/>
        <v>1.25</v>
      </c>
      <c r="Q143" s="123">
        <f t="shared" si="39"/>
        <v>1.25</v>
      </c>
      <c r="R143" s="123">
        <f t="shared" si="39"/>
        <v>1.25</v>
      </c>
      <c r="S143" s="123">
        <f t="shared" si="39"/>
        <v>1.25</v>
      </c>
      <c r="T143" s="123">
        <f t="shared" si="40"/>
        <v>1.25</v>
      </c>
      <c r="U143" s="123">
        <f t="shared" si="40"/>
        <v>1.25</v>
      </c>
      <c r="V143" s="123">
        <f t="shared" si="40"/>
        <v>1.25</v>
      </c>
      <c r="W143" s="123">
        <f t="shared" si="40"/>
        <v>1.25</v>
      </c>
      <c r="X143" s="123">
        <f t="shared" si="40"/>
        <v>1.25</v>
      </c>
      <c r="Y143" s="123">
        <f t="shared" si="40"/>
        <v>1.25</v>
      </c>
      <c r="Z143" s="123">
        <f t="shared" si="40"/>
        <v>1.25</v>
      </c>
      <c r="AA143" s="123">
        <f t="shared" si="40"/>
        <v>1.25</v>
      </c>
      <c r="AB143" s="123">
        <f t="shared" si="40"/>
        <v>1.25</v>
      </c>
      <c r="AC143" s="123">
        <f t="shared" si="40"/>
        <v>1.25</v>
      </c>
      <c r="AD143" s="123">
        <f t="shared" si="40"/>
        <v>1.25</v>
      </c>
      <c r="AE143" s="123">
        <f t="shared" si="40"/>
        <v>1.25</v>
      </c>
      <c r="AF143" s="123">
        <f t="shared" si="40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149</v>
      </c>
      <c r="B144" s="123">
        <f t="shared" si="38"/>
        <v>1.25</v>
      </c>
      <c r="C144" s="124">
        <v>1.25</v>
      </c>
      <c r="D144" s="123">
        <f t="shared" si="39"/>
        <v>1.25</v>
      </c>
      <c r="E144" s="123">
        <f t="shared" si="39"/>
        <v>1.25</v>
      </c>
      <c r="F144" s="123">
        <f t="shared" si="39"/>
        <v>1.25</v>
      </c>
      <c r="G144" s="123">
        <f t="shared" si="39"/>
        <v>1.25</v>
      </c>
      <c r="H144" s="123">
        <f t="shared" si="39"/>
        <v>1.25</v>
      </c>
      <c r="I144" s="123">
        <f t="shared" si="39"/>
        <v>1.25</v>
      </c>
      <c r="J144" s="123">
        <f t="shared" si="39"/>
        <v>1.25</v>
      </c>
      <c r="K144" s="123">
        <f t="shared" si="39"/>
        <v>1.25</v>
      </c>
      <c r="L144" s="123">
        <f t="shared" si="39"/>
        <v>1.25</v>
      </c>
      <c r="M144" s="123">
        <f t="shared" si="39"/>
        <v>1.25</v>
      </c>
      <c r="N144" s="123">
        <f t="shared" si="39"/>
        <v>1.25</v>
      </c>
      <c r="O144" s="123">
        <f t="shared" si="39"/>
        <v>1.25</v>
      </c>
      <c r="P144" s="123">
        <f t="shared" si="39"/>
        <v>1.25</v>
      </c>
      <c r="Q144" s="123">
        <f t="shared" si="39"/>
        <v>1.25</v>
      </c>
      <c r="R144" s="123">
        <f t="shared" si="39"/>
        <v>1.25</v>
      </c>
      <c r="S144" s="123">
        <f t="shared" si="39"/>
        <v>1.25</v>
      </c>
      <c r="T144" s="123">
        <f t="shared" si="40"/>
        <v>1.25</v>
      </c>
      <c r="U144" s="123">
        <f t="shared" si="40"/>
        <v>1.25</v>
      </c>
      <c r="V144" s="123">
        <f t="shared" si="40"/>
        <v>1.25</v>
      </c>
      <c r="W144" s="123">
        <f t="shared" si="40"/>
        <v>1.25</v>
      </c>
      <c r="X144" s="123">
        <f t="shared" si="40"/>
        <v>1.25</v>
      </c>
      <c r="Y144" s="123">
        <f t="shared" si="40"/>
        <v>1.25</v>
      </c>
      <c r="Z144" s="123">
        <f t="shared" si="40"/>
        <v>1.25</v>
      </c>
      <c r="AA144" s="123">
        <f t="shared" si="40"/>
        <v>1.25</v>
      </c>
      <c r="AB144" s="123">
        <f t="shared" si="40"/>
        <v>1.25</v>
      </c>
      <c r="AC144" s="123">
        <f t="shared" si="40"/>
        <v>1.25</v>
      </c>
      <c r="AD144" s="123">
        <f t="shared" si="40"/>
        <v>1.25</v>
      </c>
      <c r="AE144" s="123">
        <f t="shared" si="40"/>
        <v>1.25</v>
      </c>
      <c r="AF144" s="123">
        <f t="shared" si="40"/>
        <v>1.25</v>
      </c>
      <c r="AG144" s="126">
        <v>4.5</v>
      </c>
      <c r="AH144" s="54"/>
      <c r="AI144" s="55"/>
      <c r="AK144" s="56"/>
    </row>
    <row r="145" spans="1:37" x14ac:dyDescent="0.25">
      <c r="A145" s="111" t="s">
        <v>150</v>
      </c>
      <c r="B145" s="123">
        <f t="shared" si="38"/>
        <v>1.46</v>
      </c>
      <c r="C145" s="124">
        <v>1.46</v>
      </c>
      <c r="D145" s="123">
        <f t="shared" si="39"/>
        <v>1.46</v>
      </c>
      <c r="E145" s="123">
        <f t="shared" si="39"/>
        <v>1.46</v>
      </c>
      <c r="F145" s="123">
        <f t="shared" si="39"/>
        <v>1.46</v>
      </c>
      <c r="G145" s="123">
        <f t="shared" si="39"/>
        <v>1.46</v>
      </c>
      <c r="H145" s="123">
        <f t="shared" si="39"/>
        <v>1.46</v>
      </c>
      <c r="I145" s="123">
        <f t="shared" si="39"/>
        <v>1.46</v>
      </c>
      <c r="J145" s="123">
        <f t="shared" si="39"/>
        <v>1.46</v>
      </c>
      <c r="K145" s="123">
        <f t="shared" si="39"/>
        <v>1.46</v>
      </c>
      <c r="L145" s="123">
        <f t="shared" si="39"/>
        <v>1.46</v>
      </c>
      <c r="M145" s="123">
        <f t="shared" si="39"/>
        <v>1.46</v>
      </c>
      <c r="N145" s="123">
        <f t="shared" si="39"/>
        <v>1.46</v>
      </c>
      <c r="O145" s="123">
        <f t="shared" si="39"/>
        <v>1.46</v>
      </c>
      <c r="P145" s="123">
        <f t="shared" si="39"/>
        <v>1.46</v>
      </c>
      <c r="Q145" s="123">
        <f t="shared" si="39"/>
        <v>1.46</v>
      </c>
      <c r="R145" s="123">
        <f t="shared" si="39"/>
        <v>1.46</v>
      </c>
      <c r="S145" s="123">
        <f t="shared" si="39"/>
        <v>1.46</v>
      </c>
      <c r="T145" s="123">
        <f t="shared" si="40"/>
        <v>1.46</v>
      </c>
      <c r="U145" s="123">
        <f t="shared" si="40"/>
        <v>1.46</v>
      </c>
      <c r="V145" s="123">
        <f t="shared" si="40"/>
        <v>1.46</v>
      </c>
      <c r="W145" s="123">
        <f t="shared" si="40"/>
        <v>1.46</v>
      </c>
      <c r="X145" s="123">
        <f t="shared" si="40"/>
        <v>1.46</v>
      </c>
      <c r="Y145" s="123">
        <f t="shared" si="40"/>
        <v>1.46</v>
      </c>
      <c r="Z145" s="123">
        <f t="shared" si="40"/>
        <v>1.46</v>
      </c>
      <c r="AA145" s="123">
        <f t="shared" si="40"/>
        <v>1.46</v>
      </c>
      <c r="AB145" s="123">
        <f t="shared" si="40"/>
        <v>1.46</v>
      </c>
      <c r="AC145" s="123">
        <f t="shared" si="40"/>
        <v>1.46</v>
      </c>
      <c r="AD145" s="123">
        <f t="shared" si="40"/>
        <v>1.46</v>
      </c>
      <c r="AE145" s="123">
        <f t="shared" si="40"/>
        <v>1.46</v>
      </c>
      <c r="AF145" s="123">
        <f t="shared" si="40"/>
        <v>1.46</v>
      </c>
      <c r="AG145" s="126">
        <v>4.4550000000000001</v>
      </c>
      <c r="AH145" s="54"/>
      <c r="AI145" s="55"/>
      <c r="AK145" s="56"/>
    </row>
    <row r="146" spans="1:37" x14ac:dyDescent="0.25">
      <c r="A146" s="111" t="s">
        <v>151</v>
      </c>
      <c r="B146" s="123">
        <f t="shared" si="38"/>
        <v>3</v>
      </c>
      <c r="C146" s="124">
        <v>3</v>
      </c>
      <c r="D146" s="123">
        <f t="shared" si="39"/>
        <v>3</v>
      </c>
      <c r="E146" s="123">
        <f t="shared" si="39"/>
        <v>3</v>
      </c>
      <c r="F146" s="123">
        <f t="shared" si="39"/>
        <v>3</v>
      </c>
      <c r="G146" s="123">
        <f t="shared" si="39"/>
        <v>3</v>
      </c>
      <c r="H146" s="123">
        <f t="shared" si="39"/>
        <v>3</v>
      </c>
      <c r="I146" s="123">
        <f t="shared" si="39"/>
        <v>3</v>
      </c>
      <c r="J146" s="123">
        <f t="shared" si="39"/>
        <v>3</v>
      </c>
      <c r="K146" s="123">
        <f t="shared" si="39"/>
        <v>3</v>
      </c>
      <c r="L146" s="123">
        <f t="shared" si="39"/>
        <v>3</v>
      </c>
      <c r="M146" s="123">
        <f t="shared" si="39"/>
        <v>3</v>
      </c>
      <c r="N146" s="123">
        <f t="shared" si="39"/>
        <v>3</v>
      </c>
      <c r="O146" s="123">
        <f t="shared" si="39"/>
        <v>3</v>
      </c>
      <c r="P146" s="123">
        <f t="shared" si="39"/>
        <v>3</v>
      </c>
      <c r="Q146" s="123">
        <f t="shared" si="39"/>
        <v>3</v>
      </c>
      <c r="R146" s="123">
        <f t="shared" si="39"/>
        <v>3</v>
      </c>
      <c r="S146" s="123">
        <f t="shared" si="39"/>
        <v>3</v>
      </c>
      <c r="T146" s="123">
        <f t="shared" si="40"/>
        <v>3</v>
      </c>
      <c r="U146" s="123">
        <f t="shared" si="40"/>
        <v>3</v>
      </c>
      <c r="V146" s="123">
        <f t="shared" si="40"/>
        <v>3</v>
      </c>
      <c r="W146" s="123">
        <f t="shared" si="40"/>
        <v>3</v>
      </c>
      <c r="X146" s="123">
        <f t="shared" si="40"/>
        <v>3</v>
      </c>
      <c r="Y146" s="123">
        <f t="shared" si="40"/>
        <v>3</v>
      </c>
      <c r="Z146" s="123">
        <f t="shared" si="40"/>
        <v>3</v>
      </c>
      <c r="AA146" s="123">
        <f t="shared" si="40"/>
        <v>3</v>
      </c>
      <c r="AB146" s="123">
        <f t="shared" si="40"/>
        <v>3</v>
      </c>
      <c r="AC146" s="123">
        <f t="shared" si="40"/>
        <v>3</v>
      </c>
      <c r="AD146" s="123">
        <f t="shared" si="40"/>
        <v>3</v>
      </c>
      <c r="AE146" s="123">
        <f t="shared" si="40"/>
        <v>3</v>
      </c>
      <c r="AF146" s="123">
        <f t="shared" si="40"/>
        <v>3</v>
      </c>
      <c r="AG146" s="126">
        <v>4.41</v>
      </c>
      <c r="AH146" s="54"/>
      <c r="AI146" s="55"/>
      <c r="AK146" s="56"/>
    </row>
    <row r="147" spans="1:37" x14ac:dyDescent="0.25">
      <c r="A147" s="111" t="s">
        <v>152</v>
      </c>
      <c r="B147" s="123">
        <f t="shared" si="38"/>
        <v>3.3</v>
      </c>
      <c r="C147" s="124">
        <v>3.3</v>
      </c>
      <c r="D147" s="123">
        <f t="shared" si="39"/>
        <v>3.3</v>
      </c>
      <c r="E147" s="123">
        <f t="shared" si="39"/>
        <v>3.3</v>
      </c>
      <c r="F147" s="123">
        <f t="shared" si="39"/>
        <v>3.3</v>
      </c>
      <c r="G147" s="123">
        <f t="shared" si="39"/>
        <v>3.3</v>
      </c>
      <c r="H147" s="123">
        <f t="shared" si="39"/>
        <v>3.3</v>
      </c>
      <c r="I147" s="123">
        <f t="shared" si="39"/>
        <v>3.3</v>
      </c>
      <c r="J147" s="123">
        <f t="shared" si="39"/>
        <v>3.3</v>
      </c>
      <c r="K147" s="123">
        <f t="shared" si="39"/>
        <v>3.3</v>
      </c>
      <c r="L147" s="123">
        <f t="shared" si="39"/>
        <v>3.3</v>
      </c>
      <c r="M147" s="123">
        <f t="shared" si="39"/>
        <v>3.3</v>
      </c>
      <c r="N147" s="123">
        <f t="shared" si="39"/>
        <v>3.3</v>
      </c>
      <c r="O147" s="123">
        <f t="shared" si="39"/>
        <v>3.3</v>
      </c>
      <c r="P147" s="123">
        <f t="shared" si="39"/>
        <v>3.3</v>
      </c>
      <c r="Q147" s="123">
        <f t="shared" si="39"/>
        <v>3.3</v>
      </c>
      <c r="R147" s="123">
        <f t="shared" si="39"/>
        <v>3.3</v>
      </c>
      <c r="S147" s="123">
        <f t="shared" si="39"/>
        <v>3.3</v>
      </c>
      <c r="T147" s="123">
        <f t="shared" si="40"/>
        <v>3.3</v>
      </c>
      <c r="U147" s="123">
        <f t="shared" si="40"/>
        <v>3.3</v>
      </c>
      <c r="V147" s="123">
        <f t="shared" si="40"/>
        <v>3.3</v>
      </c>
      <c r="W147" s="123">
        <f t="shared" si="40"/>
        <v>3.3</v>
      </c>
      <c r="X147" s="123">
        <f t="shared" si="40"/>
        <v>3.3</v>
      </c>
      <c r="Y147" s="123">
        <f t="shared" si="40"/>
        <v>3.3</v>
      </c>
      <c r="Z147" s="123">
        <f t="shared" si="40"/>
        <v>3.3</v>
      </c>
      <c r="AA147" s="123">
        <f t="shared" si="40"/>
        <v>3.3</v>
      </c>
      <c r="AB147" s="123">
        <f t="shared" si="40"/>
        <v>3.3</v>
      </c>
      <c r="AC147" s="123">
        <f t="shared" si="40"/>
        <v>3.3</v>
      </c>
      <c r="AD147" s="123">
        <f t="shared" si="40"/>
        <v>3.3</v>
      </c>
      <c r="AE147" s="123">
        <f t="shared" si="40"/>
        <v>3.3</v>
      </c>
      <c r="AF147" s="123">
        <f t="shared" si="40"/>
        <v>3.3</v>
      </c>
      <c r="AG147" s="126">
        <v>4.4000000000000004</v>
      </c>
      <c r="AH147" s="54"/>
      <c r="AI147" s="55"/>
      <c r="AK147" s="56"/>
    </row>
    <row r="148" spans="1:37" x14ac:dyDescent="0.25">
      <c r="A148" s="111" t="s">
        <v>153</v>
      </c>
      <c r="B148" s="123"/>
      <c r="C148" s="124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6">
        <v>4.3600000000000003</v>
      </c>
      <c r="AH148" s="54"/>
      <c r="AI148" s="55"/>
      <c r="AK148" s="56"/>
    </row>
    <row r="149" spans="1:37" x14ac:dyDescent="0.25">
      <c r="A149" s="111" t="s">
        <v>154</v>
      </c>
      <c r="B149" s="123">
        <f>AF149</f>
        <v>1.76</v>
      </c>
      <c r="C149" s="124">
        <v>1.76</v>
      </c>
      <c r="D149" s="123">
        <f t="shared" ref="D149:S150" si="41">C149</f>
        <v>1.76</v>
      </c>
      <c r="E149" s="123">
        <f t="shared" si="41"/>
        <v>1.76</v>
      </c>
      <c r="F149" s="123">
        <f t="shared" si="41"/>
        <v>1.76</v>
      </c>
      <c r="G149" s="123">
        <f t="shared" si="41"/>
        <v>1.76</v>
      </c>
      <c r="H149" s="123">
        <f t="shared" si="41"/>
        <v>1.76</v>
      </c>
      <c r="I149" s="123">
        <f t="shared" si="41"/>
        <v>1.76</v>
      </c>
      <c r="J149" s="123">
        <f t="shared" si="41"/>
        <v>1.76</v>
      </c>
      <c r="K149" s="123">
        <f t="shared" si="41"/>
        <v>1.76</v>
      </c>
      <c r="L149" s="123">
        <f t="shared" si="41"/>
        <v>1.76</v>
      </c>
      <c r="M149" s="123">
        <f t="shared" si="41"/>
        <v>1.76</v>
      </c>
      <c r="N149" s="123">
        <f t="shared" si="41"/>
        <v>1.76</v>
      </c>
      <c r="O149" s="123">
        <f t="shared" si="41"/>
        <v>1.76</v>
      </c>
      <c r="P149" s="123">
        <f t="shared" si="41"/>
        <v>1.76</v>
      </c>
      <c r="Q149" s="123">
        <f t="shared" si="41"/>
        <v>1.76</v>
      </c>
      <c r="R149" s="123">
        <f t="shared" si="41"/>
        <v>1.76</v>
      </c>
      <c r="S149" s="123">
        <f t="shared" si="41"/>
        <v>1.76</v>
      </c>
      <c r="T149" s="123">
        <f t="shared" ref="T149:AF150" si="42">S149</f>
        <v>1.76</v>
      </c>
      <c r="U149" s="123">
        <f t="shared" si="42"/>
        <v>1.76</v>
      </c>
      <c r="V149" s="123">
        <f t="shared" si="42"/>
        <v>1.76</v>
      </c>
      <c r="W149" s="123">
        <f t="shared" si="42"/>
        <v>1.76</v>
      </c>
      <c r="X149" s="123">
        <f t="shared" si="42"/>
        <v>1.76</v>
      </c>
      <c r="Y149" s="123">
        <f t="shared" si="42"/>
        <v>1.76</v>
      </c>
      <c r="Z149" s="123">
        <f t="shared" si="42"/>
        <v>1.76</v>
      </c>
      <c r="AA149" s="123">
        <f t="shared" si="42"/>
        <v>1.76</v>
      </c>
      <c r="AB149" s="123">
        <f t="shared" si="42"/>
        <v>1.76</v>
      </c>
      <c r="AC149" s="123">
        <f t="shared" si="42"/>
        <v>1.76</v>
      </c>
      <c r="AD149" s="123">
        <f t="shared" si="42"/>
        <v>1.76</v>
      </c>
      <c r="AE149" s="123">
        <f t="shared" si="42"/>
        <v>1.76</v>
      </c>
      <c r="AF149" s="123">
        <f t="shared" si="42"/>
        <v>1.76</v>
      </c>
      <c r="AG149" s="126">
        <v>4.2</v>
      </c>
      <c r="AH149" s="54"/>
      <c r="AI149" s="55"/>
      <c r="AK149" s="56"/>
    </row>
    <row r="150" spans="1:37" x14ac:dyDescent="0.25">
      <c r="A150" s="111" t="s">
        <v>155</v>
      </c>
      <c r="B150" s="123">
        <f>AF150</f>
        <v>0</v>
      </c>
      <c r="C150" s="124">
        <v>0</v>
      </c>
      <c r="D150" s="123">
        <f t="shared" si="41"/>
        <v>0</v>
      </c>
      <c r="E150" s="123">
        <f t="shared" si="41"/>
        <v>0</v>
      </c>
      <c r="F150" s="123">
        <f t="shared" si="41"/>
        <v>0</v>
      </c>
      <c r="G150" s="123">
        <f t="shared" si="41"/>
        <v>0</v>
      </c>
      <c r="H150" s="123">
        <f t="shared" si="41"/>
        <v>0</v>
      </c>
      <c r="I150" s="123">
        <f t="shared" si="41"/>
        <v>0</v>
      </c>
      <c r="J150" s="123">
        <f t="shared" si="41"/>
        <v>0</v>
      </c>
      <c r="K150" s="123">
        <f t="shared" si="41"/>
        <v>0</v>
      </c>
      <c r="L150" s="123">
        <f t="shared" si="41"/>
        <v>0</v>
      </c>
      <c r="M150" s="123">
        <f t="shared" si="41"/>
        <v>0</v>
      </c>
      <c r="N150" s="123">
        <f t="shared" si="41"/>
        <v>0</v>
      </c>
      <c r="O150" s="123">
        <f t="shared" si="41"/>
        <v>0</v>
      </c>
      <c r="P150" s="123">
        <f t="shared" si="41"/>
        <v>0</v>
      </c>
      <c r="Q150" s="123">
        <f t="shared" si="41"/>
        <v>0</v>
      </c>
      <c r="R150" s="123">
        <f t="shared" si="41"/>
        <v>0</v>
      </c>
      <c r="S150" s="123">
        <f t="shared" si="41"/>
        <v>0</v>
      </c>
      <c r="T150" s="123">
        <f t="shared" si="42"/>
        <v>0</v>
      </c>
      <c r="U150" s="123">
        <f t="shared" si="42"/>
        <v>0</v>
      </c>
      <c r="V150" s="123">
        <f t="shared" si="42"/>
        <v>0</v>
      </c>
      <c r="W150" s="123">
        <f t="shared" si="42"/>
        <v>0</v>
      </c>
      <c r="X150" s="123">
        <f t="shared" si="42"/>
        <v>0</v>
      </c>
      <c r="Y150" s="123">
        <f t="shared" si="42"/>
        <v>0</v>
      </c>
      <c r="Z150" s="123">
        <f t="shared" si="42"/>
        <v>0</v>
      </c>
      <c r="AA150" s="123">
        <f t="shared" si="42"/>
        <v>0</v>
      </c>
      <c r="AB150" s="123">
        <f t="shared" si="42"/>
        <v>0</v>
      </c>
      <c r="AC150" s="123">
        <f t="shared" si="42"/>
        <v>0</v>
      </c>
      <c r="AD150" s="123">
        <f t="shared" si="42"/>
        <v>0</v>
      </c>
      <c r="AE150" s="123">
        <f t="shared" si="42"/>
        <v>0</v>
      </c>
      <c r="AF150" s="123">
        <f t="shared" si="42"/>
        <v>0</v>
      </c>
      <c r="AG150" s="126">
        <v>4</v>
      </c>
      <c r="AH150" s="54"/>
      <c r="AI150" s="55"/>
      <c r="AK150" s="56"/>
    </row>
    <row r="151" spans="1:37" x14ac:dyDescent="0.25">
      <c r="A151" s="111" t="s">
        <v>156</v>
      </c>
      <c r="B151" s="123"/>
      <c r="C151" s="124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6">
        <v>4</v>
      </c>
      <c r="AH151" s="54"/>
      <c r="AI151" s="55"/>
      <c r="AK151" s="56"/>
    </row>
    <row r="152" spans="1:37" x14ac:dyDescent="0.25">
      <c r="A152" s="111" t="s">
        <v>157</v>
      </c>
      <c r="B152" s="123">
        <f>AF152</f>
        <v>0.1</v>
      </c>
      <c r="C152" s="124">
        <v>0.1</v>
      </c>
      <c r="D152" s="123">
        <f t="shared" ref="D152:S155" si="43">C152</f>
        <v>0.1</v>
      </c>
      <c r="E152" s="123">
        <f t="shared" si="43"/>
        <v>0.1</v>
      </c>
      <c r="F152" s="123">
        <f t="shared" si="43"/>
        <v>0.1</v>
      </c>
      <c r="G152" s="123">
        <f t="shared" si="43"/>
        <v>0.1</v>
      </c>
      <c r="H152" s="123">
        <f t="shared" si="43"/>
        <v>0.1</v>
      </c>
      <c r="I152" s="123">
        <f t="shared" si="43"/>
        <v>0.1</v>
      </c>
      <c r="J152" s="123">
        <f t="shared" si="43"/>
        <v>0.1</v>
      </c>
      <c r="K152" s="123">
        <f t="shared" si="43"/>
        <v>0.1</v>
      </c>
      <c r="L152" s="123">
        <f t="shared" si="43"/>
        <v>0.1</v>
      </c>
      <c r="M152" s="123">
        <f t="shared" si="43"/>
        <v>0.1</v>
      </c>
      <c r="N152" s="123">
        <f t="shared" si="43"/>
        <v>0.1</v>
      </c>
      <c r="O152" s="123">
        <f t="shared" si="43"/>
        <v>0.1</v>
      </c>
      <c r="P152" s="123">
        <f t="shared" si="43"/>
        <v>0.1</v>
      </c>
      <c r="Q152" s="123">
        <f t="shared" si="43"/>
        <v>0.1</v>
      </c>
      <c r="R152" s="123">
        <f t="shared" si="43"/>
        <v>0.1</v>
      </c>
      <c r="S152" s="123">
        <f t="shared" si="43"/>
        <v>0.1</v>
      </c>
      <c r="T152" s="123">
        <f t="shared" ref="T152:AF155" si="44">S152</f>
        <v>0.1</v>
      </c>
      <c r="U152" s="123">
        <f t="shared" si="44"/>
        <v>0.1</v>
      </c>
      <c r="V152" s="123">
        <f t="shared" si="44"/>
        <v>0.1</v>
      </c>
      <c r="W152" s="123">
        <f t="shared" si="44"/>
        <v>0.1</v>
      </c>
      <c r="X152" s="123">
        <f t="shared" si="44"/>
        <v>0.1</v>
      </c>
      <c r="Y152" s="123">
        <f t="shared" si="44"/>
        <v>0.1</v>
      </c>
      <c r="Z152" s="123">
        <f t="shared" si="44"/>
        <v>0.1</v>
      </c>
      <c r="AA152" s="123">
        <f t="shared" si="44"/>
        <v>0.1</v>
      </c>
      <c r="AB152" s="123">
        <f t="shared" si="44"/>
        <v>0.1</v>
      </c>
      <c r="AC152" s="123">
        <f t="shared" si="44"/>
        <v>0.1</v>
      </c>
      <c r="AD152" s="123">
        <f t="shared" si="44"/>
        <v>0.1</v>
      </c>
      <c r="AE152" s="123">
        <f t="shared" si="44"/>
        <v>0.1</v>
      </c>
      <c r="AF152" s="123">
        <f t="shared" si="44"/>
        <v>0.1</v>
      </c>
      <c r="AG152" s="126">
        <v>4</v>
      </c>
      <c r="AH152" s="54"/>
      <c r="AI152" s="55"/>
      <c r="AK152" s="56"/>
    </row>
    <row r="153" spans="1:37" x14ac:dyDescent="0.25">
      <c r="A153" s="111" t="s">
        <v>158</v>
      </c>
      <c r="B153" s="123">
        <f>AF153</f>
        <v>2.0499999999999998</v>
      </c>
      <c r="C153" s="124">
        <v>2.0499999999999998</v>
      </c>
      <c r="D153" s="123">
        <f t="shared" si="43"/>
        <v>2.0499999999999998</v>
      </c>
      <c r="E153" s="123">
        <f t="shared" si="43"/>
        <v>2.0499999999999998</v>
      </c>
      <c r="F153" s="123">
        <f t="shared" si="43"/>
        <v>2.0499999999999998</v>
      </c>
      <c r="G153" s="123">
        <f t="shared" si="43"/>
        <v>2.0499999999999998</v>
      </c>
      <c r="H153" s="123">
        <f t="shared" si="43"/>
        <v>2.0499999999999998</v>
      </c>
      <c r="I153" s="123">
        <f t="shared" si="43"/>
        <v>2.0499999999999998</v>
      </c>
      <c r="J153" s="123">
        <f t="shared" si="43"/>
        <v>2.0499999999999998</v>
      </c>
      <c r="K153" s="123">
        <f t="shared" si="43"/>
        <v>2.0499999999999998</v>
      </c>
      <c r="L153" s="123">
        <f t="shared" si="43"/>
        <v>2.0499999999999998</v>
      </c>
      <c r="M153" s="123">
        <f t="shared" si="43"/>
        <v>2.0499999999999998</v>
      </c>
      <c r="N153" s="123">
        <f t="shared" si="43"/>
        <v>2.0499999999999998</v>
      </c>
      <c r="O153" s="123">
        <f t="shared" si="43"/>
        <v>2.0499999999999998</v>
      </c>
      <c r="P153" s="123">
        <f t="shared" si="43"/>
        <v>2.0499999999999998</v>
      </c>
      <c r="Q153" s="123">
        <f t="shared" si="43"/>
        <v>2.0499999999999998</v>
      </c>
      <c r="R153" s="123">
        <f t="shared" si="43"/>
        <v>2.0499999999999998</v>
      </c>
      <c r="S153" s="123">
        <f t="shared" si="43"/>
        <v>2.0499999999999998</v>
      </c>
      <c r="T153" s="123">
        <f t="shared" si="44"/>
        <v>2.0499999999999998</v>
      </c>
      <c r="U153" s="123">
        <f t="shared" si="44"/>
        <v>2.0499999999999998</v>
      </c>
      <c r="V153" s="123">
        <f t="shared" si="44"/>
        <v>2.0499999999999998</v>
      </c>
      <c r="W153" s="123">
        <f t="shared" si="44"/>
        <v>2.0499999999999998</v>
      </c>
      <c r="X153" s="123">
        <f t="shared" si="44"/>
        <v>2.0499999999999998</v>
      </c>
      <c r="Y153" s="123">
        <f t="shared" si="44"/>
        <v>2.0499999999999998</v>
      </c>
      <c r="Z153" s="123">
        <f t="shared" si="44"/>
        <v>2.0499999999999998</v>
      </c>
      <c r="AA153" s="123">
        <f t="shared" si="44"/>
        <v>2.0499999999999998</v>
      </c>
      <c r="AB153" s="123">
        <f t="shared" si="44"/>
        <v>2.0499999999999998</v>
      </c>
      <c r="AC153" s="123">
        <f t="shared" si="44"/>
        <v>2.0499999999999998</v>
      </c>
      <c r="AD153" s="123">
        <f t="shared" si="44"/>
        <v>2.0499999999999998</v>
      </c>
      <c r="AE153" s="123">
        <f t="shared" si="44"/>
        <v>2.0499999999999998</v>
      </c>
      <c r="AF153" s="123">
        <f t="shared" si="44"/>
        <v>2.0499999999999998</v>
      </c>
      <c r="AG153" s="126">
        <v>4</v>
      </c>
      <c r="AH153" s="54"/>
      <c r="AI153" s="55"/>
      <c r="AK153" s="56"/>
    </row>
    <row r="154" spans="1:37" x14ac:dyDescent="0.25">
      <c r="A154" s="111" t="s">
        <v>159</v>
      </c>
      <c r="B154" s="123">
        <f>AF154</f>
        <v>2.7</v>
      </c>
      <c r="C154" s="124">
        <v>2.7</v>
      </c>
      <c r="D154" s="123">
        <f t="shared" si="43"/>
        <v>2.7</v>
      </c>
      <c r="E154" s="123">
        <f t="shared" si="43"/>
        <v>2.7</v>
      </c>
      <c r="F154" s="123">
        <f t="shared" si="43"/>
        <v>2.7</v>
      </c>
      <c r="G154" s="123">
        <f t="shared" si="43"/>
        <v>2.7</v>
      </c>
      <c r="H154" s="123">
        <f t="shared" si="43"/>
        <v>2.7</v>
      </c>
      <c r="I154" s="123">
        <f t="shared" si="43"/>
        <v>2.7</v>
      </c>
      <c r="J154" s="123">
        <f t="shared" si="43"/>
        <v>2.7</v>
      </c>
      <c r="K154" s="123">
        <f t="shared" si="43"/>
        <v>2.7</v>
      </c>
      <c r="L154" s="123">
        <f t="shared" si="43"/>
        <v>2.7</v>
      </c>
      <c r="M154" s="123">
        <f t="shared" si="43"/>
        <v>2.7</v>
      </c>
      <c r="N154" s="123">
        <f t="shared" si="43"/>
        <v>2.7</v>
      </c>
      <c r="O154" s="123">
        <f t="shared" si="43"/>
        <v>2.7</v>
      </c>
      <c r="P154" s="123">
        <f t="shared" si="43"/>
        <v>2.7</v>
      </c>
      <c r="Q154" s="123">
        <f t="shared" si="43"/>
        <v>2.7</v>
      </c>
      <c r="R154" s="123">
        <f t="shared" si="43"/>
        <v>2.7</v>
      </c>
      <c r="S154" s="123">
        <f t="shared" si="43"/>
        <v>2.7</v>
      </c>
      <c r="T154" s="123">
        <f t="shared" si="44"/>
        <v>2.7</v>
      </c>
      <c r="U154" s="123">
        <f t="shared" si="44"/>
        <v>2.7</v>
      </c>
      <c r="V154" s="123">
        <f t="shared" si="44"/>
        <v>2.7</v>
      </c>
      <c r="W154" s="123">
        <f t="shared" si="44"/>
        <v>2.7</v>
      </c>
      <c r="X154" s="123">
        <f t="shared" si="44"/>
        <v>2.7</v>
      </c>
      <c r="Y154" s="123">
        <f t="shared" si="44"/>
        <v>2.7</v>
      </c>
      <c r="Z154" s="123">
        <f t="shared" si="44"/>
        <v>2.7</v>
      </c>
      <c r="AA154" s="123">
        <f t="shared" si="44"/>
        <v>2.7</v>
      </c>
      <c r="AB154" s="123">
        <f t="shared" si="44"/>
        <v>2.7</v>
      </c>
      <c r="AC154" s="123">
        <f t="shared" si="44"/>
        <v>2.7</v>
      </c>
      <c r="AD154" s="123">
        <f t="shared" si="44"/>
        <v>2.7</v>
      </c>
      <c r="AE154" s="123">
        <f t="shared" si="44"/>
        <v>2.7</v>
      </c>
      <c r="AF154" s="123">
        <f t="shared" si="44"/>
        <v>2.7</v>
      </c>
      <c r="AG154" s="126">
        <v>4</v>
      </c>
      <c r="AH154" s="54"/>
      <c r="AI154" s="55"/>
      <c r="AK154" s="56"/>
    </row>
    <row r="155" spans="1:37" x14ac:dyDescent="0.25">
      <c r="A155" s="111" t="s">
        <v>160</v>
      </c>
      <c r="B155" s="123">
        <f>AF155</f>
        <v>2.15</v>
      </c>
      <c r="C155" s="124">
        <v>2.15</v>
      </c>
      <c r="D155" s="123">
        <f t="shared" si="43"/>
        <v>2.15</v>
      </c>
      <c r="E155" s="123">
        <f t="shared" si="43"/>
        <v>2.15</v>
      </c>
      <c r="F155" s="123">
        <f t="shared" si="43"/>
        <v>2.15</v>
      </c>
      <c r="G155" s="123">
        <f t="shared" si="43"/>
        <v>2.15</v>
      </c>
      <c r="H155" s="123">
        <f t="shared" si="43"/>
        <v>2.15</v>
      </c>
      <c r="I155" s="123">
        <f t="shared" si="43"/>
        <v>2.15</v>
      </c>
      <c r="J155" s="123">
        <f t="shared" si="43"/>
        <v>2.15</v>
      </c>
      <c r="K155" s="123">
        <f t="shared" si="43"/>
        <v>2.15</v>
      </c>
      <c r="L155" s="123">
        <f t="shared" si="43"/>
        <v>2.15</v>
      </c>
      <c r="M155" s="123">
        <f t="shared" si="43"/>
        <v>2.15</v>
      </c>
      <c r="N155" s="123">
        <f t="shared" si="43"/>
        <v>2.15</v>
      </c>
      <c r="O155" s="123">
        <f t="shared" si="43"/>
        <v>2.15</v>
      </c>
      <c r="P155" s="123">
        <f t="shared" si="43"/>
        <v>2.15</v>
      </c>
      <c r="Q155" s="123">
        <f t="shared" si="43"/>
        <v>2.15</v>
      </c>
      <c r="R155" s="123">
        <f t="shared" si="43"/>
        <v>2.15</v>
      </c>
      <c r="S155" s="123">
        <f t="shared" si="43"/>
        <v>2.15</v>
      </c>
      <c r="T155" s="123">
        <f t="shared" si="44"/>
        <v>2.15</v>
      </c>
      <c r="U155" s="123">
        <f t="shared" si="44"/>
        <v>2.15</v>
      </c>
      <c r="V155" s="123">
        <f t="shared" si="44"/>
        <v>2.15</v>
      </c>
      <c r="W155" s="123">
        <f t="shared" si="44"/>
        <v>2.15</v>
      </c>
      <c r="X155" s="123">
        <f t="shared" si="44"/>
        <v>2.15</v>
      </c>
      <c r="Y155" s="123">
        <f t="shared" si="44"/>
        <v>2.15</v>
      </c>
      <c r="Z155" s="123">
        <f t="shared" si="44"/>
        <v>2.15</v>
      </c>
      <c r="AA155" s="123">
        <f t="shared" si="44"/>
        <v>2.15</v>
      </c>
      <c r="AB155" s="123">
        <f t="shared" si="44"/>
        <v>2.15</v>
      </c>
      <c r="AC155" s="123">
        <f t="shared" si="44"/>
        <v>2.15</v>
      </c>
      <c r="AD155" s="123">
        <f t="shared" si="44"/>
        <v>2.15</v>
      </c>
      <c r="AE155" s="123">
        <f t="shared" si="44"/>
        <v>2.15</v>
      </c>
      <c r="AF155" s="123">
        <f t="shared" si="44"/>
        <v>2.15</v>
      </c>
      <c r="AG155" s="126">
        <v>4</v>
      </c>
      <c r="AH155" s="54"/>
      <c r="AI155" s="55"/>
      <c r="AK155" s="56"/>
    </row>
    <row r="156" spans="1:37" x14ac:dyDescent="0.25">
      <c r="A156" s="111" t="s">
        <v>161</v>
      </c>
      <c r="B156" s="123"/>
      <c r="C156" s="124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6">
        <v>4</v>
      </c>
      <c r="AH156" s="54"/>
      <c r="AI156" s="55"/>
      <c r="AK156" s="56"/>
    </row>
    <row r="157" spans="1:37" x14ac:dyDescent="0.25">
      <c r="A157" s="111" t="s">
        <v>162</v>
      </c>
      <c r="B157" s="123">
        <f t="shared" ref="B157:B169" si="45">AF157</f>
        <v>0.9</v>
      </c>
      <c r="C157" s="124">
        <v>0.9</v>
      </c>
      <c r="D157" s="123">
        <f t="shared" ref="D157:S169" si="46">C157</f>
        <v>0.9</v>
      </c>
      <c r="E157" s="123">
        <f t="shared" si="46"/>
        <v>0.9</v>
      </c>
      <c r="F157" s="123">
        <f t="shared" si="46"/>
        <v>0.9</v>
      </c>
      <c r="G157" s="123">
        <f t="shared" si="46"/>
        <v>0.9</v>
      </c>
      <c r="H157" s="123">
        <f t="shared" si="46"/>
        <v>0.9</v>
      </c>
      <c r="I157" s="123">
        <f t="shared" si="46"/>
        <v>0.9</v>
      </c>
      <c r="J157" s="123">
        <f t="shared" si="46"/>
        <v>0.9</v>
      </c>
      <c r="K157" s="123">
        <f t="shared" si="46"/>
        <v>0.9</v>
      </c>
      <c r="L157" s="123">
        <f t="shared" si="46"/>
        <v>0.9</v>
      </c>
      <c r="M157" s="123">
        <f t="shared" si="46"/>
        <v>0.9</v>
      </c>
      <c r="N157" s="123">
        <f t="shared" si="46"/>
        <v>0.9</v>
      </c>
      <c r="O157" s="123">
        <f t="shared" si="46"/>
        <v>0.9</v>
      </c>
      <c r="P157" s="123">
        <f t="shared" si="46"/>
        <v>0.9</v>
      </c>
      <c r="Q157" s="123">
        <f t="shared" si="46"/>
        <v>0.9</v>
      </c>
      <c r="R157" s="123">
        <f t="shared" si="46"/>
        <v>0.9</v>
      </c>
      <c r="S157" s="123">
        <f t="shared" si="46"/>
        <v>0.9</v>
      </c>
      <c r="T157" s="123">
        <f t="shared" ref="S157:AF169" si="47">S157</f>
        <v>0.9</v>
      </c>
      <c r="U157" s="123">
        <f t="shared" si="47"/>
        <v>0.9</v>
      </c>
      <c r="V157" s="123">
        <f t="shared" si="47"/>
        <v>0.9</v>
      </c>
      <c r="W157" s="123">
        <f t="shared" si="47"/>
        <v>0.9</v>
      </c>
      <c r="X157" s="123">
        <f t="shared" si="47"/>
        <v>0.9</v>
      </c>
      <c r="Y157" s="123">
        <f t="shared" si="47"/>
        <v>0.9</v>
      </c>
      <c r="Z157" s="123">
        <f t="shared" si="47"/>
        <v>0.9</v>
      </c>
      <c r="AA157" s="123">
        <f t="shared" si="47"/>
        <v>0.9</v>
      </c>
      <c r="AB157" s="123">
        <f t="shared" si="47"/>
        <v>0.9</v>
      </c>
      <c r="AC157" s="123">
        <f t="shared" si="47"/>
        <v>0.9</v>
      </c>
      <c r="AD157" s="123">
        <f t="shared" si="47"/>
        <v>0.9</v>
      </c>
      <c r="AE157" s="123">
        <f t="shared" si="47"/>
        <v>0.9</v>
      </c>
      <c r="AF157" s="123">
        <f t="shared" si="47"/>
        <v>0.9</v>
      </c>
      <c r="AG157" s="126">
        <v>4</v>
      </c>
      <c r="AH157" s="54"/>
      <c r="AI157" s="55"/>
      <c r="AK157" s="56"/>
    </row>
    <row r="158" spans="1:37" x14ac:dyDescent="0.25">
      <c r="A158" s="111" t="s">
        <v>163</v>
      </c>
      <c r="B158" s="123">
        <f t="shared" si="45"/>
        <v>1.08</v>
      </c>
      <c r="C158" s="124">
        <v>1.08</v>
      </c>
      <c r="D158" s="123">
        <f t="shared" si="46"/>
        <v>1.08</v>
      </c>
      <c r="E158" s="123">
        <f t="shared" si="46"/>
        <v>1.08</v>
      </c>
      <c r="F158" s="123">
        <f t="shared" si="46"/>
        <v>1.08</v>
      </c>
      <c r="G158" s="123">
        <f t="shared" si="46"/>
        <v>1.08</v>
      </c>
      <c r="H158" s="123">
        <f t="shared" si="46"/>
        <v>1.08</v>
      </c>
      <c r="I158" s="123">
        <f t="shared" si="46"/>
        <v>1.08</v>
      </c>
      <c r="J158" s="123">
        <f t="shared" si="46"/>
        <v>1.08</v>
      </c>
      <c r="K158" s="123">
        <f t="shared" si="46"/>
        <v>1.08</v>
      </c>
      <c r="L158" s="123">
        <f t="shared" si="46"/>
        <v>1.08</v>
      </c>
      <c r="M158" s="123">
        <f t="shared" si="46"/>
        <v>1.08</v>
      </c>
      <c r="N158" s="123">
        <f t="shared" si="46"/>
        <v>1.08</v>
      </c>
      <c r="O158" s="123">
        <f t="shared" si="46"/>
        <v>1.08</v>
      </c>
      <c r="P158" s="123">
        <f t="shared" si="46"/>
        <v>1.08</v>
      </c>
      <c r="Q158" s="123">
        <f t="shared" si="46"/>
        <v>1.08</v>
      </c>
      <c r="R158" s="123">
        <f t="shared" si="46"/>
        <v>1.08</v>
      </c>
      <c r="S158" s="123">
        <f t="shared" si="46"/>
        <v>1.08</v>
      </c>
      <c r="T158" s="123">
        <f t="shared" si="47"/>
        <v>1.08</v>
      </c>
      <c r="U158" s="123">
        <f t="shared" si="47"/>
        <v>1.08</v>
      </c>
      <c r="V158" s="123">
        <f t="shared" si="47"/>
        <v>1.08</v>
      </c>
      <c r="W158" s="123">
        <f t="shared" si="47"/>
        <v>1.08</v>
      </c>
      <c r="X158" s="123">
        <f t="shared" si="47"/>
        <v>1.08</v>
      </c>
      <c r="Y158" s="123">
        <f t="shared" si="47"/>
        <v>1.08</v>
      </c>
      <c r="Z158" s="123">
        <f t="shared" si="47"/>
        <v>1.08</v>
      </c>
      <c r="AA158" s="123">
        <f t="shared" si="47"/>
        <v>1.08</v>
      </c>
      <c r="AB158" s="123">
        <f t="shared" si="47"/>
        <v>1.08</v>
      </c>
      <c r="AC158" s="123">
        <f t="shared" si="47"/>
        <v>1.08</v>
      </c>
      <c r="AD158" s="123">
        <f t="shared" si="47"/>
        <v>1.08</v>
      </c>
      <c r="AE158" s="123">
        <f t="shared" si="47"/>
        <v>1.08</v>
      </c>
      <c r="AF158" s="123">
        <f t="shared" si="47"/>
        <v>1.08</v>
      </c>
      <c r="AG158" s="126">
        <v>3.75</v>
      </c>
      <c r="AH158" s="54"/>
      <c r="AI158" s="55"/>
      <c r="AK158" s="56"/>
    </row>
    <row r="159" spans="1:37" x14ac:dyDescent="0.25">
      <c r="A159" s="111" t="s">
        <v>164</v>
      </c>
      <c r="B159" s="123">
        <f t="shared" si="45"/>
        <v>2.37</v>
      </c>
      <c r="C159" s="124">
        <v>2.37</v>
      </c>
      <c r="D159" s="123">
        <f t="shared" si="46"/>
        <v>2.37</v>
      </c>
      <c r="E159" s="123">
        <f t="shared" si="46"/>
        <v>2.37</v>
      </c>
      <c r="F159" s="123">
        <f t="shared" si="46"/>
        <v>2.37</v>
      </c>
      <c r="G159" s="123">
        <f t="shared" si="46"/>
        <v>2.37</v>
      </c>
      <c r="H159" s="123">
        <f t="shared" si="46"/>
        <v>2.37</v>
      </c>
      <c r="I159" s="123">
        <f t="shared" si="46"/>
        <v>2.37</v>
      </c>
      <c r="J159" s="123">
        <f t="shared" si="46"/>
        <v>2.37</v>
      </c>
      <c r="K159" s="123">
        <f t="shared" si="46"/>
        <v>2.37</v>
      </c>
      <c r="L159" s="123">
        <f t="shared" si="46"/>
        <v>2.37</v>
      </c>
      <c r="M159" s="123">
        <f t="shared" si="46"/>
        <v>2.37</v>
      </c>
      <c r="N159" s="123">
        <f t="shared" si="46"/>
        <v>2.37</v>
      </c>
      <c r="O159" s="123">
        <f t="shared" si="46"/>
        <v>2.37</v>
      </c>
      <c r="P159" s="123">
        <f t="shared" si="46"/>
        <v>2.37</v>
      </c>
      <c r="Q159" s="123">
        <f t="shared" si="46"/>
        <v>2.37</v>
      </c>
      <c r="R159" s="123">
        <f t="shared" si="46"/>
        <v>2.37</v>
      </c>
      <c r="S159" s="123">
        <f t="shared" si="46"/>
        <v>2.37</v>
      </c>
      <c r="T159" s="123">
        <f t="shared" si="47"/>
        <v>2.37</v>
      </c>
      <c r="U159" s="123">
        <f t="shared" si="47"/>
        <v>2.37</v>
      </c>
      <c r="V159" s="123">
        <f t="shared" si="47"/>
        <v>2.37</v>
      </c>
      <c r="W159" s="123">
        <f t="shared" si="47"/>
        <v>2.37</v>
      </c>
      <c r="X159" s="123">
        <f t="shared" si="47"/>
        <v>2.37</v>
      </c>
      <c r="Y159" s="123">
        <f t="shared" si="47"/>
        <v>2.37</v>
      </c>
      <c r="Z159" s="123">
        <f t="shared" si="47"/>
        <v>2.37</v>
      </c>
      <c r="AA159" s="123">
        <f t="shared" si="47"/>
        <v>2.37</v>
      </c>
      <c r="AB159" s="123">
        <f t="shared" si="47"/>
        <v>2.37</v>
      </c>
      <c r="AC159" s="123">
        <f t="shared" si="47"/>
        <v>2.37</v>
      </c>
      <c r="AD159" s="123">
        <f t="shared" si="47"/>
        <v>2.37</v>
      </c>
      <c r="AE159" s="123">
        <f t="shared" si="47"/>
        <v>2.37</v>
      </c>
      <c r="AF159" s="123">
        <f t="shared" si="47"/>
        <v>2.37</v>
      </c>
      <c r="AG159" s="126">
        <v>3.52</v>
      </c>
      <c r="AH159" s="54"/>
      <c r="AI159" s="55"/>
      <c r="AK159" s="56"/>
    </row>
    <row r="160" spans="1:37" x14ac:dyDescent="0.25">
      <c r="A160" s="111" t="s">
        <v>165</v>
      </c>
      <c r="B160" s="123">
        <f t="shared" si="45"/>
        <v>1.81</v>
      </c>
      <c r="C160" s="124">
        <v>1.81</v>
      </c>
      <c r="D160" s="123">
        <f t="shared" si="46"/>
        <v>1.81</v>
      </c>
      <c r="E160" s="123">
        <f t="shared" si="46"/>
        <v>1.81</v>
      </c>
      <c r="F160" s="123">
        <f t="shared" si="46"/>
        <v>1.81</v>
      </c>
      <c r="G160" s="123">
        <f t="shared" si="46"/>
        <v>1.81</v>
      </c>
      <c r="H160" s="123">
        <f t="shared" si="46"/>
        <v>1.81</v>
      </c>
      <c r="I160" s="123">
        <f t="shared" si="46"/>
        <v>1.81</v>
      </c>
      <c r="J160" s="123">
        <f t="shared" si="46"/>
        <v>1.81</v>
      </c>
      <c r="K160" s="123">
        <f t="shared" si="46"/>
        <v>1.81</v>
      </c>
      <c r="L160" s="123">
        <f t="shared" si="46"/>
        <v>1.81</v>
      </c>
      <c r="M160" s="123">
        <f t="shared" si="46"/>
        <v>1.81</v>
      </c>
      <c r="N160" s="123">
        <f t="shared" si="46"/>
        <v>1.81</v>
      </c>
      <c r="O160" s="123">
        <f t="shared" si="46"/>
        <v>1.81</v>
      </c>
      <c r="P160" s="123">
        <f t="shared" si="46"/>
        <v>1.81</v>
      </c>
      <c r="Q160" s="123">
        <f t="shared" si="46"/>
        <v>1.81</v>
      </c>
      <c r="R160" s="123">
        <f t="shared" si="46"/>
        <v>1.81</v>
      </c>
      <c r="S160" s="123">
        <f t="shared" si="46"/>
        <v>1.81</v>
      </c>
      <c r="T160" s="123">
        <f t="shared" si="47"/>
        <v>1.81</v>
      </c>
      <c r="U160" s="123">
        <f t="shared" si="47"/>
        <v>1.81</v>
      </c>
      <c r="V160" s="123">
        <f t="shared" si="47"/>
        <v>1.81</v>
      </c>
      <c r="W160" s="123">
        <f t="shared" si="47"/>
        <v>1.81</v>
      </c>
      <c r="X160" s="123">
        <f t="shared" si="47"/>
        <v>1.81</v>
      </c>
      <c r="Y160" s="123">
        <f t="shared" si="47"/>
        <v>1.81</v>
      </c>
      <c r="Z160" s="123">
        <f t="shared" si="47"/>
        <v>1.81</v>
      </c>
      <c r="AA160" s="123">
        <f t="shared" si="47"/>
        <v>1.81</v>
      </c>
      <c r="AB160" s="123">
        <f t="shared" si="47"/>
        <v>1.81</v>
      </c>
      <c r="AC160" s="123">
        <f t="shared" si="47"/>
        <v>1.81</v>
      </c>
      <c r="AD160" s="123">
        <f t="shared" si="47"/>
        <v>1.81</v>
      </c>
      <c r="AE160" s="123">
        <f t="shared" si="47"/>
        <v>1.81</v>
      </c>
      <c r="AF160" s="123">
        <f t="shared" si="47"/>
        <v>1.81</v>
      </c>
      <c r="AG160" s="126">
        <v>3.33</v>
      </c>
      <c r="AH160" s="54"/>
      <c r="AI160" s="55"/>
      <c r="AK160" s="56"/>
    </row>
    <row r="161" spans="1:37" x14ac:dyDescent="0.25">
      <c r="A161" s="111" t="s">
        <v>166</v>
      </c>
      <c r="B161" s="123">
        <f t="shared" si="45"/>
        <v>1.0900000000000001</v>
      </c>
      <c r="C161" s="124">
        <v>1.0900000000000001</v>
      </c>
      <c r="D161" s="123">
        <f t="shared" si="46"/>
        <v>1.0900000000000001</v>
      </c>
      <c r="E161" s="123">
        <f t="shared" si="46"/>
        <v>1.0900000000000001</v>
      </c>
      <c r="F161" s="123">
        <f t="shared" si="46"/>
        <v>1.0900000000000001</v>
      </c>
      <c r="G161" s="123">
        <f t="shared" si="46"/>
        <v>1.0900000000000001</v>
      </c>
      <c r="H161" s="123">
        <f t="shared" si="46"/>
        <v>1.0900000000000001</v>
      </c>
      <c r="I161" s="123">
        <f t="shared" si="46"/>
        <v>1.0900000000000001</v>
      </c>
      <c r="J161" s="123">
        <f t="shared" si="46"/>
        <v>1.0900000000000001</v>
      </c>
      <c r="K161" s="123">
        <f t="shared" si="46"/>
        <v>1.0900000000000001</v>
      </c>
      <c r="L161" s="123">
        <f t="shared" si="46"/>
        <v>1.0900000000000001</v>
      </c>
      <c r="M161" s="123">
        <f t="shared" si="46"/>
        <v>1.0900000000000001</v>
      </c>
      <c r="N161" s="123">
        <f t="shared" si="46"/>
        <v>1.0900000000000001</v>
      </c>
      <c r="O161" s="123">
        <f t="shared" si="46"/>
        <v>1.0900000000000001</v>
      </c>
      <c r="P161" s="123">
        <f t="shared" si="46"/>
        <v>1.0900000000000001</v>
      </c>
      <c r="Q161" s="123">
        <f t="shared" si="46"/>
        <v>1.0900000000000001</v>
      </c>
      <c r="R161" s="123">
        <f t="shared" si="46"/>
        <v>1.0900000000000001</v>
      </c>
      <c r="S161" s="123">
        <f t="shared" si="46"/>
        <v>1.0900000000000001</v>
      </c>
      <c r="T161" s="123">
        <f t="shared" si="47"/>
        <v>1.0900000000000001</v>
      </c>
      <c r="U161" s="123">
        <f t="shared" si="47"/>
        <v>1.0900000000000001</v>
      </c>
      <c r="V161" s="123">
        <f t="shared" si="47"/>
        <v>1.0900000000000001</v>
      </c>
      <c r="W161" s="123">
        <f t="shared" si="47"/>
        <v>1.0900000000000001</v>
      </c>
      <c r="X161" s="123">
        <f t="shared" si="47"/>
        <v>1.0900000000000001</v>
      </c>
      <c r="Y161" s="123">
        <f t="shared" si="47"/>
        <v>1.0900000000000001</v>
      </c>
      <c r="Z161" s="123">
        <f t="shared" si="47"/>
        <v>1.0900000000000001</v>
      </c>
      <c r="AA161" s="123">
        <f t="shared" si="47"/>
        <v>1.0900000000000001</v>
      </c>
      <c r="AB161" s="123">
        <f t="shared" si="47"/>
        <v>1.0900000000000001</v>
      </c>
      <c r="AC161" s="123">
        <f t="shared" si="47"/>
        <v>1.0900000000000001</v>
      </c>
      <c r="AD161" s="123">
        <f t="shared" si="47"/>
        <v>1.0900000000000001</v>
      </c>
      <c r="AE161" s="123">
        <f t="shared" si="47"/>
        <v>1.0900000000000001</v>
      </c>
      <c r="AF161" s="123">
        <f t="shared" si="47"/>
        <v>1.0900000000000001</v>
      </c>
      <c r="AG161" s="126">
        <v>3.2</v>
      </c>
      <c r="AH161" s="54"/>
      <c r="AI161" s="55"/>
      <c r="AK161" s="56"/>
    </row>
    <row r="162" spans="1:37" x14ac:dyDescent="0.25">
      <c r="A162" s="111" t="s">
        <v>167</v>
      </c>
      <c r="B162" s="123">
        <f t="shared" si="45"/>
        <v>1.58</v>
      </c>
      <c r="C162" s="124">
        <v>1.58</v>
      </c>
      <c r="D162" s="123">
        <f t="shared" si="46"/>
        <v>1.58</v>
      </c>
      <c r="E162" s="123">
        <f t="shared" si="46"/>
        <v>1.58</v>
      </c>
      <c r="F162" s="123">
        <f t="shared" si="46"/>
        <v>1.58</v>
      </c>
      <c r="G162" s="123">
        <f t="shared" si="46"/>
        <v>1.58</v>
      </c>
      <c r="H162" s="123">
        <f t="shared" si="46"/>
        <v>1.58</v>
      </c>
      <c r="I162" s="123">
        <f t="shared" si="46"/>
        <v>1.58</v>
      </c>
      <c r="J162" s="123">
        <f t="shared" si="46"/>
        <v>1.58</v>
      </c>
      <c r="K162" s="123">
        <f t="shared" si="46"/>
        <v>1.58</v>
      </c>
      <c r="L162" s="123">
        <f t="shared" si="46"/>
        <v>1.58</v>
      </c>
      <c r="M162" s="123">
        <f t="shared" si="46"/>
        <v>1.58</v>
      </c>
      <c r="N162" s="123">
        <f t="shared" si="46"/>
        <v>1.58</v>
      </c>
      <c r="O162" s="123">
        <f t="shared" si="46"/>
        <v>1.58</v>
      </c>
      <c r="P162" s="123">
        <f t="shared" si="46"/>
        <v>1.58</v>
      </c>
      <c r="Q162" s="123">
        <f t="shared" si="46"/>
        <v>1.58</v>
      </c>
      <c r="R162" s="123">
        <f t="shared" si="46"/>
        <v>1.58</v>
      </c>
      <c r="S162" s="123">
        <f t="shared" si="46"/>
        <v>1.58</v>
      </c>
      <c r="T162" s="123">
        <f t="shared" si="47"/>
        <v>1.58</v>
      </c>
      <c r="U162" s="123">
        <f t="shared" si="47"/>
        <v>1.58</v>
      </c>
      <c r="V162" s="123">
        <f t="shared" si="47"/>
        <v>1.58</v>
      </c>
      <c r="W162" s="123">
        <f t="shared" si="47"/>
        <v>1.58</v>
      </c>
      <c r="X162" s="123">
        <f t="shared" si="47"/>
        <v>1.58</v>
      </c>
      <c r="Y162" s="123">
        <f t="shared" si="47"/>
        <v>1.58</v>
      </c>
      <c r="Z162" s="123">
        <f t="shared" si="47"/>
        <v>1.58</v>
      </c>
      <c r="AA162" s="123">
        <f t="shared" si="47"/>
        <v>1.58</v>
      </c>
      <c r="AB162" s="123">
        <f t="shared" si="47"/>
        <v>1.58</v>
      </c>
      <c r="AC162" s="123">
        <f t="shared" si="47"/>
        <v>1.58</v>
      </c>
      <c r="AD162" s="123">
        <f t="shared" si="47"/>
        <v>1.58</v>
      </c>
      <c r="AE162" s="123">
        <f t="shared" si="47"/>
        <v>1.58</v>
      </c>
      <c r="AF162" s="123">
        <f t="shared" si="47"/>
        <v>1.58</v>
      </c>
      <c r="AG162" s="126">
        <v>3</v>
      </c>
      <c r="AH162" s="54"/>
      <c r="AI162" s="55"/>
      <c r="AK162" s="56"/>
    </row>
    <row r="163" spans="1:37" x14ac:dyDescent="0.25">
      <c r="A163" s="111" t="s">
        <v>168</v>
      </c>
      <c r="B163" s="123">
        <f t="shared" si="45"/>
        <v>2</v>
      </c>
      <c r="C163" s="124">
        <v>2</v>
      </c>
      <c r="D163" s="123">
        <f t="shared" si="46"/>
        <v>2</v>
      </c>
      <c r="E163" s="123">
        <f t="shared" si="46"/>
        <v>2</v>
      </c>
      <c r="F163" s="123">
        <f t="shared" si="46"/>
        <v>2</v>
      </c>
      <c r="G163" s="123">
        <f t="shared" si="46"/>
        <v>2</v>
      </c>
      <c r="H163" s="123">
        <f t="shared" si="46"/>
        <v>2</v>
      </c>
      <c r="I163" s="123">
        <f t="shared" si="46"/>
        <v>2</v>
      </c>
      <c r="J163" s="123">
        <f t="shared" si="46"/>
        <v>2</v>
      </c>
      <c r="K163" s="123">
        <f t="shared" si="46"/>
        <v>2</v>
      </c>
      <c r="L163" s="123">
        <f t="shared" si="46"/>
        <v>2</v>
      </c>
      <c r="M163" s="123">
        <f t="shared" si="46"/>
        <v>2</v>
      </c>
      <c r="N163" s="123">
        <f t="shared" si="46"/>
        <v>2</v>
      </c>
      <c r="O163" s="123">
        <f t="shared" si="46"/>
        <v>2</v>
      </c>
      <c r="P163" s="123">
        <f t="shared" si="46"/>
        <v>2</v>
      </c>
      <c r="Q163" s="123">
        <f t="shared" si="46"/>
        <v>2</v>
      </c>
      <c r="R163" s="123">
        <f t="shared" si="46"/>
        <v>2</v>
      </c>
      <c r="S163" s="123">
        <f t="shared" si="46"/>
        <v>2</v>
      </c>
      <c r="T163" s="123">
        <f t="shared" si="47"/>
        <v>2</v>
      </c>
      <c r="U163" s="123">
        <f t="shared" si="47"/>
        <v>2</v>
      </c>
      <c r="V163" s="123">
        <f t="shared" si="47"/>
        <v>2</v>
      </c>
      <c r="W163" s="123">
        <f t="shared" si="47"/>
        <v>2</v>
      </c>
      <c r="X163" s="123">
        <f t="shared" si="47"/>
        <v>2</v>
      </c>
      <c r="Y163" s="123">
        <f t="shared" si="47"/>
        <v>2</v>
      </c>
      <c r="Z163" s="123">
        <f t="shared" si="47"/>
        <v>2</v>
      </c>
      <c r="AA163" s="123">
        <f t="shared" si="47"/>
        <v>2</v>
      </c>
      <c r="AB163" s="123">
        <f t="shared" si="47"/>
        <v>2</v>
      </c>
      <c r="AC163" s="123">
        <f t="shared" si="47"/>
        <v>2</v>
      </c>
      <c r="AD163" s="123">
        <f t="shared" si="47"/>
        <v>2</v>
      </c>
      <c r="AE163" s="123">
        <f t="shared" si="47"/>
        <v>2</v>
      </c>
      <c r="AF163" s="123">
        <f t="shared" si="47"/>
        <v>2</v>
      </c>
      <c r="AG163" s="126">
        <v>3</v>
      </c>
      <c r="AH163" s="54"/>
      <c r="AI163" s="55"/>
      <c r="AK163" s="56"/>
    </row>
    <row r="164" spans="1:37" x14ac:dyDescent="0.25">
      <c r="A164" s="111" t="s">
        <v>169</v>
      </c>
      <c r="B164" s="123">
        <f t="shared" si="45"/>
        <v>0.47</v>
      </c>
      <c r="C164" s="124">
        <v>0.47</v>
      </c>
      <c r="D164" s="123">
        <f t="shared" si="46"/>
        <v>0.47</v>
      </c>
      <c r="E164" s="123">
        <f t="shared" si="46"/>
        <v>0.47</v>
      </c>
      <c r="F164" s="123">
        <f t="shared" si="46"/>
        <v>0.47</v>
      </c>
      <c r="G164" s="123">
        <f t="shared" si="46"/>
        <v>0.47</v>
      </c>
      <c r="H164" s="123">
        <f t="shared" si="46"/>
        <v>0.47</v>
      </c>
      <c r="I164" s="123">
        <f t="shared" si="46"/>
        <v>0.47</v>
      </c>
      <c r="J164" s="123">
        <f t="shared" si="46"/>
        <v>0.47</v>
      </c>
      <c r="K164" s="123">
        <f t="shared" si="46"/>
        <v>0.47</v>
      </c>
      <c r="L164" s="123">
        <f t="shared" si="46"/>
        <v>0.47</v>
      </c>
      <c r="M164" s="123">
        <f t="shared" si="46"/>
        <v>0.47</v>
      </c>
      <c r="N164" s="123">
        <f t="shared" si="46"/>
        <v>0.47</v>
      </c>
      <c r="O164" s="123">
        <f t="shared" si="46"/>
        <v>0.47</v>
      </c>
      <c r="P164" s="123">
        <f t="shared" si="46"/>
        <v>0.47</v>
      </c>
      <c r="Q164" s="123">
        <f t="shared" si="46"/>
        <v>0.47</v>
      </c>
      <c r="R164" s="123">
        <f t="shared" si="46"/>
        <v>0.47</v>
      </c>
      <c r="S164" s="123">
        <f t="shared" si="46"/>
        <v>0.47</v>
      </c>
      <c r="T164" s="123">
        <f t="shared" si="47"/>
        <v>0.47</v>
      </c>
      <c r="U164" s="123">
        <f t="shared" si="47"/>
        <v>0.47</v>
      </c>
      <c r="V164" s="123">
        <f t="shared" si="47"/>
        <v>0.47</v>
      </c>
      <c r="W164" s="123">
        <f t="shared" si="47"/>
        <v>0.47</v>
      </c>
      <c r="X164" s="123">
        <f t="shared" si="47"/>
        <v>0.47</v>
      </c>
      <c r="Y164" s="123">
        <f t="shared" si="47"/>
        <v>0.47</v>
      </c>
      <c r="Z164" s="123">
        <f t="shared" si="47"/>
        <v>0.47</v>
      </c>
      <c r="AA164" s="123">
        <f t="shared" si="47"/>
        <v>0.47</v>
      </c>
      <c r="AB164" s="123">
        <f t="shared" si="47"/>
        <v>0.47</v>
      </c>
      <c r="AC164" s="123">
        <f t="shared" si="47"/>
        <v>0.47</v>
      </c>
      <c r="AD164" s="123">
        <f t="shared" si="47"/>
        <v>0.47</v>
      </c>
      <c r="AE164" s="123">
        <f t="shared" si="47"/>
        <v>0.47</v>
      </c>
      <c r="AF164" s="123">
        <f t="shared" si="47"/>
        <v>0.47</v>
      </c>
      <c r="AG164" s="126">
        <v>3</v>
      </c>
      <c r="AH164" s="54"/>
      <c r="AI164" s="55"/>
      <c r="AK164" s="56"/>
    </row>
    <row r="165" spans="1:37" x14ac:dyDescent="0.25">
      <c r="A165" s="111" t="s">
        <v>170</v>
      </c>
      <c r="B165" s="123">
        <f t="shared" si="45"/>
        <v>0</v>
      </c>
      <c r="C165" s="124">
        <v>0</v>
      </c>
      <c r="D165" s="123">
        <f t="shared" si="46"/>
        <v>0</v>
      </c>
      <c r="E165" s="123">
        <f t="shared" si="46"/>
        <v>0</v>
      </c>
      <c r="F165" s="123">
        <f t="shared" si="46"/>
        <v>0</v>
      </c>
      <c r="G165" s="123">
        <f t="shared" si="46"/>
        <v>0</v>
      </c>
      <c r="H165" s="123">
        <f t="shared" si="46"/>
        <v>0</v>
      </c>
      <c r="I165" s="123">
        <f t="shared" si="46"/>
        <v>0</v>
      </c>
      <c r="J165" s="123">
        <f t="shared" si="46"/>
        <v>0</v>
      </c>
      <c r="K165" s="123">
        <f t="shared" si="46"/>
        <v>0</v>
      </c>
      <c r="L165" s="123">
        <f t="shared" si="46"/>
        <v>0</v>
      </c>
      <c r="M165" s="123">
        <f t="shared" si="46"/>
        <v>0</v>
      </c>
      <c r="N165" s="123">
        <f t="shared" si="46"/>
        <v>0</v>
      </c>
      <c r="O165" s="123">
        <f t="shared" si="46"/>
        <v>0</v>
      </c>
      <c r="P165" s="123">
        <f t="shared" si="46"/>
        <v>0</v>
      </c>
      <c r="Q165" s="123">
        <f t="shared" si="46"/>
        <v>0</v>
      </c>
      <c r="R165" s="123">
        <f t="shared" si="46"/>
        <v>0</v>
      </c>
      <c r="S165" s="123">
        <f t="shared" si="46"/>
        <v>0</v>
      </c>
      <c r="T165" s="123">
        <f t="shared" si="47"/>
        <v>0</v>
      </c>
      <c r="U165" s="123">
        <f t="shared" si="47"/>
        <v>0</v>
      </c>
      <c r="V165" s="123">
        <f t="shared" si="47"/>
        <v>0</v>
      </c>
      <c r="W165" s="123">
        <f t="shared" si="47"/>
        <v>0</v>
      </c>
      <c r="X165" s="123">
        <f t="shared" si="47"/>
        <v>0</v>
      </c>
      <c r="Y165" s="123">
        <f t="shared" si="47"/>
        <v>0</v>
      </c>
      <c r="Z165" s="123">
        <f t="shared" si="47"/>
        <v>0</v>
      </c>
      <c r="AA165" s="123">
        <f t="shared" si="47"/>
        <v>0</v>
      </c>
      <c r="AB165" s="123">
        <f t="shared" si="47"/>
        <v>0</v>
      </c>
      <c r="AC165" s="123">
        <f t="shared" si="47"/>
        <v>0</v>
      </c>
      <c r="AD165" s="123">
        <f t="shared" si="47"/>
        <v>0</v>
      </c>
      <c r="AE165" s="123">
        <f t="shared" si="47"/>
        <v>0</v>
      </c>
      <c r="AF165" s="123">
        <f t="shared" si="47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171</v>
      </c>
      <c r="B166" s="123">
        <f t="shared" si="45"/>
        <v>0</v>
      </c>
      <c r="C166" s="124">
        <v>0</v>
      </c>
      <c r="D166" s="123">
        <f t="shared" si="46"/>
        <v>0</v>
      </c>
      <c r="E166" s="123">
        <f t="shared" si="46"/>
        <v>0</v>
      </c>
      <c r="F166" s="123">
        <f t="shared" si="46"/>
        <v>0</v>
      </c>
      <c r="G166" s="123">
        <f t="shared" si="46"/>
        <v>0</v>
      </c>
      <c r="H166" s="123">
        <f t="shared" si="46"/>
        <v>0</v>
      </c>
      <c r="I166" s="123">
        <f t="shared" si="46"/>
        <v>0</v>
      </c>
      <c r="J166" s="123">
        <f t="shared" si="46"/>
        <v>0</v>
      </c>
      <c r="K166" s="123">
        <f t="shared" si="46"/>
        <v>0</v>
      </c>
      <c r="L166" s="123">
        <f t="shared" si="46"/>
        <v>0</v>
      </c>
      <c r="M166" s="123">
        <f t="shared" si="46"/>
        <v>0</v>
      </c>
      <c r="N166" s="123">
        <f t="shared" si="46"/>
        <v>0</v>
      </c>
      <c r="O166" s="123">
        <f t="shared" si="46"/>
        <v>0</v>
      </c>
      <c r="P166" s="123">
        <f t="shared" si="46"/>
        <v>0</v>
      </c>
      <c r="Q166" s="123">
        <f t="shared" si="46"/>
        <v>0</v>
      </c>
      <c r="R166" s="123">
        <f t="shared" si="46"/>
        <v>0</v>
      </c>
      <c r="S166" s="123">
        <f t="shared" si="47"/>
        <v>0</v>
      </c>
      <c r="T166" s="123">
        <f t="shared" si="47"/>
        <v>0</v>
      </c>
      <c r="U166" s="123">
        <f t="shared" si="47"/>
        <v>0</v>
      </c>
      <c r="V166" s="123">
        <f t="shared" si="47"/>
        <v>0</v>
      </c>
      <c r="W166" s="123">
        <f t="shared" si="47"/>
        <v>0</v>
      </c>
      <c r="X166" s="123">
        <f t="shared" si="47"/>
        <v>0</v>
      </c>
      <c r="Y166" s="123">
        <f t="shared" si="47"/>
        <v>0</v>
      </c>
      <c r="Z166" s="123">
        <f t="shared" si="47"/>
        <v>0</v>
      </c>
      <c r="AA166" s="123">
        <f t="shared" si="47"/>
        <v>0</v>
      </c>
      <c r="AB166" s="123">
        <f t="shared" si="47"/>
        <v>0</v>
      </c>
      <c r="AC166" s="123">
        <f t="shared" si="47"/>
        <v>0</v>
      </c>
      <c r="AD166" s="123">
        <f t="shared" si="47"/>
        <v>0</v>
      </c>
      <c r="AE166" s="123">
        <f t="shared" si="47"/>
        <v>0</v>
      </c>
      <c r="AF166" s="123">
        <f t="shared" si="47"/>
        <v>0</v>
      </c>
      <c r="AG166" s="126">
        <v>3</v>
      </c>
      <c r="AH166" s="54"/>
      <c r="AI166" s="55"/>
      <c r="AK166" s="56"/>
    </row>
    <row r="167" spans="1:37" x14ac:dyDescent="0.25">
      <c r="A167" s="111" t="s">
        <v>172</v>
      </c>
      <c r="B167" s="123">
        <f t="shared" si="45"/>
        <v>0.8</v>
      </c>
      <c r="C167" s="124">
        <v>0.8</v>
      </c>
      <c r="D167" s="123">
        <f t="shared" si="46"/>
        <v>0.8</v>
      </c>
      <c r="E167" s="123">
        <f t="shared" si="46"/>
        <v>0.8</v>
      </c>
      <c r="F167" s="123">
        <f t="shared" si="46"/>
        <v>0.8</v>
      </c>
      <c r="G167" s="123">
        <f t="shared" si="46"/>
        <v>0.8</v>
      </c>
      <c r="H167" s="123">
        <f t="shared" si="46"/>
        <v>0.8</v>
      </c>
      <c r="I167" s="123">
        <f t="shared" si="46"/>
        <v>0.8</v>
      </c>
      <c r="J167" s="123">
        <f t="shared" si="46"/>
        <v>0.8</v>
      </c>
      <c r="K167" s="123">
        <f t="shared" si="46"/>
        <v>0.8</v>
      </c>
      <c r="L167" s="123">
        <f t="shared" si="46"/>
        <v>0.8</v>
      </c>
      <c r="M167" s="123">
        <f t="shared" si="46"/>
        <v>0.8</v>
      </c>
      <c r="N167" s="123">
        <f t="shared" si="46"/>
        <v>0.8</v>
      </c>
      <c r="O167" s="123">
        <f t="shared" si="46"/>
        <v>0.8</v>
      </c>
      <c r="P167" s="123">
        <f t="shared" si="46"/>
        <v>0.8</v>
      </c>
      <c r="Q167" s="123">
        <f t="shared" si="46"/>
        <v>0.8</v>
      </c>
      <c r="R167" s="123">
        <f t="shared" si="46"/>
        <v>0.8</v>
      </c>
      <c r="S167" s="123">
        <f t="shared" si="47"/>
        <v>0.8</v>
      </c>
      <c r="T167" s="123">
        <f t="shared" si="47"/>
        <v>0.8</v>
      </c>
      <c r="U167" s="123">
        <f t="shared" si="47"/>
        <v>0.8</v>
      </c>
      <c r="V167" s="123">
        <f t="shared" si="47"/>
        <v>0.8</v>
      </c>
      <c r="W167" s="123">
        <f t="shared" si="47"/>
        <v>0.8</v>
      </c>
      <c r="X167" s="123">
        <f t="shared" si="47"/>
        <v>0.8</v>
      </c>
      <c r="Y167" s="123">
        <f t="shared" si="47"/>
        <v>0.8</v>
      </c>
      <c r="Z167" s="123">
        <f t="shared" si="47"/>
        <v>0.8</v>
      </c>
      <c r="AA167" s="123">
        <f t="shared" si="47"/>
        <v>0.8</v>
      </c>
      <c r="AB167" s="123">
        <f t="shared" si="47"/>
        <v>0.8</v>
      </c>
      <c r="AC167" s="123">
        <f t="shared" si="47"/>
        <v>0.8</v>
      </c>
      <c r="AD167" s="123">
        <f t="shared" si="47"/>
        <v>0.8</v>
      </c>
      <c r="AE167" s="123">
        <f t="shared" si="47"/>
        <v>0.8</v>
      </c>
      <c r="AF167" s="123">
        <f t="shared" si="47"/>
        <v>0.8</v>
      </c>
      <c r="AG167" s="126">
        <v>3</v>
      </c>
      <c r="AH167" s="54"/>
      <c r="AI167" s="55"/>
      <c r="AK167" s="56"/>
    </row>
    <row r="168" spans="1:37" x14ac:dyDescent="0.25">
      <c r="A168" s="111" t="s">
        <v>173</v>
      </c>
      <c r="B168" s="123">
        <f t="shared" si="45"/>
        <v>1.5</v>
      </c>
      <c r="C168" s="124">
        <v>1.5</v>
      </c>
      <c r="D168" s="123">
        <f t="shared" si="46"/>
        <v>1.5</v>
      </c>
      <c r="E168" s="123">
        <f t="shared" si="46"/>
        <v>1.5</v>
      </c>
      <c r="F168" s="123">
        <f t="shared" si="46"/>
        <v>1.5</v>
      </c>
      <c r="G168" s="123">
        <f t="shared" si="46"/>
        <v>1.5</v>
      </c>
      <c r="H168" s="123">
        <f t="shared" si="46"/>
        <v>1.5</v>
      </c>
      <c r="I168" s="123">
        <f t="shared" si="46"/>
        <v>1.5</v>
      </c>
      <c r="J168" s="123">
        <f t="shared" si="46"/>
        <v>1.5</v>
      </c>
      <c r="K168" s="123">
        <f t="shared" si="46"/>
        <v>1.5</v>
      </c>
      <c r="L168" s="123">
        <f t="shared" si="46"/>
        <v>1.5</v>
      </c>
      <c r="M168" s="123">
        <f t="shared" si="46"/>
        <v>1.5</v>
      </c>
      <c r="N168" s="123">
        <f t="shared" si="46"/>
        <v>1.5</v>
      </c>
      <c r="O168" s="123">
        <f t="shared" si="46"/>
        <v>1.5</v>
      </c>
      <c r="P168" s="123">
        <f t="shared" si="46"/>
        <v>1.5</v>
      </c>
      <c r="Q168" s="123">
        <f t="shared" si="46"/>
        <v>1.5</v>
      </c>
      <c r="R168" s="123">
        <f t="shared" si="46"/>
        <v>1.5</v>
      </c>
      <c r="S168" s="123">
        <f t="shared" si="47"/>
        <v>1.5</v>
      </c>
      <c r="T168" s="123">
        <f t="shared" si="47"/>
        <v>1.5</v>
      </c>
      <c r="U168" s="123">
        <f t="shared" si="47"/>
        <v>1.5</v>
      </c>
      <c r="V168" s="123">
        <f t="shared" si="47"/>
        <v>1.5</v>
      </c>
      <c r="W168" s="123">
        <f t="shared" si="47"/>
        <v>1.5</v>
      </c>
      <c r="X168" s="123">
        <f t="shared" si="47"/>
        <v>1.5</v>
      </c>
      <c r="Y168" s="123">
        <f t="shared" si="47"/>
        <v>1.5</v>
      </c>
      <c r="Z168" s="123">
        <f t="shared" si="47"/>
        <v>1.5</v>
      </c>
      <c r="AA168" s="123">
        <f t="shared" si="47"/>
        <v>1.5</v>
      </c>
      <c r="AB168" s="123">
        <f t="shared" si="47"/>
        <v>1.5</v>
      </c>
      <c r="AC168" s="123">
        <f t="shared" si="47"/>
        <v>1.5</v>
      </c>
      <c r="AD168" s="123">
        <f t="shared" si="47"/>
        <v>1.5</v>
      </c>
      <c r="AE168" s="123">
        <f t="shared" si="47"/>
        <v>1.5</v>
      </c>
      <c r="AF168" s="123">
        <f t="shared" si="47"/>
        <v>1.5</v>
      </c>
      <c r="AG168" s="126">
        <v>3</v>
      </c>
      <c r="AH168" s="54"/>
      <c r="AI168" s="55"/>
      <c r="AK168" s="56"/>
    </row>
    <row r="169" spans="1:37" x14ac:dyDescent="0.25">
      <c r="A169" s="111" t="s">
        <v>174</v>
      </c>
      <c r="B169" s="123">
        <f t="shared" si="45"/>
        <v>1</v>
      </c>
      <c r="C169" s="124">
        <v>1</v>
      </c>
      <c r="D169" s="123">
        <f t="shared" si="46"/>
        <v>1</v>
      </c>
      <c r="E169" s="123">
        <f t="shared" si="46"/>
        <v>1</v>
      </c>
      <c r="F169" s="123">
        <f t="shared" si="46"/>
        <v>1</v>
      </c>
      <c r="G169" s="123">
        <f t="shared" si="46"/>
        <v>1</v>
      </c>
      <c r="H169" s="123">
        <f t="shared" si="46"/>
        <v>1</v>
      </c>
      <c r="I169" s="123">
        <f t="shared" si="46"/>
        <v>1</v>
      </c>
      <c r="J169" s="123">
        <f t="shared" si="46"/>
        <v>1</v>
      </c>
      <c r="K169" s="123">
        <f t="shared" si="46"/>
        <v>1</v>
      </c>
      <c r="L169" s="123">
        <f t="shared" si="46"/>
        <v>1</v>
      </c>
      <c r="M169" s="123">
        <f t="shared" si="46"/>
        <v>1</v>
      </c>
      <c r="N169" s="123">
        <f t="shared" si="46"/>
        <v>1</v>
      </c>
      <c r="O169" s="123">
        <f t="shared" si="46"/>
        <v>1</v>
      </c>
      <c r="P169" s="123">
        <f t="shared" si="46"/>
        <v>1</v>
      </c>
      <c r="Q169" s="123">
        <f t="shared" si="46"/>
        <v>1</v>
      </c>
      <c r="R169" s="123">
        <f t="shared" si="46"/>
        <v>1</v>
      </c>
      <c r="S169" s="123">
        <f t="shared" si="47"/>
        <v>1</v>
      </c>
      <c r="T169" s="123">
        <f t="shared" si="47"/>
        <v>1</v>
      </c>
      <c r="U169" s="123">
        <f t="shared" si="47"/>
        <v>1</v>
      </c>
      <c r="V169" s="123">
        <f t="shared" si="47"/>
        <v>1</v>
      </c>
      <c r="W169" s="123">
        <f t="shared" si="47"/>
        <v>1</v>
      </c>
      <c r="X169" s="123">
        <f t="shared" si="47"/>
        <v>1</v>
      </c>
      <c r="Y169" s="123">
        <f t="shared" si="47"/>
        <v>1</v>
      </c>
      <c r="Z169" s="123">
        <f t="shared" si="47"/>
        <v>1</v>
      </c>
      <c r="AA169" s="123">
        <f t="shared" si="47"/>
        <v>1</v>
      </c>
      <c r="AB169" s="123">
        <f t="shared" si="47"/>
        <v>1</v>
      </c>
      <c r="AC169" s="123">
        <f t="shared" si="47"/>
        <v>1</v>
      </c>
      <c r="AD169" s="123">
        <f t="shared" si="47"/>
        <v>1</v>
      </c>
      <c r="AE169" s="123">
        <f t="shared" si="47"/>
        <v>1</v>
      </c>
      <c r="AF169" s="123">
        <f t="shared" si="47"/>
        <v>1</v>
      </c>
      <c r="AG169" s="126">
        <v>3</v>
      </c>
      <c r="AH169" s="54"/>
      <c r="AI169" s="55"/>
      <c r="AK169" s="56"/>
    </row>
    <row r="170" spans="1:37" x14ac:dyDescent="0.25">
      <c r="A170" s="111" t="s">
        <v>175</v>
      </c>
      <c r="B170" s="123"/>
      <c r="C170" s="124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6">
        <v>2.83</v>
      </c>
      <c r="AH170" s="54"/>
      <c r="AI170" s="55"/>
      <c r="AK170" s="56"/>
    </row>
    <row r="171" spans="1:37" x14ac:dyDescent="0.25">
      <c r="A171" s="111" t="s">
        <v>176</v>
      </c>
      <c r="B171" s="123">
        <f t="shared" ref="B171:B178" si="48">AF171</f>
        <v>1</v>
      </c>
      <c r="C171" s="124">
        <v>1</v>
      </c>
      <c r="D171" s="123">
        <f t="shared" ref="D171:S178" si="49">C171</f>
        <v>1</v>
      </c>
      <c r="E171" s="123">
        <f t="shared" si="49"/>
        <v>1</v>
      </c>
      <c r="F171" s="123">
        <f t="shared" si="49"/>
        <v>1</v>
      </c>
      <c r="G171" s="123">
        <f t="shared" si="49"/>
        <v>1</v>
      </c>
      <c r="H171" s="123">
        <f t="shared" si="49"/>
        <v>1</v>
      </c>
      <c r="I171" s="123">
        <f t="shared" si="49"/>
        <v>1</v>
      </c>
      <c r="J171" s="123">
        <f t="shared" si="49"/>
        <v>1</v>
      </c>
      <c r="K171" s="123">
        <f t="shared" si="49"/>
        <v>1</v>
      </c>
      <c r="L171" s="123">
        <f t="shared" si="49"/>
        <v>1</v>
      </c>
      <c r="M171" s="123">
        <f t="shared" si="49"/>
        <v>1</v>
      </c>
      <c r="N171" s="123">
        <f t="shared" si="49"/>
        <v>1</v>
      </c>
      <c r="O171" s="123">
        <f t="shared" si="49"/>
        <v>1</v>
      </c>
      <c r="P171" s="123">
        <f t="shared" si="49"/>
        <v>1</v>
      </c>
      <c r="Q171" s="123">
        <f t="shared" si="49"/>
        <v>1</v>
      </c>
      <c r="R171" s="123">
        <f t="shared" si="49"/>
        <v>1</v>
      </c>
      <c r="S171" s="123">
        <f t="shared" si="49"/>
        <v>1</v>
      </c>
      <c r="T171" s="123">
        <f t="shared" ref="S171:AF178" si="50">S171</f>
        <v>1</v>
      </c>
      <c r="U171" s="123">
        <f t="shared" si="50"/>
        <v>1</v>
      </c>
      <c r="V171" s="123">
        <f t="shared" si="50"/>
        <v>1</v>
      </c>
      <c r="W171" s="123">
        <f t="shared" si="50"/>
        <v>1</v>
      </c>
      <c r="X171" s="123">
        <f t="shared" si="50"/>
        <v>1</v>
      </c>
      <c r="Y171" s="123">
        <f t="shared" si="50"/>
        <v>1</v>
      </c>
      <c r="Z171" s="123">
        <f t="shared" si="50"/>
        <v>1</v>
      </c>
      <c r="AA171" s="123">
        <f t="shared" si="50"/>
        <v>1</v>
      </c>
      <c r="AB171" s="123">
        <f t="shared" si="50"/>
        <v>1</v>
      </c>
      <c r="AC171" s="123">
        <f t="shared" si="50"/>
        <v>1</v>
      </c>
      <c r="AD171" s="123">
        <f t="shared" si="50"/>
        <v>1</v>
      </c>
      <c r="AE171" s="123">
        <f t="shared" si="50"/>
        <v>1</v>
      </c>
      <c r="AF171" s="123">
        <f t="shared" si="50"/>
        <v>1</v>
      </c>
      <c r="AG171" s="126">
        <v>2.5</v>
      </c>
      <c r="AH171" s="54"/>
      <c r="AI171" s="55"/>
      <c r="AK171" s="56"/>
    </row>
    <row r="172" spans="1:37" x14ac:dyDescent="0.25">
      <c r="A172" s="111" t="s">
        <v>177</v>
      </c>
      <c r="B172" s="123">
        <f t="shared" si="48"/>
        <v>0.42</v>
      </c>
      <c r="C172" s="124">
        <v>0.42</v>
      </c>
      <c r="D172" s="123">
        <f t="shared" si="49"/>
        <v>0.42</v>
      </c>
      <c r="E172" s="123">
        <f t="shared" si="49"/>
        <v>0.42</v>
      </c>
      <c r="F172" s="123">
        <f t="shared" si="49"/>
        <v>0.42</v>
      </c>
      <c r="G172" s="123">
        <f t="shared" si="49"/>
        <v>0.42</v>
      </c>
      <c r="H172" s="123">
        <f t="shared" si="49"/>
        <v>0.42</v>
      </c>
      <c r="I172" s="123">
        <f t="shared" si="49"/>
        <v>0.42</v>
      </c>
      <c r="J172" s="123">
        <f t="shared" si="49"/>
        <v>0.42</v>
      </c>
      <c r="K172" s="123">
        <f t="shared" si="49"/>
        <v>0.42</v>
      </c>
      <c r="L172" s="123">
        <f t="shared" si="49"/>
        <v>0.42</v>
      </c>
      <c r="M172" s="123">
        <f t="shared" si="49"/>
        <v>0.42</v>
      </c>
      <c r="N172" s="123">
        <f t="shared" si="49"/>
        <v>0.42</v>
      </c>
      <c r="O172" s="123">
        <f t="shared" si="49"/>
        <v>0.42</v>
      </c>
      <c r="P172" s="123">
        <f t="shared" si="49"/>
        <v>0.42</v>
      </c>
      <c r="Q172" s="123">
        <f t="shared" si="49"/>
        <v>0.42</v>
      </c>
      <c r="R172" s="123">
        <f t="shared" si="49"/>
        <v>0.42</v>
      </c>
      <c r="S172" s="123">
        <f t="shared" si="50"/>
        <v>0.42</v>
      </c>
      <c r="T172" s="123">
        <f t="shared" si="50"/>
        <v>0.42</v>
      </c>
      <c r="U172" s="123">
        <f t="shared" si="50"/>
        <v>0.42</v>
      </c>
      <c r="V172" s="123">
        <f t="shared" si="50"/>
        <v>0.42</v>
      </c>
      <c r="W172" s="123">
        <f t="shared" si="50"/>
        <v>0.42</v>
      </c>
      <c r="X172" s="123">
        <f t="shared" si="50"/>
        <v>0.42</v>
      </c>
      <c r="Y172" s="123">
        <f t="shared" si="50"/>
        <v>0.42</v>
      </c>
      <c r="Z172" s="123">
        <f t="shared" si="50"/>
        <v>0.42</v>
      </c>
      <c r="AA172" s="123">
        <f t="shared" si="50"/>
        <v>0.42</v>
      </c>
      <c r="AB172" s="123">
        <f t="shared" si="50"/>
        <v>0.42</v>
      </c>
      <c r="AC172" s="123">
        <f t="shared" si="50"/>
        <v>0.42</v>
      </c>
      <c r="AD172" s="123">
        <f t="shared" si="50"/>
        <v>0.42</v>
      </c>
      <c r="AE172" s="123">
        <f t="shared" si="50"/>
        <v>0.42</v>
      </c>
      <c r="AF172" s="123">
        <f t="shared" si="50"/>
        <v>0.42</v>
      </c>
      <c r="AG172" s="126">
        <v>2.5</v>
      </c>
      <c r="AH172" s="54"/>
      <c r="AI172" s="55"/>
      <c r="AK172" s="56"/>
    </row>
    <row r="173" spans="1:37" x14ac:dyDescent="0.25">
      <c r="A173" s="111" t="s">
        <v>178</v>
      </c>
      <c r="B173" s="123">
        <f t="shared" si="48"/>
        <v>0.46</v>
      </c>
      <c r="C173" s="124">
        <v>0.46</v>
      </c>
      <c r="D173" s="123">
        <f t="shared" si="49"/>
        <v>0.46</v>
      </c>
      <c r="E173" s="123">
        <f t="shared" si="49"/>
        <v>0.46</v>
      </c>
      <c r="F173" s="123">
        <f t="shared" si="49"/>
        <v>0.46</v>
      </c>
      <c r="G173" s="123">
        <f t="shared" si="49"/>
        <v>0.46</v>
      </c>
      <c r="H173" s="123">
        <f t="shared" si="49"/>
        <v>0.46</v>
      </c>
      <c r="I173" s="123">
        <f t="shared" si="49"/>
        <v>0.46</v>
      </c>
      <c r="J173" s="123">
        <f t="shared" si="49"/>
        <v>0.46</v>
      </c>
      <c r="K173" s="123">
        <f t="shared" si="49"/>
        <v>0.46</v>
      </c>
      <c r="L173" s="123">
        <f t="shared" si="49"/>
        <v>0.46</v>
      </c>
      <c r="M173" s="123">
        <f t="shared" si="49"/>
        <v>0.46</v>
      </c>
      <c r="N173" s="123">
        <f t="shared" si="49"/>
        <v>0.46</v>
      </c>
      <c r="O173" s="123">
        <f t="shared" si="49"/>
        <v>0.46</v>
      </c>
      <c r="P173" s="123">
        <f t="shared" si="49"/>
        <v>0.46</v>
      </c>
      <c r="Q173" s="123">
        <f t="shared" si="49"/>
        <v>0.46</v>
      </c>
      <c r="R173" s="123">
        <f t="shared" si="49"/>
        <v>0.46</v>
      </c>
      <c r="S173" s="123">
        <f t="shared" si="50"/>
        <v>0.46</v>
      </c>
      <c r="T173" s="123">
        <f t="shared" si="50"/>
        <v>0.46</v>
      </c>
      <c r="U173" s="123">
        <f t="shared" si="50"/>
        <v>0.46</v>
      </c>
      <c r="V173" s="123">
        <f t="shared" si="50"/>
        <v>0.46</v>
      </c>
      <c r="W173" s="123">
        <f t="shared" si="50"/>
        <v>0.46</v>
      </c>
      <c r="X173" s="123">
        <f t="shared" si="50"/>
        <v>0.46</v>
      </c>
      <c r="Y173" s="123">
        <f t="shared" si="50"/>
        <v>0.46</v>
      </c>
      <c r="Z173" s="123">
        <f t="shared" si="50"/>
        <v>0.46</v>
      </c>
      <c r="AA173" s="123">
        <f t="shared" si="50"/>
        <v>0.46</v>
      </c>
      <c r="AB173" s="123">
        <f t="shared" si="50"/>
        <v>0.46</v>
      </c>
      <c r="AC173" s="123">
        <f t="shared" si="50"/>
        <v>0.46</v>
      </c>
      <c r="AD173" s="123">
        <f t="shared" si="50"/>
        <v>0.46</v>
      </c>
      <c r="AE173" s="123">
        <f t="shared" si="50"/>
        <v>0.46</v>
      </c>
      <c r="AF173" s="123">
        <f t="shared" si="50"/>
        <v>0.46</v>
      </c>
      <c r="AG173" s="126">
        <v>2.4</v>
      </c>
      <c r="AH173" s="54"/>
      <c r="AI173" s="55"/>
      <c r="AK173" s="56"/>
    </row>
    <row r="174" spans="1:37" x14ac:dyDescent="0.25">
      <c r="A174" s="111" t="s">
        <v>179</v>
      </c>
      <c r="B174" s="123">
        <f t="shared" si="48"/>
        <v>0.85</v>
      </c>
      <c r="C174" s="124">
        <v>0.85</v>
      </c>
      <c r="D174" s="123">
        <f t="shared" si="49"/>
        <v>0.85</v>
      </c>
      <c r="E174" s="123">
        <f t="shared" si="49"/>
        <v>0.85</v>
      </c>
      <c r="F174" s="123">
        <f t="shared" si="49"/>
        <v>0.85</v>
      </c>
      <c r="G174" s="123">
        <f t="shared" si="49"/>
        <v>0.85</v>
      </c>
      <c r="H174" s="123">
        <f t="shared" si="49"/>
        <v>0.85</v>
      </c>
      <c r="I174" s="123">
        <f t="shared" si="49"/>
        <v>0.85</v>
      </c>
      <c r="J174" s="123">
        <f t="shared" si="49"/>
        <v>0.85</v>
      </c>
      <c r="K174" s="123">
        <f t="shared" si="49"/>
        <v>0.85</v>
      </c>
      <c r="L174" s="123">
        <f t="shared" si="49"/>
        <v>0.85</v>
      </c>
      <c r="M174" s="123">
        <f t="shared" si="49"/>
        <v>0.85</v>
      </c>
      <c r="N174" s="123">
        <f t="shared" si="49"/>
        <v>0.85</v>
      </c>
      <c r="O174" s="123">
        <f t="shared" si="49"/>
        <v>0.85</v>
      </c>
      <c r="P174" s="123">
        <f t="shared" si="49"/>
        <v>0.85</v>
      </c>
      <c r="Q174" s="123">
        <f t="shared" si="49"/>
        <v>0.85</v>
      </c>
      <c r="R174" s="123">
        <f t="shared" si="49"/>
        <v>0.85</v>
      </c>
      <c r="S174" s="123">
        <f t="shared" si="50"/>
        <v>0.85</v>
      </c>
      <c r="T174" s="123">
        <f t="shared" si="50"/>
        <v>0.85</v>
      </c>
      <c r="U174" s="123">
        <f t="shared" si="50"/>
        <v>0.85</v>
      </c>
      <c r="V174" s="123">
        <f t="shared" si="50"/>
        <v>0.85</v>
      </c>
      <c r="W174" s="123">
        <f t="shared" si="50"/>
        <v>0.85</v>
      </c>
      <c r="X174" s="123">
        <f t="shared" si="50"/>
        <v>0.85</v>
      </c>
      <c r="Y174" s="123">
        <f t="shared" si="50"/>
        <v>0.85</v>
      </c>
      <c r="Z174" s="123">
        <f t="shared" si="50"/>
        <v>0.85</v>
      </c>
      <c r="AA174" s="123">
        <f t="shared" si="50"/>
        <v>0.85</v>
      </c>
      <c r="AB174" s="123">
        <f t="shared" si="50"/>
        <v>0.85</v>
      </c>
      <c r="AC174" s="123">
        <f t="shared" si="50"/>
        <v>0.85</v>
      </c>
      <c r="AD174" s="123">
        <f t="shared" si="50"/>
        <v>0.85</v>
      </c>
      <c r="AE174" s="123">
        <f t="shared" si="50"/>
        <v>0.85</v>
      </c>
      <c r="AF174" s="123">
        <f t="shared" si="50"/>
        <v>0.85</v>
      </c>
      <c r="AG174" s="126">
        <v>2.4</v>
      </c>
      <c r="AH174" s="54"/>
      <c r="AI174" s="55"/>
      <c r="AK174" s="56"/>
    </row>
    <row r="175" spans="1:37" x14ac:dyDescent="0.25">
      <c r="A175" s="111" t="s">
        <v>180</v>
      </c>
      <c r="B175" s="123">
        <f t="shared" si="48"/>
        <v>0.9</v>
      </c>
      <c r="C175" s="124">
        <v>0.9</v>
      </c>
      <c r="D175" s="123">
        <f t="shared" si="49"/>
        <v>0.9</v>
      </c>
      <c r="E175" s="123">
        <f t="shared" si="49"/>
        <v>0.9</v>
      </c>
      <c r="F175" s="123">
        <f t="shared" si="49"/>
        <v>0.9</v>
      </c>
      <c r="G175" s="123">
        <f t="shared" si="49"/>
        <v>0.9</v>
      </c>
      <c r="H175" s="123">
        <f t="shared" si="49"/>
        <v>0.9</v>
      </c>
      <c r="I175" s="123">
        <f t="shared" si="49"/>
        <v>0.9</v>
      </c>
      <c r="J175" s="123">
        <f t="shared" si="49"/>
        <v>0.9</v>
      </c>
      <c r="K175" s="123">
        <f t="shared" si="49"/>
        <v>0.9</v>
      </c>
      <c r="L175" s="123">
        <f t="shared" si="49"/>
        <v>0.9</v>
      </c>
      <c r="M175" s="123">
        <f t="shared" si="49"/>
        <v>0.9</v>
      </c>
      <c r="N175" s="123">
        <f t="shared" si="49"/>
        <v>0.9</v>
      </c>
      <c r="O175" s="123">
        <f t="shared" si="49"/>
        <v>0.9</v>
      </c>
      <c r="P175" s="123">
        <f t="shared" si="49"/>
        <v>0.9</v>
      </c>
      <c r="Q175" s="123">
        <f t="shared" si="49"/>
        <v>0.9</v>
      </c>
      <c r="R175" s="123">
        <f t="shared" si="49"/>
        <v>0.9</v>
      </c>
      <c r="S175" s="123">
        <f t="shared" si="50"/>
        <v>0.9</v>
      </c>
      <c r="T175" s="123">
        <f t="shared" si="50"/>
        <v>0.9</v>
      </c>
      <c r="U175" s="123">
        <f t="shared" si="50"/>
        <v>0.9</v>
      </c>
      <c r="V175" s="123">
        <f t="shared" si="50"/>
        <v>0.9</v>
      </c>
      <c r="W175" s="123">
        <f t="shared" si="50"/>
        <v>0.9</v>
      </c>
      <c r="X175" s="123">
        <f t="shared" si="50"/>
        <v>0.9</v>
      </c>
      <c r="Y175" s="123">
        <f t="shared" si="50"/>
        <v>0.9</v>
      </c>
      <c r="Z175" s="123">
        <f t="shared" si="50"/>
        <v>0.9</v>
      </c>
      <c r="AA175" s="123">
        <f t="shared" si="50"/>
        <v>0.9</v>
      </c>
      <c r="AB175" s="123">
        <f t="shared" si="50"/>
        <v>0.9</v>
      </c>
      <c r="AC175" s="123">
        <f t="shared" si="50"/>
        <v>0.9</v>
      </c>
      <c r="AD175" s="123">
        <f t="shared" si="50"/>
        <v>0.9</v>
      </c>
      <c r="AE175" s="123">
        <f t="shared" si="50"/>
        <v>0.9</v>
      </c>
      <c r="AF175" s="123">
        <f t="shared" si="50"/>
        <v>0.9</v>
      </c>
      <c r="AG175" s="126">
        <v>2.2000000000000002</v>
      </c>
      <c r="AH175" s="54"/>
      <c r="AI175" s="55"/>
      <c r="AK175" s="56"/>
    </row>
    <row r="176" spans="1:37" x14ac:dyDescent="0.25">
      <c r="A176" s="111" t="s">
        <v>181</v>
      </c>
      <c r="B176" s="123">
        <f t="shared" si="48"/>
        <v>0.44</v>
      </c>
      <c r="C176" s="124">
        <v>0.44</v>
      </c>
      <c r="D176" s="123">
        <f t="shared" si="49"/>
        <v>0.44</v>
      </c>
      <c r="E176" s="123">
        <f t="shared" si="49"/>
        <v>0.44</v>
      </c>
      <c r="F176" s="123">
        <f t="shared" si="49"/>
        <v>0.44</v>
      </c>
      <c r="G176" s="123">
        <f t="shared" si="49"/>
        <v>0.44</v>
      </c>
      <c r="H176" s="123">
        <f t="shared" si="49"/>
        <v>0.44</v>
      </c>
      <c r="I176" s="123">
        <f t="shared" si="49"/>
        <v>0.44</v>
      </c>
      <c r="J176" s="123">
        <f t="shared" si="49"/>
        <v>0.44</v>
      </c>
      <c r="K176" s="123">
        <f t="shared" si="49"/>
        <v>0.44</v>
      </c>
      <c r="L176" s="123">
        <f t="shared" si="49"/>
        <v>0.44</v>
      </c>
      <c r="M176" s="123">
        <f t="shared" si="49"/>
        <v>0.44</v>
      </c>
      <c r="N176" s="123">
        <f t="shared" si="49"/>
        <v>0.44</v>
      </c>
      <c r="O176" s="123">
        <f t="shared" si="49"/>
        <v>0.44</v>
      </c>
      <c r="P176" s="123">
        <f t="shared" si="49"/>
        <v>0.44</v>
      </c>
      <c r="Q176" s="123">
        <f t="shared" si="49"/>
        <v>0.44</v>
      </c>
      <c r="R176" s="123">
        <f t="shared" si="49"/>
        <v>0.44</v>
      </c>
      <c r="S176" s="123">
        <f t="shared" si="50"/>
        <v>0.44</v>
      </c>
      <c r="T176" s="123">
        <f t="shared" si="50"/>
        <v>0.44</v>
      </c>
      <c r="U176" s="123">
        <f t="shared" si="50"/>
        <v>0.44</v>
      </c>
      <c r="V176" s="123">
        <f t="shared" si="50"/>
        <v>0.44</v>
      </c>
      <c r="W176" s="123">
        <f t="shared" si="50"/>
        <v>0.44</v>
      </c>
      <c r="X176" s="123">
        <f t="shared" si="50"/>
        <v>0.44</v>
      </c>
      <c r="Y176" s="123">
        <f t="shared" si="50"/>
        <v>0.44</v>
      </c>
      <c r="Z176" s="123">
        <f t="shared" si="50"/>
        <v>0.44</v>
      </c>
      <c r="AA176" s="123">
        <f t="shared" si="50"/>
        <v>0.44</v>
      </c>
      <c r="AB176" s="123">
        <f t="shared" si="50"/>
        <v>0.44</v>
      </c>
      <c r="AC176" s="123">
        <f t="shared" si="50"/>
        <v>0.44</v>
      </c>
      <c r="AD176" s="123">
        <f t="shared" si="50"/>
        <v>0.44</v>
      </c>
      <c r="AE176" s="123">
        <f t="shared" si="50"/>
        <v>0.44</v>
      </c>
      <c r="AF176" s="123">
        <f t="shared" si="50"/>
        <v>0.44</v>
      </c>
      <c r="AG176" s="126">
        <v>2</v>
      </c>
      <c r="AH176" s="54"/>
      <c r="AI176" s="55"/>
      <c r="AK176" s="56"/>
    </row>
    <row r="177" spans="1:37" x14ac:dyDescent="0.25">
      <c r="A177" s="111" t="s">
        <v>182</v>
      </c>
      <c r="B177" s="123">
        <f t="shared" si="48"/>
        <v>2.1</v>
      </c>
      <c r="C177" s="124">
        <v>2.1</v>
      </c>
      <c r="D177" s="123">
        <f t="shared" si="49"/>
        <v>2.1</v>
      </c>
      <c r="E177" s="123">
        <f t="shared" si="49"/>
        <v>2.1</v>
      </c>
      <c r="F177" s="123">
        <f t="shared" si="49"/>
        <v>2.1</v>
      </c>
      <c r="G177" s="123">
        <f t="shared" si="49"/>
        <v>2.1</v>
      </c>
      <c r="H177" s="123">
        <f t="shared" si="49"/>
        <v>2.1</v>
      </c>
      <c r="I177" s="123">
        <f t="shared" si="49"/>
        <v>2.1</v>
      </c>
      <c r="J177" s="123">
        <f t="shared" si="49"/>
        <v>2.1</v>
      </c>
      <c r="K177" s="123">
        <f t="shared" si="49"/>
        <v>2.1</v>
      </c>
      <c r="L177" s="123">
        <f t="shared" si="49"/>
        <v>2.1</v>
      </c>
      <c r="M177" s="123">
        <f t="shared" si="49"/>
        <v>2.1</v>
      </c>
      <c r="N177" s="123">
        <f t="shared" si="49"/>
        <v>2.1</v>
      </c>
      <c r="O177" s="123">
        <f t="shared" si="49"/>
        <v>2.1</v>
      </c>
      <c r="P177" s="123">
        <f t="shared" si="49"/>
        <v>2.1</v>
      </c>
      <c r="Q177" s="123">
        <f t="shared" si="49"/>
        <v>2.1</v>
      </c>
      <c r="R177" s="123">
        <f t="shared" si="49"/>
        <v>2.1</v>
      </c>
      <c r="S177" s="123">
        <f t="shared" si="50"/>
        <v>2.1</v>
      </c>
      <c r="T177" s="123">
        <f t="shared" si="50"/>
        <v>2.1</v>
      </c>
      <c r="U177" s="123">
        <f t="shared" si="50"/>
        <v>2.1</v>
      </c>
      <c r="V177" s="123">
        <f t="shared" si="50"/>
        <v>2.1</v>
      </c>
      <c r="W177" s="123">
        <f t="shared" si="50"/>
        <v>2.1</v>
      </c>
      <c r="X177" s="123">
        <f t="shared" si="50"/>
        <v>2.1</v>
      </c>
      <c r="Y177" s="123">
        <f t="shared" si="50"/>
        <v>2.1</v>
      </c>
      <c r="Z177" s="123">
        <f t="shared" si="50"/>
        <v>2.1</v>
      </c>
      <c r="AA177" s="123">
        <f t="shared" si="50"/>
        <v>2.1</v>
      </c>
      <c r="AB177" s="123">
        <f t="shared" si="50"/>
        <v>2.1</v>
      </c>
      <c r="AC177" s="123">
        <f t="shared" si="50"/>
        <v>2.1</v>
      </c>
      <c r="AD177" s="123">
        <f t="shared" si="50"/>
        <v>2.1</v>
      </c>
      <c r="AE177" s="123">
        <f t="shared" si="50"/>
        <v>2.1</v>
      </c>
      <c r="AF177" s="123">
        <f t="shared" si="50"/>
        <v>2.1</v>
      </c>
      <c r="AG177" s="126">
        <v>2</v>
      </c>
      <c r="AH177" s="54"/>
      <c r="AI177" s="55"/>
      <c r="AK177" s="56"/>
    </row>
    <row r="178" spans="1:37" x14ac:dyDescent="0.25">
      <c r="A178" s="111" t="s">
        <v>183</v>
      </c>
      <c r="B178" s="123">
        <f t="shared" si="48"/>
        <v>0.9</v>
      </c>
      <c r="C178" s="124">
        <v>0.9</v>
      </c>
      <c r="D178" s="123">
        <f t="shared" si="49"/>
        <v>0.9</v>
      </c>
      <c r="E178" s="123">
        <f t="shared" si="49"/>
        <v>0.9</v>
      </c>
      <c r="F178" s="123">
        <f t="shared" si="49"/>
        <v>0.9</v>
      </c>
      <c r="G178" s="123">
        <f t="shared" si="49"/>
        <v>0.9</v>
      </c>
      <c r="H178" s="123">
        <f t="shared" si="49"/>
        <v>0.9</v>
      </c>
      <c r="I178" s="123">
        <f t="shared" si="49"/>
        <v>0.9</v>
      </c>
      <c r="J178" s="123">
        <f t="shared" si="49"/>
        <v>0.9</v>
      </c>
      <c r="K178" s="123">
        <f t="shared" si="49"/>
        <v>0.9</v>
      </c>
      <c r="L178" s="123">
        <f t="shared" si="49"/>
        <v>0.9</v>
      </c>
      <c r="M178" s="123">
        <f t="shared" si="49"/>
        <v>0.9</v>
      </c>
      <c r="N178" s="123">
        <f t="shared" si="49"/>
        <v>0.9</v>
      </c>
      <c r="O178" s="123">
        <f t="shared" si="49"/>
        <v>0.9</v>
      </c>
      <c r="P178" s="123">
        <f t="shared" si="49"/>
        <v>0.9</v>
      </c>
      <c r="Q178" s="123">
        <f t="shared" si="49"/>
        <v>0.9</v>
      </c>
      <c r="R178" s="123">
        <f t="shared" si="49"/>
        <v>0.9</v>
      </c>
      <c r="S178" s="123">
        <f t="shared" si="50"/>
        <v>0.9</v>
      </c>
      <c r="T178" s="123">
        <f t="shared" si="50"/>
        <v>0.9</v>
      </c>
      <c r="U178" s="123">
        <f t="shared" si="50"/>
        <v>0.9</v>
      </c>
      <c r="V178" s="123">
        <f t="shared" si="50"/>
        <v>0.9</v>
      </c>
      <c r="W178" s="123">
        <f t="shared" si="50"/>
        <v>0.9</v>
      </c>
      <c r="X178" s="123">
        <f t="shared" si="50"/>
        <v>0.9</v>
      </c>
      <c r="Y178" s="123">
        <f t="shared" si="50"/>
        <v>0.9</v>
      </c>
      <c r="Z178" s="123">
        <f t="shared" si="50"/>
        <v>0.9</v>
      </c>
      <c r="AA178" s="123">
        <f t="shared" si="50"/>
        <v>0.9</v>
      </c>
      <c r="AB178" s="123">
        <f t="shared" si="50"/>
        <v>0.9</v>
      </c>
      <c r="AC178" s="123">
        <f t="shared" si="50"/>
        <v>0.9</v>
      </c>
      <c r="AD178" s="123">
        <f t="shared" si="50"/>
        <v>0.9</v>
      </c>
      <c r="AE178" s="123">
        <f t="shared" si="50"/>
        <v>0.9</v>
      </c>
      <c r="AF178" s="123">
        <f t="shared" si="50"/>
        <v>0.9</v>
      </c>
      <c r="AG178" s="126">
        <v>2</v>
      </c>
      <c r="AH178" s="54"/>
      <c r="AI178" s="55"/>
      <c r="AK178" s="56"/>
    </row>
    <row r="179" spans="1:37" x14ac:dyDescent="0.25">
      <c r="A179" s="111" t="s">
        <v>184</v>
      </c>
      <c r="B179" s="123"/>
      <c r="C179" s="124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  <c r="AC179" s="123"/>
      <c r="AD179" s="123"/>
      <c r="AE179" s="123"/>
      <c r="AF179" s="123"/>
      <c r="AG179" s="126">
        <v>1.8</v>
      </c>
      <c r="AH179" s="54"/>
      <c r="AI179" s="55"/>
      <c r="AK179" s="56"/>
    </row>
    <row r="180" spans="1:37" x14ac:dyDescent="0.25">
      <c r="A180" s="111" t="s">
        <v>185</v>
      </c>
      <c r="B180" s="123">
        <f t="shared" ref="B180:B192" si="51">AF180</f>
        <v>0.57999999999999996</v>
      </c>
      <c r="C180" s="124">
        <v>0.57999999999999996</v>
      </c>
      <c r="D180" s="123">
        <f t="shared" ref="D180:S192" si="52">C180</f>
        <v>0.57999999999999996</v>
      </c>
      <c r="E180" s="123">
        <f t="shared" si="52"/>
        <v>0.57999999999999996</v>
      </c>
      <c r="F180" s="123">
        <f t="shared" si="52"/>
        <v>0.57999999999999996</v>
      </c>
      <c r="G180" s="123">
        <f t="shared" si="52"/>
        <v>0.57999999999999996</v>
      </c>
      <c r="H180" s="123">
        <f t="shared" si="52"/>
        <v>0.57999999999999996</v>
      </c>
      <c r="I180" s="123">
        <f t="shared" si="52"/>
        <v>0.57999999999999996</v>
      </c>
      <c r="J180" s="123">
        <f t="shared" si="52"/>
        <v>0.57999999999999996</v>
      </c>
      <c r="K180" s="123">
        <f t="shared" si="52"/>
        <v>0.57999999999999996</v>
      </c>
      <c r="L180" s="123">
        <f t="shared" si="52"/>
        <v>0.57999999999999996</v>
      </c>
      <c r="M180" s="123">
        <f t="shared" si="52"/>
        <v>0.57999999999999996</v>
      </c>
      <c r="N180" s="123">
        <f t="shared" si="52"/>
        <v>0.57999999999999996</v>
      </c>
      <c r="O180" s="123">
        <f t="shared" si="52"/>
        <v>0.57999999999999996</v>
      </c>
      <c r="P180" s="123">
        <f t="shared" si="52"/>
        <v>0.57999999999999996</v>
      </c>
      <c r="Q180" s="123">
        <f t="shared" si="52"/>
        <v>0.57999999999999996</v>
      </c>
      <c r="R180" s="123">
        <f t="shared" si="52"/>
        <v>0.57999999999999996</v>
      </c>
      <c r="S180" s="123">
        <f t="shared" si="52"/>
        <v>0.57999999999999996</v>
      </c>
      <c r="T180" s="123">
        <f t="shared" ref="S180:AF192" si="53">S180</f>
        <v>0.57999999999999996</v>
      </c>
      <c r="U180" s="123">
        <f t="shared" si="53"/>
        <v>0.57999999999999996</v>
      </c>
      <c r="V180" s="123">
        <f t="shared" si="53"/>
        <v>0.57999999999999996</v>
      </c>
      <c r="W180" s="123">
        <f t="shared" si="53"/>
        <v>0.57999999999999996</v>
      </c>
      <c r="X180" s="123">
        <f t="shared" si="53"/>
        <v>0.57999999999999996</v>
      </c>
      <c r="Y180" s="123">
        <f t="shared" si="53"/>
        <v>0.57999999999999996</v>
      </c>
      <c r="Z180" s="123">
        <f t="shared" si="53"/>
        <v>0.57999999999999996</v>
      </c>
      <c r="AA180" s="123">
        <f t="shared" si="53"/>
        <v>0.57999999999999996</v>
      </c>
      <c r="AB180" s="123">
        <f t="shared" si="53"/>
        <v>0.57999999999999996</v>
      </c>
      <c r="AC180" s="123">
        <f t="shared" si="53"/>
        <v>0.57999999999999996</v>
      </c>
      <c r="AD180" s="123">
        <f t="shared" si="53"/>
        <v>0.57999999999999996</v>
      </c>
      <c r="AE180" s="123">
        <f t="shared" si="53"/>
        <v>0.57999999999999996</v>
      </c>
      <c r="AF180" s="123">
        <f t="shared" si="53"/>
        <v>0.57999999999999996</v>
      </c>
      <c r="AG180" s="126">
        <v>1.8</v>
      </c>
      <c r="AH180" s="54"/>
      <c r="AI180" s="55"/>
      <c r="AK180" s="56"/>
    </row>
    <row r="181" spans="1:37" x14ac:dyDescent="0.25">
      <c r="A181" s="111" t="s">
        <v>186</v>
      </c>
      <c r="B181" s="123">
        <f t="shared" si="51"/>
        <v>0.8</v>
      </c>
      <c r="C181" s="124">
        <v>0.8</v>
      </c>
      <c r="D181" s="123">
        <f t="shared" si="52"/>
        <v>0.8</v>
      </c>
      <c r="E181" s="123">
        <f t="shared" si="52"/>
        <v>0.8</v>
      </c>
      <c r="F181" s="123">
        <f t="shared" si="52"/>
        <v>0.8</v>
      </c>
      <c r="G181" s="123">
        <f t="shared" si="52"/>
        <v>0.8</v>
      </c>
      <c r="H181" s="123">
        <f t="shared" si="52"/>
        <v>0.8</v>
      </c>
      <c r="I181" s="123">
        <f t="shared" si="52"/>
        <v>0.8</v>
      </c>
      <c r="J181" s="123">
        <f t="shared" si="52"/>
        <v>0.8</v>
      </c>
      <c r="K181" s="123">
        <f t="shared" si="52"/>
        <v>0.8</v>
      </c>
      <c r="L181" s="123">
        <f t="shared" si="52"/>
        <v>0.8</v>
      </c>
      <c r="M181" s="123">
        <f t="shared" si="52"/>
        <v>0.8</v>
      </c>
      <c r="N181" s="123">
        <f t="shared" si="52"/>
        <v>0.8</v>
      </c>
      <c r="O181" s="123">
        <f t="shared" si="52"/>
        <v>0.8</v>
      </c>
      <c r="P181" s="123">
        <f t="shared" si="52"/>
        <v>0.8</v>
      </c>
      <c r="Q181" s="123">
        <f t="shared" si="52"/>
        <v>0.8</v>
      </c>
      <c r="R181" s="123">
        <f t="shared" si="52"/>
        <v>0.8</v>
      </c>
      <c r="S181" s="123">
        <f t="shared" si="52"/>
        <v>0.8</v>
      </c>
      <c r="T181" s="123">
        <f t="shared" si="53"/>
        <v>0.8</v>
      </c>
      <c r="U181" s="123">
        <f t="shared" si="53"/>
        <v>0.8</v>
      </c>
      <c r="V181" s="123">
        <f t="shared" si="53"/>
        <v>0.8</v>
      </c>
      <c r="W181" s="123">
        <f t="shared" si="53"/>
        <v>0.8</v>
      </c>
      <c r="X181" s="123">
        <f t="shared" si="53"/>
        <v>0.8</v>
      </c>
      <c r="Y181" s="123">
        <f t="shared" si="53"/>
        <v>0.8</v>
      </c>
      <c r="Z181" s="123">
        <f t="shared" si="53"/>
        <v>0.8</v>
      </c>
      <c r="AA181" s="123">
        <f t="shared" si="53"/>
        <v>0.8</v>
      </c>
      <c r="AB181" s="123">
        <f t="shared" si="53"/>
        <v>0.8</v>
      </c>
      <c r="AC181" s="123">
        <f t="shared" si="53"/>
        <v>0.8</v>
      </c>
      <c r="AD181" s="123">
        <f t="shared" si="53"/>
        <v>0.8</v>
      </c>
      <c r="AE181" s="123">
        <f t="shared" si="53"/>
        <v>0.8</v>
      </c>
      <c r="AF181" s="123">
        <f t="shared" si="53"/>
        <v>0.8</v>
      </c>
      <c r="AG181" s="126">
        <v>1.65</v>
      </c>
      <c r="AH181" s="54"/>
      <c r="AI181" s="55"/>
      <c r="AK181" s="56"/>
    </row>
    <row r="182" spans="1:37" x14ac:dyDescent="0.25">
      <c r="A182" s="111" t="s">
        <v>187</v>
      </c>
      <c r="B182" s="123">
        <f t="shared" si="51"/>
        <v>0</v>
      </c>
      <c r="C182" s="124">
        <v>0</v>
      </c>
      <c r="D182" s="123">
        <f t="shared" si="52"/>
        <v>0</v>
      </c>
      <c r="E182" s="123">
        <f t="shared" si="52"/>
        <v>0</v>
      </c>
      <c r="F182" s="123">
        <f t="shared" si="52"/>
        <v>0</v>
      </c>
      <c r="G182" s="123">
        <f t="shared" si="52"/>
        <v>0</v>
      </c>
      <c r="H182" s="123">
        <f t="shared" si="52"/>
        <v>0</v>
      </c>
      <c r="I182" s="123">
        <f t="shared" si="52"/>
        <v>0</v>
      </c>
      <c r="J182" s="123">
        <f t="shared" si="52"/>
        <v>0</v>
      </c>
      <c r="K182" s="123">
        <f t="shared" si="52"/>
        <v>0</v>
      </c>
      <c r="L182" s="123">
        <f t="shared" si="52"/>
        <v>0</v>
      </c>
      <c r="M182" s="123">
        <f t="shared" si="52"/>
        <v>0</v>
      </c>
      <c r="N182" s="123">
        <f t="shared" si="52"/>
        <v>0</v>
      </c>
      <c r="O182" s="123">
        <f t="shared" si="52"/>
        <v>0</v>
      </c>
      <c r="P182" s="123">
        <f t="shared" si="52"/>
        <v>0</v>
      </c>
      <c r="Q182" s="123">
        <f t="shared" si="52"/>
        <v>0</v>
      </c>
      <c r="R182" s="123">
        <f t="shared" si="52"/>
        <v>0</v>
      </c>
      <c r="S182" s="123">
        <f t="shared" si="52"/>
        <v>0</v>
      </c>
      <c r="T182" s="123">
        <f t="shared" si="53"/>
        <v>0</v>
      </c>
      <c r="U182" s="123">
        <f t="shared" si="53"/>
        <v>0</v>
      </c>
      <c r="V182" s="123">
        <f t="shared" si="53"/>
        <v>0</v>
      </c>
      <c r="W182" s="123">
        <f t="shared" si="53"/>
        <v>0</v>
      </c>
      <c r="X182" s="123">
        <f t="shared" si="53"/>
        <v>0</v>
      </c>
      <c r="Y182" s="123">
        <f t="shared" si="53"/>
        <v>0</v>
      </c>
      <c r="Z182" s="123">
        <f t="shared" si="53"/>
        <v>0</v>
      </c>
      <c r="AA182" s="123">
        <f t="shared" si="53"/>
        <v>0</v>
      </c>
      <c r="AB182" s="123">
        <f t="shared" si="53"/>
        <v>0</v>
      </c>
      <c r="AC182" s="123">
        <f t="shared" si="53"/>
        <v>0</v>
      </c>
      <c r="AD182" s="123">
        <f t="shared" si="53"/>
        <v>0</v>
      </c>
      <c r="AE182" s="123">
        <f t="shared" si="53"/>
        <v>0</v>
      </c>
      <c r="AF182" s="123">
        <f t="shared" si="53"/>
        <v>0</v>
      </c>
      <c r="AG182" s="126">
        <v>1.5</v>
      </c>
      <c r="AH182" s="54"/>
      <c r="AI182" s="55"/>
      <c r="AK182" s="56"/>
    </row>
    <row r="183" spans="1:37" x14ac:dyDescent="0.25">
      <c r="A183" s="111" t="s">
        <v>188</v>
      </c>
      <c r="B183" s="123">
        <f t="shared" si="51"/>
        <v>0.6</v>
      </c>
      <c r="C183" s="124">
        <v>0.6</v>
      </c>
      <c r="D183" s="123">
        <f t="shared" si="52"/>
        <v>0.6</v>
      </c>
      <c r="E183" s="123">
        <f t="shared" si="52"/>
        <v>0.6</v>
      </c>
      <c r="F183" s="123">
        <f t="shared" si="52"/>
        <v>0.6</v>
      </c>
      <c r="G183" s="123">
        <f t="shared" si="52"/>
        <v>0.6</v>
      </c>
      <c r="H183" s="123">
        <f t="shared" si="52"/>
        <v>0.6</v>
      </c>
      <c r="I183" s="123">
        <f t="shared" si="52"/>
        <v>0.6</v>
      </c>
      <c r="J183" s="123">
        <f t="shared" si="52"/>
        <v>0.6</v>
      </c>
      <c r="K183" s="123">
        <f t="shared" si="52"/>
        <v>0.6</v>
      </c>
      <c r="L183" s="123">
        <f t="shared" si="52"/>
        <v>0.6</v>
      </c>
      <c r="M183" s="123">
        <f t="shared" si="52"/>
        <v>0.6</v>
      </c>
      <c r="N183" s="123">
        <f t="shared" si="52"/>
        <v>0.6</v>
      </c>
      <c r="O183" s="123">
        <f t="shared" si="52"/>
        <v>0.6</v>
      </c>
      <c r="P183" s="123">
        <f t="shared" si="52"/>
        <v>0.6</v>
      </c>
      <c r="Q183" s="123">
        <f t="shared" si="52"/>
        <v>0.6</v>
      </c>
      <c r="R183" s="123">
        <f t="shared" si="52"/>
        <v>0.6</v>
      </c>
      <c r="S183" s="123">
        <f t="shared" si="52"/>
        <v>0.6</v>
      </c>
      <c r="T183" s="123">
        <f t="shared" si="53"/>
        <v>0.6</v>
      </c>
      <c r="U183" s="123">
        <f t="shared" si="53"/>
        <v>0.6</v>
      </c>
      <c r="V183" s="123">
        <f t="shared" si="53"/>
        <v>0.6</v>
      </c>
      <c r="W183" s="123">
        <f t="shared" si="53"/>
        <v>0.6</v>
      </c>
      <c r="X183" s="123">
        <f t="shared" si="53"/>
        <v>0.6</v>
      </c>
      <c r="Y183" s="123">
        <f t="shared" si="53"/>
        <v>0.6</v>
      </c>
      <c r="Z183" s="123">
        <f t="shared" si="53"/>
        <v>0.6</v>
      </c>
      <c r="AA183" s="123">
        <f t="shared" si="53"/>
        <v>0.6</v>
      </c>
      <c r="AB183" s="123">
        <f t="shared" si="53"/>
        <v>0.6</v>
      </c>
      <c r="AC183" s="123">
        <f t="shared" si="53"/>
        <v>0.6</v>
      </c>
      <c r="AD183" s="123">
        <f t="shared" si="53"/>
        <v>0.6</v>
      </c>
      <c r="AE183" s="123">
        <f t="shared" si="53"/>
        <v>0.6</v>
      </c>
      <c r="AF183" s="123">
        <f t="shared" si="53"/>
        <v>0.6</v>
      </c>
      <c r="AG183" s="126">
        <v>0.998</v>
      </c>
      <c r="AH183" s="54"/>
      <c r="AI183" s="55"/>
      <c r="AK183" s="56"/>
    </row>
    <row r="184" spans="1:37" x14ac:dyDescent="0.25">
      <c r="A184" s="111" t="s">
        <v>189</v>
      </c>
      <c r="B184" s="123">
        <f t="shared" si="51"/>
        <v>0.6</v>
      </c>
      <c r="C184" s="124">
        <v>0.6</v>
      </c>
      <c r="D184" s="123">
        <f t="shared" si="52"/>
        <v>0.6</v>
      </c>
      <c r="E184" s="123">
        <f t="shared" si="52"/>
        <v>0.6</v>
      </c>
      <c r="F184" s="123">
        <f t="shared" si="52"/>
        <v>0.6</v>
      </c>
      <c r="G184" s="123">
        <f t="shared" si="52"/>
        <v>0.6</v>
      </c>
      <c r="H184" s="123">
        <f t="shared" si="52"/>
        <v>0.6</v>
      </c>
      <c r="I184" s="123">
        <f t="shared" si="52"/>
        <v>0.6</v>
      </c>
      <c r="J184" s="123">
        <f t="shared" si="52"/>
        <v>0.6</v>
      </c>
      <c r="K184" s="123">
        <f t="shared" si="52"/>
        <v>0.6</v>
      </c>
      <c r="L184" s="123">
        <f t="shared" si="52"/>
        <v>0.6</v>
      </c>
      <c r="M184" s="123">
        <f t="shared" si="52"/>
        <v>0.6</v>
      </c>
      <c r="N184" s="123">
        <f t="shared" si="52"/>
        <v>0.6</v>
      </c>
      <c r="O184" s="123">
        <f t="shared" si="52"/>
        <v>0.6</v>
      </c>
      <c r="P184" s="123">
        <f t="shared" si="52"/>
        <v>0.6</v>
      </c>
      <c r="Q184" s="123">
        <f t="shared" si="52"/>
        <v>0.6</v>
      </c>
      <c r="R184" s="123">
        <f t="shared" si="52"/>
        <v>0.6</v>
      </c>
      <c r="S184" s="123">
        <f t="shared" si="52"/>
        <v>0.6</v>
      </c>
      <c r="T184" s="123">
        <f t="shared" si="53"/>
        <v>0.6</v>
      </c>
      <c r="U184" s="123">
        <f t="shared" si="53"/>
        <v>0.6</v>
      </c>
      <c r="V184" s="123">
        <f t="shared" si="53"/>
        <v>0.6</v>
      </c>
      <c r="W184" s="123">
        <f t="shared" si="53"/>
        <v>0.6</v>
      </c>
      <c r="X184" s="123">
        <f t="shared" si="53"/>
        <v>0.6</v>
      </c>
      <c r="Y184" s="123">
        <f t="shared" si="53"/>
        <v>0.6</v>
      </c>
      <c r="Z184" s="123">
        <f t="shared" si="53"/>
        <v>0.6</v>
      </c>
      <c r="AA184" s="123">
        <f t="shared" si="53"/>
        <v>0.6</v>
      </c>
      <c r="AB184" s="123">
        <f t="shared" si="53"/>
        <v>0.6</v>
      </c>
      <c r="AC184" s="123">
        <f t="shared" si="53"/>
        <v>0.6</v>
      </c>
      <c r="AD184" s="123">
        <f t="shared" si="53"/>
        <v>0.6</v>
      </c>
      <c r="AE184" s="123">
        <f t="shared" si="53"/>
        <v>0.6</v>
      </c>
      <c r="AF184" s="123">
        <f t="shared" si="53"/>
        <v>0.6</v>
      </c>
      <c r="AG184" s="126">
        <v>0.997</v>
      </c>
      <c r="AH184" s="54"/>
      <c r="AI184" s="55"/>
      <c r="AK184" s="56"/>
    </row>
    <row r="185" spans="1:37" x14ac:dyDescent="0.25">
      <c r="A185" s="111" t="s">
        <v>190</v>
      </c>
      <c r="B185" s="123">
        <f t="shared" si="51"/>
        <v>0.35</v>
      </c>
      <c r="C185" s="124">
        <v>0.35</v>
      </c>
      <c r="D185" s="123">
        <f t="shared" si="52"/>
        <v>0.35</v>
      </c>
      <c r="E185" s="123">
        <f t="shared" si="52"/>
        <v>0.35</v>
      </c>
      <c r="F185" s="123">
        <f t="shared" si="52"/>
        <v>0.35</v>
      </c>
      <c r="G185" s="123">
        <f t="shared" si="52"/>
        <v>0.35</v>
      </c>
      <c r="H185" s="123">
        <f t="shared" si="52"/>
        <v>0.35</v>
      </c>
      <c r="I185" s="123">
        <f t="shared" si="52"/>
        <v>0.35</v>
      </c>
      <c r="J185" s="123">
        <f t="shared" si="52"/>
        <v>0.35</v>
      </c>
      <c r="K185" s="123">
        <f t="shared" si="52"/>
        <v>0.35</v>
      </c>
      <c r="L185" s="123">
        <f t="shared" si="52"/>
        <v>0.35</v>
      </c>
      <c r="M185" s="123">
        <f t="shared" si="52"/>
        <v>0.35</v>
      </c>
      <c r="N185" s="123">
        <f t="shared" si="52"/>
        <v>0.35</v>
      </c>
      <c r="O185" s="123">
        <f t="shared" si="52"/>
        <v>0.35</v>
      </c>
      <c r="P185" s="123">
        <f t="shared" si="52"/>
        <v>0.35</v>
      </c>
      <c r="Q185" s="123">
        <f t="shared" si="52"/>
        <v>0.35</v>
      </c>
      <c r="R185" s="123">
        <f t="shared" si="52"/>
        <v>0.35</v>
      </c>
      <c r="S185" s="123">
        <f t="shared" si="52"/>
        <v>0.35</v>
      </c>
      <c r="T185" s="123">
        <f t="shared" si="53"/>
        <v>0.35</v>
      </c>
      <c r="U185" s="123">
        <f t="shared" si="53"/>
        <v>0.35</v>
      </c>
      <c r="V185" s="123">
        <f t="shared" si="53"/>
        <v>0.35</v>
      </c>
      <c r="W185" s="123">
        <f t="shared" si="53"/>
        <v>0.35</v>
      </c>
      <c r="X185" s="123">
        <f t="shared" si="53"/>
        <v>0.35</v>
      </c>
      <c r="Y185" s="123">
        <f t="shared" si="53"/>
        <v>0.35</v>
      </c>
      <c r="Z185" s="123">
        <f t="shared" si="53"/>
        <v>0.35</v>
      </c>
      <c r="AA185" s="123">
        <f t="shared" si="53"/>
        <v>0.35</v>
      </c>
      <c r="AB185" s="123">
        <f t="shared" si="53"/>
        <v>0.35</v>
      </c>
      <c r="AC185" s="123">
        <f t="shared" si="53"/>
        <v>0.35</v>
      </c>
      <c r="AD185" s="123">
        <f t="shared" si="53"/>
        <v>0.35</v>
      </c>
      <c r="AE185" s="123">
        <f t="shared" si="53"/>
        <v>0.35</v>
      </c>
      <c r="AF185" s="123">
        <f t="shared" si="53"/>
        <v>0.35</v>
      </c>
      <c r="AG185" s="126">
        <v>0.997</v>
      </c>
      <c r="AH185" s="54"/>
      <c r="AI185" s="55"/>
      <c r="AK185" s="56"/>
    </row>
    <row r="186" spans="1:37" x14ac:dyDescent="0.25">
      <c r="A186" s="111" t="s">
        <v>191</v>
      </c>
      <c r="B186" s="123">
        <f t="shared" si="51"/>
        <v>0.28999999999999998</v>
      </c>
      <c r="C186" s="124">
        <v>0.28999999999999998</v>
      </c>
      <c r="D186" s="123">
        <f t="shared" si="52"/>
        <v>0.28999999999999998</v>
      </c>
      <c r="E186" s="123">
        <f t="shared" si="52"/>
        <v>0.28999999999999998</v>
      </c>
      <c r="F186" s="123">
        <f t="shared" si="52"/>
        <v>0.28999999999999998</v>
      </c>
      <c r="G186" s="123">
        <f t="shared" si="52"/>
        <v>0.28999999999999998</v>
      </c>
      <c r="H186" s="123">
        <f t="shared" si="52"/>
        <v>0.28999999999999998</v>
      </c>
      <c r="I186" s="123">
        <f t="shared" si="52"/>
        <v>0.28999999999999998</v>
      </c>
      <c r="J186" s="123">
        <f t="shared" si="52"/>
        <v>0.28999999999999998</v>
      </c>
      <c r="K186" s="123">
        <f t="shared" si="52"/>
        <v>0.28999999999999998</v>
      </c>
      <c r="L186" s="123">
        <f t="shared" si="52"/>
        <v>0.28999999999999998</v>
      </c>
      <c r="M186" s="123">
        <f t="shared" si="52"/>
        <v>0.28999999999999998</v>
      </c>
      <c r="N186" s="123">
        <f t="shared" si="52"/>
        <v>0.28999999999999998</v>
      </c>
      <c r="O186" s="123">
        <f t="shared" si="52"/>
        <v>0.28999999999999998</v>
      </c>
      <c r="P186" s="123">
        <f t="shared" si="52"/>
        <v>0.28999999999999998</v>
      </c>
      <c r="Q186" s="123">
        <f t="shared" si="52"/>
        <v>0.28999999999999998</v>
      </c>
      <c r="R186" s="123">
        <f t="shared" si="52"/>
        <v>0.28999999999999998</v>
      </c>
      <c r="S186" s="123">
        <f t="shared" si="52"/>
        <v>0.28999999999999998</v>
      </c>
      <c r="T186" s="123">
        <f t="shared" si="53"/>
        <v>0.28999999999999998</v>
      </c>
      <c r="U186" s="123">
        <f t="shared" si="53"/>
        <v>0.28999999999999998</v>
      </c>
      <c r="V186" s="123">
        <f t="shared" si="53"/>
        <v>0.28999999999999998</v>
      </c>
      <c r="W186" s="123">
        <f t="shared" si="53"/>
        <v>0.28999999999999998</v>
      </c>
      <c r="X186" s="123">
        <f t="shared" si="53"/>
        <v>0.28999999999999998</v>
      </c>
      <c r="Y186" s="123">
        <f t="shared" si="53"/>
        <v>0.28999999999999998</v>
      </c>
      <c r="Z186" s="123">
        <f t="shared" si="53"/>
        <v>0.28999999999999998</v>
      </c>
      <c r="AA186" s="123">
        <f t="shared" si="53"/>
        <v>0.28999999999999998</v>
      </c>
      <c r="AB186" s="123">
        <f t="shared" si="53"/>
        <v>0.28999999999999998</v>
      </c>
      <c r="AC186" s="123">
        <f t="shared" si="53"/>
        <v>0.28999999999999998</v>
      </c>
      <c r="AD186" s="123">
        <f t="shared" si="53"/>
        <v>0.28999999999999998</v>
      </c>
      <c r="AE186" s="123">
        <f t="shared" si="53"/>
        <v>0.28999999999999998</v>
      </c>
      <c r="AF186" s="123">
        <f t="shared" si="53"/>
        <v>0.28999999999999998</v>
      </c>
      <c r="AG186" s="126">
        <v>0.996</v>
      </c>
      <c r="AH186" s="54"/>
      <c r="AI186" s="55"/>
      <c r="AK186" s="56"/>
    </row>
    <row r="187" spans="1:37" x14ac:dyDescent="0.25">
      <c r="A187" s="111" t="s">
        <v>192</v>
      </c>
      <c r="B187" s="123">
        <f t="shared" si="51"/>
        <v>0.06</v>
      </c>
      <c r="C187" s="124">
        <v>0.06</v>
      </c>
      <c r="D187" s="123">
        <f t="shared" si="52"/>
        <v>0.06</v>
      </c>
      <c r="E187" s="123">
        <f t="shared" si="52"/>
        <v>0.06</v>
      </c>
      <c r="F187" s="123">
        <f t="shared" si="52"/>
        <v>0.06</v>
      </c>
      <c r="G187" s="123">
        <f t="shared" si="52"/>
        <v>0.06</v>
      </c>
      <c r="H187" s="123">
        <f t="shared" si="52"/>
        <v>0.06</v>
      </c>
      <c r="I187" s="123">
        <f t="shared" si="52"/>
        <v>0.06</v>
      </c>
      <c r="J187" s="123">
        <f t="shared" si="52"/>
        <v>0.06</v>
      </c>
      <c r="K187" s="123">
        <f t="shared" si="52"/>
        <v>0.06</v>
      </c>
      <c r="L187" s="123">
        <f t="shared" si="52"/>
        <v>0.06</v>
      </c>
      <c r="M187" s="123">
        <f t="shared" si="52"/>
        <v>0.06</v>
      </c>
      <c r="N187" s="123">
        <f t="shared" si="52"/>
        <v>0.06</v>
      </c>
      <c r="O187" s="123">
        <f t="shared" si="52"/>
        <v>0.06</v>
      </c>
      <c r="P187" s="123">
        <f t="shared" si="52"/>
        <v>0.06</v>
      </c>
      <c r="Q187" s="123">
        <f t="shared" si="52"/>
        <v>0.06</v>
      </c>
      <c r="R187" s="123">
        <f t="shared" si="52"/>
        <v>0.06</v>
      </c>
      <c r="S187" s="123">
        <f t="shared" si="52"/>
        <v>0.06</v>
      </c>
      <c r="T187" s="123">
        <f t="shared" si="53"/>
        <v>0.06</v>
      </c>
      <c r="U187" s="123">
        <f t="shared" si="53"/>
        <v>0.06</v>
      </c>
      <c r="V187" s="123">
        <f t="shared" si="53"/>
        <v>0.06</v>
      </c>
      <c r="W187" s="123">
        <f t="shared" si="53"/>
        <v>0.06</v>
      </c>
      <c r="X187" s="123">
        <f t="shared" si="53"/>
        <v>0.06</v>
      </c>
      <c r="Y187" s="123">
        <f t="shared" si="53"/>
        <v>0.06</v>
      </c>
      <c r="Z187" s="123">
        <f t="shared" si="53"/>
        <v>0.06</v>
      </c>
      <c r="AA187" s="123">
        <f t="shared" si="53"/>
        <v>0.06</v>
      </c>
      <c r="AB187" s="123">
        <f t="shared" si="53"/>
        <v>0.06</v>
      </c>
      <c r="AC187" s="123">
        <f t="shared" si="53"/>
        <v>0.06</v>
      </c>
      <c r="AD187" s="123">
        <f t="shared" si="53"/>
        <v>0.06</v>
      </c>
      <c r="AE187" s="123">
        <f t="shared" si="53"/>
        <v>0.06</v>
      </c>
      <c r="AF187" s="123">
        <f t="shared" si="53"/>
        <v>0.06</v>
      </c>
      <c r="AG187" s="126">
        <v>0.996</v>
      </c>
      <c r="AH187" s="54"/>
      <c r="AI187" s="55"/>
      <c r="AK187" s="56"/>
    </row>
    <row r="188" spans="1:37" x14ac:dyDescent="0.25">
      <c r="A188" s="111" t="s">
        <v>193</v>
      </c>
      <c r="B188" s="123">
        <f t="shared" si="51"/>
        <v>0.11</v>
      </c>
      <c r="C188" s="124">
        <v>0.11</v>
      </c>
      <c r="D188" s="123">
        <f t="shared" si="52"/>
        <v>0.11</v>
      </c>
      <c r="E188" s="123">
        <f t="shared" si="52"/>
        <v>0.11</v>
      </c>
      <c r="F188" s="123">
        <f t="shared" si="52"/>
        <v>0.11</v>
      </c>
      <c r="G188" s="123">
        <f t="shared" si="52"/>
        <v>0.11</v>
      </c>
      <c r="H188" s="123">
        <f t="shared" si="52"/>
        <v>0.11</v>
      </c>
      <c r="I188" s="123">
        <f t="shared" si="52"/>
        <v>0.11</v>
      </c>
      <c r="J188" s="123">
        <f t="shared" si="52"/>
        <v>0.11</v>
      </c>
      <c r="K188" s="123">
        <f t="shared" si="52"/>
        <v>0.11</v>
      </c>
      <c r="L188" s="123">
        <f t="shared" si="52"/>
        <v>0.11</v>
      </c>
      <c r="M188" s="123">
        <f t="shared" si="52"/>
        <v>0.11</v>
      </c>
      <c r="N188" s="123">
        <f t="shared" si="52"/>
        <v>0.11</v>
      </c>
      <c r="O188" s="123">
        <f t="shared" si="52"/>
        <v>0.11</v>
      </c>
      <c r="P188" s="123">
        <f t="shared" si="52"/>
        <v>0.11</v>
      </c>
      <c r="Q188" s="123">
        <f t="shared" si="52"/>
        <v>0.11</v>
      </c>
      <c r="R188" s="123">
        <f t="shared" si="52"/>
        <v>0.11</v>
      </c>
      <c r="S188" s="123">
        <f t="shared" si="52"/>
        <v>0.11</v>
      </c>
      <c r="T188" s="123">
        <f t="shared" si="53"/>
        <v>0.11</v>
      </c>
      <c r="U188" s="123">
        <f t="shared" si="53"/>
        <v>0.11</v>
      </c>
      <c r="V188" s="123">
        <f t="shared" si="53"/>
        <v>0.11</v>
      </c>
      <c r="W188" s="123">
        <f t="shared" si="53"/>
        <v>0.11</v>
      </c>
      <c r="X188" s="123">
        <f t="shared" si="53"/>
        <v>0.11</v>
      </c>
      <c r="Y188" s="123">
        <f t="shared" si="53"/>
        <v>0.11</v>
      </c>
      <c r="Z188" s="123">
        <f t="shared" si="53"/>
        <v>0.11</v>
      </c>
      <c r="AA188" s="123">
        <f t="shared" si="53"/>
        <v>0.11</v>
      </c>
      <c r="AB188" s="123">
        <f t="shared" si="53"/>
        <v>0.11</v>
      </c>
      <c r="AC188" s="123">
        <f t="shared" si="53"/>
        <v>0.11</v>
      </c>
      <c r="AD188" s="123">
        <f t="shared" si="53"/>
        <v>0.11</v>
      </c>
      <c r="AE188" s="123">
        <f t="shared" si="53"/>
        <v>0.11</v>
      </c>
      <c r="AF188" s="123">
        <f t="shared" si="53"/>
        <v>0.11</v>
      </c>
      <c r="AG188" s="126">
        <v>0.996</v>
      </c>
      <c r="AH188" s="54"/>
      <c r="AI188" s="55"/>
      <c r="AK188" s="56"/>
    </row>
    <row r="189" spans="1:37" x14ac:dyDescent="0.25">
      <c r="A189" s="111" t="s">
        <v>194</v>
      </c>
      <c r="B189" s="123">
        <f t="shared" si="51"/>
        <v>0.1</v>
      </c>
      <c r="C189" s="124">
        <v>0.1</v>
      </c>
      <c r="D189" s="123">
        <f t="shared" si="52"/>
        <v>0.1</v>
      </c>
      <c r="E189" s="123">
        <f t="shared" si="52"/>
        <v>0.1</v>
      </c>
      <c r="F189" s="123">
        <f t="shared" si="52"/>
        <v>0.1</v>
      </c>
      <c r="G189" s="123">
        <f t="shared" si="52"/>
        <v>0.1</v>
      </c>
      <c r="H189" s="123">
        <f t="shared" si="52"/>
        <v>0.1</v>
      </c>
      <c r="I189" s="123">
        <f t="shared" si="52"/>
        <v>0.1</v>
      </c>
      <c r="J189" s="123">
        <f t="shared" si="52"/>
        <v>0.1</v>
      </c>
      <c r="K189" s="123">
        <f t="shared" si="52"/>
        <v>0.1</v>
      </c>
      <c r="L189" s="123">
        <f t="shared" si="52"/>
        <v>0.1</v>
      </c>
      <c r="M189" s="123">
        <f t="shared" si="52"/>
        <v>0.1</v>
      </c>
      <c r="N189" s="123">
        <f t="shared" si="52"/>
        <v>0.1</v>
      </c>
      <c r="O189" s="123">
        <f t="shared" si="52"/>
        <v>0.1</v>
      </c>
      <c r="P189" s="123">
        <f t="shared" si="52"/>
        <v>0.1</v>
      </c>
      <c r="Q189" s="123">
        <f t="shared" si="52"/>
        <v>0.1</v>
      </c>
      <c r="R189" s="123">
        <f t="shared" si="52"/>
        <v>0.1</v>
      </c>
      <c r="S189" s="123">
        <f t="shared" si="53"/>
        <v>0.1</v>
      </c>
      <c r="T189" s="123">
        <f t="shared" si="53"/>
        <v>0.1</v>
      </c>
      <c r="U189" s="123">
        <f t="shared" si="53"/>
        <v>0.1</v>
      </c>
      <c r="V189" s="123">
        <f t="shared" si="53"/>
        <v>0.1</v>
      </c>
      <c r="W189" s="123">
        <f t="shared" si="53"/>
        <v>0.1</v>
      </c>
      <c r="X189" s="123">
        <f t="shared" si="53"/>
        <v>0.1</v>
      </c>
      <c r="Y189" s="123">
        <f t="shared" si="53"/>
        <v>0.1</v>
      </c>
      <c r="Z189" s="123">
        <f t="shared" si="53"/>
        <v>0.1</v>
      </c>
      <c r="AA189" s="123">
        <f t="shared" si="53"/>
        <v>0.1</v>
      </c>
      <c r="AB189" s="123">
        <f t="shared" si="53"/>
        <v>0.1</v>
      </c>
      <c r="AC189" s="123">
        <f t="shared" si="53"/>
        <v>0.1</v>
      </c>
      <c r="AD189" s="123">
        <f t="shared" si="53"/>
        <v>0.1</v>
      </c>
      <c r="AE189" s="123">
        <f t="shared" si="53"/>
        <v>0.1</v>
      </c>
      <c r="AF189" s="123">
        <f t="shared" si="53"/>
        <v>0.1</v>
      </c>
      <c r="AG189" s="126">
        <v>0.995</v>
      </c>
      <c r="AH189" s="54"/>
      <c r="AI189" s="55"/>
      <c r="AK189" s="56"/>
    </row>
    <row r="190" spans="1:37" x14ac:dyDescent="0.25">
      <c r="A190" s="111" t="s">
        <v>195</v>
      </c>
      <c r="B190" s="123">
        <f t="shared" si="51"/>
        <v>0.09</v>
      </c>
      <c r="C190" s="124">
        <v>0.09</v>
      </c>
      <c r="D190" s="123">
        <f t="shared" si="52"/>
        <v>0.09</v>
      </c>
      <c r="E190" s="123">
        <f t="shared" si="52"/>
        <v>0.09</v>
      </c>
      <c r="F190" s="123">
        <f t="shared" si="52"/>
        <v>0.09</v>
      </c>
      <c r="G190" s="123">
        <f t="shared" si="52"/>
        <v>0.09</v>
      </c>
      <c r="H190" s="123">
        <f t="shared" si="52"/>
        <v>0.09</v>
      </c>
      <c r="I190" s="123">
        <f t="shared" si="52"/>
        <v>0.09</v>
      </c>
      <c r="J190" s="123">
        <f t="shared" si="52"/>
        <v>0.09</v>
      </c>
      <c r="K190" s="123">
        <f t="shared" si="52"/>
        <v>0.09</v>
      </c>
      <c r="L190" s="123">
        <f t="shared" si="52"/>
        <v>0.09</v>
      </c>
      <c r="M190" s="123">
        <f t="shared" si="52"/>
        <v>0.09</v>
      </c>
      <c r="N190" s="123">
        <f t="shared" si="52"/>
        <v>0.09</v>
      </c>
      <c r="O190" s="123">
        <f t="shared" si="52"/>
        <v>0.09</v>
      </c>
      <c r="P190" s="123">
        <f t="shared" si="52"/>
        <v>0.09</v>
      </c>
      <c r="Q190" s="123">
        <f t="shared" si="52"/>
        <v>0.09</v>
      </c>
      <c r="R190" s="123">
        <f t="shared" si="52"/>
        <v>0.09</v>
      </c>
      <c r="S190" s="123">
        <f t="shared" si="53"/>
        <v>0.09</v>
      </c>
      <c r="T190" s="123">
        <f t="shared" si="53"/>
        <v>0.09</v>
      </c>
      <c r="U190" s="123">
        <f t="shared" si="53"/>
        <v>0.09</v>
      </c>
      <c r="V190" s="123">
        <f t="shared" si="53"/>
        <v>0.09</v>
      </c>
      <c r="W190" s="123">
        <f t="shared" si="53"/>
        <v>0.09</v>
      </c>
      <c r="X190" s="123">
        <f t="shared" si="53"/>
        <v>0.09</v>
      </c>
      <c r="Y190" s="123">
        <f t="shared" si="53"/>
        <v>0.09</v>
      </c>
      <c r="Z190" s="123">
        <f t="shared" si="53"/>
        <v>0.09</v>
      </c>
      <c r="AA190" s="123">
        <f t="shared" si="53"/>
        <v>0.09</v>
      </c>
      <c r="AB190" s="123">
        <f t="shared" si="53"/>
        <v>0.09</v>
      </c>
      <c r="AC190" s="123">
        <f t="shared" si="53"/>
        <v>0.09</v>
      </c>
      <c r="AD190" s="123">
        <f t="shared" si="53"/>
        <v>0.09</v>
      </c>
      <c r="AE190" s="123">
        <f t="shared" si="53"/>
        <v>0.09</v>
      </c>
      <c r="AF190" s="123">
        <f t="shared" si="53"/>
        <v>0.09</v>
      </c>
      <c r="AG190" s="126">
        <v>0.99299999999999999</v>
      </c>
      <c r="AH190" s="54"/>
      <c r="AI190" s="55"/>
      <c r="AK190" s="56"/>
    </row>
    <row r="191" spans="1:37" x14ac:dyDescent="0.25">
      <c r="A191" s="111" t="s">
        <v>196</v>
      </c>
      <c r="B191" s="123">
        <f t="shared" si="51"/>
        <v>0.04</v>
      </c>
      <c r="C191" s="53">
        <v>0.04</v>
      </c>
      <c r="D191" s="123">
        <f t="shared" si="52"/>
        <v>0.04</v>
      </c>
      <c r="E191" s="123">
        <f t="shared" si="52"/>
        <v>0.04</v>
      </c>
      <c r="F191" s="123">
        <f t="shared" si="52"/>
        <v>0.04</v>
      </c>
      <c r="G191" s="123">
        <f t="shared" si="52"/>
        <v>0.04</v>
      </c>
      <c r="H191" s="123">
        <f t="shared" si="52"/>
        <v>0.04</v>
      </c>
      <c r="I191" s="123">
        <f t="shared" si="52"/>
        <v>0.04</v>
      </c>
      <c r="J191" s="123">
        <f t="shared" si="52"/>
        <v>0.04</v>
      </c>
      <c r="K191" s="123">
        <f t="shared" si="52"/>
        <v>0.04</v>
      </c>
      <c r="L191" s="123">
        <f t="shared" si="52"/>
        <v>0.04</v>
      </c>
      <c r="M191" s="123">
        <f t="shared" si="52"/>
        <v>0.04</v>
      </c>
      <c r="N191" s="123">
        <f t="shared" si="52"/>
        <v>0.04</v>
      </c>
      <c r="O191" s="123">
        <f t="shared" si="52"/>
        <v>0.04</v>
      </c>
      <c r="P191" s="123">
        <f t="shared" si="52"/>
        <v>0.04</v>
      </c>
      <c r="Q191" s="123">
        <f t="shared" si="52"/>
        <v>0.04</v>
      </c>
      <c r="R191" s="123">
        <f t="shared" si="52"/>
        <v>0.04</v>
      </c>
      <c r="S191" s="123">
        <f t="shared" si="53"/>
        <v>0.04</v>
      </c>
      <c r="T191" s="123">
        <f t="shared" si="53"/>
        <v>0.04</v>
      </c>
      <c r="U191" s="123">
        <f t="shared" si="53"/>
        <v>0.04</v>
      </c>
      <c r="V191" s="123">
        <f t="shared" si="53"/>
        <v>0.04</v>
      </c>
      <c r="W191" s="123">
        <f t="shared" si="53"/>
        <v>0.04</v>
      </c>
      <c r="X191" s="123">
        <f t="shared" si="53"/>
        <v>0.04</v>
      </c>
      <c r="Y191" s="123">
        <f t="shared" si="53"/>
        <v>0.04</v>
      </c>
      <c r="Z191" s="123">
        <f t="shared" si="53"/>
        <v>0.04</v>
      </c>
      <c r="AA191" s="123">
        <f t="shared" si="53"/>
        <v>0.04</v>
      </c>
      <c r="AB191" s="123">
        <f t="shared" si="53"/>
        <v>0.04</v>
      </c>
      <c r="AC191" s="123">
        <f t="shared" si="53"/>
        <v>0.04</v>
      </c>
      <c r="AD191" s="123">
        <f t="shared" si="53"/>
        <v>0.04</v>
      </c>
      <c r="AE191" s="123">
        <f t="shared" si="53"/>
        <v>0.04</v>
      </c>
      <c r="AF191" s="123">
        <f t="shared" si="53"/>
        <v>0.04</v>
      </c>
      <c r="AG191" s="126">
        <v>0.99</v>
      </c>
      <c r="AH191" s="54"/>
      <c r="AI191" s="55"/>
      <c r="AK191" s="56"/>
    </row>
    <row r="192" spans="1:37" x14ac:dyDescent="0.25">
      <c r="A192" s="111" t="s">
        <v>197</v>
      </c>
      <c r="B192" s="123">
        <f t="shared" si="51"/>
        <v>2.3E-2</v>
      </c>
      <c r="C192" s="53">
        <v>2.3E-2</v>
      </c>
      <c r="D192" s="123">
        <f>C192</f>
        <v>2.3E-2</v>
      </c>
      <c r="E192" s="123">
        <f t="shared" si="52"/>
        <v>2.3E-2</v>
      </c>
      <c r="F192" s="123">
        <f t="shared" si="52"/>
        <v>2.3E-2</v>
      </c>
      <c r="G192" s="123">
        <f t="shared" si="52"/>
        <v>2.3E-2</v>
      </c>
      <c r="H192" s="123">
        <f t="shared" si="52"/>
        <v>2.3E-2</v>
      </c>
      <c r="I192" s="123">
        <f t="shared" si="52"/>
        <v>2.3E-2</v>
      </c>
      <c r="J192" s="123">
        <f t="shared" si="52"/>
        <v>2.3E-2</v>
      </c>
      <c r="K192" s="123">
        <f t="shared" si="52"/>
        <v>2.3E-2</v>
      </c>
      <c r="L192" s="123">
        <f t="shared" si="52"/>
        <v>2.3E-2</v>
      </c>
      <c r="M192" s="123">
        <f t="shared" si="52"/>
        <v>2.3E-2</v>
      </c>
      <c r="N192" s="123">
        <f t="shared" si="52"/>
        <v>2.3E-2</v>
      </c>
      <c r="O192" s="123">
        <f t="shared" si="52"/>
        <v>2.3E-2</v>
      </c>
      <c r="P192" s="123">
        <f t="shared" si="52"/>
        <v>2.3E-2</v>
      </c>
      <c r="Q192" s="123">
        <f t="shared" si="52"/>
        <v>2.3E-2</v>
      </c>
      <c r="R192" s="123">
        <f t="shared" si="52"/>
        <v>2.3E-2</v>
      </c>
      <c r="S192" s="123">
        <f t="shared" si="53"/>
        <v>2.3E-2</v>
      </c>
      <c r="T192" s="123">
        <f t="shared" si="53"/>
        <v>2.3E-2</v>
      </c>
      <c r="U192" s="123">
        <f t="shared" si="53"/>
        <v>2.3E-2</v>
      </c>
      <c r="V192" s="123">
        <f t="shared" si="53"/>
        <v>2.3E-2</v>
      </c>
      <c r="W192" s="123">
        <f t="shared" si="53"/>
        <v>2.3E-2</v>
      </c>
      <c r="X192" s="123">
        <f t="shared" si="53"/>
        <v>2.3E-2</v>
      </c>
      <c r="Y192" s="123">
        <f t="shared" si="53"/>
        <v>2.3E-2</v>
      </c>
      <c r="Z192" s="123">
        <f t="shared" si="53"/>
        <v>2.3E-2</v>
      </c>
      <c r="AA192" s="123">
        <f t="shared" si="53"/>
        <v>2.3E-2</v>
      </c>
      <c r="AB192" s="123">
        <f t="shared" si="53"/>
        <v>2.3E-2</v>
      </c>
      <c r="AC192" s="123">
        <f t="shared" si="53"/>
        <v>2.3E-2</v>
      </c>
      <c r="AD192" s="123">
        <f t="shared" si="53"/>
        <v>2.3E-2</v>
      </c>
      <c r="AE192" s="123">
        <f t="shared" si="53"/>
        <v>2.3E-2</v>
      </c>
      <c r="AF192" s="123">
        <f t="shared" si="53"/>
        <v>2.3E-2</v>
      </c>
      <c r="AG192" s="126">
        <v>0.97899999999999998</v>
      </c>
      <c r="AH192" s="54"/>
      <c r="AI192" s="55"/>
      <c r="AK192" s="56"/>
    </row>
    <row r="193" spans="1:37" ht="15.75" thickBot="1" x14ac:dyDescent="0.3">
      <c r="A193" s="127" t="s">
        <v>198</v>
      </c>
      <c r="B193" s="128">
        <f>SUM(B103:B192)</f>
        <v>187.10600000000005</v>
      </c>
      <c r="C193" s="128">
        <f t="shared" ref="C193:AG193" si="54">SUM(C103:C192)</f>
        <v>194.70600000000002</v>
      </c>
      <c r="D193" s="128">
        <f t="shared" si="54"/>
        <v>194.70600000000002</v>
      </c>
      <c r="E193" s="128">
        <f t="shared" si="54"/>
        <v>194.70600000000002</v>
      </c>
      <c r="F193" s="128">
        <f t="shared" si="54"/>
        <v>194.70600000000002</v>
      </c>
      <c r="G193" s="128">
        <f t="shared" si="54"/>
        <v>194.70600000000002</v>
      </c>
      <c r="H193" s="128">
        <f t="shared" si="54"/>
        <v>194.70600000000002</v>
      </c>
      <c r="I193" s="128">
        <f t="shared" si="54"/>
        <v>189.70600000000005</v>
      </c>
      <c r="J193" s="128">
        <f t="shared" si="54"/>
        <v>187.10600000000005</v>
      </c>
      <c r="K193" s="128">
        <f t="shared" si="54"/>
        <v>187.10600000000005</v>
      </c>
      <c r="L193" s="128">
        <f t="shared" si="54"/>
        <v>187.10600000000005</v>
      </c>
      <c r="M193" s="128">
        <f t="shared" si="54"/>
        <v>187.10600000000005</v>
      </c>
      <c r="N193" s="128">
        <f t="shared" si="54"/>
        <v>187.10600000000005</v>
      </c>
      <c r="O193" s="128">
        <f t="shared" si="54"/>
        <v>187.10600000000005</v>
      </c>
      <c r="P193" s="128">
        <f t="shared" si="54"/>
        <v>187.10600000000005</v>
      </c>
      <c r="Q193" s="128">
        <f t="shared" si="54"/>
        <v>187.10600000000005</v>
      </c>
      <c r="R193" s="128">
        <f t="shared" si="54"/>
        <v>187.10600000000005</v>
      </c>
      <c r="S193" s="128">
        <f t="shared" si="54"/>
        <v>187.10600000000005</v>
      </c>
      <c r="T193" s="128">
        <f t="shared" si="54"/>
        <v>187.10600000000005</v>
      </c>
      <c r="U193" s="128">
        <f t="shared" si="54"/>
        <v>187.10600000000005</v>
      </c>
      <c r="V193" s="128">
        <f t="shared" si="54"/>
        <v>187.10600000000005</v>
      </c>
      <c r="W193" s="128">
        <f t="shared" si="54"/>
        <v>187.10600000000005</v>
      </c>
      <c r="X193" s="128">
        <f t="shared" si="54"/>
        <v>187.10600000000005</v>
      </c>
      <c r="Y193" s="128">
        <f t="shared" si="54"/>
        <v>187.10600000000005</v>
      </c>
      <c r="Z193" s="128">
        <f t="shared" si="54"/>
        <v>187.10600000000005</v>
      </c>
      <c r="AA193" s="128">
        <f t="shared" si="54"/>
        <v>187.10600000000005</v>
      </c>
      <c r="AB193" s="128">
        <f t="shared" si="54"/>
        <v>187.10600000000005</v>
      </c>
      <c r="AC193" s="128">
        <f t="shared" si="54"/>
        <v>187.10600000000005</v>
      </c>
      <c r="AD193" s="128">
        <f t="shared" si="54"/>
        <v>187.10600000000005</v>
      </c>
      <c r="AE193" s="128">
        <f t="shared" si="54"/>
        <v>187.10600000000005</v>
      </c>
      <c r="AF193" s="128">
        <f t="shared" si="54"/>
        <v>187.10600000000005</v>
      </c>
      <c r="AG193" s="129">
        <f t="shared" si="54"/>
        <v>412.72299999999984</v>
      </c>
      <c r="AH193" s="54"/>
      <c r="AI193" s="55"/>
      <c r="AK193" s="56"/>
    </row>
    <row r="194" spans="1:37" ht="15.75" thickBot="1" x14ac:dyDescent="0.3">
      <c r="A194" s="28" t="s">
        <v>59</v>
      </c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  <c r="AH194" s="54"/>
      <c r="AI194" s="55"/>
      <c r="AK194" s="56"/>
    </row>
    <row r="195" spans="1:37" x14ac:dyDescent="0.25">
      <c r="A195" s="105" t="s">
        <v>199</v>
      </c>
      <c r="B195" s="130">
        <f t="shared" ref="B195:B200" si="55">AF195</f>
        <v>0.3</v>
      </c>
      <c r="C195" s="130">
        <v>0.3</v>
      </c>
      <c r="D195" s="130">
        <f t="shared" ref="D195:S200" si="56">C195</f>
        <v>0.3</v>
      </c>
      <c r="E195" s="130">
        <f t="shared" si="56"/>
        <v>0.3</v>
      </c>
      <c r="F195" s="130">
        <f t="shared" si="56"/>
        <v>0.3</v>
      </c>
      <c r="G195" s="130">
        <f t="shared" si="56"/>
        <v>0.3</v>
      </c>
      <c r="H195" s="130">
        <f t="shared" si="56"/>
        <v>0.3</v>
      </c>
      <c r="I195" s="130">
        <f t="shared" si="56"/>
        <v>0.3</v>
      </c>
      <c r="J195" s="130">
        <f t="shared" si="56"/>
        <v>0.3</v>
      </c>
      <c r="K195" s="130">
        <f t="shared" si="56"/>
        <v>0.3</v>
      </c>
      <c r="L195" s="130">
        <f t="shared" si="56"/>
        <v>0.3</v>
      </c>
      <c r="M195" s="130">
        <f t="shared" si="56"/>
        <v>0.3</v>
      </c>
      <c r="N195" s="130">
        <f t="shared" si="56"/>
        <v>0.3</v>
      </c>
      <c r="O195" s="130">
        <f t="shared" si="56"/>
        <v>0.3</v>
      </c>
      <c r="P195" s="130">
        <f t="shared" si="56"/>
        <v>0.3</v>
      </c>
      <c r="Q195" s="130">
        <f t="shared" si="56"/>
        <v>0.3</v>
      </c>
      <c r="R195" s="130">
        <f t="shared" si="56"/>
        <v>0.3</v>
      </c>
      <c r="S195" s="130">
        <f t="shared" si="56"/>
        <v>0.3</v>
      </c>
      <c r="T195" s="130">
        <f t="shared" ref="T195:AF200" si="57">S195</f>
        <v>0.3</v>
      </c>
      <c r="U195" s="130">
        <f t="shared" si="57"/>
        <v>0.3</v>
      </c>
      <c r="V195" s="130">
        <f t="shared" si="57"/>
        <v>0.3</v>
      </c>
      <c r="W195" s="130">
        <f t="shared" si="57"/>
        <v>0.3</v>
      </c>
      <c r="X195" s="130">
        <f t="shared" si="57"/>
        <v>0.3</v>
      </c>
      <c r="Y195" s="130">
        <f t="shared" si="57"/>
        <v>0.3</v>
      </c>
      <c r="Z195" s="130">
        <f t="shared" si="57"/>
        <v>0.3</v>
      </c>
      <c r="AA195" s="130">
        <f t="shared" si="57"/>
        <v>0.3</v>
      </c>
      <c r="AB195" s="130">
        <f t="shared" si="57"/>
        <v>0.3</v>
      </c>
      <c r="AC195" s="130">
        <f t="shared" si="57"/>
        <v>0.3</v>
      </c>
      <c r="AD195" s="130">
        <f t="shared" si="57"/>
        <v>0.3</v>
      </c>
      <c r="AE195" s="130">
        <f t="shared" si="57"/>
        <v>0.3</v>
      </c>
      <c r="AF195" s="130">
        <f t="shared" si="57"/>
        <v>0.3</v>
      </c>
      <c r="AG195" s="131">
        <v>2.4</v>
      </c>
      <c r="AH195" s="54"/>
      <c r="AI195" s="55"/>
      <c r="AK195" s="56"/>
    </row>
    <row r="196" spans="1:37" x14ac:dyDescent="0.25">
      <c r="A196" s="109" t="s">
        <v>200</v>
      </c>
      <c r="B196" s="123">
        <f t="shared" si="55"/>
        <v>0.4</v>
      </c>
      <c r="C196" s="123">
        <v>0.4</v>
      </c>
      <c r="D196" s="123">
        <f t="shared" si="56"/>
        <v>0.4</v>
      </c>
      <c r="E196" s="123">
        <f t="shared" si="56"/>
        <v>0.4</v>
      </c>
      <c r="F196" s="123">
        <f t="shared" si="56"/>
        <v>0.4</v>
      </c>
      <c r="G196" s="123">
        <f t="shared" si="56"/>
        <v>0.4</v>
      </c>
      <c r="H196" s="123">
        <f t="shared" si="56"/>
        <v>0.4</v>
      </c>
      <c r="I196" s="123">
        <f t="shared" si="56"/>
        <v>0.4</v>
      </c>
      <c r="J196" s="123">
        <f t="shared" si="56"/>
        <v>0.4</v>
      </c>
      <c r="K196" s="123">
        <f t="shared" si="56"/>
        <v>0.4</v>
      </c>
      <c r="L196" s="123">
        <f t="shared" si="56"/>
        <v>0.4</v>
      </c>
      <c r="M196" s="123">
        <f t="shared" si="56"/>
        <v>0.4</v>
      </c>
      <c r="N196" s="123">
        <f t="shared" si="56"/>
        <v>0.4</v>
      </c>
      <c r="O196" s="123">
        <f t="shared" si="56"/>
        <v>0.4</v>
      </c>
      <c r="P196" s="123">
        <f t="shared" si="56"/>
        <v>0.4</v>
      </c>
      <c r="Q196" s="123">
        <f t="shared" si="56"/>
        <v>0.4</v>
      </c>
      <c r="R196" s="123">
        <f t="shared" si="56"/>
        <v>0.4</v>
      </c>
      <c r="S196" s="123">
        <f t="shared" si="56"/>
        <v>0.4</v>
      </c>
      <c r="T196" s="123">
        <f t="shared" si="57"/>
        <v>0.4</v>
      </c>
      <c r="U196" s="123">
        <f t="shared" si="57"/>
        <v>0.4</v>
      </c>
      <c r="V196" s="123">
        <f t="shared" si="57"/>
        <v>0.4</v>
      </c>
      <c r="W196" s="123">
        <f>V196</f>
        <v>0.4</v>
      </c>
      <c r="X196" s="123">
        <f>W196</f>
        <v>0.4</v>
      </c>
      <c r="Y196" s="123">
        <f t="shared" si="57"/>
        <v>0.4</v>
      </c>
      <c r="Z196" s="123">
        <f t="shared" si="57"/>
        <v>0.4</v>
      </c>
      <c r="AA196" s="123">
        <f t="shared" si="57"/>
        <v>0.4</v>
      </c>
      <c r="AB196" s="123">
        <f t="shared" si="57"/>
        <v>0.4</v>
      </c>
      <c r="AC196" s="123">
        <f t="shared" si="57"/>
        <v>0.4</v>
      </c>
      <c r="AD196" s="123">
        <f t="shared" si="57"/>
        <v>0.4</v>
      </c>
      <c r="AE196" s="123">
        <f t="shared" si="57"/>
        <v>0.4</v>
      </c>
      <c r="AF196" s="123">
        <f t="shared" si="57"/>
        <v>0.4</v>
      </c>
      <c r="AG196" s="132">
        <v>2</v>
      </c>
      <c r="AH196" s="54"/>
      <c r="AI196" s="55"/>
      <c r="AK196" s="56"/>
    </row>
    <row r="197" spans="1:37" x14ac:dyDescent="0.25">
      <c r="A197" s="109" t="s">
        <v>201</v>
      </c>
      <c r="B197" s="123">
        <f t="shared" si="55"/>
        <v>1.5</v>
      </c>
      <c r="C197" s="123">
        <v>1.5</v>
      </c>
      <c r="D197" s="123">
        <f t="shared" si="56"/>
        <v>1.5</v>
      </c>
      <c r="E197" s="123">
        <f t="shared" si="56"/>
        <v>1.5</v>
      </c>
      <c r="F197" s="123">
        <f t="shared" si="56"/>
        <v>1.5</v>
      </c>
      <c r="G197" s="123">
        <f t="shared" si="56"/>
        <v>1.5</v>
      </c>
      <c r="H197" s="123">
        <f t="shared" si="56"/>
        <v>1.5</v>
      </c>
      <c r="I197" s="123">
        <f t="shared" si="56"/>
        <v>1.5</v>
      </c>
      <c r="J197" s="123">
        <f t="shared" si="56"/>
        <v>1.5</v>
      </c>
      <c r="K197" s="123">
        <f t="shared" si="56"/>
        <v>1.5</v>
      </c>
      <c r="L197" s="123">
        <f t="shared" si="56"/>
        <v>1.5</v>
      </c>
      <c r="M197" s="123">
        <f t="shared" si="56"/>
        <v>1.5</v>
      </c>
      <c r="N197" s="123">
        <f t="shared" si="56"/>
        <v>1.5</v>
      </c>
      <c r="O197" s="123">
        <f t="shared" si="56"/>
        <v>1.5</v>
      </c>
      <c r="P197" s="123">
        <f t="shared" si="56"/>
        <v>1.5</v>
      </c>
      <c r="Q197" s="123">
        <f t="shared" si="56"/>
        <v>1.5</v>
      </c>
      <c r="R197" s="123">
        <f t="shared" si="56"/>
        <v>1.5</v>
      </c>
      <c r="S197" s="123">
        <f t="shared" si="56"/>
        <v>1.5</v>
      </c>
      <c r="T197" s="123">
        <f t="shared" si="57"/>
        <v>1.5</v>
      </c>
      <c r="U197" s="123">
        <f t="shared" si="57"/>
        <v>1.5</v>
      </c>
      <c r="V197" s="123">
        <f t="shared" si="57"/>
        <v>1.5</v>
      </c>
      <c r="W197" s="123">
        <f t="shared" si="57"/>
        <v>1.5</v>
      </c>
      <c r="X197" s="123">
        <f t="shared" si="57"/>
        <v>1.5</v>
      </c>
      <c r="Y197" s="123">
        <f t="shared" si="57"/>
        <v>1.5</v>
      </c>
      <c r="Z197" s="123">
        <f t="shared" si="57"/>
        <v>1.5</v>
      </c>
      <c r="AA197" s="123">
        <f t="shared" si="57"/>
        <v>1.5</v>
      </c>
      <c r="AB197" s="123">
        <f t="shared" si="57"/>
        <v>1.5</v>
      </c>
      <c r="AC197" s="123">
        <f t="shared" si="57"/>
        <v>1.5</v>
      </c>
      <c r="AD197" s="123">
        <f t="shared" si="57"/>
        <v>1.5</v>
      </c>
      <c r="AE197" s="123">
        <f t="shared" si="57"/>
        <v>1.5</v>
      </c>
      <c r="AF197" s="123">
        <f t="shared" si="57"/>
        <v>1.5</v>
      </c>
      <c r="AG197" s="132">
        <v>1.5</v>
      </c>
      <c r="AH197" s="54"/>
      <c r="AI197" s="55"/>
      <c r="AK197" s="56"/>
    </row>
    <row r="198" spans="1:37" x14ac:dyDescent="0.25">
      <c r="A198" s="109" t="s">
        <v>202</v>
      </c>
      <c r="B198" s="123">
        <f t="shared" si="55"/>
        <v>0.3</v>
      </c>
      <c r="C198" s="123">
        <v>0.3</v>
      </c>
      <c r="D198" s="123">
        <f t="shared" si="56"/>
        <v>0.3</v>
      </c>
      <c r="E198" s="123">
        <f t="shared" si="56"/>
        <v>0.3</v>
      </c>
      <c r="F198" s="123">
        <f t="shared" si="56"/>
        <v>0.3</v>
      </c>
      <c r="G198" s="123">
        <f t="shared" si="56"/>
        <v>0.3</v>
      </c>
      <c r="H198" s="123">
        <f t="shared" si="56"/>
        <v>0.3</v>
      </c>
      <c r="I198" s="123">
        <f t="shared" si="56"/>
        <v>0.3</v>
      </c>
      <c r="J198" s="123">
        <f t="shared" si="56"/>
        <v>0.3</v>
      </c>
      <c r="K198" s="123">
        <f t="shared" si="56"/>
        <v>0.3</v>
      </c>
      <c r="L198" s="123">
        <f t="shared" si="56"/>
        <v>0.3</v>
      </c>
      <c r="M198" s="123">
        <f t="shared" si="56"/>
        <v>0.3</v>
      </c>
      <c r="N198" s="123">
        <f t="shared" si="56"/>
        <v>0.3</v>
      </c>
      <c r="O198" s="123">
        <f t="shared" si="56"/>
        <v>0.3</v>
      </c>
      <c r="P198" s="123">
        <f t="shared" si="56"/>
        <v>0.3</v>
      </c>
      <c r="Q198" s="123">
        <f t="shared" si="56"/>
        <v>0.3</v>
      </c>
      <c r="R198" s="123">
        <f t="shared" si="56"/>
        <v>0.3</v>
      </c>
      <c r="S198" s="123">
        <f t="shared" si="56"/>
        <v>0.3</v>
      </c>
      <c r="T198" s="123">
        <f t="shared" si="57"/>
        <v>0.3</v>
      </c>
      <c r="U198" s="123">
        <f t="shared" si="57"/>
        <v>0.3</v>
      </c>
      <c r="V198" s="123">
        <f t="shared" si="57"/>
        <v>0.3</v>
      </c>
      <c r="W198" s="123">
        <f t="shared" si="57"/>
        <v>0.3</v>
      </c>
      <c r="X198" s="123">
        <f t="shared" si="57"/>
        <v>0.3</v>
      </c>
      <c r="Y198" s="123">
        <f t="shared" si="57"/>
        <v>0.3</v>
      </c>
      <c r="Z198" s="123">
        <f t="shared" si="57"/>
        <v>0.3</v>
      </c>
      <c r="AA198" s="123">
        <f t="shared" si="57"/>
        <v>0.3</v>
      </c>
      <c r="AB198" s="123">
        <f t="shared" si="57"/>
        <v>0.3</v>
      </c>
      <c r="AC198" s="123">
        <f t="shared" si="57"/>
        <v>0.3</v>
      </c>
      <c r="AD198" s="123">
        <f t="shared" si="57"/>
        <v>0.3</v>
      </c>
      <c r="AE198" s="123">
        <f t="shared" si="57"/>
        <v>0.3</v>
      </c>
      <c r="AF198" s="123">
        <f t="shared" si="57"/>
        <v>0.3</v>
      </c>
      <c r="AG198" s="132">
        <v>1</v>
      </c>
      <c r="AH198" s="54"/>
      <c r="AI198" s="55"/>
      <c r="AK198" s="56"/>
    </row>
    <row r="199" spans="1:37" x14ac:dyDescent="0.25">
      <c r="A199" s="109" t="s">
        <v>203</v>
      </c>
      <c r="B199" s="123">
        <f t="shared" si="55"/>
        <v>0.4</v>
      </c>
      <c r="C199" s="123">
        <v>0.4</v>
      </c>
      <c r="D199" s="123">
        <f t="shared" si="56"/>
        <v>0.4</v>
      </c>
      <c r="E199" s="123">
        <f t="shared" si="56"/>
        <v>0.4</v>
      </c>
      <c r="F199" s="123">
        <f t="shared" si="56"/>
        <v>0.4</v>
      </c>
      <c r="G199" s="123">
        <f t="shared" si="56"/>
        <v>0.4</v>
      </c>
      <c r="H199" s="123">
        <f t="shared" si="56"/>
        <v>0.4</v>
      </c>
      <c r="I199" s="123">
        <f t="shared" si="56"/>
        <v>0.4</v>
      </c>
      <c r="J199" s="123">
        <f t="shared" si="56"/>
        <v>0.4</v>
      </c>
      <c r="K199" s="123">
        <f t="shared" si="56"/>
        <v>0.4</v>
      </c>
      <c r="L199" s="123">
        <f t="shared" si="56"/>
        <v>0.4</v>
      </c>
      <c r="M199" s="123">
        <f t="shared" si="56"/>
        <v>0.4</v>
      </c>
      <c r="N199" s="123">
        <f t="shared" si="56"/>
        <v>0.4</v>
      </c>
      <c r="O199" s="123">
        <f t="shared" si="56"/>
        <v>0.4</v>
      </c>
      <c r="P199" s="123">
        <f t="shared" si="56"/>
        <v>0.4</v>
      </c>
      <c r="Q199" s="123">
        <f t="shared" si="56"/>
        <v>0.4</v>
      </c>
      <c r="R199" s="123">
        <f t="shared" si="56"/>
        <v>0.4</v>
      </c>
      <c r="S199" s="123">
        <f t="shared" si="56"/>
        <v>0.4</v>
      </c>
      <c r="T199" s="123">
        <f t="shared" si="57"/>
        <v>0.4</v>
      </c>
      <c r="U199" s="123">
        <f t="shared" si="57"/>
        <v>0.4</v>
      </c>
      <c r="V199" s="123">
        <f t="shared" si="57"/>
        <v>0.4</v>
      </c>
      <c r="W199" s="123">
        <f t="shared" si="57"/>
        <v>0.4</v>
      </c>
      <c r="X199" s="123">
        <f t="shared" si="57"/>
        <v>0.4</v>
      </c>
      <c r="Y199" s="123">
        <f t="shared" si="57"/>
        <v>0.4</v>
      </c>
      <c r="Z199" s="123">
        <f t="shared" si="57"/>
        <v>0.4</v>
      </c>
      <c r="AA199" s="123">
        <f t="shared" si="57"/>
        <v>0.4</v>
      </c>
      <c r="AB199" s="123">
        <f t="shared" si="57"/>
        <v>0.4</v>
      </c>
      <c r="AC199" s="123">
        <f t="shared" si="57"/>
        <v>0.4</v>
      </c>
      <c r="AD199" s="123">
        <f t="shared" si="57"/>
        <v>0.4</v>
      </c>
      <c r="AE199" s="123">
        <f t="shared" si="57"/>
        <v>0.4</v>
      </c>
      <c r="AF199" s="123">
        <f t="shared" si="57"/>
        <v>0.4</v>
      </c>
      <c r="AG199" s="132">
        <v>1</v>
      </c>
      <c r="AH199" s="54"/>
      <c r="AI199" s="55"/>
      <c r="AK199" s="56"/>
    </row>
    <row r="200" spans="1:37" ht="15.75" thickBot="1" x14ac:dyDescent="0.3">
      <c r="A200" s="111" t="s">
        <v>204</v>
      </c>
      <c r="B200" s="133">
        <f t="shared" si="55"/>
        <v>0.64</v>
      </c>
      <c r="C200" s="133">
        <v>0.64</v>
      </c>
      <c r="D200" s="133">
        <f t="shared" si="56"/>
        <v>0.64</v>
      </c>
      <c r="E200" s="133">
        <f t="shared" si="56"/>
        <v>0.64</v>
      </c>
      <c r="F200" s="133">
        <f t="shared" si="56"/>
        <v>0.64</v>
      </c>
      <c r="G200" s="133">
        <f t="shared" si="56"/>
        <v>0.64</v>
      </c>
      <c r="H200" s="133">
        <f t="shared" si="56"/>
        <v>0.64</v>
      </c>
      <c r="I200" s="133">
        <f t="shared" si="56"/>
        <v>0.64</v>
      </c>
      <c r="J200" s="133">
        <f t="shared" si="56"/>
        <v>0.64</v>
      </c>
      <c r="K200" s="133">
        <f t="shared" si="56"/>
        <v>0.64</v>
      </c>
      <c r="L200" s="133">
        <f t="shared" si="56"/>
        <v>0.64</v>
      </c>
      <c r="M200" s="133">
        <f t="shared" si="56"/>
        <v>0.64</v>
      </c>
      <c r="N200" s="133">
        <f t="shared" si="56"/>
        <v>0.64</v>
      </c>
      <c r="O200" s="133">
        <f t="shared" si="56"/>
        <v>0.64</v>
      </c>
      <c r="P200" s="133">
        <f t="shared" si="56"/>
        <v>0.64</v>
      </c>
      <c r="Q200" s="133">
        <f t="shared" si="56"/>
        <v>0.64</v>
      </c>
      <c r="R200" s="133">
        <f t="shared" si="56"/>
        <v>0.64</v>
      </c>
      <c r="S200" s="133">
        <f t="shared" si="56"/>
        <v>0.64</v>
      </c>
      <c r="T200" s="133">
        <f t="shared" si="57"/>
        <v>0.64</v>
      </c>
      <c r="U200" s="133">
        <f t="shared" si="57"/>
        <v>0.64</v>
      </c>
      <c r="V200" s="133">
        <f t="shared" si="57"/>
        <v>0.64</v>
      </c>
      <c r="W200" s="133">
        <f t="shared" si="57"/>
        <v>0.64</v>
      </c>
      <c r="X200" s="133">
        <f t="shared" si="57"/>
        <v>0.64</v>
      </c>
      <c r="Y200" s="133">
        <f t="shared" si="57"/>
        <v>0.64</v>
      </c>
      <c r="Z200" s="133">
        <f t="shared" si="57"/>
        <v>0.64</v>
      </c>
      <c r="AA200" s="133">
        <f t="shared" si="57"/>
        <v>0.64</v>
      </c>
      <c r="AB200" s="133">
        <f t="shared" si="57"/>
        <v>0.64</v>
      </c>
      <c r="AC200" s="133">
        <f t="shared" si="57"/>
        <v>0.64</v>
      </c>
      <c r="AD200" s="133">
        <f t="shared" si="57"/>
        <v>0.64</v>
      </c>
      <c r="AE200" s="133">
        <f t="shared" si="57"/>
        <v>0.64</v>
      </c>
      <c r="AF200" s="133">
        <f t="shared" si="57"/>
        <v>0.64</v>
      </c>
      <c r="AG200" s="134">
        <v>0.66</v>
      </c>
      <c r="AH200" s="54"/>
      <c r="AI200" s="55"/>
    </row>
    <row r="201" spans="1:37" ht="15.75" thickBot="1" x14ac:dyDescent="0.3">
      <c r="A201" s="135" t="s">
        <v>59</v>
      </c>
      <c r="B201" s="136">
        <f>SUM(B195:B200)</f>
        <v>3.54</v>
      </c>
      <c r="C201" s="136">
        <f>SUM(C195:C200)</f>
        <v>3.54</v>
      </c>
      <c r="D201" s="136">
        <f t="shared" ref="D201:L201" si="58">SUM(D195:D200)</f>
        <v>3.54</v>
      </c>
      <c r="E201" s="136">
        <f t="shared" si="58"/>
        <v>3.54</v>
      </c>
      <c r="F201" s="136">
        <f t="shared" si="58"/>
        <v>3.54</v>
      </c>
      <c r="G201" s="136">
        <f t="shared" si="58"/>
        <v>3.54</v>
      </c>
      <c r="H201" s="136">
        <f t="shared" si="58"/>
        <v>3.54</v>
      </c>
      <c r="I201" s="136">
        <f t="shared" si="58"/>
        <v>3.54</v>
      </c>
      <c r="J201" s="136">
        <f t="shared" si="58"/>
        <v>3.54</v>
      </c>
      <c r="K201" s="136">
        <f t="shared" si="58"/>
        <v>3.54</v>
      </c>
      <c r="L201" s="136">
        <f t="shared" si="58"/>
        <v>3.54</v>
      </c>
      <c r="M201" s="136">
        <f>SUM(M195:M200)</f>
        <v>3.54</v>
      </c>
      <c r="N201" s="136">
        <f t="shared" ref="N201:S201" si="59">SUM(N195:N200)</f>
        <v>3.54</v>
      </c>
      <c r="O201" s="136">
        <f t="shared" si="59"/>
        <v>3.54</v>
      </c>
      <c r="P201" s="136">
        <f t="shared" si="59"/>
        <v>3.54</v>
      </c>
      <c r="Q201" s="136">
        <f t="shared" si="59"/>
        <v>3.54</v>
      </c>
      <c r="R201" s="136">
        <f t="shared" si="59"/>
        <v>3.54</v>
      </c>
      <c r="S201" s="136">
        <f t="shared" si="59"/>
        <v>3.54</v>
      </c>
      <c r="T201" s="136">
        <f>SUM(T195:T200)</f>
        <v>3.54</v>
      </c>
      <c r="U201" s="136">
        <f t="shared" ref="U201:AG201" si="60">SUM(U195:U200)</f>
        <v>3.54</v>
      </c>
      <c r="V201" s="136">
        <f t="shared" si="60"/>
        <v>3.54</v>
      </c>
      <c r="W201" s="136">
        <f t="shared" si="60"/>
        <v>3.54</v>
      </c>
      <c r="X201" s="136">
        <f t="shared" si="60"/>
        <v>3.54</v>
      </c>
      <c r="Y201" s="136">
        <f t="shared" si="60"/>
        <v>3.54</v>
      </c>
      <c r="Z201" s="136">
        <f t="shared" si="60"/>
        <v>3.54</v>
      </c>
      <c r="AA201" s="136">
        <f t="shared" si="60"/>
        <v>3.54</v>
      </c>
      <c r="AB201" s="136">
        <f t="shared" si="60"/>
        <v>3.54</v>
      </c>
      <c r="AC201" s="136">
        <f t="shared" si="60"/>
        <v>3.54</v>
      </c>
      <c r="AD201" s="136">
        <f t="shared" si="60"/>
        <v>3.54</v>
      </c>
      <c r="AE201" s="136">
        <f t="shared" si="60"/>
        <v>3.54</v>
      </c>
      <c r="AF201" s="136">
        <f t="shared" si="60"/>
        <v>3.54</v>
      </c>
      <c r="AG201" s="137">
        <f t="shared" si="60"/>
        <v>8.56</v>
      </c>
      <c r="AH201" s="54"/>
      <c r="AI201" s="55"/>
    </row>
    <row r="202" spans="1:37" ht="15.75" thickBot="1" x14ac:dyDescent="0.3"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01"/>
      <c r="AH202" s="47"/>
    </row>
    <row r="203" spans="1:37" x14ac:dyDescent="0.25">
      <c r="A203" s="89" t="s">
        <v>205</v>
      </c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9"/>
      <c r="AG203" s="47"/>
      <c r="AH203" s="54"/>
      <c r="AI203" s="55"/>
    </row>
    <row r="204" spans="1:37" x14ac:dyDescent="0.25">
      <c r="A204" s="140" t="s">
        <v>206</v>
      </c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  <c r="AE204" s="141"/>
      <c r="AF204" s="142"/>
      <c r="AG204" s="143"/>
      <c r="AH204" s="54"/>
      <c r="AI204" s="55"/>
    </row>
    <row r="205" spans="1:37" x14ac:dyDescent="0.25">
      <c r="A205" s="92" t="s">
        <v>207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x14ac:dyDescent="0.25">
      <c r="A206" s="92" t="s">
        <v>208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5"/>
      <c r="AG206" s="143"/>
      <c r="AH206" s="54"/>
      <c r="AI206" s="55"/>
    </row>
    <row r="207" spans="1:37" ht="15.75" thickBot="1" x14ac:dyDescent="0.3">
      <c r="A207" s="146" t="s">
        <v>209</v>
      </c>
      <c r="B207" s="147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8"/>
      <c r="AG207" s="143"/>
      <c r="AH207" s="54"/>
      <c r="AI207" s="55"/>
    </row>
    <row r="208" spans="1:37" x14ac:dyDescent="0.25"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A210" s="149" t="s">
        <v>210</v>
      </c>
      <c r="B210" s="150">
        <f>MAX(G75:N75)</f>
        <v>1772.2400000000002</v>
      </c>
      <c r="C210" s="151">
        <f>INDEX(G9:N9,1,MATCH(MAX(G75:N75),G75:N75,0))</f>
        <v>0.375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str">
        <f ca="1">MID(CELL("filename",C7),FIND("]",CELL("filename",C7))+1,600)</f>
        <v>31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x14ac:dyDescent="0.25">
      <c r="A212" s="199" t="s">
        <v>211</v>
      </c>
      <c r="B212" s="199"/>
      <c r="C212" s="47"/>
      <c r="D212" s="152" t="str">
        <f ca="1">"Pie Chart of Daily Peak Demand(Inclusive of Export) of Nepal ("&amp;A4&amp;" "&amp;B4&amp;")"</f>
        <v>Pie Chart of Daily Peak Demand(Inclusive of Export) of Nepal (Nepali Date: 2079/02/31)</v>
      </c>
      <c r="E212" s="47"/>
      <c r="F212" s="47"/>
      <c r="G212" s="152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152" t="str">
        <f ca="1">"Daily Load Curve(Excluding of Export) of Nepal ("&amp;A4&amp;" "&amp;B4&amp;")"</f>
        <v>Daily Load Curve(Excluding of Export) of Nepal (Nepali Date: 2079/02/31)</v>
      </c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2.75" customHeight="1" thickBot="1" x14ac:dyDescent="0.3">
      <c r="A213" s="153" t="s">
        <v>7</v>
      </c>
      <c r="B213" s="154"/>
      <c r="C213" s="47"/>
      <c r="D213" s="155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</row>
    <row r="214" spans="1:50" ht="15.75" thickTop="1" x14ac:dyDescent="0.25">
      <c r="A214" s="153" t="s">
        <v>212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156" t="s">
        <v>213</v>
      </c>
      <c r="T214" s="157">
        <v>0</v>
      </c>
      <c r="U214" s="158">
        <v>4.1666666666666664E-2</v>
      </c>
      <c r="V214" s="159">
        <v>8.3333333333333301E-2</v>
      </c>
      <c r="W214" s="159">
        <v>0.125</v>
      </c>
      <c r="X214" s="159">
        <v>0.16666666666666699</v>
      </c>
      <c r="Y214" s="159">
        <v>0.20833333333333301</v>
      </c>
      <c r="Z214" s="159">
        <v>0.22916666666666666</v>
      </c>
      <c r="AA214" s="159">
        <v>0.25</v>
      </c>
      <c r="AB214" s="159">
        <v>0.27083333333333331</v>
      </c>
      <c r="AC214" s="159">
        <v>0.29166666666666669</v>
      </c>
      <c r="AD214" s="159">
        <v>0.3125</v>
      </c>
      <c r="AE214" s="160">
        <v>0.33333333333333331</v>
      </c>
      <c r="AF214" s="160">
        <v>0.375</v>
      </c>
      <c r="AG214" s="160">
        <v>0.41666666666666702</v>
      </c>
      <c r="AH214" s="160">
        <v>0.45833333333333298</v>
      </c>
      <c r="AI214" s="160">
        <v>0.5</v>
      </c>
      <c r="AJ214" s="160">
        <v>0.54166666666666696</v>
      </c>
      <c r="AK214" s="160">
        <v>0.58333333333333304</v>
      </c>
      <c r="AL214" s="160">
        <v>0.625</v>
      </c>
      <c r="AM214" s="160">
        <v>0.66666666666666696</v>
      </c>
      <c r="AN214" s="160">
        <v>0.70833333333333304</v>
      </c>
      <c r="AO214" s="160">
        <v>0.72916666666666663</v>
      </c>
      <c r="AP214" s="160">
        <v>0.75</v>
      </c>
      <c r="AQ214" s="160">
        <v>0.77083333333333337</v>
      </c>
      <c r="AR214" s="160">
        <v>0.79166666666666663</v>
      </c>
      <c r="AS214" s="160">
        <v>0.8125</v>
      </c>
      <c r="AT214" s="159">
        <v>0.83333333333333337</v>
      </c>
      <c r="AU214" s="159">
        <v>0.85416666666666663</v>
      </c>
      <c r="AV214" s="159">
        <v>0.875</v>
      </c>
      <c r="AW214" s="159">
        <v>0.91666666666666696</v>
      </c>
      <c r="AX214" s="159">
        <v>0.95833333333333304</v>
      </c>
    </row>
    <row r="215" spans="1:50" x14ac:dyDescent="0.25">
      <c r="A215" s="153" t="s">
        <v>214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 t="s">
        <v>215</v>
      </c>
      <c r="T215" s="161">
        <f t="shared" ref="T215:AX215" si="61">B75</f>
        <v>1807.7400000000002</v>
      </c>
      <c r="U215" s="161">
        <f t="shared" si="61"/>
        <v>1732.5400000000002</v>
      </c>
      <c r="V215" s="161">
        <f t="shared" si="61"/>
        <v>1710.9400000000003</v>
      </c>
      <c r="W215" s="161">
        <f t="shared" si="61"/>
        <v>1618.74</v>
      </c>
      <c r="X215" s="161">
        <f t="shared" si="61"/>
        <v>1596.14</v>
      </c>
      <c r="Y215" s="161">
        <f t="shared" si="61"/>
        <v>1576.8400000000001</v>
      </c>
      <c r="Z215" s="161">
        <f t="shared" si="61"/>
        <v>1606.94</v>
      </c>
      <c r="AA215" s="161">
        <f t="shared" si="61"/>
        <v>1582.54</v>
      </c>
      <c r="AB215" s="161">
        <f t="shared" si="61"/>
        <v>1632.42</v>
      </c>
      <c r="AC215" s="161">
        <f t="shared" si="61"/>
        <v>1631.1400000000003</v>
      </c>
      <c r="AD215" s="161">
        <f t="shared" si="61"/>
        <v>1636.44</v>
      </c>
      <c r="AE215" s="161">
        <f t="shared" si="61"/>
        <v>1738.94</v>
      </c>
      <c r="AF215" s="161">
        <f t="shared" si="61"/>
        <v>1772.2400000000002</v>
      </c>
      <c r="AG215" s="161">
        <f t="shared" si="61"/>
        <v>1777.2400000000002</v>
      </c>
      <c r="AH215" s="161">
        <f t="shared" si="61"/>
        <v>1772.8400000000001</v>
      </c>
      <c r="AI215" s="161">
        <f t="shared" si="61"/>
        <v>1775.7400000000002</v>
      </c>
      <c r="AJ215" s="161">
        <f t="shared" si="61"/>
        <v>1889.7400000000002</v>
      </c>
      <c r="AK215" s="161">
        <f t="shared" si="61"/>
        <v>1812.2400000000002</v>
      </c>
      <c r="AL215" s="161">
        <f t="shared" si="61"/>
        <v>1785.8400000000001</v>
      </c>
      <c r="AM215" s="161">
        <f t="shared" si="61"/>
        <v>1785.5400000000002</v>
      </c>
      <c r="AN215" s="161">
        <f t="shared" si="61"/>
        <v>1781.8400000000001</v>
      </c>
      <c r="AO215" s="161">
        <f t="shared" si="61"/>
        <v>1759.44</v>
      </c>
      <c r="AP215" s="161">
        <f t="shared" si="61"/>
        <v>1753.2400000000002</v>
      </c>
      <c r="AQ215" s="161">
        <f t="shared" si="61"/>
        <v>1697.4400000000003</v>
      </c>
      <c r="AR215" s="161">
        <f t="shared" si="61"/>
        <v>1717.5400000000002</v>
      </c>
      <c r="AS215" s="161">
        <f t="shared" si="61"/>
        <v>1678.6400000000003</v>
      </c>
      <c r="AT215" s="161">
        <f t="shared" si="61"/>
        <v>1726.9400000000003</v>
      </c>
      <c r="AU215" s="161">
        <f t="shared" si="61"/>
        <v>1804.7400000000002</v>
      </c>
      <c r="AV215" s="161">
        <f t="shared" si="61"/>
        <v>1823.24</v>
      </c>
      <c r="AW215" s="161">
        <f t="shared" si="61"/>
        <v>1792.14</v>
      </c>
      <c r="AX215" s="161">
        <f t="shared" si="61"/>
        <v>1807.0400000000004</v>
      </c>
    </row>
    <row r="216" spans="1:50" x14ac:dyDescent="0.25">
      <c r="A216" s="153" t="s">
        <v>216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217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218</v>
      </c>
      <c r="B218" s="154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219</v>
      </c>
      <c r="B219" s="162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A220" s="153" t="s">
        <v>220</v>
      </c>
      <c r="B220" s="154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J235"/>
    </row>
    <row r="236" spans="1:36" x14ac:dyDescent="0.25">
      <c r="A236" s="163" t="s">
        <v>205</v>
      </c>
      <c r="B236" s="164">
        <f t="shared" ref="B236:AE236" si="62">C200</f>
        <v>0.64</v>
      </c>
      <c r="C236" s="164">
        <f t="shared" si="62"/>
        <v>0.64</v>
      </c>
      <c r="D236" s="164">
        <f t="shared" si="62"/>
        <v>0.64</v>
      </c>
      <c r="E236" s="164">
        <f t="shared" si="62"/>
        <v>0.64</v>
      </c>
      <c r="F236" s="164">
        <f t="shared" si="62"/>
        <v>0.64</v>
      </c>
      <c r="G236" s="164">
        <f t="shared" si="62"/>
        <v>0.64</v>
      </c>
      <c r="H236" s="164">
        <f t="shared" si="62"/>
        <v>0.64</v>
      </c>
      <c r="I236" s="164">
        <f t="shared" si="62"/>
        <v>0.64</v>
      </c>
      <c r="J236" s="164">
        <f t="shared" si="62"/>
        <v>0.64</v>
      </c>
      <c r="K236" s="164">
        <f t="shared" si="62"/>
        <v>0.64</v>
      </c>
      <c r="L236" s="164">
        <f t="shared" si="62"/>
        <v>0.64</v>
      </c>
      <c r="M236" s="164">
        <f t="shared" si="62"/>
        <v>0.64</v>
      </c>
      <c r="N236" s="164">
        <f t="shared" si="62"/>
        <v>0.64</v>
      </c>
      <c r="O236" s="164">
        <f t="shared" si="62"/>
        <v>0.64</v>
      </c>
      <c r="P236" s="164">
        <f t="shared" si="62"/>
        <v>0.64</v>
      </c>
      <c r="Q236" s="164">
        <f t="shared" si="62"/>
        <v>0.64</v>
      </c>
      <c r="R236" s="164">
        <f t="shared" si="62"/>
        <v>0.64</v>
      </c>
      <c r="S236" s="164">
        <f t="shared" si="62"/>
        <v>0.64</v>
      </c>
      <c r="T236" s="164">
        <f t="shared" si="62"/>
        <v>0.64</v>
      </c>
      <c r="U236" s="164">
        <f t="shared" si="62"/>
        <v>0.64</v>
      </c>
      <c r="V236" s="164">
        <f t="shared" si="62"/>
        <v>0.64</v>
      </c>
      <c r="W236" s="164">
        <f t="shared" si="62"/>
        <v>0.64</v>
      </c>
      <c r="X236" s="164">
        <f t="shared" si="62"/>
        <v>0.64</v>
      </c>
      <c r="Y236" s="164">
        <f t="shared" si="62"/>
        <v>0.64</v>
      </c>
      <c r="Z236" s="164">
        <f t="shared" si="62"/>
        <v>0.64</v>
      </c>
      <c r="AA236" s="164">
        <f t="shared" si="62"/>
        <v>0.64</v>
      </c>
      <c r="AB236" s="164">
        <f t="shared" si="62"/>
        <v>0.64</v>
      </c>
      <c r="AC236" s="164">
        <f t="shared" si="62"/>
        <v>0.64</v>
      </c>
      <c r="AD236" s="164">
        <f t="shared" si="62"/>
        <v>0.64</v>
      </c>
      <c r="AE236" s="164">
        <f t="shared" si="62"/>
        <v>0.64</v>
      </c>
      <c r="AF236" s="164">
        <f>B200</f>
        <v>0.64</v>
      </c>
      <c r="AG236" s="47"/>
      <c r="AH236" s="47"/>
      <c r="AJ236"/>
    </row>
    <row r="237" spans="1:36" x14ac:dyDescent="0.25">
      <c r="A237" s="107" t="str">
        <f>A204</f>
        <v>KGA</v>
      </c>
      <c r="B237" s="107" t="str">
        <f>IF(B204&lt;100,"",B204-520)</f>
        <v/>
      </c>
      <c r="C237" s="107" t="str">
        <f t="shared" ref="C237:AF237" si="63">IF(C204&lt;100,"",C204-520)</f>
        <v/>
      </c>
      <c r="D237" s="107" t="str">
        <f t="shared" si="63"/>
        <v/>
      </c>
      <c r="E237" s="107" t="str">
        <f t="shared" si="63"/>
        <v/>
      </c>
      <c r="F237" s="107" t="str">
        <f t="shared" si="63"/>
        <v/>
      </c>
      <c r="G237" s="107" t="str">
        <f t="shared" si="63"/>
        <v/>
      </c>
      <c r="H237" s="107" t="str">
        <f t="shared" si="63"/>
        <v/>
      </c>
      <c r="I237" s="107" t="str">
        <f t="shared" si="63"/>
        <v/>
      </c>
      <c r="J237" s="107" t="str">
        <f t="shared" si="63"/>
        <v/>
      </c>
      <c r="K237" s="107" t="str">
        <f t="shared" si="63"/>
        <v/>
      </c>
      <c r="L237" s="107" t="str">
        <f t="shared" si="63"/>
        <v/>
      </c>
      <c r="M237" s="107" t="str">
        <f t="shared" si="63"/>
        <v/>
      </c>
      <c r="N237" s="107" t="str">
        <f t="shared" si="63"/>
        <v/>
      </c>
      <c r="O237" s="107" t="str">
        <f t="shared" si="63"/>
        <v/>
      </c>
      <c r="P237" s="107" t="str">
        <f t="shared" si="63"/>
        <v/>
      </c>
      <c r="Q237" s="107" t="str">
        <f t="shared" si="63"/>
        <v/>
      </c>
      <c r="R237" s="107" t="str">
        <f t="shared" si="63"/>
        <v/>
      </c>
      <c r="S237" s="107" t="str">
        <f t="shared" si="63"/>
        <v/>
      </c>
      <c r="T237" s="107" t="str">
        <f t="shared" si="63"/>
        <v/>
      </c>
      <c r="U237" s="107" t="str">
        <f t="shared" si="63"/>
        <v/>
      </c>
      <c r="V237" s="107" t="str">
        <f t="shared" si="63"/>
        <v/>
      </c>
      <c r="W237" s="107" t="str">
        <f t="shared" si="63"/>
        <v/>
      </c>
      <c r="X237" s="107" t="str">
        <f t="shared" si="63"/>
        <v/>
      </c>
      <c r="Y237" s="107" t="str">
        <f t="shared" si="63"/>
        <v/>
      </c>
      <c r="Z237" s="107" t="str">
        <f t="shared" si="63"/>
        <v/>
      </c>
      <c r="AA237" s="107" t="str">
        <f t="shared" si="63"/>
        <v/>
      </c>
      <c r="AB237" s="107" t="str">
        <f t="shared" si="63"/>
        <v/>
      </c>
      <c r="AC237" s="107" t="str">
        <f t="shared" si="63"/>
        <v/>
      </c>
      <c r="AD237" s="107" t="str">
        <f t="shared" si="63"/>
        <v/>
      </c>
      <c r="AE237" s="107" t="str">
        <f t="shared" si="63"/>
        <v/>
      </c>
      <c r="AF237" s="107" t="str">
        <f t="shared" si="63"/>
        <v/>
      </c>
      <c r="AG237" s="47"/>
      <c r="AH237" s="47"/>
      <c r="AJ237"/>
    </row>
    <row r="238" spans="1:36" x14ac:dyDescent="0.25">
      <c r="A238" s="107" t="str">
        <f>A205</f>
        <v>MMRS</v>
      </c>
      <c r="B238" s="107" t="str">
        <f t="shared" ref="B238:AF238" si="64">IF(B205&lt;100,"",B205-620)</f>
        <v/>
      </c>
      <c r="C238" s="107" t="str">
        <f t="shared" si="64"/>
        <v/>
      </c>
      <c r="D238" s="107" t="str">
        <f t="shared" si="64"/>
        <v/>
      </c>
      <c r="E238" s="107" t="str">
        <f t="shared" si="64"/>
        <v/>
      </c>
      <c r="F238" s="107" t="str">
        <f t="shared" si="64"/>
        <v/>
      </c>
      <c r="G238" s="107" t="str">
        <f t="shared" si="64"/>
        <v/>
      </c>
      <c r="H238" s="107" t="str">
        <f t="shared" si="64"/>
        <v/>
      </c>
      <c r="I238" s="107" t="str">
        <f t="shared" si="64"/>
        <v/>
      </c>
      <c r="J238" s="107" t="str">
        <f t="shared" si="64"/>
        <v/>
      </c>
      <c r="K238" s="107" t="str">
        <f t="shared" si="64"/>
        <v/>
      </c>
      <c r="L238" s="107" t="str">
        <f t="shared" si="64"/>
        <v/>
      </c>
      <c r="M238" s="107" t="str">
        <f t="shared" si="64"/>
        <v/>
      </c>
      <c r="N238" s="107" t="str">
        <f t="shared" si="64"/>
        <v/>
      </c>
      <c r="O238" s="107" t="str">
        <f t="shared" si="64"/>
        <v/>
      </c>
      <c r="P238" s="107" t="str">
        <f t="shared" si="64"/>
        <v/>
      </c>
      <c r="Q238" s="107" t="str">
        <f t="shared" si="64"/>
        <v/>
      </c>
      <c r="R238" s="107" t="str">
        <f t="shared" si="64"/>
        <v/>
      </c>
      <c r="S238" s="107" t="str">
        <f t="shared" si="64"/>
        <v/>
      </c>
      <c r="T238" s="107" t="str">
        <f t="shared" si="64"/>
        <v/>
      </c>
      <c r="U238" s="107" t="str">
        <f t="shared" si="64"/>
        <v/>
      </c>
      <c r="V238" s="107" t="str">
        <f t="shared" si="64"/>
        <v/>
      </c>
      <c r="W238" s="107" t="str">
        <f t="shared" si="64"/>
        <v/>
      </c>
      <c r="X238" s="107" t="str">
        <f t="shared" si="64"/>
        <v/>
      </c>
      <c r="Y238" s="107" t="str">
        <f t="shared" si="64"/>
        <v/>
      </c>
      <c r="Z238" s="107" t="str">
        <f t="shared" si="64"/>
        <v/>
      </c>
      <c r="AA238" s="107" t="str">
        <f t="shared" si="64"/>
        <v/>
      </c>
      <c r="AB238" s="107" t="str">
        <f t="shared" si="64"/>
        <v/>
      </c>
      <c r="AC238" s="107" t="str">
        <f t="shared" si="64"/>
        <v/>
      </c>
      <c r="AD238" s="107" t="str">
        <f t="shared" si="64"/>
        <v/>
      </c>
      <c r="AE238" s="107" t="str">
        <f t="shared" si="64"/>
        <v/>
      </c>
      <c r="AF238" s="107" t="str">
        <f t="shared" si="64"/>
        <v/>
      </c>
      <c r="AG238" s="47"/>
      <c r="AH238" s="47"/>
      <c r="AJ238"/>
    </row>
    <row r="239" spans="1:36" x14ac:dyDescent="0.25">
      <c r="A239" s="107" t="str">
        <f>A206</f>
        <v>MRS</v>
      </c>
      <c r="B239" s="107" t="str">
        <f t="shared" ref="B239:AF239" si="65">IF(B206&lt;100,"",B206-330)</f>
        <v/>
      </c>
      <c r="C239" s="107" t="str">
        <f t="shared" si="65"/>
        <v/>
      </c>
      <c r="D239" s="107" t="str">
        <f t="shared" si="65"/>
        <v/>
      </c>
      <c r="E239" s="107" t="str">
        <f t="shared" si="65"/>
        <v/>
      </c>
      <c r="F239" s="107" t="str">
        <f t="shared" si="65"/>
        <v/>
      </c>
      <c r="G239" s="107" t="str">
        <f t="shared" si="65"/>
        <v/>
      </c>
      <c r="H239" s="107" t="str">
        <f t="shared" si="65"/>
        <v/>
      </c>
      <c r="I239" s="107" t="str">
        <f t="shared" si="65"/>
        <v/>
      </c>
      <c r="J239" s="107" t="str">
        <f t="shared" si="65"/>
        <v/>
      </c>
      <c r="K239" s="107" t="str">
        <f t="shared" si="65"/>
        <v/>
      </c>
      <c r="L239" s="107" t="str">
        <f t="shared" si="65"/>
        <v/>
      </c>
      <c r="M239" s="107" t="str">
        <f t="shared" si="65"/>
        <v/>
      </c>
      <c r="N239" s="107" t="str">
        <f t="shared" si="65"/>
        <v/>
      </c>
      <c r="O239" s="107" t="str">
        <f t="shared" si="65"/>
        <v/>
      </c>
      <c r="P239" s="107" t="str">
        <f t="shared" si="65"/>
        <v/>
      </c>
      <c r="Q239" s="107" t="str">
        <f t="shared" si="65"/>
        <v/>
      </c>
      <c r="R239" s="107" t="str">
        <f t="shared" si="65"/>
        <v/>
      </c>
      <c r="S239" s="107" t="str">
        <f t="shared" si="65"/>
        <v/>
      </c>
      <c r="T239" s="107" t="str">
        <f t="shared" si="65"/>
        <v/>
      </c>
      <c r="U239" s="107" t="str">
        <f t="shared" si="65"/>
        <v/>
      </c>
      <c r="V239" s="107" t="str">
        <f t="shared" si="65"/>
        <v/>
      </c>
      <c r="W239" s="107" t="str">
        <f t="shared" si="65"/>
        <v/>
      </c>
      <c r="X239" s="107" t="str">
        <f t="shared" si="65"/>
        <v/>
      </c>
      <c r="Y239" s="107" t="str">
        <f t="shared" si="65"/>
        <v/>
      </c>
      <c r="Z239" s="107" t="str">
        <f t="shared" si="65"/>
        <v/>
      </c>
      <c r="AA239" s="107" t="str">
        <f t="shared" si="65"/>
        <v/>
      </c>
      <c r="AB239" s="107" t="str">
        <f t="shared" si="65"/>
        <v/>
      </c>
      <c r="AC239" s="107" t="str">
        <f t="shared" si="65"/>
        <v/>
      </c>
      <c r="AD239" s="107" t="str">
        <f t="shared" si="65"/>
        <v/>
      </c>
      <c r="AE239" s="107" t="str">
        <f t="shared" si="65"/>
        <v/>
      </c>
      <c r="AF239" s="107" t="str">
        <f t="shared" si="65"/>
        <v/>
      </c>
      <c r="AG239" s="47"/>
      <c r="AH239" s="47"/>
      <c r="AJ239"/>
    </row>
    <row r="240" spans="1:36" x14ac:dyDescent="0.25">
      <c r="A240" s="107" t="str">
        <f>A207</f>
        <v>KL 1</v>
      </c>
      <c r="B240" s="107" t="str">
        <f>IF(B207&lt;100,"",B207-1500)</f>
        <v/>
      </c>
      <c r="C240" s="107" t="str">
        <f t="shared" ref="C240:AF240" si="66">IF(C207&lt;100,"",C207-1500)</f>
        <v/>
      </c>
      <c r="D240" s="107" t="str">
        <f t="shared" si="66"/>
        <v/>
      </c>
      <c r="E240" s="107" t="str">
        <f t="shared" si="66"/>
        <v/>
      </c>
      <c r="F240" s="107" t="str">
        <f t="shared" si="66"/>
        <v/>
      </c>
      <c r="G240" s="107" t="str">
        <f t="shared" si="66"/>
        <v/>
      </c>
      <c r="H240" s="107" t="str">
        <f t="shared" si="66"/>
        <v/>
      </c>
      <c r="I240" s="107" t="str">
        <f t="shared" si="66"/>
        <v/>
      </c>
      <c r="J240" s="107" t="str">
        <f t="shared" si="66"/>
        <v/>
      </c>
      <c r="K240" s="107" t="str">
        <f t="shared" si="66"/>
        <v/>
      </c>
      <c r="L240" s="107" t="str">
        <f t="shared" si="66"/>
        <v/>
      </c>
      <c r="M240" s="107" t="str">
        <f t="shared" si="66"/>
        <v/>
      </c>
      <c r="N240" s="107" t="str">
        <f t="shared" si="66"/>
        <v/>
      </c>
      <c r="O240" s="107" t="str">
        <f t="shared" si="66"/>
        <v/>
      </c>
      <c r="P240" s="107" t="str">
        <f t="shared" si="66"/>
        <v/>
      </c>
      <c r="Q240" s="107" t="str">
        <f t="shared" si="66"/>
        <v/>
      </c>
      <c r="R240" s="107" t="str">
        <f t="shared" si="66"/>
        <v/>
      </c>
      <c r="S240" s="107" t="str">
        <f t="shared" si="66"/>
        <v/>
      </c>
      <c r="T240" s="107" t="str">
        <f t="shared" si="66"/>
        <v/>
      </c>
      <c r="U240" s="107" t="str">
        <f t="shared" si="66"/>
        <v/>
      </c>
      <c r="V240" s="107" t="str">
        <f t="shared" si="66"/>
        <v/>
      </c>
      <c r="W240" s="107" t="str">
        <f t="shared" si="66"/>
        <v/>
      </c>
      <c r="X240" s="107" t="str">
        <f t="shared" si="66"/>
        <v/>
      </c>
      <c r="Y240" s="107" t="str">
        <f t="shared" si="66"/>
        <v/>
      </c>
      <c r="Z240" s="107" t="str">
        <f t="shared" si="66"/>
        <v/>
      </c>
      <c r="AA240" s="107" t="str">
        <f t="shared" si="66"/>
        <v/>
      </c>
      <c r="AB240" s="107" t="str">
        <f t="shared" si="66"/>
        <v/>
      </c>
      <c r="AC240" s="107" t="str">
        <f t="shared" si="66"/>
        <v/>
      </c>
      <c r="AD240" s="107" t="str">
        <f t="shared" si="66"/>
        <v/>
      </c>
      <c r="AE240" s="107" t="str">
        <f t="shared" si="66"/>
        <v/>
      </c>
      <c r="AF240" s="107" t="str">
        <f t="shared" si="66"/>
        <v/>
      </c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J246"/>
    </row>
    <row r="247" spans="2:36" x14ac:dyDescent="0.25"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J247"/>
    </row>
    <row r="471" spans="36:38" x14ac:dyDescent="0.25">
      <c r="AK471" s="1"/>
    </row>
    <row r="472" spans="36:38" x14ac:dyDescent="0.25">
      <c r="AK472" s="1"/>
      <c r="AL472" s="1"/>
    </row>
    <row r="473" spans="36:38" x14ac:dyDescent="0.25">
      <c r="AJ473"/>
    </row>
  </sheetData>
  <mergeCells count="48">
    <mergeCell ref="A212:B212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D195:AF201 B195:B201 B9:AF10 B193:AF193 AG73 U214:AF214 C82:AF82 J74:AF74 C94:AF100 U11:AF11">
    <cfRule type="expression" dxfId="403" priority="215">
      <formula>B$9&gt;=20/24</formula>
    </cfRule>
    <cfRule type="expression" dxfId="402" priority="216">
      <formula>AND(B$9&gt;=14/24,B$9&lt;20/24)</formula>
    </cfRule>
    <cfRule type="expression" dxfId="401" priority="217">
      <formula>AND(B$9&gt;=8/24,B$9&lt;14/24)</formula>
    </cfRule>
    <cfRule type="expression" dxfId="400" priority="218">
      <formula>B$9&lt;8/24</formula>
    </cfRule>
  </conditionalFormatting>
  <conditionalFormatting sqref="AL4:AL6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99" priority="210">
      <formula>S$9&gt;=20/24</formula>
    </cfRule>
    <cfRule type="expression" dxfId="398" priority="211">
      <formula>AND(S$9&gt;=14/24,S$9&lt;20/24)</formula>
    </cfRule>
    <cfRule type="expression" dxfId="397" priority="212">
      <formula>AND(S$9&gt;=8/24,S$9&lt;14/24)</formula>
    </cfRule>
    <cfRule type="expression" dxfId="396" priority="213">
      <formula>S$9&lt;8/24</formula>
    </cfRule>
  </conditionalFormatting>
  <conditionalFormatting sqref="AG51 J11:AF11 S37:AF37">
    <cfRule type="expression" dxfId="395" priority="209">
      <formula>J11&gt;$AG11</formula>
    </cfRule>
  </conditionalFormatting>
  <conditionalFormatting sqref="A102:A158 A84:A97 A11:A14 A16:A32 A45:A72 A80:A82 A74:A78 A35:A43 A171:A201">
    <cfRule type="expression" dxfId="394" priority="208">
      <formula>$AH11=0</formula>
    </cfRule>
  </conditionalFormatting>
  <conditionalFormatting sqref="A98">
    <cfRule type="expression" dxfId="393" priority="207">
      <formula>$AH98=0</formula>
    </cfRule>
  </conditionalFormatting>
  <conditionalFormatting sqref="AL32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92" priority="205">
      <formula>$AH34=0</formula>
    </cfRule>
  </conditionalFormatting>
  <conditionalFormatting sqref="A83">
    <cfRule type="expression" dxfId="391" priority="204">
      <formula>$AH83=0</formula>
    </cfRule>
  </conditionalFormatting>
  <conditionalFormatting sqref="A15">
    <cfRule type="expression" dxfId="390" priority="203">
      <formula>$AH15=0</formula>
    </cfRule>
  </conditionalFormatting>
  <conditionalFormatting sqref="A165:A170">
    <cfRule type="expression" dxfId="389" priority="202">
      <formula>$AH165=0</formula>
    </cfRule>
  </conditionalFormatting>
  <conditionalFormatting sqref="A159:A164">
    <cfRule type="expression" dxfId="388" priority="201">
      <formula>$AH159=0</formula>
    </cfRule>
  </conditionalFormatting>
  <conditionalFormatting sqref="A44">
    <cfRule type="expression" dxfId="387" priority="200">
      <formula>$AH44=0</formula>
    </cfRule>
  </conditionalFormatting>
  <conditionalFormatting sqref="A79">
    <cfRule type="expression" dxfId="386" priority="199">
      <formula>$AH79=0</formula>
    </cfRule>
  </conditionalFormatting>
  <conditionalFormatting sqref="A73">
    <cfRule type="expression" dxfId="385" priority="198">
      <formula>$AH73=0</formula>
    </cfRule>
  </conditionalFormatting>
  <conditionalFormatting sqref="AL34:AL35 AL7:AL31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84" priority="194">
      <formula>C$9&gt;=20/24</formula>
    </cfRule>
    <cfRule type="expression" dxfId="383" priority="195">
      <formula>AND(C$9&gt;=14/24,C$9&lt;20/24)</formula>
    </cfRule>
    <cfRule type="expression" dxfId="382" priority="196">
      <formula>AND(C$9&gt;=8/24,C$9&lt;14/24)</formula>
    </cfRule>
    <cfRule type="expression" dxfId="381" priority="197">
      <formula>C$9&lt;8/24</formula>
    </cfRule>
  </conditionalFormatting>
  <conditionalFormatting sqref="AL3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0" priority="222">
      <formula>C$9&gt;=20/24</formula>
    </cfRule>
    <cfRule type="expression" dxfId="379" priority="223">
      <formula>AND(C$9&gt;=14/24,C$9&lt;20/24)</formula>
    </cfRule>
    <cfRule type="expression" dxfId="378" priority="224">
      <formula>AND(C$9&gt;=8/24,C$9&lt;14/24)</formula>
    </cfRule>
    <cfRule type="expression" dxfId="377" priority="225">
      <formula>C$9&lt;8/24</formula>
    </cfRule>
  </conditionalFormatting>
  <conditionalFormatting sqref="A202">
    <cfRule type="expression" dxfId="376" priority="226">
      <formula>$AH202=0</formula>
    </cfRule>
  </conditionalFormatting>
  <conditionalFormatting sqref="AG214">
    <cfRule type="expression" dxfId="375" priority="227">
      <formula>B$9&gt;=20/24</formula>
    </cfRule>
    <cfRule type="expression" dxfId="374" priority="228">
      <formula>AND(B$9&gt;=14/24,B$9&lt;20/24)</formula>
    </cfRule>
    <cfRule type="expression" dxfId="373" priority="229">
      <formula>AND(B$9&gt;=8/24,B$9&lt;14/24)</formula>
    </cfRule>
    <cfRule type="expression" dxfId="372" priority="230">
      <formula>B$9&lt;8/24</formula>
    </cfRule>
  </conditionalFormatting>
  <conditionalFormatting sqref="S8">
    <cfRule type="expression" dxfId="371" priority="188">
      <formula>U$9&gt;=20/24</formula>
    </cfRule>
    <cfRule type="expression" dxfId="370" priority="189">
      <formula>AND(U$9&gt;=14/24,U$9&lt;20/24)</formula>
    </cfRule>
    <cfRule type="expression" dxfId="369" priority="190">
      <formula>AND(U$9&gt;=8/24,U$9&lt;14/24)</formula>
    </cfRule>
    <cfRule type="expression" dxfId="368" priority="191">
      <formula>U$9&lt;8/24</formula>
    </cfRule>
  </conditionalFormatting>
  <conditionalFormatting sqref="AB8">
    <cfRule type="expression" dxfId="367" priority="184">
      <formula>AD$9&gt;=20/24</formula>
    </cfRule>
    <cfRule type="expression" dxfId="366" priority="185">
      <formula>AND(AD$9&gt;=14/24,AD$9&lt;20/24)</formula>
    </cfRule>
    <cfRule type="expression" dxfId="365" priority="186">
      <formula>AND(AD$9&gt;=8/24,AD$9&lt;14/24)</formula>
    </cfRule>
    <cfRule type="expression" dxfId="364" priority="187">
      <formula>AD$9&lt;8/24</formula>
    </cfRule>
  </conditionalFormatting>
  <conditionalFormatting sqref="AH214:AX214">
    <cfRule type="expression" dxfId="363" priority="231">
      <formula>AG$9&gt;=20/24</formula>
    </cfRule>
    <cfRule type="expression" dxfId="362" priority="232">
      <formula>AND(AG$9&gt;=14/24,AG$9&lt;20/24)</formula>
    </cfRule>
    <cfRule type="expression" dxfId="361" priority="233">
      <formula>AND(AG$9&gt;=8/24,AG$9&lt;14/24)</formula>
    </cfRule>
    <cfRule type="expression" dxfId="360" priority="234">
      <formula>AG$9&lt;8/24</formula>
    </cfRule>
  </conditionalFormatting>
  <conditionalFormatting sqref="T214">
    <cfRule type="expression" dxfId="359" priority="235">
      <formula>AX$9&gt;=20/24</formula>
    </cfRule>
    <cfRule type="expression" dxfId="358" priority="236">
      <formula>AND(AX$9&gt;=14/24,AX$9&lt;20/24)</formula>
    </cfRule>
    <cfRule type="expression" dxfId="357" priority="237">
      <formula>AND(AX$9&gt;=8/24,AX$9&lt;14/24)</formula>
    </cfRule>
    <cfRule type="expression" dxfId="356" priority="238">
      <formula>AX$9&lt;8/24</formula>
    </cfRule>
  </conditionalFormatting>
  <conditionalFormatting sqref="A99:A100">
    <cfRule type="expression" dxfId="355" priority="183">
      <formula>$AH99=0</formula>
    </cfRule>
  </conditionalFormatting>
  <conditionalFormatting sqref="F11:I11 H40:W41 AD40:AF41 C57:AF57 Z40:AC40">
    <cfRule type="expression" dxfId="354" priority="179">
      <formula>C$9&gt;=20/24</formula>
    </cfRule>
    <cfRule type="expression" dxfId="353" priority="180">
      <formula>AND(C$9&gt;=14/24,C$9&lt;20/24)</formula>
    </cfRule>
    <cfRule type="expression" dxfId="352" priority="181">
      <formula>AND(C$9&gt;=8/24,C$9&lt;14/24)</formula>
    </cfRule>
    <cfRule type="expression" dxfId="351" priority="182">
      <formula>C$9&lt;8/24</formula>
    </cfRule>
  </conditionalFormatting>
  <conditionalFormatting sqref="H39:W39 Z39:AF39">
    <cfRule type="expression" dxfId="350" priority="175">
      <formula>H$9&gt;=20/24</formula>
    </cfRule>
    <cfRule type="expression" dxfId="349" priority="176">
      <formula>AND(H$9&gt;=14/24,H$9&lt;20/24)</formula>
    </cfRule>
    <cfRule type="expression" dxfId="348" priority="177">
      <formula>AND(H$9&gt;=8/24,H$9&lt;14/24)</formula>
    </cfRule>
    <cfRule type="expression" dxfId="347" priority="178">
      <formula>H$9&lt;8/24</formula>
    </cfRule>
  </conditionalFormatting>
  <conditionalFormatting sqref="F11:I11 H39:W41 AD39:AF41 Z39:AC40">
    <cfRule type="expression" dxfId="346" priority="174">
      <formula>F11&gt;$AG11</formula>
    </cfRule>
  </conditionalFormatting>
  <conditionalFormatting sqref="C83:AF83 C75:AF75 C69:AF73 C85:G85 E86:G91 C81:AF81 C58:T63 C67:T67 C53:AF56 H85:AF91 T16:AF16 U58:AF67">
    <cfRule type="expression" dxfId="345" priority="170">
      <formula>C$9&gt;=20/24</formula>
    </cfRule>
    <cfRule type="expression" dxfId="344" priority="171">
      <formula>AND(C$9&gt;=14/24,C$9&lt;20/24)</formula>
    </cfRule>
    <cfRule type="expression" dxfId="343" priority="172">
      <formula>AND(C$9&gt;=8/24,C$9&lt;14/24)</formula>
    </cfRule>
    <cfRule type="expression" dxfId="342" priority="173">
      <formula>C$9&lt;8/24</formula>
    </cfRule>
  </conditionalFormatting>
  <conditionalFormatting sqref="C38:AF38 AD42:AF43 C37:R37 I42:R44 S43:S44 T44:V44 C51:AF56 AB43:AC43 T16:AF16">
    <cfRule type="expression" dxfId="341" priority="161">
      <formula>C16&gt;$AG16</formula>
    </cfRule>
  </conditionalFormatting>
  <conditionalFormatting sqref="S11:T11">
    <cfRule type="expression" dxfId="340" priority="144">
      <formula>S$9&gt;=20/24</formula>
    </cfRule>
    <cfRule type="expression" dxfId="339" priority="145">
      <formula>AND(S$9&gt;=14/24,S$9&lt;20/24)</formula>
    </cfRule>
    <cfRule type="expression" dxfId="338" priority="146">
      <formula>AND(S$9&gt;=8/24,S$9&lt;14/24)</formula>
    </cfRule>
    <cfRule type="expression" dxfId="337" priority="147">
      <formula>S$9&lt;8/24</formula>
    </cfRule>
  </conditionalFormatting>
  <conditionalFormatting sqref="AD44:AF50 W42:AC42 W43:AA43">
    <cfRule type="expression" dxfId="336" priority="140">
      <formula>W$9&gt;=20/24</formula>
    </cfRule>
    <cfRule type="expression" dxfId="335" priority="141">
      <formula>AND(W$9&gt;=14/24,W$9&lt;20/24)</formula>
    </cfRule>
    <cfRule type="expression" dxfId="334" priority="142">
      <formula>AND(W$9&gt;=8/24,W$9&lt;14/24)</formula>
    </cfRule>
    <cfRule type="expression" dxfId="333" priority="143">
      <formula>W$9&lt;8/24</formula>
    </cfRule>
  </conditionalFormatting>
  <conditionalFormatting sqref="AD44:AF50 W42:AC42 W43:AA43">
    <cfRule type="expression" dxfId="332" priority="139">
      <formula>W42&gt;$AG42</formula>
    </cfRule>
  </conditionalFormatting>
  <conditionalFormatting sqref="S42:T42 T43 U42:V43 W44:AC46">
    <cfRule type="expression" dxfId="331" priority="135">
      <formula>S$9&gt;=20/24</formula>
    </cfRule>
    <cfRule type="expression" dxfId="330" priority="136">
      <formula>AND(S$9&gt;=14/24,S$9&lt;20/24)</formula>
    </cfRule>
    <cfRule type="expression" dxfId="329" priority="137">
      <formula>AND(S$9&gt;=8/24,S$9&lt;14/24)</formula>
    </cfRule>
    <cfRule type="expression" dxfId="328" priority="138">
      <formula>S$9&lt;8/24</formula>
    </cfRule>
  </conditionalFormatting>
  <conditionalFormatting sqref="S42:T42 T43 U42:V43 W44:AC46">
    <cfRule type="expression" dxfId="327" priority="134">
      <formula>S42&gt;$AG42</formula>
    </cfRule>
  </conditionalFormatting>
  <conditionalFormatting sqref="C74:I74">
    <cfRule type="expression" dxfId="326" priority="126">
      <formula>C$9&gt;=20/24</formula>
    </cfRule>
    <cfRule type="expression" dxfId="325" priority="127">
      <formula>AND(C$9&gt;=14/24,C$9&lt;20/24)</formula>
    </cfRule>
    <cfRule type="expression" dxfId="324" priority="128">
      <formula>AND(C$9&gt;=8/24,C$9&lt;14/24)</formula>
    </cfRule>
    <cfRule type="expression" dxfId="323" priority="129">
      <formula>C$9&lt;8/24</formula>
    </cfRule>
  </conditionalFormatting>
  <conditionalFormatting sqref="C40:G41">
    <cfRule type="expression" dxfId="322" priority="100">
      <formula>C$9&gt;=20/24</formula>
    </cfRule>
    <cfRule type="expression" dxfId="321" priority="101">
      <formula>AND(C$9&gt;=14/24,C$9&lt;20/24)</formula>
    </cfRule>
    <cfRule type="expression" dxfId="320" priority="102">
      <formula>AND(C$9&gt;=8/24,C$9&lt;14/24)</formula>
    </cfRule>
    <cfRule type="expression" dxfId="319" priority="103">
      <formula>C$9&lt;8/24</formula>
    </cfRule>
  </conditionalFormatting>
  <conditionalFormatting sqref="C39:G39">
    <cfRule type="expression" dxfId="318" priority="96">
      <formula>C$9&gt;=20/24</formula>
    </cfRule>
    <cfRule type="expression" dxfId="317" priority="97">
      <formula>AND(C$9&gt;=14/24,C$9&lt;20/24)</formula>
    </cfRule>
    <cfRule type="expression" dxfId="316" priority="98">
      <formula>AND(C$9&gt;=8/24,C$9&lt;14/24)</formula>
    </cfRule>
    <cfRule type="expression" dxfId="315" priority="99">
      <formula>C$9&lt;8/24</formula>
    </cfRule>
  </conditionalFormatting>
  <conditionalFormatting sqref="C39:G41">
    <cfRule type="expression" dxfId="314" priority="95">
      <formula>C39&gt;$AG39</formula>
    </cfRule>
  </conditionalFormatting>
  <conditionalFormatting sqref="C64:T66">
    <cfRule type="expression" dxfId="313" priority="91">
      <formula>C$9&gt;=20/24</formula>
    </cfRule>
    <cfRule type="expression" dxfId="312" priority="92">
      <formula>AND(C$9&gt;=14/24,C$9&lt;20/24)</formula>
    </cfRule>
    <cfRule type="expression" dxfId="311" priority="93">
      <formula>AND(C$9&gt;=8/24,C$9&lt;14/24)</formula>
    </cfRule>
    <cfRule type="expression" dxfId="310" priority="94">
      <formula>C$9&lt;8/24</formula>
    </cfRule>
  </conditionalFormatting>
  <conditionalFormatting sqref="C42:H43">
    <cfRule type="expression" dxfId="309" priority="90">
      <formula>C42&gt;$AG42</formula>
    </cfRule>
  </conditionalFormatting>
  <conditionalFormatting sqref="W47:AC50 I45:V50">
    <cfRule type="expression" dxfId="308" priority="86">
      <formula>I$9&gt;=20/24</formula>
    </cfRule>
    <cfRule type="expression" dxfId="307" priority="87">
      <formula>AND(I$9&gt;=14/24,I$9&lt;20/24)</formula>
    </cfRule>
    <cfRule type="expression" dxfId="306" priority="88">
      <formula>AND(I$9&gt;=8/24,I$9&lt;14/24)</formula>
    </cfRule>
    <cfRule type="expression" dxfId="305" priority="89">
      <formula>I$9&lt;8/24</formula>
    </cfRule>
  </conditionalFormatting>
  <conditionalFormatting sqref="W47:AC50 I45:V50">
    <cfRule type="expression" dxfId="304" priority="85">
      <formula>I45&gt;$AG45</formula>
    </cfRule>
  </conditionalFormatting>
  <conditionalFormatting sqref="X40:Y41 Z41:AC41">
    <cfRule type="expression" dxfId="303" priority="81">
      <formula>X$9&gt;=20/24</formula>
    </cfRule>
    <cfRule type="expression" dxfId="302" priority="82">
      <formula>AND(X$9&gt;=14/24,X$9&lt;20/24)</formula>
    </cfRule>
    <cfRule type="expression" dxfId="301" priority="83">
      <formula>AND(X$9&gt;=8/24,X$9&lt;14/24)</formula>
    </cfRule>
    <cfRule type="expression" dxfId="300" priority="84">
      <formula>X$9&lt;8/24</formula>
    </cfRule>
  </conditionalFormatting>
  <conditionalFormatting sqref="X39:Y39">
    <cfRule type="expression" dxfId="299" priority="77">
      <formula>X$9&gt;=20/24</formula>
    </cfRule>
    <cfRule type="expression" dxfId="298" priority="78">
      <formula>AND(X$9&gt;=14/24,X$9&lt;20/24)</formula>
    </cfRule>
    <cfRule type="expression" dxfId="297" priority="79">
      <formula>AND(X$9&gt;=8/24,X$9&lt;14/24)</formula>
    </cfRule>
    <cfRule type="expression" dxfId="296" priority="80">
      <formula>X$9&lt;8/24</formula>
    </cfRule>
  </conditionalFormatting>
  <conditionalFormatting sqref="X39:Y41 Z41:AC41">
    <cfRule type="expression" dxfId="295" priority="76">
      <formula>X39&gt;$AG39</formula>
    </cfRule>
  </conditionalFormatting>
  <conditionalFormatting sqref="B82 B74 B94:B100 B11:E11">
    <cfRule type="expression" dxfId="294" priority="72">
      <formula>B$9&gt;=20/24</formula>
    </cfRule>
    <cfRule type="expression" dxfId="293" priority="73">
      <formula>AND(B$9&gt;=14/24,B$9&lt;20/24)</formula>
    </cfRule>
    <cfRule type="expression" dxfId="292" priority="74">
      <formula>AND(B$9&gt;=8/24,B$9&lt;14/24)</formula>
    </cfRule>
    <cfRule type="expression" dxfId="291" priority="75">
      <formula>B$9&lt;8/24</formula>
    </cfRule>
  </conditionalFormatting>
  <conditionalFormatting sqref="B37">
    <cfRule type="expression" dxfId="290" priority="68">
      <formula>B$9&gt;=20/24</formula>
    </cfRule>
    <cfRule type="expression" dxfId="289" priority="69">
      <formula>AND(B$9&gt;=14/24,B$9&lt;20/24)</formula>
    </cfRule>
    <cfRule type="expression" dxfId="288" priority="70">
      <formula>AND(B$9&gt;=8/24,B$9&lt;14/24)</formula>
    </cfRule>
    <cfRule type="expression" dxfId="287" priority="71">
      <formula>B$9&lt;8/24</formula>
    </cfRule>
  </conditionalFormatting>
  <conditionalFormatting sqref="B37 B11:E11">
    <cfRule type="expression" dxfId="286" priority="67">
      <formula>B11&gt;$AG11</formula>
    </cfRule>
  </conditionalFormatting>
  <conditionalFormatting sqref="B84">
    <cfRule type="expression" dxfId="285" priority="63">
      <formula>B$9&gt;=20/24</formula>
    </cfRule>
    <cfRule type="expression" dxfId="284" priority="64">
      <formula>AND(B$9&gt;=14/24,B$9&lt;20/24)</formula>
    </cfRule>
    <cfRule type="expression" dxfId="283" priority="65">
      <formula>AND(B$9&gt;=8/24,B$9&lt;14/24)</formula>
    </cfRule>
    <cfRule type="expression" dxfId="282" priority="66">
      <formula>B$9&lt;8/24</formula>
    </cfRule>
  </conditionalFormatting>
  <conditionalFormatting sqref="B40:B41 B57 B36:AF36">
    <cfRule type="expression" dxfId="281" priority="59">
      <formula>B$9&gt;=20/24</formula>
    </cfRule>
    <cfRule type="expression" dxfId="280" priority="60">
      <formula>AND(B$9&gt;=14/24,B$9&lt;20/24)</formula>
    </cfRule>
    <cfRule type="expression" dxfId="279" priority="61">
      <formula>AND(B$9&gt;=8/24,B$9&lt;14/24)</formula>
    </cfRule>
    <cfRule type="expression" dxfId="278" priority="62">
      <formula>B$9&lt;8/24</formula>
    </cfRule>
  </conditionalFormatting>
  <conditionalFormatting sqref="B39">
    <cfRule type="expression" dxfId="277" priority="55">
      <formula>B$9&gt;=20/24</formula>
    </cfRule>
    <cfRule type="expression" dxfId="276" priority="56">
      <formula>AND(B$9&gt;=14/24,B$9&lt;20/24)</formula>
    </cfRule>
    <cfRule type="expression" dxfId="275" priority="57">
      <formula>AND(B$9&gt;=8/24,B$9&lt;14/24)</formula>
    </cfRule>
    <cfRule type="expression" dxfId="274" priority="58">
      <formula>B$9&lt;8/24</formula>
    </cfRule>
  </conditionalFormatting>
  <conditionalFormatting sqref="B39:B41 B36:AF36">
    <cfRule type="expression" dxfId="273" priority="54">
      <formula>B36&gt;$AG36</formula>
    </cfRule>
  </conditionalFormatting>
  <conditionalFormatting sqref="B83 B75 B85:B91 B53:B56 B58:B73 C86:D91 C68:AF68 B81 B16:S16 B12:AF14 B28:AF31 B24:AF26 B18:AF22">
    <cfRule type="expression" dxfId="272" priority="50">
      <formula>B$9&gt;=20/24</formula>
    </cfRule>
    <cfRule type="expression" dxfId="271" priority="51">
      <formula>AND(B$9&gt;=14/24,B$9&lt;20/24)</formula>
    </cfRule>
    <cfRule type="expression" dxfId="270" priority="52">
      <formula>AND(B$9&gt;=8/24,B$9&lt;14/24)</formula>
    </cfRule>
    <cfRule type="expression" dxfId="269" priority="53">
      <formula>B$9&lt;8/24</formula>
    </cfRule>
  </conditionalFormatting>
  <conditionalFormatting sqref="B32:AF32">
    <cfRule type="expression" dxfId="268" priority="46">
      <formula>B$9&gt;=20/24</formula>
    </cfRule>
    <cfRule type="expression" dxfId="267" priority="47">
      <formula>AND(B$9&gt;=14/24,B$9&lt;20/24)</formula>
    </cfRule>
    <cfRule type="expression" dxfId="266" priority="48">
      <formula>AND(B$9&gt;=8/24,B$9&lt;14/24)</formula>
    </cfRule>
    <cfRule type="expression" dxfId="265" priority="49">
      <formula>B$9&lt;8/24</formula>
    </cfRule>
  </conditionalFormatting>
  <conditionalFormatting sqref="B35:AF35">
    <cfRule type="expression" dxfId="264" priority="42">
      <formula>B$9&gt;=20/24</formula>
    </cfRule>
    <cfRule type="expression" dxfId="263" priority="43">
      <formula>AND(B$9&gt;=14/24,B$9&lt;20/24)</formula>
    </cfRule>
    <cfRule type="expression" dxfId="262" priority="44">
      <formula>AND(B$9&gt;=8/24,B$9&lt;14/24)</formula>
    </cfRule>
    <cfRule type="expression" dxfId="261" priority="45">
      <formula>B$9&lt;8/24</formula>
    </cfRule>
  </conditionalFormatting>
  <conditionalFormatting sqref="B38 B42:B43 B51:B56 B12:S16 T12:AF15 B34:AF35 B24:AF32 B18:AF22">
    <cfRule type="expression" dxfId="260" priority="41">
      <formula>B12&gt;$AG12</formula>
    </cfRule>
  </conditionalFormatting>
  <conditionalFormatting sqref="B34:AF34">
    <cfRule type="expression" dxfId="259" priority="37">
      <formula>B$9&gt;=20/24</formula>
    </cfRule>
    <cfRule type="expression" dxfId="258" priority="38">
      <formula>AND(B$9&gt;=14/24,B$9&lt;20/24)</formula>
    </cfRule>
    <cfRule type="expression" dxfId="257" priority="39">
      <formula>AND(B$9&gt;=8/24,B$9&lt;14/24)</formula>
    </cfRule>
    <cfRule type="expression" dxfId="256" priority="40">
      <formula>B$9&lt;8/24</formula>
    </cfRule>
  </conditionalFormatting>
  <conditionalFormatting sqref="B15:AF15">
    <cfRule type="expression" dxfId="255" priority="33">
      <formula>B$9&gt;=20/24</formula>
    </cfRule>
    <cfRule type="expression" dxfId="254" priority="34">
      <formula>AND(B$9&gt;=14/24,B$9&lt;20/24)</formula>
    </cfRule>
    <cfRule type="expression" dxfId="253" priority="35">
      <formula>AND(B$9&gt;=8/24,B$9&lt;14/24)</formula>
    </cfRule>
    <cfRule type="expression" dxfId="252" priority="36">
      <formula>B$9&lt;8/24</formula>
    </cfRule>
  </conditionalFormatting>
  <conditionalFormatting sqref="B33:AF33">
    <cfRule type="expression" dxfId="251" priority="29">
      <formula>B$9&gt;=20/24</formula>
    </cfRule>
    <cfRule type="expression" dxfId="250" priority="30">
      <formula>AND(B$9&gt;=14/24,B$9&lt;20/24)</formula>
    </cfRule>
    <cfRule type="expression" dxfId="249" priority="31">
      <formula>AND(B$9&gt;=8/24,B$9&lt;14/24)</formula>
    </cfRule>
    <cfRule type="expression" dxfId="248" priority="32">
      <formula>B$9&lt;8/24</formula>
    </cfRule>
  </conditionalFormatting>
  <conditionalFormatting sqref="B33:AF33">
    <cfRule type="expression" dxfId="247" priority="28">
      <formula>B33&gt;$AG33</formula>
    </cfRule>
  </conditionalFormatting>
  <conditionalFormatting sqref="B44:H50">
    <cfRule type="expression" dxfId="246" priority="24">
      <formula>B$9&gt;=20/24</formula>
    </cfRule>
    <cfRule type="expression" dxfId="245" priority="25">
      <formula>AND(B$9&gt;=14/24,B$9&lt;20/24)</formula>
    </cfRule>
    <cfRule type="expression" dxfId="244" priority="26">
      <formula>AND(B$9&gt;=8/24,B$9&lt;14/24)</formula>
    </cfRule>
    <cfRule type="expression" dxfId="243" priority="27">
      <formula>B$9&lt;8/24</formula>
    </cfRule>
  </conditionalFormatting>
  <conditionalFormatting sqref="B44:H50">
    <cfRule type="expression" dxfId="242" priority="23">
      <formula>B44&gt;$AG44</formula>
    </cfRule>
  </conditionalFormatting>
  <conditionalFormatting sqref="B27:AF27">
    <cfRule type="expression" dxfId="241" priority="19">
      <formula>B$9&gt;=20/24</formula>
    </cfRule>
    <cfRule type="expression" dxfId="240" priority="20">
      <formula>AND(B$9&gt;=14/24,B$9&lt;20/24)</formula>
    </cfRule>
    <cfRule type="expression" dxfId="239" priority="21">
      <formula>AND(B$9&gt;=8/24,B$9&lt;14/24)</formula>
    </cfRule>
    <cfRule type="expression" dxfId="238" priority="22">
      <formula>B$9&lt;8/24</formula>
    </cfRule>
  </conditionalFormatting>
  <conditionalFormatting sqref="B23:AF23 B17:AF17">
    <cfRule type="expression" dxfId="237" priority="15">
      <formula>B$9&gt;=20/24</formula>
    </cfRule>
    <cfRule type="expression" dxfId="236" priority="16">
      <formula>AND(B$9&gt;=14/24,B$9&lt;20/24)</formula>
    </cfRule>
    <cfRule type="expression" dxfId="235" priority="17">
      <formula>AND(B$9&gt;=8/24,B$9&lt;14/24)</formula>
    </cfRule>
    <cfRule type="expression" dxfId="234" priority="18">
      <formula>B$9&lt;8/24</formula>
    </cfRule>
  </conditionalFormatting>
  <conditionalFormatting sqref="B23:AF23 B17:AF17">
    <cfRule type="expression" dxfId="233" priority="14">
      <formula>B17&gt;$AG17</formula>
    </cfRule>
  </conditionalFormatting>
  <conditionalFormatting sqref="B76:AF80">
    <cfRule type="expression" dxfId="232" priority="10">
      <formula>B$9&gt;=20/24</formula>
    </cfRule>
    <cfRule type="expression" dxfId="231" priority="11">
      <formula>AND(B$9&gt;=14/24,B$9&lt;20/24)</formula>
    </cfRule>
    <cfRule type="expression" dxfId="230" priority="12">
      <formula>AND(B$9&gt;=8/24,B$9&lt;14/24)</formula>
    </cfRule>
    <cfRule type="expression" dxfId="229" priority="13">
      <formula>B$9&lt;8/24</formula>
    </cfRule>
  </conditionalFormatting>
  <conditionalFormatting sqref="C101:AF101">
    <cfRule type="expression" dxfId="228" priority="6">
      <formula>C$9&gt;=20/24</formula>
    </cfRule>
    <cfRule type="expression" dxfId="227" priority="7">
      <formula>AND(C$9&gt;=14/24,C$9&lt;20/24)</formula>
    </cfRule>
    <cfRule type="expression" dxfId="226" priority="8">
      <formula>AND(C$9&gt;=8/24,C$9&lt;14/24)</formula>
    </cfRule>
    <cfRule type="expression" dxfId="225" priority="9">
      <formula>C$9&lt;8/24</formula>
    </cfRule>
  </conditionalFormatting>
  <conditionalFormatting sqref="A101">
    <cfRule type="expression" dxfId="224" priority="5">
      <formula>$AH101=0</formula>
    </cfRule>
  </conditionalFormatting>
  <conditionalFormatting sqref="B101">
    <cfRule type="expression" dxfId="223" priority="1">
      <formula>B$9&gt;=20/24</formula>
    </cfRule>
    <cfRule type="expression" dxfId="222" priority="2">
      <formula>AND(B$9&gt;=14/24,B$9&lt;20/24)</formula>
    </cfRule>
    <cfRule type="expression" dxfId="221" priority="3">
      <formula>AND(B$9&gt;=8/24,B$9&lt;14/24)</formula>
    </cfRule>
    <cfRule type="expression" dxfId="220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3" id="{1464B02A-1FB7-4919-80C5-8280501C2D3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472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82" sqref="B8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6" max="36" width="9.140625" style="1"/>
    <col min="38" max="41" width="9.140625" customWidth="1"/>
  </cols>
  <sheetData>
    <row r="1" spans="1:88" ht="36" customHeight="1" thickBot="1" x14ac:dyDescent="0.3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 t="s">
        <v>1</v>
      </c>
      <c r="AH1" s="172"/>
      <c r="AI1" s="172"/>
      <c r="AL1" s="2"/>
      <c r="AM1" s="3"/>
    </row>
    <row r="2" spans="1:88" ht="20.25" x14ac:dyDescent="0.25">
      <c r="A2" s="4"/>
      <c r="B2" s="173" t="s">
        <v>2</v>
      </c>
      <c r="C2" s="5"/>
      <c r="D2" s="175" t="s">
        <v>3</v>
      </c>
      <c r="E2" s="5"/>
      <c r="F2" s="175" t="s">
        <v>4</v>
      </c>
      <c r="G2" s="5"/>
      <c r="H2" s="175" t="s">
        <v>5</v>
      </c>
      <c r="I2" s="6"/>
      <c r="J2" s="177" t="s">
        <v>6</v>
      </c>
      <c r="K2" s="7" t="s">
        <v>2</v>
      </c>
      <c r="L2" s="7" t="s">
        <v>3</v>
      </c>
      <c r="M2" s="7" t="s">
        <v>4</v>
      </c>
      <c r="N2" s="8" t="s">
        <v>5</v>
      </c>
      <c r="O2" s="9"/>
      <c r="P2" s="9"/>
      <c r="Q2" s="10"/>
      <c r="R2" s="10"/>
      <c r="S2" s="10"/>
      <c r="T2" s="10"/>
      <c r="U2" s="10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>
        <f>AG38</f>
        <v>1492.8299999999997</v>
      </c>
      <c r="AH2" s="13" t="s">
        <v>7</v>
      </c>
      <c r="AI2" s="14"/>
      <c r="AL2" s="3"/>
      <c r="AM2" s="15"/>
      <c r="AN2" s="16"/>
      <c r="AO2" s="16"/>
    </row>
    <row r="3" spans="1:88" ht="19.5" thickBot="1" x14ac:dyDescent="0.3">
      <c r="A3" s="17"/>
      <c r="B3" s="174"/>
      <c r="C3" s="18"/>
      <c r="D3" s="176"/>
      <c r="E3" s="18"/>
      <c r="F3" s="176"/>
      <c r="G3" s="18"/>
      <c r="H3" s="176"/>
      <c r="I3" s="19"/>
      <c r="J3" s="177"/>
      <c r="K3" s="20"/>
      <c r="L3" s="20"/>
      <c r="M3" s="20"/>
      <c r="N3" s="20"/>
      <c r="O3" s="21"/>
      <c r="P3" s="21"/>
      <c r="Q3" s="11"/>
      <c r="R3" s="11"/>
      <c r="S3" s="11"/>
      <c r="T3" s="11"/>
      <c r="U3" s="11"/>
      <c r="V3" s="22" t="s">
        <v>8</v>
      </c>
      <c r="W3" s="22"/>
      <c r="X3" s="22" t="s">
        <v>9</v>
      </c>
      <c r="Y3" s="22"/>
      <c r="Z3" s="22"/>
      <c r="AA3" s="22"/>
      <c r="AB3" s="21"/>
      <c r="AC3" s="23"/>
      <c r="AD3" s="23"/>
      <c r="AE3" s="23"/>
      <c r="AF3" s="23"/>
      <c r="AG3" s="24">
        <f>AG52</f>
        <v>489.91</v>
      </c>
      <c r="AH3" s="13" t="s">
        <v>10</v>
      </c>
      <c r="AI3" s="14"/>
      <c r="AL3" s="25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</row>
    <row r="4" spans="1:88" ht="18.75" x14ac:dyDescent="0.25">
      <c r="A4" s="27" t="s">
        <v>11</v>
      </c>
      <c r="B4" s="178" t="e">
        <f ca="1">"2079/"&amp;"02/"&amp;INT(MID(CELL("filename",D6),FIND("]",CELL("filename",D6))+1,200))</f>
        <v>#VALUE!</v>
      </c>
      <c r="C4" s="178"/>
      <c r="D4" s="178"/>
      <c r="E4" s="179" t="str">
        <f ca="1">IFERROR([1]!DateBStoAD(B4),"")</f>
        <v/>
      </c>
      <c r="F4" s="180"/>
      <c r="G4" s="180"/>
      <c r="H4" s="180" t="str">
        <f ca="1">TEXT(E4,"dddd")</f>
        <v/>
      </c>
      <c r="I4" s="180"/>
      <c r="J4" s="28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29"/>
      <c r="AE4" s="29"/>
      <c r="AF4" s="29"/>
      <c r="AG4" s="24">
        <f>AG56</f>
        <v>106</v>
      </c>
      <c r="AH4" s="13" t="s">
        <v>12</v>
      </c>
      <c r="AI4" s="14"/>
      <c r="AL4" s="30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</row>
    <row r="5" spans="1:88" ht="15.75" hidden="1" customHeight="1" x14ac:dyDescent="0.25">
      <c r="A5" s="31"/>
      <c r="B5" s="32">
        <f t="shared" ref="B5:AE5" si="0">C68</f>
        <v>0</v>
      </c>
      <c r="C5" s="32">
        <f t="shared" si="0"/>
        <v>0</v>
      </c>
      <c r="D5" s="32">
        <f t="shared" si="0"/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J5" s="32">
        <f t="shared" si="0"/>
        <v>0</v>
      </c>
      <c r="K5" s="32">
        <f t="shared" si="0"/>
        <v>0</v>
      </c>
      <c r="L5" s="32">
        <f t="shared" si="0"/>
        <v>0</v>
      </c>
      <c r="M5" s="32">
        <f t="shared" si="0"/>
        <v>0</v>
      </c>
      <c r="N5" s="32">
        <f t="shared" si="0"/>
        <v>0</v>
      </c>
      <c r="O5" s="32">
        <f t="shared" si="0"/>
        <v>0</v>
      </c>
      <c r="P5" s="32">
        <f t="shared" si="0"/>
        <v>0</v>
      </c>
      <c r="Q5" s="32">
        <f t="shared" si="0"/>
        <v>0</v>
      </c>
      <c r="R5" s="32">
        <f t="shared" si="0"/>
        <v>0</v>
      </c>
      <c r="S5" s="32">
        <f t="shared" si="0"/>
        <v>0</v>
      </c>
      <c r="T5" s="32">
        <f t="shared" si="0"/>
        <v>0</v>
      </c>
      <c r="U5" s="32">
        <f t="shared" si="0"/>
        <v>0</v>
      </c>
      <c r="V5" s="32">
        <f t="shared" si="0"/>
        <v>0</v>
      </c>
      <c r="W5" s="32">
        <f t="shared" si="0"/>
        <v>0</v>
      </c>
      <c r="X5" s="32">
        <f t="shared" si="0"/>
        <v>0</v>
      </c>
      <c r="Y5" s="32">
        <f t="shared" si="0"/>
        <v>0</v>
      </c>
      <c r="Z5" s="32">
        <f t="shared" si="0"/>
        <v>0</v>
      </c>
      <c r="AA5" s="32">
        <f t="shared" si="0"/>
        <v>0</v>
      </c>
      <c r="AB5" s="32">
        <f t="shared" si="0"/>
        <v>0</v>
      </c>
      <c r="AC5" s="32">
        <f t="shared" si="0"/>
        <v>0</v>
      </c>
      <c r="AD5" s="32">
        <f t="shared" si="0"/>
        <v>0</v>
      </c>
      <c r="AE5" s="32">
        <f t="shared" si="0"/>
        <v>0</v>
      </c>
      <c r="AF5" s="32">
        <f>B68</f>
        <v>0</v>
      </c>
      <c r="AG5" s="24"/>
      <c r="AH5" s="13"/>
      <c r="AI5" s="14"/>
      <c r="AL5" s="30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</row>
    <row r="6" spans="1:88" ht="18.75" x14ac:dyDescent="0.25">
      <c r="A6" s="31"/>
      <c r="B6" s="33"/>
      <c r="C6" s="31"/>
      <c r="D6" s="34"/>
      <c r="E6" s="34"/>
      <c r="F6" s="34"/>
      <c r="G6" s="34"/>
      <c r="H6" s="34"/>
      <c r="I6" s="34"/>
      <c r="J6" s="28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4MW at 4:60hr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29"/>
      <c r="AE6" s="29"/>
      <c r="AF6" s="29"/>
      <c r="AG6" s="24">
        <f>SUM(AG2:AG4)</f>
        <v>2088.7399999999998</v>
      </c>
      <c r="AH6" s="35" t="s">
        <v>13</v>
      </c>
      <c r="AI6" s="14"/>
      <c r="AL6" s="30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</row>
    <row r="7" spans="1:88" ht="16.5" thickBot="1" x14ac:dyDescent="0.3">
      <c r="A7" s="36" t="str">
        <f>"Base Load="&amp;ROUND(MIN($B$7:$AF$7),0)</f>
        <v>Base Load=4</v>
      </c>
      <c r="B7" s="37">
        <f>B75</f>
        <v>3.54</v>
      </c>
      <c r="C7" s="37">
        <f t="shared" ref="C7:AF7" si="1">C75</f>
        <v>3.54</v>
      </c>
      <c r="D7" s="37">
        <f t="shared" si="1"/>
        <v>3.54</v>
      </c>
      <c r="E7" s="37">
        <f t="shared" si="1"/>
        <v>3.54</v>
      </c>
      <c r="F7" s="37">
        <f t="shared" si="1"/>
        <v>3.54</v>
      </c>
      <c r="G7" s="37">
        <f t="shared" si="1"/>
        <v>3.54</v>
      </c>
      <c r="H7" s="37">
        <f t="shared" si="1"/>
        <v>3.54</v>
      </c>
      <c r="I7" s="37">
        <f t="shared" si="1"/>
        <v>3.54</v>
      </c>
      <c r="J7" s="37">
        <f t="shared" si="1"/>
        <v>3.54</v>
      </c>
      <c r="K7" s="37">
        <f t="shared" si="1"/>
        <v>3.54</v>
      </c>
      <c r="L7" s="37">
        <f t="shared" si="1"/>
        <v>3.54</v>
      </c>
      <c r="M7" s="37">
        <f t="shared" si="1"/>
        <v>3.54</v>
      </c>
      <c r="N7" s="37">
        <f t="shared" si="1"/>
        <v>3.54</v>
      </c>
      <c r="O7" s="37">
        <f t="shared" si="1"/>
        <v>3.54</v>
      </c>
      <c r="P7" s="37">
        <f t="shared" si="1"/>
        <v>3.54</v>
      </c>
      <c r="Q7" s="37">
        <f t="shared" si="1"/>
        <v>3.54</v>
      </c>
      <c r="R7" s="37">
        <f t="shared" si="1"/>
        <v>3.54</v>
      </c>
      <c r="S7" s="37">
        <f t="shared" si="1"/>
        <v>3.54</v>
      </c>
      <c r="T7" s="37">
        <f t="shared" si="1"/>
        <v>3.54</v>
      </c>
      <c r="U7" s="37">
        <f t="shared" si="1"/>
        <v>3.54</v>
      </c>
      <c r="V7" s="37">
        <f t="shared" si="1"/>
        <v>3.54</v>
      </c>
      <c r="W7" s="37">
        <f t="shared" si="1"/>
        <v>3.54</v>
      </c>
      <c r="X7" s="37">
        <f t="shared" si="1"/>
        <v>3.54</v>
      </c>
      <c r="Y7" s="37">
        <f t="shared" si="1"/>
        <v>3.54</v>
      </c>
      <c r="Z7" s="37">
        <f t="shared" si="1"/>
        <v>3.54</v>
      </c>
      <c r="AA7" s="37">
        <f t="shared" si="1"/>
        <v>3.54</v>
      </c>
      <c r="AB7" s="37">
        <f t="shared" si="1"/>
        <v>3.54</v>
      </c>
      <c r="AC7" s="37">
        <f t="shared" si="1"/>
        <v>3.54</v>
      </c>
      <c r="AD7" s="37">
        <f t="shared" si="1"/>
        <v>3.54</v>
      </c>
      <c r="AE7" s="37">
        <f t="shared" si="1"/>
        <v>3.54</v>
      </c>
      <c r="AF7" s="37">
        <f t="shared" si="1"/>
        <v>3.54</v>
      </c>
      <c r="AG7" s="38"/>
      <c r="AH7" s="39"/>
      <c r="AI7" s="40"/>
      <c r="AL7" s="41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</row>
    <row r="8" spans="1:88" ht="17.25" thickTop="1" thickBot="1" x14ac:dyDescent="0.3">
      <c r="A8" s="42"/>
      <c r="B8" s="181" t="s">
        <v>14</v>
      </c>
      <c r="C8" s="182"/>
      <c r="D8" s="182"/>
      <c r="E8" s="182"/>
      <c r="F8" s="182"/>
      <c r="G8" s="182"/>
      <c r="H8" s="182"/>
      <c r="I8" s="182"/>
      <c r="J8" s="182"/>
      <c r="K8" s="182"/>
      <c r="L8" s="183"/>
      <c r="M8" s="184" t="s">
        <v>15</v>
      </c>
      <c r="N8" s="185"/>
      <c r="O8" s="185"/>
      <c r="P8" s="185"/>
      <c r="Q8" s="185"/>
      <c r="R8" s="186"/>
      <c r="S8" s="184" t="s">
        <v>16</v>
      </c>
      <c r="T8" s="185"/>
      <c r="U8" s="185"/>
      <c r="V8" s="185"/>
      <c r="W8" s="185"/>
      <c r="X8" s="185"/>
      <c r="Y8" s="185"/>
      <c r="Z8" s="185"/>
      <c r="AA8" s="186"/>
      <c r="AB8" s="184" t="s">
        <v>17</v>
      </c>
      <c r="AC8" s="185"/>
      <c r="AD8" s="185"/>
      <c r="AE8" s="185"/>
      <c r="AF8" s="186"/>
      <c r="AG8" s="43"/>
      <c r="AH8" s="44"/>
      <c r="AI8" s="45"/>
      <c r="AL8" s="30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</row>
    <row r="9" spans="1:88" ht="13.5" customHeight="1" thickTop="1" x14ac:dyDescent="0.25">
      <c r="A9" s="189" t="s">
        <v>18</v>
      </c>
      <c r="B9" s="191">
        <v>0</v>
      </c>
      <c r="C9" s="193">
        <v>4.1666666666666664E-2</v>
      </c>
      <c r="D9" s="193">
        <v>8.3333333333333301E-2</v>
      </c>
      <c r="E9" s="193">
        <v>0.125</v>
      </c>
      <c r="F9" s="193">
        <v>0.16666666666666699</v>
      </c>
      <c r="G9" s="193">
        <v>0.20833333333333301</v>
      </c>
      <c r="H9" s="193">
        <v>0.22916666666666666</v>
      </c>
      <c r="I9" s="193">
        <v>0.25</v>
      </c>
      <c r="J9" s="193">
        <v>0.27083333333333331</v>
      </c>
      <c r="K9" s="193">
        <v>0.29166666666666669</v>
      </c>
      <c r="L9" s="193">
        <v>0.3125</v>
      </c>
      <c r="M9" s="187">
        <v>0.33333333333333331</v>
      </c>
      <c r="N9" s="187">
        <v>0.375</v>
      </c>
      <c r="O9" s="187">
        <v>0.41666666666666702</v>
      </c>
      <c r="P9" s="187">
        <v>0.45833333333333298</v>
      </c>
      <c r="Q9" s="187">
        <v>0.5</v>
      </c>
      <c r="R9" s="187">
        <v>0.54166666666666696</v>
      </c>
      <c r="S9" s="193">
        <v>0.58333333333333304</v>
      </c>
      <c r="T9" s="193">
        <v>0.625</v>
      </c>
      <c r="U9" s="193">
        <v>0.66666666666666696</v>
      </c>
      <c r="V9" s="193">
        <v>0.70833333333333304</v>
      </c>
      <c r="W9" s="193">
        <v>0.72916666666666663</v>
      </c>
      <c r="X9" s="193">
        <v>0.75</v>
      </c>
      <c r="Y9" s="193">
        <v>0.77083333333333337</v>
      </c>
      <c r="Z9" s="193">
        <v>0.79166666666666663</v>
      </c>
      <c r="AA9" s="193">
        <v>0.8125</v>
      </c>
      <c r="AB9" s="193">
        <v>0.83333333333333337</v>
      </c>
      <c r="AC9" s="193">
        <v>0.85416666666666663</v>
      </c>
      <c r="AD9" s="193">
        <v>0.875</v>
      </c>
      <c r="AE9" s="193">
        <v>0.91666666666666696</v>
      </c>
      <c r="AF9" s="193">
        <v>0.95833333333333304</v>
      </c>
      <c r="AG9" s="196" t="s">
        <v>1</v>
      </c>
      <c r="AH9" s="46"/>
      <c r="AI9" s="45"/>
      <c r="AL9" s="30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</row>
    <row r="10" spans="1:88" ht="15.75" thickBot="1" x14ac:dyDescent="0.3">
      <c r="A10" s="190"/>
      <c r="B10" s="201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88"/>
      <c r="N10" s="188"/>
      <c r="O10" s="188"/>
      <c r="P10" s="188"/>
      <c r="Q10" s="188"/>
      <c r="R10" s="188"/>
      <c r="S10" s="194"/>
      <c r="T10" s="194"/>
      <c r="U10" s="194"/>
      <c r="V10" s="194"/>
      <c r="W10" s="194"/>
      <c r="X10" s="194"/>
      <c r="Y10" s="194"/>
      <c r="Z10" s="200"/>
      <c r="AA10" s="194"/>
      <c r="AB10" s="194"/>
      <c r="AC10" s="194"/>
      <c r="AD10" s="194"/>
      <c r="AE10" s="194"/>
      <c r="AF10" s="194"/>
      <c r="AG10" s="197"/>
      <c r="AH10" s="47"/>
      <c r="AL10" s="30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</row>
    <row r="11" spans="1:88" ht="15.75" thickTop="1" x14ac:dyDescent="0.25">
      <c r="A11" s="48" t="s">
        <v>19</v>
      </c>
      <c r="B11" s="70"/>
      <c r="C11" s="50"/>
      <c r="D11" s="50"/>
      <c r="E11" s="51"/>
      <c r="F11" s="51"/>
      <c r="G11" s="51"/>
      <c r="H11" s="51"/>
      <c r="I11" s="51"/>
      <c r="J11" s="52"/>
      <c r="K11" s="52"/>
      <c r="L11" s="52"/>
      <c r="M11" s="51"/>
      <c r="N11" s="51"/>
      <c r="O11" s="51"/>
      <c r="P11" s="51"/>
      <c r="Q11" s="51"/>
      <c r="R11" s="51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53">
        <v>456</v>
      </c>
      <c r="AH11" s="54">
        <f>MAX(B11:AF11)</f>
        <v>0</v>
      </c>
      <c r="AI11" s="55">
        <f>MIN(B11:AF11)</f>
        <v>0</v>
      </c>
      <c r="AK11" s="56"/>
      <c r="AL11" s="30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</row>
    <row r="12" spans="1:88" x14ac:dyDescent="0.25">
      <c r="A12" s="57" t="s">
        <v>20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8">
        <v>60</v>
      </c>
      <c r="AH12" s="54">
        <f t="shared" ref="AH12:AH75" si="2">MAX(B12:AF12)</f>
        <v>0</v>
      </c>
      <c r="AI12" s="55">
        <f t="shared" ref="AI12:AI75" si="3">MIN(B12:AF12)</f>
        <v>0</v>
      </c>
      <c r="AK12" s="56"/>
      <c r="AL12" s="30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</row>
    <row r="13" spans="1:88" x14ac:dyDescent="0.25">
      <c r="A13" s="57" t="s">
        <v>21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8">
        <v>52.4</v>
      </c>
      <c r="AH13" s="54">
        <f t="shared" si="2"/>
        <v>0</v>
      </c>
      <c r="AI13" s="55">
        <f t="shared" si="3"/>
        <v>0</v>
      </c>
      <c r="AK13" s="56"/>
      <c r="AL13" s="30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</row>
    <row r="14" spans="1:88" x14ac:dyDescent="0.25">
      <c r="A14" s="57" t="s">
        <v>22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8">
        <v>50</v>
      </c>
      <c r="AH14" s="54">
        <f t="shared" si="2"/>
        <v>0</v>
      </c>
      <c r="AI14" s="55">
        <f t="shared" si="3"/>
        <v>0</v>
      </c>
      <c r="AK14" s="56"/>
      <c r="AL14" s="30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</row>
    <row r="15" spans="1:88" x14ac:dyDescent="0.25">
      <c r="A15" s="57" t="s">
        <v>23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9">
        <v>45</v>
      </c>
      <c r="AH15" s="54">
        <f t="shared" si="2"/>
        <v>0</v>
      </c>
      <c r="AI15" s="55">
        <f t="shared" si="3"/>
        <v>0</v>
      </c>
      <c r="AK15" s="56"/>
      <c r="AL15" s="30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</row>
    <row r="16" spans="1:88" x14ac:dyDescent="0.25">
      <c r="A16" s="57" t="s">
        <v>24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8">
        <v>45</v>
      </c>
      <c r="AH16" s="54">
        <f t="shared" si="2"/>
        <v>0</v>
      </c>
      <c r="AI16" s="55">
        <f t="shared" si="3"/>
        <v>0</v>
      </c>
      <c r="AK16" s="56"/>
      <c r="AL16" s="30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</row>
    <row r="17" spans="1:88" x14ac:dyDescent="0.25">
      <c r="A17" s="57" t="s">
        <v>25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8">
        <v>42</v>
      </c>
      <c r="AH17" s="54">
        <f t="shared" si="2"/>
        <v>0</v>
      </c>
      <c r="AI17" s="55">
        <f t="shared" si="3"/>
        <v>0</v>
      </c>
      <c r="AK17" s="56"/>
      <c r="AL17" s="30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</row>
    <row r="18" spans="1:88" x14ac:dyDescent="0.25">
      <c r="A18" s="57" t="s">
        <v>26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8">
        <v>36</v>
      </c>
      <c r="AH18" s="54">
        <f t="shared" si="2"/>
        <v>0</v>
      </c>
      <c r="AI18" s="55">
        <f t="shared" si="3"/>
        <v>0</v>
      </c>
      <c r="AK18" s="56"/>
      <c r="AL18" s="30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</row>
    <row r="19" spans="1:88" x14ac:dyDescent="0.25">
      <c r="A19" s="57" t="s">
        <v>27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8">
        <v>30</v>
      </c>
      <c r="AH19" s="54">
        <f t="shared" si="2"/>
        <v>0</v>
      </c>
      <c r="AI19" s="55">
        <f t="shared" si="3"/>
        <v>0</v>
      </c>
      <c r="AK19" s="56"/>
      <c r="AL19" s="30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</row>
    <row r="20" spans="1:88" x14ac:dyDescent="0.25">
      <c r="A20" s="57" t="s">
        <v>28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8">
        <v>27</v>
      </c>
      <c r="AH20" s="54">
        <f t="shared" si="2"/>
        <v>0</v>
      </c>
      <c r="AI20" s="55">
        <f t="shared" si="3"/>
        <v>0</v>
      </c>
      <c r="AK20" s="56"/>
      <c r="AL20" s="30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</row>
    <row r="21" spans="1:88" x14ac:dyDescent="0.25">
      <c r="A21" s="57" t="s">
        <v>29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8">
        <v>25</v>
      </c>
      <c r="AH21" s="54">
        <f t="shared" si="2"/>
        <v>0</v>
      </c>
      <c r="AI21" s="55">
        <f t="shared" si="3"/>
        <v>0</v>
      </c>
      <c r="AK21" s="56"/>
      <c r="AL21" s="30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</row>
    <row r="22" spans="1:88" x14ac:dyDescent="0.25">
      <c r="A22" s="57" t="s">
        <v>30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8">
        <v>25</v>
      </c>
      <c r="AH22" s="54">
        <f t="shared" si="2"/>
        <v>0</v>
      </c>
      <c r="AI22" s="55">
        <f t="shared" si="3"/>
        <v>0</v>
      </c>
      <c r="AK22" s="56"/>
      <c r="AL22" s="30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</row>
    <row r="23" spans="1:88" x14ac:dyDescent="0.25">
      <c r="A23" s="57" t="s">
        <v>31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8">
        <v>25</v>
      </c>
      <c r="AH23" s="54">
        <f t="shared" si="2"/>
        <v>0</v>
      </c>
      <c r="AI23" s="55">
        <f t="shared" si="3"/>
        <v>0</v>
      </c>
      <c r="AK23" s="56"/>
      <c r="AL23" s="30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</row>
    <row r="24" spans="1:88" x14ac:dyDescent="0.25">
      <c r="A24" s="57" t="s">
        <v>32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8">
        <v>25</v>
      </c>
      <c r="AH24" s="54">
        <f t="shared" si="2"/>
        <v>0</v>
      </c>
      <c r="AI24" s="55">
        <f t="shared" si="3"/>
        <v>0</v>
      </c>
      <c r="AK24" s="56"/>
      <c r="AL24" s="30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</row>
    <row r="25" spans="1:88" x14ac:dyDescent="0.25">
      <c r="A25" s="57" t="s">
        <v>33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8">
        <v>24.2</v>
      </c>
      <c r="AH25" s="54">
        <f t="shared" si="2"/>
        <v>0</v>
      </c>
      <c r="AI25" s="55">
        <f t="shared" si="3"/>
        <v>0</v>
      </c>
      <c r="AK25" s="56"/>
      <c r="AL25" s="30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</row>
    <row r="26" spans="1:88" x14ac:dyDescent="0.25">
      <c r="A26" s="57" t="s">
        <v>34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8">
        <v>20</v>
      </c>
      <c r="AH26" s="54">
        <f t="shared" si="2"/>
        <v>0</v>
      </c>
      <c r="AI26" s="55">
        <f t="shared" si="3"/>
        <v>0</v>
      </c>
      <c r="AK26" s="56"/>
      <c r="AL26" s="30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</row>
    <row r="27" spans="1:88" x14ac:dyDescent="0.25">
      <c r="A27" s="57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8">
        <v>23.5</v>
      </c>
      <c r="AH27" s="54">
        <f t="shared" si="2"/>
        <v>0</v>
      </c>
      <c r="AI27" s="55">
        <f t="shared" si="3"/>
        <v>0</v>
      </c>
      <c r="AK27" s="56"/>
      <c r="AL27" s="30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</row>
    <row r="28" spans="1:88" x14ac:dyDescent="0.25">
      <c r="A28" s="57" t="s">
        <v>36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8">
        <v>22.2</v>
      </c>
      <c r="AH28" s="54">
        <f t="shared" si="2"/>
        <v>0</v>
      </c>
      <c r="AI28" s="55">
        <f t="shared" si="3"/>
        <v>0</v>
      </c>
      <c r="AK28" s="56"/>
      <c r="AL28" s="30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</row>
    <row r="29" spans="1:88" x14ac:dyDescent="0.25">
      <c r="A29" s="57" t="s">
        <v>37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8">
        <v>22.1</v>
      </c>
      <c r="AH29" s="54">
        <f t="shared" si="2"/>
        <v>0</v>
      </c>
      <c r="AI29" s="55">
        <f t="shared" si="3"/>
        <v>0</v>
      </c>
      <c r="AK29" s="56"/>
      <c r="AL29" s="30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</row>
    <row r="30" spans="1:88" x14ac:dyDescent="0.25">
      <c r="A30" s="57" t="s">
        <v>38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8">
        <v>22.1</v>
      </c>
      <c r="AH30" s="54">
        <f t="shared" si="2"/>
        <v>0</v>
      </c>
      <c r="AI30" s="55">
        <f t="shared" si="3"/>
        <v>0</v>
      </c>
      <c r="AK30" s="56"/>
      <c r="AL30" s="30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</row>
    <row r="31" spans="1:88" ht="14.25" customHeight="1" x14ac:dyDescent="0.25">
      <c r="A31" s="57" t="s">
        <v>39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9">
        <v>22</v>
      </c>
      <c r="AH31" s="54">
        <f t="shared" si="2"/>
        <v>0</v>
      </c>
      <c r="AI31" s="55">
        <f t="shared" si="3"/>
        <v>0</v>
      </c>
      <c r="AK31" s="56"/>
      <c r="AL31" s="30"/>
      <c r="AM31" s="26"/>
      <c r="AN31" s="26"/>
      <c r="AO31" s="26"/>
      <c r="AP31" s="26"/>
      <c r="AQ31" s="60"/>
      <c r="AR31" s="61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</row>
    <row r="32" spans="1:88" ht="14.25" customHeight="1" x14ac:dyDescent="0.25">
      <c r="A32" s="62" t="s">
        <v>40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63">
        <v>22</v>
      </c>
      <c r="AH32" s="54">
        <f t="shared" si="2"/>
        <v>0</v>
      </c>
      <c r="AI32" s="55">
        <f t="shared" si="3"/>
        <v>0</v>
      </c>
      <c r="AK32" s="56"/>
      <c r="AL32" s="30"/>
      <c r="AM32" s="26"/>
      <c r="AN32" s="26"/>
      <c r="AO32" s="26"/>
      <c r="AP32" s="26"/>
      <c r="AQ32" s="60"/>
      <c r="AR32" s="61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</row>
    <row r="33" spans="1:88" ht="14.25" customHeight="1" x14ac:dyDescent="0.25">
      <c r="A33" s="62" t="s">
        <v>41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63">
        <v>11</v>
      </c>
      <c r="AH33" s="54">
        <f t="shared" si="2"/>
        <v>0</v>
      </c>
      <c r="AI33" s="55">
        <f t="shared" si="3"/>
        <v>0</v>
      </c>
      <c r="AK33" s="56"/>
      <c r="AL33" s="30"/>
      <c r="AM33" s="26"/>
      <c r="AN33" s="26"/>
      <c r="AO33" s="26"/>
      <c r="AP33" s="26"/>
      <c r="AQ33" s="60"/>
      <c r="AR33" s="61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</row>
    <row r="34" spans="1:88" x14ac:dyDescent="0.25">
      <c r="A34" s="62" t="s">
        <v>42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63">
        <v>20</v>
      </c>
      <c r="AH34" s="54">
        <f t="shared" si="2"/>
        <v>0</v>
      </c>
      <c r="AI34" s="55">
        <f t="shared" si="3"/>
        <v>0</v>
      </c>
      <c r="AK34" s="56"/>
      <c r="AL34" s="30"/>
      <c r="AO34" s="26"/>
      <c r="AP34" s="26"/>
      <c r="AQ34" s="60"/>
      <c r="AR34" s="61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</row>
    <row r="35" spans="1:88" x14ac:dyDescent="0.25">
      <c r="A35" s="62" t="s">
        <v>43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63">
        <v>15.33</v>
      </c>
      <c r="AH35" s="54">
        <f t="shared" si="2"/>
        <v>0</v>
      </c>
      <c r="AI35" s="55">
        <f t="shared" si="3"/>
        <v>0</v>
      </c>
      <c r="AK35" s="56"/>
      <c r="AL35" s="30"/>
      <c r="AO35" s="26"/>
      <c r="AP35" s="26"/>
      <c r="AQ35" s="60"/>
      <c r="AR35" s="61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</row>
    <row r="36" spans="1:88" x14ac:dyDescent="0.25">
      <c r="A36" s="64" t="s">
        <v>44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3">
        <v>85</v>
      </c>
      <c r="AH36" s="54">
        <f t="shared" si="2"/>
        <v>0</v>
      </c>
      <c r="AI36" s="55">
        <f t="shared" si="3"/>
        <v>0</v>
      </c>
      <c r="AK36" s="56"/>
    </row>
    <row r="37" spans="1:88" ht="15.75" thickBot="1" x14ac:dyDescent="0.3">
      <c r="A37" s="66" t="s">
        <v>45</v>
      </c>
      <c r="B37" s="67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3">
        <v>240</v>
      </c>
      <c r="AH37" s="54">
        <f t="shared" si="2"/>
        <v>0</v>
      </c>
      <c r="AI37" s="55">
        <f t="shared" si="3"/>
        <v>0</v>
      </c>
      <c r="AK37" s="56"/>
    </row>
    <row r="38" spans="1:88" ht="15.75" thickBot="1" x14ac:dyDescent="0.3">
      <c r="A38" s="68" t="s">
        <v>46</v>
      </c>
      <c r="B38" s="69">
        <f t="shared" ref="B38:AF38" si="4">SUM(B11:B36)</f>
        <v>0</v>
      </c>
      <c r="C38" s="69">
        <f t="shared" si="4"/>
        <v>0</v>
      </c>
      <c r="D38" s="69">
        <f t="shared" si="4"/>
        <v>0</v>
      </c>
      <c r="E38" s="69">
        <f t="shared" si="4"/>
        <v>0</v>
      </c>
      <c r="F38" s="69">
        <f t="shared" si="4"/>
        <v>0</v>
      </c>
      <c r="G38" s="69">
        <f t="shared" si="4"/>
        <v>0</v>
      </c>
      <c r="H38" s="69">
        <f t="shared" si="4"/>
        <v>0</v>
      </c>
      <c r="I38" s="69">
        <f t="shared" si="4"/>
        <v>0</v>
      </c>
      <c r="J38" s="69">
        <f t="shared" si="4"/>
        <v>0</v>
      </c>
      <c r="K38" s="69">
        <f t="shared" si="4"/>
        <v>0</v>
      </c>
      <c r="L38" s="69">
        <f t="shared" si="4"/>
        <v>0</v>
      </c>
      <c r="M38" s="69">
        <f t="shared" si="4"/>
        <v>0</v>
      </c>
      <c r="N38" s="69">
        <f t="shared" si="4"/>
        <v>0</v>
      </c>
      <c r="O38" s="69">
        <f t="shared" si="4"/>
        <v>0</v>
      </c>
      <c r="P38" s="69">
        <f t="shared" si="4"/>
        <v>0</v>
      </c>
      <c r="Q38" s="69">
        <f t="shared" si="4"/>
        <v>0</v>
      </c>
      <c r="R38" s="69">
        <f t="shared" si="4"/>
        <v>0</v>
      </c>
      <c r="S38" s="69">
        <f t="shared" si="4"/>
        <v>0</v>
      </c>
      <c r="T38" s="69">
        <f t="shared" si="4"/>
        <v>0</v>
      </c>
      <c r="U38" s="69">
        <f t="shared" si="4"/>
        <v>0</v>
      </c>
      <c r="V38" s="69">
        <f t="shared" si="4"/>
        <v>0</v>
      </c>
      <c r="W38" s="69">
        <f t="shared" si="4"/>
        <v>0</v>
      </c>
      <c r="X38" s="69">
        <f t="shared" si="4"/>
        <v>0</v>
      </c>
      <c r="Y38" s="69">
        <f t="shared" si="4"/>
        <v>0</v>
      </c>
      <c r="Z38" s="69">
        <f t="shared" si="4"/>
        <v>0</v>
      </c>
      <c r="AA38" s="69">
        <f t="shared" si="4"/>
        <v>0</v>
      </c>
      <c r="AB38" s="69">
        <f t="shared" si="4"/>
        <v>0</v>
      </c>
      <c r="AC38" s="69">
        <f t="shared" si="4"/>
        <v>0</v>
      </c>
      <c r="AD38" s="69">
        <f t="shared" si="4"/>
        <v>0</v>
      </c>
      <c r="AE38" s="69">
        <f t="shared" si="4"/>
        <v>0</v>
      </c>
      <c r="AF38" s="69">
        <f t="shared" si="4"/>
        <v>0</v>
      </c>
      <c r="AG38" s="63">
        <f>SUM(AG11:AG37)</f>
        <v>1492.8299999999997</v>
      </c>
      <c r="AH38" s="54">
        <f t="shared" si="2"/>
        <v>0</v>
      </c>
      <c r="AI38" s="55">
        <f t="shared" si="3"/>
        <v>0</v>
      </c>
      <c r="AK38" s="56"/>
    </row>
    <row r="39" spans="1:88" x14ac:dyDescent="0.25">
      <c r="A39" s="57" t="s">
        <v>47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9">
        <v>144</v>
      </c>
      <c r="AH39" s="54">
        <f t="shared" si="2"/>
        <v>0</v>
      </c>
      <c r="AI39" s="55">
        <f t="shared" si="3"/>
        <v>0</v>
      </c>
      <c r="AK39" s="56"/>
    </row>
    <row r="40" spans="1:88" x14ac:dyDescent="0.25">
      <c r="A40" s="62" t="s">
        <v>48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51"/>
      <c r="N40" s="51"/>
      <c r="O40" s="51"/>
      <c r="P40" s="51"/>
      <c r="Q40" s="51"/>
      <c r="R40" s="51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63">
        <v>70</v>
      </c>
      <c r="AH40" s="54">
        <f t="shared" si="2"/>
        <v>0</v>
      </c>
      <c r="AI40" s="55">
        <f t="shared" si="3"/>
        <v>0</v>
      </c>
      <c r="AK40" s="56"/>
    </row>
    <row r="41" spans="1:88" x14ac:dyDescent="0.25">
      <c r="A41" s="62" t="s">
        <v>49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51"/>
      <c r="N41" s="51"/>
      <c r="O41" s="51"/>
      <c r="P41" s="51"/>
      <c r="Q41" s="51"/>
      <c r="R41" s="51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63">
        <v>69</v>
      </c>
      <c r="AH41" s="54">
        <f t="shared" si="2"/>
        <v>0</v>
      </c>
      <c r="AI41" s="55">
        <f t="shared" si="3"/>
        <v>0</v>
      </c>
      <c r="AK41" s="56"/>
    </row>
    <row r="42" spans="1:88" x14ac:dyDescent="0.25">
      <c r="A42" s="62" t="s">
        <v>50</v>
      </c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51"/>
      <c r="N42" s="51"/>
      <c r="O42" s="51"/>
      <c r="P42" s="51"/>
      <c r="Q42" s="51"/>
      <c r="R42" s="51"/>
      <c r="S42" s="51"/>
      <c r="T42" s="51"/>
      <c r="U42" s="51"/>
      <c r="V42" s="70"/>
      <c r="W42" s="70"/>
      <c r="X42" s="70"/>
      <c r="Y42" s="70"/>
      <c r="Z42" s="70"/>
      <c r="AA42" s="70"/>
      <c r="AB42" s="65"/>
      <c r="AC42" s="65"/>
      <c r="AD42" s="65"/>
      <c r="AE42" s="65"/>
      <c r="AF42" s="65"/>
      <c r="AG42" s="63">
        <v>60</v>
      </c>
      <c r="AH42" s="54">
        <f t="shared" si="2"/>
        <v>0</v>
      </c>
      <c r="AI42" s="55">
        <f t="shared" si="3"/>
        <v>0</v>
      </c>
      <c r="AK42" s="56"/>
    </row>
    <row r="43" spans="1:88" x14ac:dyDescent="0.25">
      <c r="A43" s="62" t="s">
        <v>51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51"/>
      <c r="N43" s="51"/>
      <c r="O43" s="51"/>
      <c r="P43" s="51"/>
      <c r="Q43" s="51"/>
      <c r="R43" s="51"/>
      <c r="S43" s="51"/>
      <c r="T43" s="51"/>
      <c r="U43" s="51"/>
      <c r="V43" s="70"/>
      <c r="W43" s="70"/>
      <c r="X43" s="70"/>
      <c r="Y43" s="70"/>
      <c r="Z43" s="70"/>
      <c r="AA43" s="70"/>
      <c r="AB43" s="65"/>
      <c r="AC43" s="65"/>
      <c r="AD43" s="65"/>
      <c r="AE43" s="65"/>
      <c r="AF43" s="65"/>
      <c r="AG43" s="63">
        <v>30</v>
      </c>
      <c r="AH43" s="54">
        <f t="shared" si="2"/>
        <v>0</v>
      </c>
      <c r="AI43" s="55">
        <f t="shared" si="3"/>
        <v>0</v>
      </c>
      <c r="AK43" s="56"/>
    </row>
    <row r="44" spans="1:88" x14ac:dyDescent="0.25">
      <c r="A44" s="62" t="s">
        <v>52</v>
      </c>
      <c r="B44" s="70"/>
      <c r="C44" s="70"/>
      <c r="D44" s="70"/>
      <c r="E44" s="70"/>
      <c r="F44" s="65"/>
      <c r="G44" s="65"/>
      <c r="H44" s="65"/>
      <c r="I44" s="65"/>
      <c r="J44" s="65"/>
      <c r="K44" s="65"/>
      <c r="L44" s="65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70"/>
      <c r="AC44" s="70"/>
      <c r="AD44" s="70"/>
      <c r="AE44" s="70"/>
      <c r="AF44" s="70"/>
      <c r="AG44" s="63">
        <v>25</v>
      </c>
      <c r="AH44" s="54">
        <f t="shared" si="2"/>
        <v>0</v>
      </c>
      <c r="AI44" s="55">
        <f t="shared" si="3"/>
        <v>0</v>
      </c>
      <c r="AK44" s="56"/>
    </row>
    <row r="45" spans="1:88" x14ac:dyDescent="0.25">
      <c r="A45" s="62" t="s">
        <v>53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70"/>
      <c r="AC45" s="70"/>
      <c r="AD45" s="70"/>
      <c r="AE45" s="70"/>
      <c r="AF45" s="70"/>
      <c r="AG45" s="63">
        <v>24</v>
      </c>
      <c r="AH45" s="54">
        <f t="shared" si="2"/>
        <v>0</v>
      </c>
      <c r="AI45" s="55">
        <f t="shared" si="3"/>
        <v>0</v>
      </c>
      <c r="AK45" s="56"/>
    </row>
    <row r="46" spans="1:88" x14ac:dyDescent="0.25">
      <c r="A46" s="62" t="s">
        <v>54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70"/>
      <c r="AC46" s="70"/>
      <c r="AD46" s="70"/>
      <c r="AE46" s="70"/>
      <c r="AF46" s="70"/>
      <c r="AG46" s="63">
        <v>15</v>
      </c>
      <c r="AH46" s="54">
        <f t="shared" si="2"/>
        <v>0</v>
      </c>
      <c r="AI46" s="55">
        <f t="shared" si="3"/>
        <v>0</v>
      </c>
      <c r="AK46" s="56"/>
      <c r="AL46" s="71"/>
      <c r="AO46" s="71"/>
    </row>
    <row r="47" spans="1:88" s="71" customFormat="1" x14ac:dyDescent="0.25">
      <c r="A47" s="62" t="s">
        <v>55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70"/>
      <c r="AC47" s="70"/>
      <c r="AD47" s="70"/>
      <c r="AE47" s="70"/>
      <c r="AF47" s="70"/>
      <c r="AG47" s="63">
        <v>14.1</v>
      </c>
      <c r="AH47" s="54">
        <f t="shared" si="2"/>
        <v>0</v>
      </c>
      <c r="AI47" s="55">
        <f t="shared" si="3"/>
        <v>0</v>
      </c>
      <c r="AJ47" s="1"/>
      <c r="AK47" s="56"/>
      <c r="AL47"/>
      <c r="AM47"/>
      <c r="AN47"/>
      <c r="AO47"/>
    </row>
    <row r="48" spans="1:88" x14ac:dyDescent="0.25">
      <c r="A48" s="72" t="s">
        <v>56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70"/>
      <c r="AC48" s="70"/>
      <c r="AD48" s="70"/>
      <c r="AE48" s="70"/>
      <c r="AF48" s="70"/>
      <c r="AG48" s="63">
        <v>14</v>
      </c>
      <c r="AH48" s="54">
        <f t="shared" si="2"/>
        <v>0</v>
      </c>
      <c r="AI48" s="55">
        <f t="shared" si="3"/>
        <v>0</v>
      </c>
      <c r="AK48" s="56"/>
    </row>
    <row r="49" spans="1:37" x14ac:dyDescent="0.25">
      <c r="A49" s="62" t="s">
        <v>57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70"/>
      <c r="AC49" s="70"/>
      <c r="AD49" s="70"/>
      <c r="AE49" s="70"/>
      <c r="AF49" s="70"/>
      <c r="AG49" s="63">
        <v>10.050000000000001</v>
      </c>
      <c r="AH49" s="54">
        <f t="shared" si="2"/>
        <v>0</v>
      </c>
      <c r="AI49" s="55">
        <f t="shared" si="3"/>
        <v>0</v>
      </c>
      <c r="AK49" s="56"/>
    </row>
    <row r="50" spans="1:37" x14ac:dyDescent="0.25">
      <c r="A50" s="62" t="s">
        <v>58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70"/>
      <c r="AC50" s="70"/>
      <c r="AD50" s="70"/>
      <c r="AE50" s="70"/>
      <c r="AF50" s="70"/>
      <c r="AG50" s="63">
        <v>6.2</v>
      </c>
      <c r="AH50" s="54">
        <f t="shared" si="2"/>
        <v>0</v>
      </c>
      <c r="AI50" s="55">
        <f t="shared" si="3"/>
        <v>0</v>
      </c>
      <c r="AK50" s="56"/>
    </row>
    <row r="51" spans="1:37" ht="15.75" thickBot="1" x14ac:dyDescent="0.3">
      <c r="A51" s="64" t="s">
        <v>59</v>
      </c>
      <c r="B51" s="73">
        <v>3.54</v>
      </c>
      <c r="C51" s="73">
        <v>3.54</v>
      </c>
      <c r="D51" s="73">
        <v>3.54</v>
      </c>
      <c r="E51" s="73">
        <v>3.54</v>
      </c>
      <c r="F51" s="73">
        <v>3.54</v>
      </c>
      <c r="G51" s="73">
        <v>3.54</v>
      </c>
      <c r="H51" s="73">
        <v>3.54</v>
      </c>
      <c r="I51" s="73">
        <v>3.54</v>
      </c>
      <c r="J51" s="73">
        <v>3.54</v>
      </c>
      <c r="K51" s="73">
        <v>3.54</v>
      </c>
      <c r="L51" s="73">
        <v>3.54</v>
      </c>
      <c r="M51" s="73">
        <v>3.54</v>
      </c>
      <c r="N51" s="73">
        <v>3.54</v>
      </c>
      <c r="O51" s="73">
        <v>3.54</v>
      </c>
      <c r="P51" s="73">
        <v>3.54</v>
      </c>
      <c r="Q51" s="73">
        <v>3.54</v>
      </c>
      <c r="R51" s="73">
        <v>3.54</v>
      </c>
      <c r="S51" s="73">
        <v>3.54</v>
      </c>
      <c r="T51" s="73">
        <v>3.54</v>
      </c>
      <c r="U51" s="73">
        <v>3.54</v>
      </c>
      <c r="V51" s="73">
        <v>3.54</v>
      </c>
      <c r="W51" s="73">
        <v>3.54</v>
      </c>
      <c r="X51" s="73">
        <v>3.54</v>
      </c>
      <c r="Y51" s="73">
        <v>3.54</v>
      </c>
      <c r="Z51" s="73">
        <v>3.54</v>
      </c>
      <c r="AA51" s="73">
        <v>3.54</v>
      </c>
      <c r="AB51" s="73">
        <v>3.54</v>
      </c>
      <c r="AC51" s="73">
        <v>3.54</v>
      </c>
      <c r="AD51" s="73">
        <v>3.54</v>
      </c>
      <c r="AE51" s="73">
        <v>3.54</v>
      </c>
      <c r="AF51" s="73">
        <v>3.54</v>
      </c>
      <c r="AG51" s="73">
        <f t="shared" ref="AG51" si="5">AG200</f>
        <v>8.56</v>
      </c>
      <c r="AH51" s="54">
        <f t="shared" si="2"/>
        <v>3.54</v>
      </c>
      <c r="AI51" s="55">
        <f t="shared" si="3"/>
        <v>3.54</v>
      </c>
      <c r="AK51" s="56"/>
    </row>
    <row r="52" spans="1:37" ht="15.75" thickBot="1" x14ac:dyDescent="0.3">
      <c r="A52" s="68" t="s">
        <v>60</v>
      </c>
      <c r="B52" s="69">
        <f t="shared" ref="B52:AF52" si="6">SUM(B39:B51)</f>
        <v>3.54</v>
      </c>
      <c r="C52" s="69">
        <f t="shared" si="6"/>
        <v>3.54</v>
      </c>
      <c r="D52" s="69">
        <f t="shared" si="6"/>
        <v>3.54</v>
      </c>
      <c r="E52" s="69">
        <f t="shared" si="6"/>
        <v>3.54</v>
      </c>
      <c r="F52" s="69">
        <f t="shared" si="6"/>
        <v>3.54</v>
      </c>
      <c r="G52" s="69">
        <f t="shared" si="6"/>
        <v>3.54</v>
      </c>
      <c r="H52" s="69">
        <f t="shared" si="6"/>
        <v>3.54</v>
      </c>
      <c r="I52" s="69">
        <f t="shared" si="6"/>
        <v>3.54</v>
      </c>
      <c r="J52" s="69">
        <f t="shared" si="6"/>
        <v>3.54</v>
      </c>
      <c r="K52" s="69">
        <f t="shared" si="6"/>
        <v>3.54</v>
      </c>
      <c r="L52" s="69">
        <f t="shared" si="6"/>
        <v>3.54</v>
      </c>
      <c r="M52" s="69">
        <f t="shared" si="6"/>
        <v>3.54</v>
      </c>
      <c r="N52" s="69">
        <f t="shared" si="6"/>
        <v>3.54</v>
      </c>
      <c r="O52" s="69">
        <f t="shared" si="6"/>
        <v>3.54</v>
      </c>
      <c r="P52" s="69">
        <f t="shared" si="6"/>
        <v>3.54</v>
      </c>
      <c r="Q52" s="69">
        <f t="shared" si="6"/>
        <v>3.54</v>
      </c>
      <c r="R52" s="69">
        <f t="shared" si="6"/>
        <v>3.54</v>
      </c>
      <c r="S52" s="69">
        <f t="shared" si="6"/>
        <v>3.54</v>
      </c>
      <c r="T52" s="69">
        <f t="shared" si="6"/>
        <v>3.54</v>
      </c>
      <c r="U52" s="69">
        <f t="shared" si="6"/>
        <v>3.54</v>
      </c>
      <c r="V52" s="69">
        <f t="shared" si="6"/>
        <v>3.54</v>
      </c>
      <c r="W52" s="69">
        <f t="shared" si="6"/>
        <v>3.54</v>
      </c>
      <c r="X52" s="69">
        <f>SUM(X39:X51)</f>
        <v>3.54</v>
      </c>
      <c r="Y52" s="69">
        <f t="shared" si="6"/>
        <v>3.54</v>
      </c>
      <c r="Z52" s="69">
        <f t="shared" si="6"/>
        <v>3.54</v>
      </c>
      <c r="AA52" s="69">
        <f t="shared" si="6"/>
        <v>3.54</v>
      </c>
      <c r="AB52" s="69">
        <f t="shared" si="6"/>
        <v>3.54</v>
      </c>
      <c r="AC52" s="69">
        <f t="shared" si="6"/>
        <v>3.54</v>
      </c>
      <c r="AD52" s="69">
        <f t="shared" si="6"/>
        <v>3.54</v>
      </c>
      <c r="AE52" s="69">
        <f t="shared" si="6"/>
        <v>3.54</v>
      </c>
      <c r="AF52" s="69">
        <f t="shared" si="6"/>
        <v>3.54</v>
      </c>
      <c r="AG52" s="74">
        <f>SUM(AG39:AG51)</f>
        <v>489.91</v>
      </c>
      <c r="AH52" s="54">
        <f t="shared" si="2"/>
        <v>3.54</v>
      </c>
      <c r="AI52" s="55">
        <f t="shared" si="3"/>
        <v>3.54</v>
      </c>
      <c r="AK52" s="56"/>
    </row>
    <row r="53" spans="1:37" x14ac:dyDescent="0.25">
      <c r="A53" s="57" t="s">
        <v>61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9">
        <v>60</v>
      </c>
      <c r="AH53" s="54">
        <f t="shared" si="2"/>
        <v>0</v>
      </c>
      <c r="AI53" s="55">
        <f t="shared" si="3"/>
        <v>0</v>
      </c>
      <c r="AK53" s="56"/>
    </row>
    <row r="54" spans="1:37" x14ac:dyDescent="0.25">
      <c r="A54" s="62" t="s">
        <v>62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63">
        <v>32</v>
      </c>
      <c r="AH54" s="54">
        <f t="shared" si="2"/>
        <v>0</v>
      </c>
      <c r="AI54" s="55">
        <f t="shared" si="3"/>
        <v>0</v>
      </c>
      <c r="AK54" s="56"/>
    </row>
    <row r="55" spans="1:37" ht="15.75" thickBot="1" x14ac:dyDescent="0.3">
      <c r="A55" s="72" t="s">
        <v>63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6">
        <v>14</v>
      </c>
      <c r="AH55" s="54">
        <f t="shared" si="2"/>
        <v>0</v>
      </c>
      <c r="AI55" s="55">
        <f t="shared" si="3"/>
        <v>0</v>
      </c>
      <c r="AK55" s="56"/>
    </row>
    <row r="56" spans="1:37" ht="15.75" thickBot="1" x14ac:dyDescent="0.3">
      <c r="A56" s="68" t="s">
        <v>64</v>
      </c>
      <c r="B56" s="69">
        <f t="shared" ref="B56:AF56" si="7">SUM(B53:B55)</f>
        <v>0</v>
      </c>
      <c r="C56" s="69">
        <f t="shared" si="7"/>
        <v>0</v>
      </c>
      <c r="D56" s="69">
        <f t="shared" si="7"/>
        <v>0</v>
      </c>
      <c r="E56" s="69">
        <f t="shared" si="7"/>
        <v>0</v>
      </c>
      <c r="F56" s="69">
        <f t="shared" si="7"/>
        <v>0</v>
      </c>
      <c r="G56" s="69">
        <f t="shared" si="7"/>
        <v>0</v>
      </c>
      <c r="H56" s="69">
        <f t="shared" si="7"/>
        <v>0</v>
      </c>
      <c r="I56" s="69">
        <f t="shared" si="7"/>
        <v>0</v>
      </c>
      <c r="J56" s="69">
        <f t="shared" si="7"/>
        <v>0</v>
      </c>
      <c r="K56" s="69">
        <f t="shared" si="7"/>
        <v>0</v>
      </c>
      <c r="L56" s="69">
        <f t="shared" si="7"/>
        <v>0</v>
      </c>
      <c r="M56" s="69">
        <f t="shared" si="7"/>
        <v>0</v>
      </c>
      <c r="N56" s="69">
        <f t="shared" si="7"/>
        <v>0</v>
      </c>
      <c r="O56" s="69">
        <f t="shared" si="7"/>
        <v>0</v>
      </c>
      <c r="P56" s="69">
        <f t="shared" si="7"/>
        <v>0</v>
      </c>
      <c r="Q56" s="69">
        <f t="shared" si="7"/>
        <v>0</v>
      </c>
      <c r="R56" s="69">
        <f t="shared" si="7"/>
        <v>0</v>
      </c>
      <c r="S56" s="69">
        <f t="shared" si="7"/>
        <v>0</v>
      </c>
      <c r="T56" s="69">
        <f t="shared" si="7"/>
        <v>0</v>
      </c>
      <c r="U56" s="69">
        <f t="shared" si="7"/>
        <v>0</v>
      </c>
      <c r="V56" s="69">
        <f t="shared" si="7"/>
        <v>0</v>
      </c>
      <c r="W56" s="69">
        <f t="shared" si="7"/>
        <v>0</v>
      </c>
      <c r="X56" s="69">
        <f t="shared" si="7"/>
        <v>0</v>
      </c>
      <c r="Y56" s="69">
        <f t="shared" si="7"/>
        <v>0</v>
      </c>
      <c r="Z56" s="69">
        <f t="shared" si="7"/>
        <v>0</v>
      </c>
      <c r="AA56" s="69">
        <f t="shared" si="7"/>
        <v>0</v>
      </c>
      <c r="AB56" s="69">
        <f t="shared" si="7"/>
        <v>0</v>
      </c>
      <c r="AC56" s="69">
        <f t="shared" si="7"/>
        <v>0</v>
      </c>
      <c r="AD56" s="69">
        <f t="shared" si="7"/>
        <v>0</v>
      </c>
      <c r="AE56" s="69">
        <f t="shared" si="7"/>
        <v>0</v>
      </c>
      <c r="AF56" s="69">
        <f t="shared" si="7"/>
        <v>0</v>
      </c>
      <c r="AG56" s="74">
        <f>SUM(AG53:AG55)</f>
        <v>106</v>
      </c>
      <c r="AH56" s="54">
        <f t="shared" si="2"/>
        <v>0</v>
      </c>
      <c r="AI56" s="55">
        <f t="shared" si="3"/>
        <v>0</v>
      </c>
      <c r="AK56" s="56"/>
    </row>
    <row r="57" spans="1:37" x14ac:dyDescent="0.25">
      <c r="A57" s="57" t="s">
        <v>65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9"/>
      <c r="AH57" s="54">
        <f t="shared" si="2"/>
        <v>0</v>
      </c>
      <c r="AI57" s="55">
        <f t="shared" si="3"/>
        <v>0</v>
      </c>
      <c r="AK57" s="56"/>
    </row>
    <row r="58" spans="1:37" x14ac:dyDescent="0.25">
      <c r="A58" s="62" t="s">
        <v>66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63"/>
      <c r="AH58" s="54">
        <f t="shared" si="2"/>
        <v>0</v>
      </c>
      <c r="AI58" s="55">
        <f t="shared" si="3"/>
        <v>0</v>
      </c>
      <c r="AK58" s="56"/>
    </row>
    <row r="59" spans="1:37" x14ac:dyDescent="0.25">
      <c r="A59" s="62" t="s">
        <v>67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7"/>
      <c r="AH59" s="54">
        <f t="shared" si="2"/>
        <v>0</v>
      </c>
      <c r="AI59" s="55">
        <f t="shared" si="3"/>
        <v>0</v>
      </c>
      <c r="AK59" s="56"/>
    </row>
    <row r="60" spans="1:37" x14ac:dyDescent="0.25">
      <c r="A60" s="62" t="s">
        <v>68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7"/>
      <c r="AH60" s="54">
        <f t="shared" si="2"/>
        <v>0</v>
      </c>
      <c r="AI60" s="55">
        <f t="shared" si="3"/>
        <v>0</v>
      </c>
      <c r="AK60" s="56"/>
    </row>
    <row r="61" spans="1:37" x14ac:dyDescent="0.25">
      <c r="A61" s="62" t="s">
        <v>69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77"/>
      <c r="AH61" s="54">
        <f t="shared" si="2"/>
        <v>0</v>
      </c>
      <c r="AI61" s="55">
        <f t="shared" si="3"/>
        <v>0</v>
      </c>
      <c r="AK61" s="56"/>
    </row>
    <row r="62" spans="1:37" x14ac:dyDescent="0.25">
      <c r="A62" s="62" t="s">
        <v>70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7"/>
      <c r="AH62" s="54">
        <f t="shared" si="2"/>
        <v>0</v>
      </c>
      <c r="AI62" s="55">
        <f t="shared" si="3"/>
        <v>0</v>
      </c>
      <c r="AK62" s="56"/>
    </row>
    <row r="63" spans="1:37" x14ac:dyDescent="0.25">
      <c r="A63" s="62" t="s">
        <v>71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7"/>
      <c r="AH63" s="54">
        <f t="shared" si="2"/>
        <v>0</v>
      </c>
      <c r="AI63" s="55">
        <f t="shared" si="3"/>
        <v>0</v>
      </c>
      <c r="AK63" s="56"/>
    </row>
    <row r="64" spans="1:37" x14ac:dyDescent="0.25">
      <c r="A64" s="62" t="s">
        <v>72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7"/>
      <c r="AH64" s="54">
        <f t="shared" si="2"/>
        <v>0</v>
      </c>
      <c r="AI64" s="55">
        <f t="shared" si="3"/>
        <v>0</v>
      </c>
      <c r="AK64" s="56"/>
    </row>
    <row r="65" spans="1:88" x14ac:dyDescent="0.25">
      <c r="A65" s="62" t="s">
        <v>73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7"/>
      <c r="AH65" s="54">
        <f t="shared" si="2"/>
        <v>0</v>
      </c>
      <c r="AI65" s="55">
        <f t="shared" si="3"/>
        <v>0</v>
      </c>
      <c r="AK65" s="56"/>
    </row>
    <row r="66" spans="1:88" x14ac:dyDescent="0.25">
      <c r="A66" s="80" t="s">
        <v>74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2"/>
      <c r="AH66" s="54">
        <f t="shared" si="2"/>
        <v>0</v>
      </c>
      <c r="AI66" s="55">
        <f t="shared" si="3"/>
        <v>0</v>
      </c>
      <c r="AK66" s="56"/>
    </row>
    <row r="67" spans="1:88" ht="15.75" thickBot="1" x14ac:dyDescent="0.3">
      <c r="A67" s="80" t="s">
        <v>75</v>
      </c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2"/>
      <c r="AH67" s="54">
        <f t="shared" si="2"/>
        <v>0</v>
      </c>
      <c r="AI67" s="55">
        <f t="shared" si="3"/>
        <v>0</v>
      </c>
      <c r="AK67" s="56"/>
    </row>
    <row r="68" spans="1:88" ht="15.75" thickBot="1" x14ac:dyDescent="0.3">
      <c r="A68" s="68" t="s">
        <v>76</v>
      </c>
      <c r="B68" s="69">
        <f t="shared" ref="B68:AF68" si="8">SUM(B57:B67)</f>
        <v>0</v>
      </c>
      <c r="C68" s="69">
        <f t="shared" si="8"/>
        <v>0</v>
      </c>
      <c r="D68" s="69">
        <f t="shared" si="8"/>
        <v>0</v>
      </c>
      <c r="E68" s="69">
        <f t="shared" si="8"/>
        <v>0</v>
      </c>
      <c r="F68" s="69">
        <f t="shared" si="8"/>
        <v>0</v>
      </c>
      <c r="G68" s="69">
        <f t="shared" si="8"/>
        <v>0</v>
      </c>
      <c r="H68" s="69">
        <f t="shared" si="8"/>
        <v>0</v>
      </c>
      <c r="I68" s="69">
        <f t="shared" si="8"/>
        <v>0</v>
      </c>
      <c r="J68" s="69">
        <f t="shared" si="8"/>
        <v>0</v>
      </c>
      <c r="K68" s="69">
        <f t="shared" si="8"/>
        <v>0</v>
      </c>
      <c r="L68" s="69">
        <f t="shared" si="8"/>
        <v>0</v>
      </c>
      <c r="M68" s="69">
        <f t="shared" si="8"/>
        <v>0</v>
      </c>
      <c r="N68" s="69">
        <f t="shared" si="8"/>
        <v>0</v>
      </c>
      <c r="O68" s="69">
        <f t="shared" si="8"/>
        <v>0</v>
      </c>
      <c r="P68" s="69">
        <f t="shared" si="8"/>
        <v>0</v>
      </c>
      <c r="Q68" s="69">
        <f t="shared" si="8"/>
        <v>0</v>
      </c>
      <c r="R68" s="69">
        <f t="shared" si="8"/>
        <v>0</v>
      </c>
      <c r="S68" s="69">
        <f t="shared" si="8"/>
        <v>0</v>
      </c>
      <c r="T68" s="69">
        <f t="shared" si="8"/>
        <v>0</v>
      </c>
      <c r="U68" s="69">
        <f t="shared" si="8"/>
        <v>0</v>
      </c>
      <c r="V68" s="69">
        <f>SUM(V57:V67)</f>
        <v>0</v>
      </c>
      <c r="W68" s="69">
        <f t="shared" si="8"/>
        <v>0</v>
      </c>
      <c r="X68" s="69">
        <f t="shared" si="8"/>
        <v>0</v>
      </c>
      <c r="Y68" s="69">
        <f t="shared" si="8"/>
        <v>0</v>
      </c>
      <c r="Z68" s="69">
        <f t="shared" si="8"/>
        <v>0</v>
      </c>
      <c r="AA68" s="69">
        <f t="shared" si="8"/>
        <v>0</v>
      </c>
      <c r="AB68" s="69">
        <f t="shared" si="8"/>
        <v>0</v>
      </c>
      <c r="AC68" s="69">
        <f t="shared" si="8"/>
        <v>0</v>
      </c>
      <c r="AD68" s="69">
        <f t="shared" si="8"/>
        <v>0</v>
      </c>
      <c r="AE68" s="69">
        <f t="shared" si="8"/>
        <v>0</v>
      </c>
      <c r="AF68" s="69">
        <f t="shared" si="8"/>
        <v>0</v>
      </c>
      <c r="AG68" s="74">
        <f>SUM(AG57:AG67)</f>
        <v>0</v>
      </c>
      <c r="AH68" s="54">
        <f t="shared" si="2"/>
        <v>0</v>
      </c>
      <c r="AI68" s="55">
        <f t="shared" si="3"/>
        <v>0</v>
      </c>
      <c r="AK68" s="56"/>
    </row>
    <row r="69" spans="1:88" x14ac:dyDescent="0.25">
      <c r="A69" s="57" t="s">
        <v>77</v>
      </c>
      <c r="B69" s="78">
        <v>0</v>
      </c>
      <c r="C69" s="78">
        <v>0</v>
      </c>
      <c r="D69" s="78">
        <v>0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83">
        <v>39</v>
      </c>
      <c r="AH69" s="54">
        <f t="shared" si="2"/>
        <v>0</v>
      </c>
      <c r="AI69" s="55">
        <f t="shared" si="3"/>
        <v>0</v>
      </c>
      <c r="AK69" s="56"/>
    </row>
    <row r="70" spans="1:88" x14ac:dyDescent="0.25">
      <c r="A70" s="62" t="s">
        <v>78</v>
      </c>
      <c r="B70" s="79">
        <v>0</v>
      </c>
      <c r="C70" s="79">
        <v>0</v>
      </c>
      <c r="D70" s="79">
        <v>0</v>
      </c>
      <c r="E70" s="79">
        <v>0</v>
      </c>
      <c r="F70" s="79">
        <v>0</v>
      </c>
      <c r="G70" s="79">
        <v>0</v>
      </c>
      <c r="H70" s="79">
        <v>0</v>
      </c>
      <c r="I70" s="79">
        <v>0</v>
      </c>
      <c r="J70" s="79">
        <v>0</v>
      </c>
      <c r="K70" s="79">
        <v>0</v>
      </c>
      <c r="L70" s="79">
        <v>0</v>
      </c>
      <c r="M70" s="79">
        <v>0</v>
      </c>
      <c r="N70" s="79">
        <v>0</v>
      </c>
      <c r="O70" s="79">
        <v>0</v>
      </c>
      <c r="P70" s="79">
        <v>0</v>
      </c>
      <c r="Q70" s="79">
        <v>0</v>
      </c>
      <c r="R70" s="79">
        <v>0</v>
      </c>
      <c r="S70" s="79">
        <v>0</v>
      </c>
      <c r="T70" s="79">
        <v>0</v>
      </c>
      <c r="U70" s="79">
        <v>0</v>
      </c>
      <c r="V70" s="79">
        <v>0</v>
      </c>
      <c r="W70" s="79">
        <v>0</v>
      </c>
      <c r="X70" s="79">
        <v>0</v>
      </c>
      <c r="Y70" s="79">
        <v>0</v>
      </c>
      <c r="Z70" s="79">
        <v>0</v>
      </c>
      <c r="AA70" s="79">
        <v>0</v>
      </c>
      <c r="AB70" s="79">
        <v>0</v>
      </c>
      <c r="AC70" s="79">
        <v>0</v>
      </c>
      <c r="AD70" s="79">
        <v>0</v>
      </c>
      <c r="AE70" s="79">
        <v>0</v>
      </c>
      <c r="AF70" s="79">
        <v>0</v>
      </c>
      <c r="AG70" s="77">
        <v>14.4</v>
      </c>
      <c r="AH70" s="54">
        <f t="shared" si="2"/>
        <v>0</v>
      </c>
      <c r="AI70" s="55">
        <f t="shared" si="3"/>
        <v>0</v>
      </c>
      <c r="AK70" s="56"/>
    </row>
    <row r="71" spans="1:88" ht="15.75" thickBot="1" x14ac:dyDescent="0.3">
      <c r="A71" s="80" t="s">
        <v>79</v>
      </c>
      <c r="B71" s="81">
        <v>0</v>
      </c>
      <c r="C71" s="81">
        <v>0</v>
      </c>
      <c r="D71" s="81">
        <v>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  <c r="S71" s="81">
        <v>0</v>
      </c>
      <c r="T71" s="81">
        <v>0</v>
      </c>
      <c r="U71" s="81">
        <v>0</v>
      </c>
      <c r="V71" s="81">
        <v>0</v>
      </c>
      <c r="W71" s="81">
        <v>0</v>
      </c>
      <c r="X71" s="81">
        <v>0</v>
      </c>
      <c r="Y71" s="81">
        <v>0</v>
      </c>
      <c r="Z71" s="81">
        <v>0</v>
      </c>
      <c r="AA71" s="81">
        <v>0</v>
      </c>
      <c r="AB71" s="81">
        <v>0</v>
      </c>
      <c r="AC71" s="81">
        <v>0</v>
      </c>
      <c r="AD71" s="81">
        <v>0</v>
      </c>
      <c r="AE71" s="81">
        <v>0</v>
      </c>
      <c r="AF71" s="81">
        <v>0</v>
      </c>
      <c r="AG71" s="82">
        <v>2</v>
      </c>
      <c r="AH71" s="54">
        <f t="shared" si="2"/>
        <v>0</v>
      </c>
      <c r="AI71" s="55">
        <f t="shared" si="3"/>
        <v>0</v>
      </c>
    </row>
    <row r="72" spans="1:88" s="1" customFormat="1" ht="15.75" thickBot="1" x14ac:dyDescent="0.3">
      <c r="A72" s="68" t="s">
        <v>80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74">
        <f>SUM(AG69:AG71)</f>
        <v>55.4</v>
      </c>
      <c r="AH72" s="54">
        <f t="shared" si="2"/>
        <v>0</v>
      </c>
      <c r="AI72" s="55">
        <f t="shared" si="3"/>
        <v>0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</row>
    <row r="73" spans="1:88" s="1" customFormat="1" ht="15.75" thickBot="1" x14ac:dyDescent="0.3">
      <c r="A73" s="68" t="s">
        <v>81</v>
      </c>
      <c r="B73" s="84">
        <v>1201.8899999999999</v>
      </c>
      <c r="C73" s="84">
        <v>1201.8899999999999</v>
      </c>
      <c r="D73" s="84">
        <v>1201.8899999999999</v>
      </c>
      <c r="E73" s="84">
        <v>1201.8899999999999</v>
      </c>
      <c r="F73" s="84">
        <v>1201.8899999999999</v>
      </c>
      <c r="G73" s="84">
        <v>1201.8899999999999</v>
      </c>
      <c r="H73" s="84">
        <v>1201.8899999999999</v>
      </c>
      <c r="I73" s="84">
        <v>1201.8899999999999</v>
      </c>
      <c r="J73" s="84">
        <v>1201.8899999999999</v>
      </c>
      <c r="K73" s="84">
        <v>1201.8899999999999</v>
      </c>
      <c r="L73" s="84">
        <v>1201.8899999999999</v>
      </c>
      <c r="M73" s="84">
        <v>1201.8899999999999</v>
      </c>
      <c r="N73" s="84">
        <v>1201.8899999999999</v>
      </c>
      <c r="O73" s="84">
        <v>1201.8899999999999</v>
      </c>
      <c r="P73" s="84">
        <v>1201.8899999999999</v>
      </c>
      <c r="Q73" s="84">
        <v>1201.8899999999999</v>
      </c>
      <c r="R73" s="84">
        <v>1201.8899999999999</v>
      </c>
      <c r="S73" s="84">
        <v>1201.8899999999999</v>
      </c>
      <c r="T73" s="84">
        <v>1201.8899999999999</v>
      </c>
      <c r="U73" s="84">
        <v>1201.8899999999999</v>
      </c>
      <c r="V73" s="84">
        <v>1201.8899999999999</v>
      </c>
      <c r="W73" s="84">
        <v>1201.8899999999999</v>
      </c>
      <c r="X73" s="84">
        <v>1201.8899999999999</v>
      </c>
      <c r="Y73" s="84">
        <v>1201.8899999999999</v>
      </c>
      <c r="Z73" s="84">
        <v>1201.8899999999999</v>
      </c>
      <c r="AA73" s="84">
        <v>1201.8899999999999</v>
      </c>
      <c r="AB73" s="84">
        <v>1201.8899999999999</v>
      </c>
      <c r="AC73" s="84">
        <v>1201.8899999999999</v>
      </c>
      <c r="AD73" s="84">
        <v>1201.8899999999999</v>
      </c>
      <c r="AE73" s="84">
        <v>1201.8899999999999</v>
      </c>
      <c r="AF73" s="84">
        <v>1201.8899999999999</v>
      </c>
      <c r="AG73" s="84">
        <f t="shared" ref="AG73" si="9">AG68+AG56+AG52+AG38+AG72</f>
        <v>2144.14</v>
      </c>
      <c r="AH73" s="54">
        <f t="shared" si="2"/>
        <v>1201.8899999999999</v>
      </c>
      <c r="AI73" s="55">
        <f t="shared" si="3"/>
        <v>1201.8899999999999</v>
      </c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</row>
    <row r="74" spans="1:88" s="1" customFormat="1" ht="15.75" thickBot="1" x14ac:dyDescent="0.3">
      <c r="A74" s="85" t="s">
        <v>82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74"/>
      <c r="AH74" s="54">
        <f t="shared" si="2"/>
        <v>0</v>
      </c>
      <c r="AI74" s="55">
        <f t="shared" si="3"/>
        <v>0</v>
      </c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</row>
    <row r="75" spans="1:88" s="1" customFormat="1" ht="15.75" thickBot="1" x14ac:dyDescent="0.3">
      <c r="A75" s="68" t="s">
        <v>83</v>
      </c>
      <c r="B75" s="84">
        <f t="shared" ref="B75:AF75" si="10">B72+B68+B56+B52+B38+B74</f>
        <v>3.54</v>
      </c>
      <c r="C75" s="84">
        <f t="shared" si="10"/>
        <v>3.54</v>
      </c>
      <c r="D75" s="84">
        <f t="shared" si="10"/>
        <v>3.54</v>
      </c>
      <c r="E75" s="84">
        <f t="shared" si="10"/>
        <v>3.54</v>
      </c>
      <c r="F75" s="84">
        <f t="shared" si="10"/>
        <v>3.54</v>
      </c>
      <c r="G75" s="84">
        <f t="shared" si="10"/>
        <v>3.54</v>
      </c>
      <c r="H75" s="84">
        <f t="shared" si="10"/>
        <v>3.54</v>
      </c>
      <c r="I75" s="84">
        <f t="shared" si="10"/>
        <v>3.54</v>
      </c>
      <c r="J75" s="84">
        <f t="shared" si="10"/>
        <v>3.54</v>
      </c>
      <c r="K75" s="84">
        <f t="shared" si="10"/>
        <v>3.54</v>
      </c>
      <c r="L75" s="84">
        <f t="shared" si="10"/>
        <v>3.54</v>
      </c>
      <c r="M75" s="84">
        <f t="shared" si="10"/>
        <v>3.54</v>
      </c>
      <c r="N75" s="84">
        <f t="shared" si="10"/>
        <v>3.54</v>
      </c>
      <c r="O75" s="84">
        <f t="shared" si="10"/>
        <v>3.54</v>
      </c>
      <c r="P75" s="84">
        <f t="shared" si="10"/>
        <v>3.54</v>
      </c>
      <c r="Q75" s="84">
        <f t="shared" si="10"/>
        <v>3.54</v>
      </c>
      <c r="R75" s="84">
        <f t="shared" si="10"/>
        <v>3.54</v>
      </c>
      <c r="S75" s="84">
        <f t="shared" si="10"/>
        <v>3.54</v>
      </c>
      <c r="T75" s="84">
        <f t="shared" si="10"/>
        <v>3.54</v>
      </c>
      <c r="U75" s="84">
        <f t="shared" si="10"/>
        <v>3.54</v>
      </c>
      <c r="V75" s="84">
        <f t="shared" si="10"/>
        <v>3.54</v>
      </c>
      <c r="W75" s="84">
        <f t="shared" si="10"/>
        <v>3.54</v>
      </c>
      <c r="X75" s="84">
        <f t="shared" si="10"/>
        <v>3.54</v>
      </c>
      <c r="Y75" s="84">
        <f t="shared" si="10"/>
        <v>3.54</v>
      </c>
      <c r="Z75" s="84">
        <f t="shared" si="10"/>
        <v>3.54</v>
      </c>
      <c r="AA75" s="84">
        <f t="shared" si="10"/>
        <v>3.54</v>
      </c>
      <c r="AB75" s="84">
        <f t="shared" si="10"/>
        <v>3.54</v>
      </c>
      <c r="AC75" s="84">
        <f t="shared" si="10"/>
        <v>3.54</v>
      </c>
      <c r="AD75" s="84">
        <f t="shared" si="10"/>
        <v>3.54</v>
      </c>
      <c r="AE75" s="84">
        <f t="shared" si="10"/>
        <v>3.54</v>
      </c>
      <c r="AF75" s="84">
        <f t="shared" si="10"/>
        <v>3.54</v>
      </c>
      <c r="AG75" s="74">
        <f>AG72+AG68+AG56+AG52+AG38+AG74</f>
        <v>2144.14</v>
      </c>
      <c r="AH75" s="54">
        <f t="shared" si="2"/>
        <v>3.54</v>
      </c>
      <c r="AI75" s="55">
        <f t="shared" si="3"/>
        <v>3.54</v>
      </c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</row>
    <row r="76" spans="1:88" s="1" customFormat="1" x14ac:dyDescent="0.25">
      <c r="A76" s="57" t="s">
        <v>68</v>
      </c>
      <c r="B76" s="78">
        <v>0</v>
      </c>
      <c r="C76" s="78">
        <v>0</v>
      </c>
      <c r="D76" s="78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59"/>
      <c r="AH76" s="54">
        <f t="shared" ref="AH76:AH91" si="11">MAX(B76:AF76)</f>
        <v>0</v>
      </c>
      <c r="AI76" s="55">
        <f t="shared" ref="AI76:AI91" si="12">MIN(B76:AF76)</f>
        <v>0</v>
      </c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</row>
    <row r="77" spans="1:88" s="1" customFormat="1" x14ac:dyDescent="0.25">
      <c r="A77" s="62" t="s">
        <v>66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63"/>
      <c r="AH77" s="54">
        <f t="shared" si="11"/>
        <v>0</v>
      </c>
      <c r="AI77" s="55">
        <f t="shared" si="12"/>
        <v>0</v>
      </c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</row>
    <row r="78" spans="1:88" s="1" customFormat="1" x14ac:dyDescent="0.25">
      <c r="A78" s="80" t="s">
        <v>84</v>
      </c>
      <c r="B78" s="78">
        <v>0</v>
      </c>
      <c r="C78" s="78">
        <v>0</v>
      </c>
      <c r="D78" s="78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 t="s">
        <v>85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87"/>
      <c r="AH78" s="54">
        <f t="shared" si="11"/>
        <v>0</v>
      </c>
      <c r="AI78" s="55">
        <f t="shared" si="12"/>
        <v>0</v>
      </c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</row>
    <row r="79" spans="1:88" s="1" customFormat="1" x14ac:dyDescent="0.25">
      <c r="A79" s="80" t="s">
        <v>86</v>
      </c>
      <c r="B79" s="78">
        <v>0</v>
      </c>
      <c r="C79" s="78">
        <v>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  <c r="AF79" s="78">
        <v>0</v>
      </c>
      <c r="AG79" s="87"/>
      <c r="AH79" s="54">
        <f t="shared" si="11"/>
        <v>0</v>
      </c>
      <c r="AI79" s="55">
        <f t="shared" si="12"/>
        <v>0</v>
      </c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</row>
    <row r="80" spans="1:88" s="1" customFormat="1" x14ac:dyDescent="0.25">
      <c r="A80" s="80" t="s">
        <v>65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  <c r="AF80" s="78">
        <v>0</v>
      </c>
      <c r="AG80" s="87"/>
      <c r="AH80" s="54">
        <f t="shared" si="11"/>
        <v>0</v>
      </c>
      <c r="AI80" s="55">
        <f t="shared" si="12"/>
        <v>0</v>
      </c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</row>
    <row r="81" spans="1:88" s="1" customFormat="1" ht="15.75" thickBot="1" x14ac:dyDescent="0.3">
      <c r="A81" s="80" t="s">
        <v>87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>
        <v>0</v>
      </c>
      <c r="AA81" s="81">
        <v>0</v>
      </c>
      <c r="AB81" s="81">
        <v>0</v>
      </c>
      <c r="AC81" s="81"/>
      <c r="AD81" s="81"/>
      <c r="AE81" s="81"/>
      <c r="AF81" s="81"/>
      <c r="AG81" s="82"/>
      <c r="AH81" s="54">
        <f t="shared" si="11"/>
        <v>0</v>
      </c>
      <c r="AI81" s="55">
        <f t="shared" si="12"/>
        <v>0</v>
      </c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</row>
    <row r="82" spans="1:88" ht="15.75" thickBot="1" x14ac:dyDescent="0.3">
      <c r="A82" s="88" t="s">
        <v>88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>
        <v>0</v>
      </c>
      <c r="AA82" s="69">
        <v>0</v>
      </c>
      <c r="AB82" s="69"/>
      <c r="AC82" s="69"/>
      <c r="AD82" s="69"/>
      <c r="AE82" s="69"/>
      <c r="AF82" s="69"/>
      <c r="AG82" s="74">
        <f t="shared" ref="AG82" si="13">SUM(AG76:AG81)</f>
        <v>0</v>
      </c>
      <c r="AH82" s="54">
        <f t="shared" si="11"/>
        <v>0</v>
      </c>
      <c r="AI82" s="55">
        <f t="shared" si="12"/>
        <v>0</v>
      </c>
      <c r="AK82" s="56"/>
    </row>
    <row r="83" spans="1:88" s="1" customFormat="1" ht="15.75" thickBot="1" x14ac:dyDescent="0.3">
      <c r="A83" s="68" t="s">
        <v>89</v>
      </c>
      <c r="B83" s="69">
        <f t="shared" ref="B83:AG83" si="14">SUM(B70:B82)</f>
        <v>1205.4299999999998</v>
      </c>
      <c r="C83" s="69">
        <f t="shared" si="14"/>
        <v>1205.4299999999998</v>
      </c>
      <c r="D83" s="69">
        <f t="shared" si="14"/>
        <v>1205.4299999999998</v>
      </c>
      <c r="E83" s="69">
        <f t="shared" si="14"/>
        <v>1205.4299999999998</v>
      </c>
      <c r="F83" s="69">
        <f t="shared" si="14"/>
        <v>1205.4299999999998</v>
      </c>
      <c r="G83" s="69">
        <f t="shared" si="14"/>
        <v>1205.4299999999998</v>
      </c>
      <c r="H83" s="69">
        <f t="shared" si="14"/>
        <v>1205.4299999999998</v>
      </c>
      <c r="I83" s="69">
        <f t="shared" si="14"/>
        <v>1205.4299999999998</v>
      </c>
      <c r="J83" s="69">
        <f t="shared" si="14"/>
        <v>1205.4299999999998</v>
      </c>
      <c r="K83" s="69">
        <f t="shared" si="14"/>
        <v>1205.4299999999998</v>
      </c>
      <c r="L83" s="69">
        <f t="shared" si="14"/>
        <v>1205.4299999999998</v>
      </c>
      <c r="M83" s="69">
        <f t="shared" si="14"/>
        <v>1205.4299999999998</v>
      </c>
      <c r="N83" s="69">
        <f t="shared" si="14"/>
        <v>1205.4299999999998</v>
      </c>
      <c r="O83" s="69">
        <f t="shared" si="14"/>
        <v>1205.4299999999998</v>
      </c>
      <c r="P83" s="69">
        <f t="shared" si="14"/>
        <v>1205.4299999999998</v>
      </c>
      <c r="Q83" s="69">
        <f t="shared" si="14"/>
        <v>1205.4299999999998</v>
      </c>
      <c r="R83" s="69">
        <f t="shared" si="14"/>
        <v>1205.4299999999998</v>
      </c>
      <c r="S83" s="69">
        <f t="shared" si="14"/>
        <v>1205.4299999999998</v>
      </c>
      <c r="T83" s="69">
        <f t="shared" si="14"/>
        <v>1205.4299999999998</v>
      </c>
      <c r="U83" s="69">
        <f t="shared" si="14"/>
        <v>1205.4299999999998</v>
      </c>
      <c r="V83" s="69">
        <f t="shared" si="14"/>
        <v>1205.4299999999998</v>
      </c>
      <c r="W83" s="69">
        <f t="shared" si="14"/>
        <v>1205.4299999999998</v>
      </c>
      <c r="X83" s="69">
        <f t="shared" si="14"/>
        <v>1205.4299999999998</v>
      </c>
      <c r="Y83" s="69">
        <f t="shared" si="14"/>
        <v>1205.4299999999998</v>
      </c>
      <c r="Z83" s="69">
        <f t="shared" si="14"/>
        <v>1205.4299999999998</v>
      </c>
      <c r="AA83" s="69">
        <f t="shared" si="14"/>
        <v>1205.4299999999998</v>
      </c>
      <c r="AB83" s="69">
        <f t="shared" si="14"/>
        <v>1205.4299999999998</v>
      </c>
      <c r="AC83" s="69">
        <f t="shared" si="14"/>
        <v>1205.4299999999998</v>
      </c>
      <c r="AD83" s="69">
        <f t="shared" si="14"/>
        <v>1205.4299999999998</v>
      </c>
      <c r="AE83" s="69">
        <f t="shared" si="14"/>
        <v>1205.4299999999998</v>
      </c>
      <c r="AF83" s="69">
        <f t="shared" si="14"/>
        <v>1205.4299999999998</v>
      </c>
      <c r="AG83" s="74">
        <f t="shared" si="14"/>
        <v>4360.08</v>
      </c>
      <c r="AH83" s="54">
        <f t="shared" si="11"/>
        <v>1205.4299999999998</v>
      </c>
      <c r="AI83" s="55">
        <f t="shared" si="12"/>
        <v>1205.4299999999998</v>
      </c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</row>
    <row r="84" spans="1:88" s="1" customFormat="1" x14ac:dyDescent="0.25">
      <c r="A84" s="89" t="s">
        <v>90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1"/>
      <c r="AH84" s="54">
        <f t="shared" si="11"/>
        <v>0</v>
      </c>
      <c r="AI84" s="55">
        <f t="shared" si="12"/>
        <v>0</v>
      </c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</row>
    <row r="85" spans="1:88" s="1" customFormat="1" x14ac:dyDescent="0.25">
      <c r="A85" s="92" t="s">
        <v>91</v>
      </c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93"/>
      <c r="AH85" s="54">
        <f t="shared" si="11"/>
        <v>0</v>
      </c>
      <c r="AI85" s="55">
        <f t="shared" si="12"/>
        <v>0</v>
      </c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</row>
    <row r="86" spans="1:88" s="1" customFormat="1" x14ac:dyDescent="0.25">
      <c r="A86" s="92" t="s">
        <v>92</v>
      </c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93"/>
      <c r="AH86" s="54">
        <f t="shared" si="11"/>
        <v>0</v>
      </c>
      <c r="AI86" s="55">
        <f t="shared" si="12"/>
        <v>0</v>
      </c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</row>
    <row r="87" spans="1:88" s="1" customFormat="1" x14ac:dyDescent="0.25">
      <c r="A87" s="92" t="s">
        <v>93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93"/>
      <c r="AH87" s="54">
        <f t="shared" si="11"/>
        <v>0</v>
      </c>
      <c r="AI87" s="55">
        <f t="shared" si="12"/>
        <v>0</v>
      </c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</row>
    <row r="88" spans="1:88" s="1" customFormat="1" x14ac:dyDescent="0.25">
      <c r="A88" s="94" t="s">
        <v>94</v>
      </c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93"/>
      <c r="AH88" s="54">
        <f t="shared" si="11"/>
        <v>0</v>
      </c>
      <c r="AI88" s="55">
        <f t="shared" si="12"/>
        <v>0</v>
      </c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</row>
    <row r="89" spans="1:88" s="1" customFormat="1" x14ac:dyDescent="0.25">
      <c r="A89" s="94" t="s">
        <v>95</v>
      </c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6"/>
      <c r="AH89" s="54">
        <f t="shared" si="11"/>
        <v>0</v>
      </c>
      <c r="AI89" s="55">
        <f t="shared" si="12"/>
        <v>0</v>
      </c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</row>
    <row r="90" spans="1:88" s="1" customFormat="1" x14ac:dyDescent="0.25">
      <c r="A90" s="92" t="s">
        <v>96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93"/>
      <c r="AH90" s="54">
        <f t="shared" si="11"/>
        <v>0</v>
      </c>
      <c r="AI90" s="55">
        <f t="shared" si="12"/>
        <v>0</v>
      </c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</row>
    <row r="91" spans="1:88" ht="15.75" thickBot="1" x14ac:dyDescent="0.3">
      <c r="A91" s="92" t="s">
        <v>97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8"/>
      <c r="AH91" s="54">
        <f t="shared" si="11"/>
        <v>0</v>
      </c>
      <c r="AI91" s="55">
        <f t="shared" si="12"/>
        <v>0</v>
      </c>
    </row>
    <row r="92" spans="1:88" ht="15.75" thickBot="1" x14ac:dyDescent="0.3">
      <c r="A92" s="99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1"/>
      <c r="AH92" s="54"/>
      <c r="AI92" s="55"/>
    </row>
    <row r="93" spans="1:88" ht="15.75" thickBot="1" x14ac:dyDescent="0.3">
      <c r="A93" s="102" t="s">
        <v>98</v>
      </c>
      <c r="B93" s="103">
        <f t="shared" ref="B93:AF93" si="15">SUM(B15,B18,B21:B22,B42,B44:B45,B47,B49,B94:B97,B103,B109,B115,B124,B126,B138,B145,B148:B149,B156,B158,B160,B164:B166,B168:B170,B175,B181:B182,B184:B186,B194,B199)</f>
        <v>34.840000000000003</v>
      </c>
      <c r="C93" s="103">
        <f t="shared" si="15"/>
        <v>34.840000000000003</v>
      </c>
      <c r="D93" s="103">
        <f t="shared" si="15"/>
        <v>34.840000000000003</v>
      </c>
      <c r="E93" s="103">
        <f t="shared" si="15"/>
        <v>34.840000000000003</v>
      </c>
      <c r="F93" s="103">
        <f t="shared" si="15"/>
        <v>34.840000000000003</v>
      </c>
      <c r="G93" s="103">
        <f t="shared" si="15"/>
        <v>34.840000000000003</v>
      </c>
      <c r="H93" s="103">
        <f t="shared" si="15"/>
        <v>34.840000000000003</v>
      </c>
      <c r="I93" s="103">
        <f t="shared" si="15"/>
        <v>34.840000000000003</v>
      </c>
      <c r="J93" s="103">
        <f t="shared" si="15"/>
        <v>34.840000000000003</v>
      </c>
      <c r="K93" s="103">
        <f t="shared" si="15"/>
        <v>34.840000000000003</v>
      </c>
      <c r="L93" s="103">
        <f t="shared" si="15"/>
        <v>34.840000000000003</v>
      </c>
      <c r="M93" s="103">
        <f t="shared" si="15"/>
        <v>34.840000000000003</v>
      </c>
      <c r="N93" s="103">
        <f t="shared" si="15"/>
        <v>34.840000000000003</v>
      </c>
      <c r="O93" s="103">
        <f t="shared" si="15"/>
        <v>34.840000000000003</v>
      </c>
      <c r="P93" s="103">
        <f t="shared" si="15"/>
        <v>34.840000000000003</v>
      </c>
      <c r="Q93" s="103">
        <f t="shared" si="15"/>
        <v>34.840000000000003</v>
      </c>
      <c r="R93" s="103">
        <f t="shared" si="15"/>
        <v>34.840000000000003</v>
      </c>
      <c r="S93" s="103">
        <f t="shared" si="15"/>
        <v>34.840000000000003</v>
      </c>
      <c r="T93" s="103">
        <f t="shared" si="15"/>
        <v>34.840000000000003</v>
      </c>
      <c r="U93" s="103">
        <f t="shared" si="15"/>
        <v>34.840000000000003</v>
      </c>
      <c r="V93" s="103">
        <f t="shared" si="15"/>
        <v>34.840000000000003</v>
      </c>
      <c r="W93" s="103">
        <f>SUM(W15,W18,W21:W22,W42,W44:W45,W47,W49,W94:W97,W103,W109,W115,W124,W126,W138,W145,W148:W149,W156,W158,W160,W164:W166,W168:W170,W175,W181:W182,W184:W186,W194,W199)</f>
        <v>34.840000000000003</v>
      </c>
      <c r="X93" s="103">
        <f>SUM(X15,X18,X21:X22,X42,X44:X45,X47,X49,X94:X97,X103,X109,X115,X124,X126,X138,X145,X148:X149,X156,X158,X160,X164:X166,X168:X170,X175,X181:X182,X184:X186,X194,X199)</f>
        <v>34.840000000000003</v>
      </c>
      <c r="Y93" s="103">
        <f t="shared" si="15"/>
        <v>34.840000000000003</v>
      </c>
      <c r="Z93" s="103">
        <f t="shared" si="15"/>
        <v>34.840000000000003</v>
      </c>
      <c r="AA93" s="103">
        <f t="shared" si="15"/>
        <v>34.840000000000003</v>
      </c>
      <c r="AB93" s="103">
        <f t="shared" si="15"/>
        <v>34.840000000000003</v>
      </c>
      <c r="AC93" s="103">
        <f t="shared" si="15"/>
        <v>34.840000000000003</v>
      </c>
      <c r="AD93" s="103">
        <f t="shared" si="15"/>
        <v>34.840000000000003</v>
      </c>
      <c r="AE93" s="103">
        <f t="shared" si="15"/>
        <v>34.840000000000003</v>
      </c>
      <c r="AF93" s="103">
        <f t="shared" si="15"/>
        <v>34.840000000000003</v>
      </c>
      <c r="AG93" s="104"/>
      <c r="AH93" s="54">
        <f>MAX(C93:AF93)</f>
        <v>34.840000000000003</v>
      </c>
      <c r="AI93" s="55">
        <f>MIN(C93:AF93)</f>
        <v>34.840000000000003</v>
      </c>
    </row>
    <row r="94" spans="1:88" x14ac:dyDescent="0.25">
      <c r="A94" s="105" t="s">
        <v>99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7">
        <v>75</v>
      </c>
      <c r="AH94" s="54">
        <f t="shared" ref="AH94:AH100" si="16">IF(ABS(MAX(C94:AF94))&gt;ABS(MIN(C94:AF94)),MAX(C94:AF94),MIN(C94:AF94))</f>
        <v>0</v>
      </c>
      <c r="AI94" s="108" t="e">
        <f t="shared" ref="AI94:AI100" si="17">INDEX($C$9:$AF$9,1,MATCH(AH94,C94:AF94,0))</f>
        <v>#N/A</v>
      </c>
    </row>
    <row r="95" spans="1:88" x14ac:dyDescent="0.25">
      <c r="A95" s="109" t="s">
        <v>100</v>
      </c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07">
        <v>240</v>
      </c>
      <c r="AH95" s="54">
        <f t="shared" si="16"/>
        <v>0</v>
      </c>
      <c r="AI95" s="108" t="e">
        <f t="shared" si="17"/>
        <v>#N/A</v>
      </c>
    </row>
    <row r="96" spans="1:88" x14ac:dyDescent="0.25">
      <c r="A96" s="109" t="s">
        <v>101</v>
      </c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07">
        <v>60</v>
      </c>
      <c r="AH96" s="54">
        <f t="shared" si="16"/>
        <v>0</v>
      </c>
      <c r="AI96" s="108" t="e">
        <f t="shared" si="17"/>
        <v>#N/A</v>
      </c>
    </row>
    <row r="97" spans="1:37" x14ac:dyDescent="0.25">
      <c r="A97" s="111" t="s">
        <v>102</v>
      </c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3">
        <v>120</v>
      </c>
      <c r="AH97" s="54">
        <f t="shared" si="16"/>
        <v>0</v>
      </c>
      <c r="AI97" s="108" t="e">
        <f t="shared" si="17"/>
        <v>#N/A</v>
      </c>
    </row>
    <row r="98" spans="1:37" x14ac:dyDescent="0.25">
      <c r="A98" s="111" t="s">
        <v>103</v>
      </c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3"/>
      <c r="AH98" s="54">
        <f t="shared" si="16"/>
        <v>0</v>
      </c>
      <c r="AI98" s="108" t="e">
        <f t="shared" si="17"/>
        <v>#N/A</v>
      </c>
    </row>
    <row r="99" spans="1:37" x14ac:dyDescent="0.25">
      <c r="A99" s="111" t="s">
        <v>104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4"/>
      <c r="AH99" s="54">
        <f t="shared" si="16"/>
        <v>0</v>
      </c>
      <c r="AI99" s="108" t="e">
        <f t="shared" si="17"/>
        <v>#N/A</v>
      </c>
    </row>
    <row r="100" spans="1:37" ht="15.75" thickBot="1" x14ac:dyDescent="0.3">
      <c r="A100" s="115" t="s">
        <v>105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114"/>
      <c r="AH100" s="54">
        <f t="shared" si="16"/>
        <v>0</v>
      </c>
      <c r="AI100" s="108" t="e">
        <f t="shared" si="17"/>
        <v>#N/A</v>
      </c>
    </row>
    <row r="101" spans="1:37" ht="15.75" thickBot="1" x14ac:dyDescent="0.3">
      <c r="A101" s="116" t="s">
        <v>106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8"/>
      <c r="AH101" s="119"/>
      <c r="AI101" s="55"/>
      <c r="AK101" s="56"/>
    </row>
    <row r="102" spans="1:37" x14ac:dyDescent="0.25">
      <c r="A102" s="120" t="s">
        <v>107</v>
      </c>
      <c r="B102" s="121">
        <f t="shared" ref="B102:B107" si="18">AF102</f>
        <v>9.9</v>
      </c>
      <c r="C102" s="53">
        <v>9.9</v>
      </c>
      <c r="D102" s="121">
        <f t="shared" ref="D102:S107" si="19">C102</f>
        <v>9.9</v>
      </c>
      <c r="E102" s="121">
        <f t="shared" si="19"/>
        <v>9.9</v>
      </c>
      <c r="F102" s="121">
        <f t="shared" si="19"/>
        <v>9.9</v>
      </c>
      <c r="G102" s="121">
        <f t="shared" si="19"/>
        <v>9.9</v>
      </c>
      <c r="H102" s="121">
        <f t="shared" si="19"/>
        <v>9.9</v>
      </c>
      <c r="I102" s="121">
        <f t="shared" si="19"/>
        <v>9.9</v>
      </c>
      <c r="J102" s="121">
        <f t="shared" si="19"/>
        <v>9.9</v>
      </c>
      <c r="K102" s="121">
        <f t="shared" si="19"/>
        <v>9.9</v>
      </c>
      <c r="L102" s="121">
        <f t="shared" si="19"/>
        <v>9.9</v>
      </c>
      <c r="M102" s="121">
        <f t="shared" si="19"/>
        <v>9.9</v>
      </c>
      <c r="N102" s="121">
        <f t="shared" si="19"/>
        <v>9.9</v>
      </c>
      <c r="O102" s="121">
        <f t="shared" si="19"/>
        <v>9.9</v>
      </c>
      <c r="P102" s="121">
        <f t="shared" si="19"/>
        <v>9.9</v>
      </c>
      <c r="Q102" s="121">
        <f t="shared" si="19"/>
        <v>9.9</v>
      </c>
      <c r="R102" s="121">
        <f t="shared" si="19"/>
        <v>9.9</v>
      </c>
      <c r="S102" s="121">
        <f t="shared" si="19"/>
        <v>9.9</v>
      </c>
      <c r="T102" s="121">
        <f t="shared" ref="T102:AF107" si="20">S102</f>
        <v>9.9</v>
      </c>
      <c r="U102" s="121">
        <f t="shared" si="20"/>
        <v>9.9</v>
      </c>
      <c r="V102" s="121">
        <f t="shared" si="20"/>
        <v>9.9</v>
      </c>
      <c r="W102" s="121">
        <f t="shared" si="20"/>
        <v>9.9</v>
      </c>
      <c r="X102" s="121">
        <f t="shared" si="20"/>
        <v>9.9</v>
      </c>
      <c r="Y102" s="121">
        <f t="shared" si="20"/>
        <v>9.9</v>
      </c>
      <c r="Z102" s="121">
        <f t="shared" si="20"/>
        <v>9.9</v>
      </c>
      <c r="AA102" s="121">
        <f t="shared" si="20"/>
        <v>9.9</v>
      </c>
      <c r="AB102" s="121">
        <f t="shared" si="20"/>
        <v>9.9</v>
      </c>
      <c r="AC102" s="121">
        <f t="shared" si="20"/>
        <v>9.9</v>
      </c>
      <c r="AD102" s="121">
        <f t="shared" si="20"/>
        <v>9.9</v>
      </c>
      <c r="AE102" s="121">
        <f t="shared" si="20"/>
        <v>9.9</v>
      </c>
      <c r="AF102" s="121">
        <f t="shared" si="20"/>
        <v>9.9</v>
      </c>
      <c r="AG102" s="122">
        <v>9.94</v>
      </c>
      <c r="AH102" s="54"/>
      <c r="AI102" s="55"/>
      <c r="AK102" s="56"/>
    </row>
    <row r="103" spans="1:37" x14ac:dyDescent="0.25">
      <c r="A103" s="109" t="s">
        <v>108</v>
      </c>
      <c r="B103" s="123">
        <f t="shared" si="18"/>
        <v>9.6</v>
      </c>
      <c r="C103" s="124">
        <v>9.6</v>
      </c>
      <c r="D103" s="123">
        <f t="shared" si="19"/>
        <v>9.6</v>
      </c>
      <c r="E103" s="123">
        <f t="shared" si="19"/>
        <v>9.6</v>
      </c>
      <c r="F103" s="123">
        <f t="shared" si="19"/>
        <v>9.6</v>
      </c>
      <c r="G103" s="123">
        <f t="shared" si="19"/>
        <v>9.6</v>
      </c>
      <c r="H103" s="123">
        <f t="shared" si="19"/>
        <v>9.6</v>
      </c>
      <c r="I103" s="123">
        <f t="shared" si="19"/>
        <v>9.6</v>
      </c>
      <c r="J103" s="123">
        <f t="shared" si="19"/>
        <v>9.6</v>
      </c>
      <c r="K103" s="123">
        <f t="shared" si="19"/>
        <v>9.6</v>
      </c>
      <c r="L103" s="123">
        <f t="shared" si="19"/>
        <v>9.6</v>
      </c>
      <c r="M103" s="123">
        <f t="shared" si="19"/>
        <v>9.6</v>
      </c>
      <c r="N103" s="123">
        <f t="shared" si="19"/>
        <v>9.6</v>
      </c>
      <c r="O103" s="123">
        <f t="shared" si="19"/>
        <v>9.6</v>
      </c>
      <c r="P103" s="123">
        <f t="shared" si="19"/>
        <v>9.6</v>
      </c>
      <c r="Q103" s="123">
        <f t="shared" si="19"/>
        <v>9.6</v>
      </c>
      <c r="R103" s="123">
        <f t="shared" si="19"/>
        <v>9.6</v>
      </c>
      <c r="S103" s="123">
        <f t="shared" si="19"/>
        <v>9.6</v>
      </c>
      <c r="T103" s="123">
        <f t="shared" si="20"/>
        <v>9.6</v>
      </c>
      <c r="U103" s="123">
        <f t="shared" si="20"/>
        <v>9.6</v>
      </c>
      <c r="V103" s="123">
        <f t="shared" si="20"/>
        <v>9.6</v>
      </c>
      <c r="W103" s="123">
        <f t="shared" si="20"/>
        <v>9.6</v>
      </c>
      <c r="X103" s="123">
        <f t="shared" si="20"/>
        <v>9.6</v>
      </c>
      <c r="Y103" s="123">
        <f t="shared" si="20"/>
        <v>9.6</v>
      </c>
      <c r="Z103" s="123">
        <f t="shared" si="20"/>
        <v>9.6</v>
      </c>
      <c r="AA103" s="123">
        <f t="shared" si="20"/>
        <v>9.6</v>
      </c>
      <c r="AB103" s="123">
        <f t="shared" si="20"/>
        <v>9.6</v>
      </c>
      <c r="AC103" s="123">
        <f t="shared" si="20"/>
        <v>9.6</v>
      </c>
      <c r="AD103" s="123">
        <f t="shared" si="20"/>
        <v>9.6</v>
      </c>
      <c r="AE103" s="123">
        <f t="shared" si="20"/>
        <v>9.6</v>
      </c>
      <c r="AF103" s="123">
        <f t="shared" si="20"/>
        <v>9.6</v>
      </c>
      <c r="AG103" s="125">
        <v>9.9</v>
      </c>
      <c r="AH103" s="54"/>
      <c r="AI103" s="55"/>
      <c r="AK103" s="56"/>
    </row>
    <row r="104" spans="1:37" x14ac:dyDescent="0.25">
      <c r="A104" s="111" t="s">
        <v>109</v>
      </c>
      <c r="B104" s="123">
        <f t="shared" si="18"/>
        <v>9.98</v>
      </c>
      <c r="C104" s="124">
        <v>9.98</v>
      </c>
      <c r="D104" s="123">
        <f t="shared" si="19"/>
        <v>9.98</v>
      </c>
      <c r="E104" s="123">
        <f t="shared" si="19"/>
        <v>9.98</v>
      </c>
      <c r="F104" s="123">
        <f t="shared" si="19"/>
        <v>9.98</v>
      </c>
      <c r="G104" s="123">
        <f t="shared" si="19"/>
        <v>9.98</v>
      </c>
      <c r="H104" s="123">
        <f t="shared" si="19"/>
        <v>9.98</v>
      </c>
      <c r="I104" s="123">
        <f t="shared" si="19"/>
        <v>9.98</v>
      </c>
      <c r="J104" s="123">
        <f t="shared" si="19"/>
        <v>9.98</v>
      </c>
      <c r="K104" s="123">
        <f t="shared" si="19"/>
        <v>9.98</v>
      </c>
      <c r="L104" s="123">
        <f t="shared" si="19"/>
        <v>9.98</v>
      </c>
      <c r="M104" s="123">
        <f t="shared" si="19"/>
        <v>9.98</v>
      </c>
      <c r="N104" s="123">
        <f t="shared" si="19"/>
        <v>9.98</v>
      </c>
      <c r="O104" s="123">
        <f t="shared" si="19"/>
        <v>9.98</v>
      </c>
      <c r="P104" s="123">
        <f t="shared" si="19"/>
        <v>9.98</v>
      </c>
      <c r="Q104" s="123">
        <f t="shared" si="19"/>
        <v>9.98</v>
      </c>
      <c r="R104" s="123">
        <f t="shared" si="19"/>
        <v>9.98</v>
      </c>
      <c r="S104" s="123">
        <f t="shared" si="19"/>
        <v>9.98</v>
      </c>
      <c r="T104" s="123">
        <f t="shared" si="20"/>
        <v>9.98</v>
      </c>
      <c r="U104" s="123">
        <f t="shared" si="20"/>
        <v>9.98</v>
      </c>
      <c r="V104" s="123">
        <f t="shared" si="20"/>
        <v>9.98</v>
      </c>
      <c r="W104" s="123">
        <f t="shared" si="20"/>
        <v>9.98</v>
      </c>
      <c r="X104" s="123">
        <f t="shared" si="20"/>
        <v>9.98</v>
      </c>
      <c r="Y104" s="123">
        <f t="shared" si="20"/>
        <v>9.98</v>
      </c>
      <c r="Z104" s="123">
        <f t="shared" si="20"/>
        <v>9.98</v>
      </c>
      <c r="AA104" s="123">
        <f t="shared" si="20"/>
        <v>9.98</v>
      </c>
      <c r="AB104" s="123">
        <f t="shared" si="20"/>
        <v>9.98</v>
      </c>
      <c r="AC104" s="123">
        <f t="shared" si="20"/>
        <v>9.98</v>
      </c>
      <c r="AD104" s="123">
        <f t="shared" si="20"/>
        <v>9.98</v>
      </c>
      <c r="AE104" s="123">
        <f t="shared" si="20"/>
        <v>9.98</v>
      </c>
      <c r="AF104" s="123">
        <f t="shared" si="20"/>
        <v>9.98</v>
      </c>
      <c r="AG104" s="126">
        <v>9.6579999999999995</v>
      </c>
      <c r="AH104" s="54"/>
      <c r="AI104" s="55"/>
      <c r="AK104" s="56"/>
    </row>
    <row r="105" spans="1:37" x14ac:dyDescent="0.25">
      <c r="A105" s="111" t="s">
        <v>110</v>
      </c>
      <c r="B105" s="123">
        <f t="shared" si="18"/>
        <v>9.1</v>
      </c>
      <c r="C105" s="124">
        <v>9.1</v>
      </c>
      <c r="D105" s="123">
        <f t="shared" si="19"/>
        <v>9.1</v>
      </c>
      <c r="E105" s="123">
        <f t="shared" si="19"/>
        <v>9.1</v>
      </c>
      <c r="F105" s="123">
        <f t="shared" si="19"/>
        <v>9.1</v>
      </c>
      <c r="G105" s="123">
        <f t="shared" si="19"/>
        <v>9.1</v>
      </c>
      <c r="H105" s="123">
        <f t="shared" si="19"/>
        <v>9.1</v>
      </c>
      <c r="I105" s="123">
        <f t="shared" si="19"/>
        <v>9.1</v>
      </c>
      <c r="J105" s="123">
        <f t="shared" si="19"/>
        <v>9.1</v>
      </c>
      <c r="K105" s="123">
        <f t="shared" si="19"/>
        <v>9.1</v>
      </c>
      <c r="L105" s="123">
        <f t="shared" si="19"/>
        <v>9.1</v>
      </c>
      <c r="M105" s="123">
        <f t="shared" si="19"/>
        <v>9.1</v>
      </c>
      <c r="N105" s="123">
        <f t="shared" si="19"/>
        <v>9.1</v>
      </c>
      <c r="O105" s="123">
        <f t="shared" si="19"/>
        <v>9.1</v>
      </c>
      <c r="P105" s="123">
        <f t="shared" si="19"/>
        <v>9.1</v>
      </c>
      <c r="Q105" s="123">
        <f t="shared" si="19"/>
        <v>9.1</v>
      </c>
      <c r="R105" s="123">
        <f t="shared" si="19"/>
        <v>9.1</v>
      </c>
      <c r="S105" s="123">
        <f t="shared" si="19"/>
        <v>9.1</v>
      </c>
      <c r="T105" s="123">
        <f t="shared" si="20"/>
        <v>9.1</v>
      </c>
      <c r="U105" s="123">
        <f t="shared" si="20"/>
        <v>9.1</v>
      </c>
      <c r="V105" s="123">
        <f t="shared" si="20"/>
        <v>9.1</v>
      </c>
      <c r="W105" s="123">
        <f t="shared" si="20"/>
        <v>9.1</v>
      </c>
      <c r="X105" s="123">
        <f t="shared" si="20"/>
        <v>9.1</v>
      </c>
      <c r="Y105" s="123">
        <f t="shared" si="20"/>
        <v>9.1</v>
      </c>
      <c r="Z105" s="123">
        <f t="shared" si="20"/>
        <v>9.1</v>
      </c>
      <c r="AA105" s="123">
        <f t="shared" si="20"/>
        <v>9.1</v>
      </c>
      <c r="AB105" s="123">
        <f t="shared" si="20"/>
        <v>9.1</v>
      </c>
      <c r="AC105" s="123">
        <f t="shared" si="20"/>
        <v>9.1</v>
      </c>
      <c r="AD105" s="123">
        <f t="shared" si="20"/>
        <v>9.1</v>
      </c>
      <c r="AE105" s="123">
        <f t="shared" si="20"/>
        <v>9.1</v>
      </c>
      <c r="AF105" s="123">
        <f t="shared" si="20"/>
        <v>9.1</v>
      </c>
      <c r="AG105" s="126">
        <v>9.6</v>
      </c>
      <c r="AH105" s="54"/>
      <c r="AI105" s="55"/>
      <c r="AK105" s="56"/>
    </row>
    <row r="106" spans="1:37" x14ac:dyDescent="0.25">
      <c r="A106" s="111" t="s">
        <v>111</v>
      </c>
      <c r="B106" s="123">
        <f t="shared" si="18"/>
        <v>9.18</v>
      </c>
      <c r="C106" s="124">
        <v>9.18</v>
      </c>
      <c r="D106" s="123">
        <f t="shared" si="19"/>
        <v>9.18</v>
      </c>
      <c r="E106" s="123">
        <f t="shared" si="19"/>
        <v>9.18</v>
      </c>
      <c r="F106" s="123">
        <f t="shared" si="19"/>
        <v>9.18</v>
      </c>
      <c r="G106" s="123">
        <f t="shared" si="19"/>
        <v>9.18</v>
      </c>
      <c r="H106" s="123">
        <f t="shared" si="19"/>
        <v>9.18</v>
      </c>
      <c r="I106" s="123">
        <f t="shared" si="19"/>
        <v>9.18</v>
      </c>
      <c r="J106" s="123">
        <f t="shared" si="19"/>
        <v>9.18</v>
      </c>
      <c r="K106" s="123">
        <f t="shared" si="19"/>
        <v>9.18</v>
      </c>
      <c r="L106" s="123">
        <f t="shared" si="19"/>
        <v>9.18</v>
      </c>
      <c r="M106" s="123">
        <f t="shared" si="19"/>
        <v>9.18</v>
      </c>
      <c r="N106" s="123">
        <f t="shared" si="19"/>
        <v>9.18</v>
      </c>
      <c r="O106" s="123">
        <f t="shared" si="19"/>
        <v>9.18</v>
      </c>
      <c r="P106" s="123">
        <f t="shared" si="19"/>
        <v>9.18</v>
      </c>
      <c r="Q106" s="123">
        <f t="shared" si="19"/>
        <v>9.18</v>
      </c>
      <c r="R106" s="123">
        <f t="shared" si="19"/>
        <v>9.18</v>
      </c>
      <c r="S106" s="123">
        <f t="shared" si="19"/>
        <v>9.18</v>
      </c>
      <c r="T106" s="123">
        <f t="shared" si="20"/>
        <v>9.18</v>
      </c>
      <c r="U106" s="123">
        <f t="shared" si="20"/>
        <v>9.18</v>
      </c>
      <c r="V106" s="123">
        <f t="shared" si="20"/>
        <v>9.18</v>
      </c>
      <c r="W106" s="123">
        <f t="shared" si="20"/>
        <v>9.18</v>
      </c>
      <c r="X106" s="123">
        <f t="shared" si="20"/>
        <v>9.18</v>
      </c>
      <c r="Y106" s="123">
        <f t="shared" si="20"/>
        <v>9.18</v>
      </c>
      <c r="Z106" s="123">
        <f t="shared" si="20"/>
        <v>9.18</v>
      </c>
      <c r="AA106" s="123">
        <f t="shared" si="20"/>
        <v>9.18</v>
      </c>
      <c r="AB106" s="123">
        <f t="shared" si="20"/>
        <v>9.18</v>
      </c>
      <c r="AC106" s="123">
        <f t="shared" si="20"/>
        <v>9.18</v>
      </c>
      <c r="AD106" s="123">
        <f t="shared" si="20"/>
        <v>9.18</v>
      </c>
      <c r="AE106" s="123">
        <f t="shared" si="20"/>
        <v>9.18</v>
      </c>
      <c r="AF106" s="123">
        <f t="shared" si="20"/>
        <v>9.18</v>
      </c>
      <c r="AG106" s="126">
        <v>9.51</v>
      </c>
      <c r="AH106" s="54"/>
      <c r="AI106" s="55"/>
      <c r="AK106" s="56"/>
    </row>
    <row r="107" spans="1:37" x14ac:dyDescent="0.25">
      <c r="A107" s="111" t="s">
        <v>112</v>
      </c>
      <c r="B107" s="123">
        <f t="shared" si="18"/>
        <v>7</v>
      </c>
      <c r="C107" s="124">
        <v>7</v>
      </c>
      <c r="D107" s="123">
        <f t="shared" si="19"/>
        <v>7</v>
      </c>
      <c r="E107" s="123">
        <f t="shared" si="19"/>
        <v>7</v>
      </c>
      <c r="F107" s="123">
        <f t="shared" si="19"/>
        <v>7</v>
      </c>
      <c r="G107" s="123">
        <f t="shared" si="19"/>
        <v>7</v>
      </c>
      <c r="H107" s="123">
        <f t="shared" si="19"/>
        <v>7</v>
      </c>
      <c r="I107" s="123">
        <f t="shared" si="19"/>
        <v>7</v>
      </c>
      <c r="J107" s="123">
        <f t="shared" si="19"/>
        <v>7</v>
      </c>
      <c r="K107" s="123">
        <f t="shared" si="19"/>
        <v>7</v>
      </c>
      <c r="L107" s="123">
        <f t="shared" si="19"/>
        <v>7</v>
      </c>
      <c r="M107" s="123">
        <f t="shared" si="19"/>
        <v>7</v>
      </c>
      <c r="N107" s="123">
        <f t="shared" si="19"/>
        <v>7</v>
      </c>
      <c r="O107" s="123">
        <f t="shared" si="19"/>
        <v>7</v>
      </c>
      <c r="P107" s="123">
        <f t="shared" si="19"/>
        <v>7</v>
      </c>
      <c r="Q107" s="123">
        <f t="shared" si="19"/>
        <v>7</v>
      </c>
      <c r="R107" s="123">
        <f t="shared" si="19"/>
        <v>7</v>
      </c>
      <c r="S107" s="123">
        <f t="shared" si="19"/>
        <v>7</v>
      </c>
      <c r="T107" s="123">
        <f t="shared" si="20"/>
        <v>7</v>
      </c>
      <c r="U107" s="123">
        <f t="shared" si="20"/>
        <v>7</v>
      </c>
      <c r="V107" s="123">
        <f t="shared" si="20"/>
        <v>7</v>
      </c>
      <c r="W107" s="123">
        <f t="shared" si="20"/>
        <v>7</v>
      </c>
      <c r="X107" s="123">
        <f t="shared" si="20"/>
        <v>7</v>
      </c>
      <c r="Y107" s="123">
        <f t="shared" si="20"/>
        <v>7</v>
      </c>
      <c r="Z107" s="123">
        <f t="shared" si="20"/>
        <v>7</v>
      </c>
      <c r="AA107" s="123">
        <f t="shared" si="20"/>
        <v>7</v>
      </c>
      <c r="AB107" s="123">
        <f t="shared" si="20"/>
        <v>7</v>
      </c>
      <c r="AC107" s="123">
        <f t="shared" si="20"/>
        <v>7</v>
      </c>
      <c r="AD107" s="123">
        <f t="shared" si="20"/>
        <v>7</v>
      </c>
      <c r="AE107" s="123">
        <f t="shared" si="20"/>
        <v>7</v>
      </c>
      <c r="AF107" s="123">
        <f t="shared" si="20"/>
        <v>7</v>
      </c>
      <c r="AG107" s="126">
        <v>9.4</v>
      </c>
      <c r="AH107" s="54"/>
      <c r="AI107" s="55"/>
      <c r="AK107" s="56"/>
    </row>
    <row r="108" spans="1:37" x14ac:dyDescent="0.25">
      <c r="A108" s="111" t="s">
        <v>113</v>
      </c>
      <c r="B108" s="123"/>
      <c r="C108" s="124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  <c r="AC108" s="123"/>
      <c r="AD108" s="123"/>
      <c r="AE108" s="123"/>
      <c r="AF108" s="123"/>
      <c r="AG108" s="126">
        <v>8.8000000000000007</v>
      </c>
      <c r="AH108" s="54"/>
      <c r="AI108" s="55"/>
      <c r="AK108" s="56"/>
    </row>
    <row r="109" spans="1:37" x14ac:dyDescent="0.25">
      <c r="A109" s="111" t="s">
        <v>114</v>
      </c>
      <c r="B109" s="123">
        <f>AF109</f>
        <v>2.25</v>
      </c>
      <c r="C109" s="124">
        <v>2.25</v>
      </c>
      <c r="D109" s="123">
        <f t="shared" ref="D109:S110" si="21">C109</f>
        <v>2.25</v>
      </c>
      <c r="E109" s="123">
        <f t="shared" si="21"/>
        <v>2.25</v>
      </c>
      <c r="F109" s="123">
        <f t="shared" si="21"/>
        <v>2.25</v>
      </c>
      <c r="G109" s="123">
        <f t="shared" si="21"/>
        <v>2.25</v>
      </c>
      <c r="H109" s="123">
        <f t="shared" si="21"/>
        <v>2.25</v>
      </c>
      <c r="I109" s="123">
        <f t="shared" si="21"/>
        <v>2.25</v>
      </c>
      <c r="J109" s="123">
        <f t="shared" si="21"/>
        <v>2.25</v>
      </c>
      <c r="K109" s="123">
        <f t="shared" si="21"/>
        <v>2.25</v>
      </c>
      <c r="L109" s="123">
        <f t="shared" si="21"/>
        <v>2.25</v>
      </c>
      <c r="M109" s="123">
        <f t="shared" si="21"/>
        <v>2.25</v>
      </c>
      <c r="N109" s="123">
        <f t="shared" si="21"/>
        <v>2.25</v>
      </c>
      <c r="O109" s="123">
        <f t="shared" si="21"/>
        <v>2.25</v>
      </c>
      <c r="P109" s="123">
        <f t="shared" si="21"/>
        <v>2.25</v>
      </c>
      <c r="Q109" s="123">
        <f t="shared" si="21"/>
        <v>2.25</v>
      </c>
      <c r="R109" s="123">
        <f t="shared" si="21"/>
        <v>2.25</v>
      </c>
      <c r="S109" s="123">
        <f t="shared" si="21"/>
        <v>2.25</v>
      </c>
      <c r="T109" s="123">
        <f t="shared" ref="T109:AF110" si="22">S109</f>
        <v>2.25</v>
      </c>
      <c r="U109" s="123">
        <f t="shared" si="22"/>
        <v>2.25</v>
      </c>
      <c r="V109" s="123">
        <f t="shared" si="22"/>
        <v>2.25</v>
      </c>
      <c r="W109" s="123">
        <f t="shared" si="22"/>
        <v>2.25</v>
      </c>
      <c r="X109" s="123">
        <f t="shared" si="22"/>
        <v>2.25</v>
      </c>
      <c r="Y109" s="123">
        <f t="shared" si="22"/>
        <v>2.25</v>
      </c>
      <c r="Z109" s="123">
        <f t="shared" si="22"/>
        <v>2.25</v>
      </c>
      <c r="AA109" s="123">
        <f t="shared" si="22"/>
        <v>2.25</v>
      </c>
      <c r="AB109" s="123">
        <f t="shared" si="22"/>
        <v>2.25</v>
      </c>
      <c r="AC109" s="123">
        <f t="shared" si="22"/>
        <v>2.25</v>
      </c>
      <c r="AD109" s="123">
        <f t="shared" si="22"/>
        <v>2.25</v>
      </c>
      <c r="AE109" s="123">
        <f t="shared" si="22"/>
        <v>2.25</v>
      </c>
      <c r="AF109" s="123">
        <f t="shared" si="22"/>
        <v>2.25</v>
      </c>
      <c r="AG109" s="126">
        <v>8.5</v>
      </c>
      <c r="AH109" s="54"/>
      <c r="AI109" s="55"/>
      <c r="AK109" s="56"/>
    </row>
    <row r="110" spans="1:37" x14ac:dyDescent="0.25">
      <c r="A110" s="111" t="s">
        <v>115</v>
      </c>
      <c r="B110" s="123">
        <f>AF110</f>
        <v>1.64</v>
      </c>
      <c r="C110" s="124">
        <v>1.64</v>
      </c>
      <c r="D110" s="123">
        <f t="shared" si="21"/>
        <v>1.64</v>
      </c>
      <c r="E110" s="123">
        <f t="shared" si="21"/>
        <v>1.64</v>
      </c>
      <c r="F110" s="123">
        <f t="shared" si="21"/>
        <v>1.64</v>
      </c>
      <c r="G110" s="123">
        <f t="shared" si="21"/>
        <v>1.64</v>
      </c>
      <c r="H110" s="123">
        <f t="shared" si="21"/>
        <v>1.64</v>
      </c>
      <c r="I110" s="123">
        <f t="shared" si="21"/>
        <v>1.64</v>
      </c>
      <c r="J110" s="123">
        <f t="shared" si="21"/>
        <v>1.64</v>
      </c>
      <c r="K110" s="123">
        <f t="shared" si="21"/>
        <v>1.64</v>
      </c>
      <c r="L110" s="123">
        <f t="shared" si="21"/>
        <v>1.64</v>
      </c>
      <c r="M110" s="123">
        <f t="shared" si="21"/>
        <v>1.64</v>
      </c>
      <c r="N110" s="123">
        <f t="shared" si="21"/>
        <v>1.64</v>
      </c>
      <c r="O110" s="123">
        <f t="shared" si="21"/>
        <v>1.64</v>
      </c>
      <c r="P110" s="123">
        <f t="shared" si="21"/>
        <v>1.64</v>
      </c>
      <c r="Q110" s="123">
        <f t="shared" si="21"/>
        <v>1.64</v>
      </c>
      <c r="R110" s="123">
        <f t="shared" si="21"/>
        <v>1.64</v>
      </c>
      <c r="S110" s="123">
        <f t="shared" si="21"/>
        <v>1.64</v>
      </c>
      <c r="T110" s="123">
        <f t="shared" si="22"/>
        <v>1.64</v>
      </c>
      <c r="U110" s="123">
        <f t="shared" si="22"/>
        <v>1.64</v>
      </c>
      <c r="V110" s="123">
        <f t="shared" si="22"/>
        <v>1.64</v>
      </c>
      <c r="W110" s="123">
        <f t="shared" si="22"/>
        <v>1.64</v>
      </c>
      <c r="X110" s="123">
        <f t="shared" si="22"/>
        <v>1.64</v>
      </c>
      <c r="Y110" s="123">
        <f t="shared" si="22"/>
        <v>1.64</v>
      </c>
      <c r="Z110" s="123">
        <f t="shared" si="22"/>
        <v>1.64</v>
      </c>
      <c r="AA110" s="123">
        <f t="shared" si="22"/>
        <v>1.64</v>
      </c>
      <c r="AB110" s="123">
        <f t="shared" si="22"/>
        <v>1.64</v>
      </c>
      <c r="AC110" s="123">
        <f t="shared" si="22"/>
        <v>1.64</v>
      </c>
      <c r="AD110" s="123">
        <f t="shared" si="22"/>
        <v>1.64</v>
      </c>
      <c r="AE110" s="123">
        <f t="shared" si="22"/>
        <v>1.64</v>
      </c>
      <c r="AF110" s="123">
        <f t="shared" si="22"/>
        <v>1.64</v>
      </c>
      <c r="AG110" s="126">
        <v>8.5</v>
      </c>
      <c r="AH110" s="54"/>
      <c r="AI110" s="55"/>
      <c r="AK110" s="56"/>
    </row>
    <row r="111" spans="1:37" x14ac:dyDescent="0.25">
      <c r="A111" s="111" t="s">
        <v>116</v>
      </c>
      <c r="B111" s="123"/>
      <c r="C111" s="124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6">
        <v>8.4</v>
      </c>
      <c r="AH111" s="54"/>
      <c r="AI111" s="55"/>
      <c r="AK111" s="56"/>
    </row>
    <row r="112" spans="1:37" ht="13.5" customHeight="1" x14ac:dyDescent="0.25">
      <c r="A112" s="111" t="s">
        <v>117</v>
      </c>
      <c r="B112" s="123">
        <f t="shared" ref="B112:B129" si="23">AF112</f>
        <v>1.62</v>
      </c>
      <c r="C112" s="124">
        <v>1.62</v>
      </c>
      <c r="D112" s="123">
        <f t="shared" ref="D112:S119" si="24">C112</f>
        <v>1.62</v>
      </c>
      <c r="E112" s="123">
        <f t="shared" si="24"/>
        <v>1.62</v>
      </c>
      <c r="F112" s="123">
        <f t="shared" si="24"/>
        <v>1.62</v>
      </c>
      <c r="G112" s="123">
        <f t="shared" si="24"/>
        <v>1.62</v>
      </c>
      <c r="H112" s="123">
        <f t="shared" si="24"/>
        <v>1.62</v>
      </c>
      <c r="I112" s="123">
        <f t="shared" si="24"/>
        <v>1.62</v>
      </c>
      <c r="J112" s="123">
        <f t="shared" si="24"/>
        <v>1.62</v>
      </c>
      <c r="K112" s="123">
        <f t="shared" si="24"/>
        <v>1.62</v>
      </c>
      <c r="L112" s="123">
        <f t="shared" si="24"/>
        <v>1.62</v>
      </c>
      <c r="M112" s="123">
        <f t="shared" si="24"/>
        <v>1.62</v>
      </c>
      <c r="N112" s="123">
        <f t="shared" si="24"/>
        <v>1.62</v>
      </c>
      <c r="O112" s="123">
        <f t="shared" si="24"/>
        <v>1.62</v>
      </c>
      <c r="P112" s="123">
        <f t="shared" si="24"/>
        <v>1.62</v>
      </c>
      <c r="Q112" s="123">
        <f t="shared" si="24"/>
        <v>1.62</v>
      </c>
      <c r="R112" s="123">
        <f t="shared" si="24"/>
        <v>1.62</v>
      </c>
      <c r="S112" s="123">
        <f t="shared" si="24"/>
        <v>1.62</v>
      </c>
      <c r="T112" s="123">
        <f t="shared" ref="T112:AF127" si="25">S112</f>
        <v>1.62</v>
      </c>
      <c r="U112" s="123">
        <f t="shared" si="25"/>
        <v>1.62</v>
      </c>
      <c r="V112" s="123">
        <f t="shared" si="25"/>
        <v>1.62</v>
      </c>
      <c r="W112" s="123">
        <f t="shared" si="25"/>
        <v>1.62</v>
      </c>
      <c r="X112" s="123">
        <f t="shared" si="25"/>
        <v>1.62</v>
      </c>
      <c r="Y112" s="123">
        <f t="shared" si="25"/>
        <v>1.62</v>
      </c>
      <c r="Z112" s="123">
        <f t="shared" si="25"/>
        <v>1.62</v>
      </c>
      <c r="AA112" s="123">
        <f t="shared" si="25"/>
        <v>1.62</v>
      </c>
      <c r="AB112" s="123">
        <f t="shared" si="25"/>
        <v>1.62</v>
      </c>
      <c r="AC112" s="123">
        <f t="shared" si="25"/>
        <v>1.62</v>
      </c>
      <c r="AD112" s="123">
        <f t="shared" si="25"/>
        <v>1.62</v>
      </c>
      <c r="AE112" s="123">
        <f t="shared" si="25"/>
        <v>1.62</v>
      </c>
      <c r="AF112" s="123">
        <f t="shared" si="25"/>
        <v>1.62</v>
      </c>
      <c r="AG112" s="126">
        <v>8</v>
      </c>
      <c r="AH112" s="54"/>
      <c r="AI112" s="55"/>
      <c r="AK112" s="56"/>
    </row>
    <row r="113" spans="1:37" x14ac:dyDescent="0.25">
      <c r="A113" s="111" t="s">
        <v>118</v>
      </c>
      <c r="B113" s="123">
        <f t="shared" si="23"/>
        <v>8.36</v>
      </c>
      <c r="C113" s="124">
        <v>8.36</v>
      </c>
      <c r="D113" s="123">
        <f t="shared" si="24"/>
        <v>8.36</v>
      </c>
      <c r="E113" s="123">
        <f t="shared" si="24"/>
        <v>8.36</v>
      </c>
      <c r="F113" s="123">
        <f t="shared" si="24"/>
        <v>8.36</v>
      </c>
      <c r="G113" s="123">
        <f t="shared" si="24"/>
        <v>8.36</v>
      </c>
      <c r="H113" s="123">
        <f t="shared" si="24"/>
        <v>8.36</v>
      </c>
      <c r="I113" s="123">
        <f t="shared" si="24"/>
        <v>8.36</v>
      </c>
      <c r="J113" s="123">
        <f t="shared" si="24"/>
        <v>8.36</v>
      </c>
      <c r="K113" s="123">
        <f t="shared" si="24"/>
        <v>8.36</v>
      </c>
      <c r="L113" s="123">
        <f t="shared" si="24"/>
        <v>8.36</v>
      </c>
      <c r="M113" s="123">
        <f t="shared" si="24"/>
        <v>8.36</v>
      </c>
      <c r="N113" s="123">
        <f t="shared" si="24"/>
        <v>8.36</v>
      </c>
      <c r="O113" s="123">
        <f t="shared" si="24"/>
        <v>8.36</v>
      </c>
      <c r="P113" s="123">
        <f t="shared" si="24"/>
        <v>8.36</v>
      </c>
      <c r="Q113" s="123">
        <f t="shared" si="24"/>
        <v>8.36</v>
      </c>
      <c r="R113" s="123">
        <f t="shared" si="24"/>
        <v>8.36</v>
      </c>
      <c r="S113" s="123">
        <f t="shared" si="24"/>
        <v>8.36</v>
      </c>
      <c r="T113" s="123">
        <f t="shared" si="25"/>
        <v>8.36</v>
      </c>
      <c r="U113" s="123">
        <f t="shared" si="25"/>
        <v>8.36</v>
      </c>
      <c r="V113" s="123">
        <f t="shared" si="25"/>
        <v>8.36</v>
      </c>
      <c r="W113" s="123">
        <f t="shared" si="25"/>
        <v>8.36</v>
      </c>
      <c r="X113" s="123">
        <f t="shared" si="25"/>
        <v>8.36</v>
      </c>
      <c r="Y113" s="123">
        <f t="shared" si="25"/>
        <v>8.36</v>
      </c>
      <c r="Z113" s="123">
        <f t="shared" si="25"/>
        <v>8.36</v>
      </c>
      <c r="AA113" s="123">
        <f t="shared" si="25"/>
        <v>8.36</v>
      </c>
      <c r="AB113" s="123">
        <f t="shared" si="25"/>
        <v>8.36</v>
      </c>
      <c r="AC113" s="123">
        <f t="shared" si="25"/>
        <v>8.36</v>
      </c>
      <c r="AD113" s="123">
        <f t="shared" si="25"/>
        <v>8.36</v>
      </c>
      <c r="AE113" s="123">
        <f t="shared" si="25"/>
        <v>8.36</v>
      </c>
      <c r="AF113" s="123">
        <f t="shared" si="25"/>
        <v>8.36</v>
      </c>
      <c r="AG113" s="126">
        <v>8</v>
      </c>
      <c r="AH113" s="54"/>
      <c r="AI113" s="55"/>
      <c r="AK113" s="56"/>
    </row>
    <row r="114" spans="1:37" x14ac:dyDescent="0.25">
      <c r="A114" s="111" t="s">
        <v>119</v>
      </c>
      <c r="B114" s="123">
        <f t="shared" si="23"/>
        <v>5.4</v>
      </c>
      <c r="C114" s="124">
        <v>8</v>
      </c>
      <c r="D114" s="123">
        <f t="shared" si="24"/>
        <v>8</v>
      </c>
      <c r="E114" s="123">
        <f t="shared" si="24"/>
        <v>8</v>
      </c>
      <c r="F114" s="123">
        <f t="shared" si="24"/>
        <v>8</v>
      </c>
      <c r="G114" s="123">
        <f t="shared" si="24"/>
        <v>8</v>
      </c>
      <c r="H114" s="123">
        <f t="shared" si="24"/>
        <v>8</v>
      </c>
      <c r="I114" s="123">
        <f t="shared" si="24"/>
        <v>8</v>
      </c>
      <c r="J114" s="123">
        <v>5.4</v>
      </c>
      <c r="K114" s="123">
        <f t="shared" si="24"/>
        <v>5.4</v>
      </c>
      <c r="L114" s="123">
        <f t="shared" si="24"/>
        <v>5.4</v>
      </c>
      <c r="M114" s="123">
        <f t="shared" si="24"/>
        <v>5.4</v>
      </c>
      <c r="N114" s="123">
        <f t="shared" si="24"/>
        <v>5.4</v>
      </c>
      <c r="O114" s="123">
        <f t="shared" si="24"/>
        <v>5.4</v>
      </c>
      <c r="P114" s="123">
        <f t="shared" si="24"/>
        <v>5.4</v>
      </c>
      <c r="Q114" s="123">
        <f t="shared" si="24"/>
        <v>5.4</v>
      </c>
      <c r="R114" s="123">
        <f t="shared" si="24"/>
        <v>5.4</v>
      </c>
      <c r="S114" s="123">
        <f t="shared" si="24"/>
        <v>5.4</v>
      </c>
      <c r="T114" s="123">
        <f t="shared" si="25"/>
        <v>5.4</v>
      </c>
      <c r="U114" s="123">
        <f t="shared" si="25"/>
        <v>5.4</v>
      </c>
      <c r="V114" s="123">
        <f t="shared" si="25"/>
        <v>5.4</v>
      </c>
      <c r="W114" s="123">
        <f t="shared" si="25"/>
        <v>5.4</v>
      </c>
      <c r="X114" s="123">
        <f t="shared" si="25"/>
        <v>5.4</v>
      </c>
      <c r="Y114" s="123">
        <f t="shared" si="25"/>
        <v>5.4</v>
      </c>
      <c r="Z114" s="123">
        <f t="shared" si="25"/>
        <v>5.4</v>
      </c>
      <c r="AA114" s="123">
        <f t="shared" si="25"/>
        <v>5.4</v>
      </c>
      <c r="AB114" s="123">
        <f t="shared" si="25"/>
        <v>5.4</v>
      </c>
      <c r="AC114" s="123">
        <f t="shared" si="25"/>
        <v>5.4</v>
      </c>
      <c r="AD114" s="123">
        <f t="shared" si="25"/>
        <v>5.4</v>
      </c>
      <c r="AE114" s="123">
        <f t="shared" si="25"/>
        <v>5.4</v>
      </c>
      <c r="AF114" s="123">
        <f t="shared" si="25"/>
        <v>5.4</v>
      </c>
      <c r="AG114" s="126">
        <v>8</v>
      </c>
      <c r="AH114" s="54"/>
      <c r="AI114" s="55"/>
      <c r="AK114" s="56"/>
    </row>
    <row r="115" spans="1:37" x14ac:dyDescent="0.25">
      <c r="A115" s="111" t="s">
        <v>120</v>
      </c>
      <c r="B115" s="123">
        <f t="shared" si="23"/>
        <v>6.57</v>
      </c>
      <c r="C115" s="124">
        <v>6.57</v>
      </c>
      <c r="D115" s="123">
        <f t="shared" si="24"/>
        <v>6.57</v>
      </c>
      <c r="E115" s="123">
        <f t="shared" si="24"/>
        <v>6.57</v>
      </c>
      <c r="F115" s="123">
        <f t="shared" si="24"/>
        <v>6.57</v>
      </c>
      <c r="G115" s="123">
        <f t="shared" si="24"/>
        <v>6.57</v>
      </c>
      <c r="H115" s="123">
        <f t="shared" si="24"/>
        <v>6.57</v>
      </c>
      <c r="I115" s="123">
        <f t="shared" si="24"/>
        <v>6.57</v>
      </c>
      <c r="J115" s="123">
        <f t="shared" si="24"/>
        <v>6.57</v>
      </c>
      <c r="K115" s="123">
        <f t="shared" si="24"/>
        <v>6.57</v>
      </c>
      <c r="L115" s="123">
        <f t="shared" si="24"/>
        <v>6.57</v>
      </c>
      <c r="M115" s="123">
        <f t="shared" si="24"/>
        <v>6.57</v>
      </c>
      <c r="N115" s="123">
        <f t="shared" si="24"/>
        <v>6.57</v>
      </c>
      <c r="O115" s="123">
        <f t="shared" si="24"/>
        <v>6.57</v>
      </c>
      <c r="P115" s="123">
        <f t="shared" si="24"/>
        <v>6.57</v>
      </c>
      <c r="Q115" s="123">
        <f t="shared" si="24"/>
        <v>6.57</v>
      </c>
      <c r="R115" s="123">
        <f t="shared" si="24"/>
        <v>6.57</v>
      </c>
      <c r="S115" s="123">
        <f t="shared" si="24"/>
        <v>6.57</v>
      </c>
      <c r="T115" s="123">
        <f t="shared" si="25"/>
        <v>6.57</v>
      </c>
      <c r="U115" s="123">
        <f t="shared" si="25"/>
        <v>6.57</v>
      </c>
      <c r="V115" s="123">
        <f t="shared" si="25"/>
        <v>6.57</v>
      </c>
      <c r="W115" s="123">
        <f t="shared" si="25"/>
        <v>6.57</v>
      </c>
      <c r="X115" s="123">
        <f t="shared" si="25"/>
        <v>6.57</v>
      </c>
      <c r="Y115" s="123">
        <f t="shared" si="25"/>
        <v>6.57</v>
      </c>
      <c r="Z115" s="123">
        <f t="shared" si="25"/>
        <v>6.57</v>
      </c>
      <c r="AA115" s="123">
        <f t="shared" si="25"/>
        <v>6.57</v>
      </c>
      <c r="AB115" s="123">
        <f t="shared" si="25"/>
        <v>6.57</v>
      </c>
      <c r="AC115" s="123">
        <f t="shared" si="25"/>
        <v>6.57</v>
      </c>
      <c r="AD115" s="123">
        <f t="shared" si="25"/>
        <v>6.57</v>
      </c>
      <c r="AE115" s="123">
        <f t="shared" si="25"/>
        <v>6.57</v>
      </c>
      <c r="AF115" s="123">
        <f t="shared" si="25"/>
        <v>6.57</v>
      </c>
      <c r="AG115" s="126">
        <v>7.8</v>
      </c>
      <c r="AH115" s="54"/>
      <c r="AI115" s="55"/>
      <c r="AK115" s="56"/>
    </row>
    <row r="116" spans="1:37" x14ac:dyDescent="0.25">
      <c r="A116" s="111" t="s">
        <v>121</v>
      </c>
      <c r="B116" s="123">
        <f t="shared" si="23"/>
        <v>3.43</v>
      </c>
      <c r="C116" s="124">
        <v>3.43</v>
      </c>
      <c r="D116" s="123">
        <f t="shared" si="24"/>
        <v>3.43</v>
      </c>
      <c r="E116" s="123">
        <f t="shared" si="24"/>
        <v>3.43</v>
      </c>
      <c r="F116" s="123">
        <f t="shared" si="24"/>
        <v>3.43</v>
      </c>
      <c r="G116" s="123">
        <f t="shared" si="24"/>
        <v>3.43</v>
      </c>
      <c r="H116" s="123">
        <f t="shared" si="24"/>
        <v>3.43</v>
      </c>
      <c r="I116" s="123">
        <f t="shared" si="24"/>
        <v>3.43</v>
      </c>
      <c r="J116" s="123">
        <f t="shared" si="24"/>
        <v>3.43</v>
      </c>
      <c r="K116" s="123">
        <f t="shared" si="24"/>
        <v>3.43</v>
      </c>
      <c r="L116" s="123">
        <f t="shared" si="24"/>
        <v>3.43</v>
      </c>
      <c r="M116" s="123">
        <f t="shared" si="24"/>
        <v>3.43</v>
      </c>
      <c r="N116" s="123">
        <f t="shared" si="24"/>
        <v>3.43</v>
      </c>
      <c r="O116" s="123">
        <f t="shared" si="24"/>
        <v>3.43</v>
      </c>
      <c r="P116" s="123">
        <f t="shared" si="24"/>
        <v>3.43</v>
      </c>
      <c r="Q116" s="123">
        <f t="shared" si="24"/>
        <v>3.43</v>
      </c>
      <c r="R116" s="123">
        <f t="shared" si="24"/>
        <v>3.43</v>
      </c>
      <c r="S116" s="123">
        <f t="shared" si="24"/>
        <v>3.43</v>
      </c>
      <c r="T116" s="123">
        <f t="shared" si="25"/>
        <v>3.43</v>
      </c>
      <c r="U116" s="123">
        <f t="shared" si="25"/>
        <v>3.43</v>
      </c>
      <c r="V116" s="123">
        <f t="shared" si="25"/>
        <v>3.43</v>
      </c>
      <c r="W116" s="123">
        <f t="shared" si="25"/>
        <v>3.43</v>
      </c>
      <c r="X116" s="123">
        <f t="shared" si="25"/>
        <v>3.43</v>
      </c>
      <c r="Y116" s="123">
        <f t="shared" si="25"/>
        <v>3.43</v>
      </c>
      <c r="Z116" s="123">
        <f t="shared" si="25"/>
        <v>3.43</v>
      </c>
      <c r="AA116" s="123">
        <f t="shared" si="25"/>
        <v>3.43</v>
      </c>
      <c r="AB116" s="123">
        <f t="shared" si="25"/>
        <v>3.43</v>
      </c>
      <c r="AC116" s="123">
        <f t="shared" si="25"/>
        <v>3.43</v>
      </c>
      <c r="AD116" s="123">
        <f t="shared" si="25"/>
        <v>3.43</v>
      </c>
      <c r="AE116" s="123">
        <f t="shared" si="25"/>
        <v>3.43</v>
      </c>
      <c r="AF116" s="123">
        <f t="shared" si="25"/>
        <v>3.43</v>
      </c>
      <c r="AG116" s="126">
        <v>7.6</v>
      </c>
      <c r="AH116" s="54"/>
      <c r="AI116" s="55"/>
      <c r="AK116" s="56"/>
    </row>
    <row r="117" spans="1:37" x14ac:dyDescent="0.25">
      <c r="A117" s="111" t="s">
        <v>122</v>
      </c>
      <c r="B117" s="123">
        <f t="shared" si="23"/>
        <v>2.96</v>
      </c>
      <c r="C117" s="124">
        <v>2.96</v>
      </c>
      <c r="D117" s="123">
        <f t="shared" si="24"/>
        <v>2.96</v>
      </c>
      <c r="E117" s="123">
        <f t="shared" si="24"/>
        <v>2.96</v>
      </c>
      <c r="F117" s="123">
        <f t="shared" si="24"/>
        <v>2.96</v>
      </c>
      <c r="G117" s="123">
        <f t="shared" si="24"/>
        <v>2.96</v>
      </c>
      <c r="H117" s="123">
        <f t="shared" si="24"/>
        <v>2.96</v>
      </c>
      <c r="I117" s="123">
        <f t="shared" si="24"/>
        <v>2.96</v>
      </c>
      <c r="J117" s="123">
        <f t="shared" si="24"/>
        <v>2.96</v>
      </c>
      <c r="K117" s="123">
        <f t="shared" si="24"/>
        <v>2.96</v>
      </c>
      <c r="L117" s="123">
        <f t="shared" si="24"/>
        <v>2.96</v>
      </c>
      <c r="M117" s="123">
        <f t="shared" si="24"/>
        <v>2.96</v>
      </c>
      <c r="N117" s="123">
        <f t="shared" si="24"/>
        <v>2.96</v>
      </c>
      <c r="O117" s="123">
        <f t="shared" si="24"/>
        <v>2.96</v>
      </c>
      <c r="P117" s="123">
        <f t="shared" si="24"/>
        <v>2.96</v>
      </c>
      <c r="Q117" s="123">
        <f t="shared" si="24"/>
        <v>2.96</v>
      </c>
      <c r="R117" s="123">
        <f t="shared" si="24"/>
        <v>2.96</v>
      </c>
      <c r="S117" s="123">
        <f t="shared" si="24"/>
        <v>2.96</v>
      </c>
      <c r="T117" s="123">
        <f t="shared" si="25"/>
        <v>2.96</v>
      </c>
      <c r="U117" s="123">
        <f t="shared" si="25"/>
        <v>2.96</v>
      </c>
      <c r="V117" s="123">
        <f t="shared" si="25"/>
        <v>2.96</v>
      </c>
      <c r="W117" s="123">
        <f t="shared" si="25"/>
        <v>2.96</v>
      </c>
      <c r="X117" s="123">
        <f t="shared" si="25"/>
        <v>2.96</v>
      </c>
      <c r="Y117" s="123">
        <f t="shared" si="25"/>
        <v>2.96</v>
      </c>
      <c r="Z117" s="123">
        <f t="shared" si="25"/>
        <v>2.96</v>
      </c>
      <c r="AA117" s="123">
        <f t="shared" si="25"/>
        <v>2.96</v>
      </c>
      <c r="AB117" s="123">
        <f t="shared" si="25"/>
        <v>2.96</v>
      </c>
      <c r="AC117" s="123">
        <f t="shared" si="25"/>
        <v>2.96</v>
      </c>
      <c r="AD117" s="123">
        <f t="shared" si="25"/>
        <v>2.96</v>
      </c>
      <c r="AE117" s="123">
        <f t="shared" si="25"/>
        <v>2.96</v>
      </c>
      <c r="AF117" s="123">
        <f t="shared" si="25"/>
        <v>2.96</v>
      </c>
      <c r="AG117" s="126">
        <v>7.5</v>
      </c>
      <c r="AH117" s="54"/>
      <c r="AI117" s="55"/>
      <c r="AK117" s="56"/>
    </row>
    <row r="118" spans="1:37" x14ac:dyDescent="0.25">
      <c r="A118" s="111" t="s">
        <v>123</v>
      </c>
      <c r="B118" s="123">
        <f t="shared" si="23"/>
        <v>8</v>
      </c>
      <c r="C118" s="124">
        <v>8</v>
      </c>
      <c r="D118" s="123">
        <f t="shared" si="24"/>
        <v>8</v>
      </c>
      <c r="E118" s="123">
        <f t="shared" si="24"/>
        <v>8</v>
      </c>
      <c r="F118" s="123">
        <f t="shared" si="24"/>
        <v>8</v>
      </c>
      <c r="G118" s="123">
        <f t="shared" si="24"/>
        <v>8</v>
      </c>
      <c r="H118" s="123">
        <f t="shared" si="24"/>
        <v>8</v>
      </c>
      <c r="I118" s="123">
        <f t="shared" si="24"/>
        <v>8</v>
      </c>
      <c r="J118" s="123">
        <f t="shared" si="24"/>
        <v>8</v>
      </c>
      <c r="K118" s="123">
        <f t="shared" si="24"/>
        <v>8</v>
      </c>
      <c r="L118" s="123">
        <f t="shared" si="24"/>
        <v>8</v>
      </c>
      <c r="M118" s="123">
        <f t="shared" si="24"/>
        <v>8</v>
      </c>
      <c r="N118" s="123">
        <f t="shared" si="24"/>
        <v>8</v>
      </c>
      <c r="O118" s="123">
        <f t="shared" si="24"/>
        <v>8</v>
      </c>
      <c r="P118" s="123">
        <f t="shared" si="24"/>
        <v>8</v>
      </c>
      <c r="Q118" s="123">
        <f t="shared" si="24"/>
        <v>8</v>
      </c>
      <c r="R118" s="123">
        <f t="shared" si="24"/>
        <v>8</v>
      </c>
      <c r="S118" s="123">
        <f t="shared" si="24"/>
        <v>8</v>
      </c>
      <c r="T118" s="123">
        <f t="shared" si="25"/>
        <v>8</v>
      </c>
      <c r="U118" s="123">
        <f t="shared" si="25"/>
        <v>8</v>
      </c>
      <c r="V118" s="123">
        <f t="shared" si="25"/>
        <v>8</v>
      </c>
      <c r="W118" s="123">
        <f t="shared" si="25"/>
        <v>8</v>
      </c>
      <c r="X118" s="123">
        <f t="shared" si="25"/>
        <v>8</v>
      </c>
      <c r="Y118" s="123">
        <f t="shared" si="25"/>
        <v>8</v>
      </c>
      <c r="Z118" s="123">
        <f t="shared" si="25"/>
        <v>8</v>
      </c>
      <c r="AA118" s="123">
        <f t="shared" si="25"/>
        <v>8</v>
      </c>
      <c r="AB118" s="123">
        <f t="shared" si="25"/>
        <v>8</v>
      </c>
      <c r="AC118" s="123">
        <f t="shared" si="25"/>
        <v>8</v>
      </c>
      <c r="AD118" s="123">
        <f t="shared" si="25"/>
        <v>8</v>
      </c>
      <c r="AE118" s="123">
        <f t="shared" si="25"/>
        <v>8</v>
      </c>
      <c r="AF118" s="123">
        <f t="shared" si="25"/>
        <v>8</v>
      </c>
      <c r="AG118" s="126">
        <v>7.5</v>
      </c>
      <c r="AH118" s="54"/>
      <c r="AI118" s="55"/>
      <c r="AK118" s="56"/>
    </row>
    <row r="119" spans="1:37" x14ac:dyDescent="0.25">
      <c r="A119" s="111" t="s">
        <v>124</v>
      </c>
      <c r="B119" s="123">
        <f t="shared" si="23"/>
        <v>7</v>
      </c>
      <c r="C119" s="124">
        <v>7</v>
      </c>
      <c r="D119" s="123">
        <f>C119</f>
        <v>7</v>
      </c>
      <c r="E119" s="123">
        <f t="shared" si="24"/>
        <v>7</v>
      </c>
      <c r="F119" s="123">
        <f t="shared" si="24"/>
        <v>7</v>
      </c>
      <c r="G119" s="123">
        <f t="shared" si="24"/>
        <v>7</v>
      </c>
      <c r="H119" s="123">
        <f t="shared" si="24"/>
        <v>7</v>
      </c>
      <c r="I119" s="123">
        <f t="shared" si="24"/>
        <v>7</v>
      </c>
      <c r="J119" s="123">
        <f t="shared" si="24"/>
        <v>7</v>
      </c>
      <c r="K119" s="123">
        <f t="shared" si="24"/>
        <v>7</v>
      </c>
      <c r="L119" s="123">
        <f t="shared" si="24"/>
        <v>7</v>
      </c>
      <c r="M119" s="123">
        <f t="shared" si="24"/>
        <v>7</v>
      </c>
      <c r="N119" s="123">
        <f t="shared" si="24"/>
        <v>7</v>
      </c>
      <c r="O119" s="123">
        <f t="shared" si="24"/>
        <v>7</v>
      </c>
      <c r="P119" s="123">
        <f t="shared" si="24"/>
        <v>7</v>
      </c>
      <c r="Q119" s="123">
        <f t="shared" si="24"/>
        <v>7</v>
      </c>
      <c r="R119" s="123">
        <f t="shared" si="24"/>
        <v>7</v>
      </c>
      <c r="S119" s="123">
        <f t="shared" si="24"/>
        <v>7</v>
      </c>
      <c r="T119" s="123">
        <f t="shared" si="25"/>
        <v>7</v>
      </c>
      <c r="U119" s="123">
        <f t="shared" si="25"/>
        <v>7</v>
      </c>
      <c r="V119" s="123">
        <f t="shared" si="25"/>
        <v>7</v>
      </c>
      <c r="W119" s="123">
        <f t="shared" si="25"/>
        <v>7</v>
      </c>
      <c r="X119" s="123">
        <f t="shared" si="25"/>
        <v>7</v>
      </c>
      <c r="Y119" s="123">
        <f t="shared" si="25"/>
        <v>7</v>
      </c>
      <c r="Z119" s="123">
        <f t="shared" si="25"/>
        <v>7</v>
      </c>
      <c r="AA119" s="123">
        <f t="shared" si="25"/>
        <v>7</v>
      </c>
      <c r="AB119" s="123">
        <f t="shared" si="25"/>
        <v>7</v>
      </c>
      <c r="AC119" s="123">
        <f t="shared" si="25"/>
        <v>7</v>
      </c>
      <c r="AD119" s="123">
        <f t="shared" si="25"/>
        <v>7</v>
      </c>
      <c r="AE119" s="123">
        <f t="shared" si="25"/>
        <v>7</v>
      </c>
      <c r="AF119" s="123">
        <f t="shared" si="25"/>
        <v>7</v>
      </c>
      <c r="AG119" s="126">
        <v>7</v>
      </c>
      <c r="AH119" s="54"/>
      <c r="AI119" s="55"/>
      <c r="AK119" s="56"/>
    </row>
    <row r="120" spans="1:37" x14ac:dyDescent="0.25">
      <c r="A120" s="111" t="s">
        <v>125</v>
      </c>
      <c r="B120" s="123">
        <f t="shared" si="23"/>
        <v>3.47</v>
      </c>
      <c r="C120" s="124">
        <v>3.47</v>
      </c>
      <c r="D120" s="123">
        <f t="shared" ref="D120:S129" si="26">C120</f>
        <v>3.47</v>
      </c>
      <c r="E120" s="123">
        <f t="shared" si="26"/>
        <v>3.47</v>
      </c>
      <c r="F120" s="123">
        <f t="shared" si="26"/>
        <v>3.47</v>
      </c>
      <c r="G120" s="123">
        <f t="shared" si="26"/>
        <v>3.47</v>
      </c>
      <c r="H120" s="123">
        <f t="shared" si="26"/>
        <v>3.47</v>
      </c>
      <c r="I120" s="123">
        <f t="shared" si="26"/>
        <v>3.47</v>
      </c>
      <c r="J120" s="123">
        <f t="shared" si="26"/>
        <v>3.47</v>
      </c>
      <c r="K120" s="123">
        <f t="shared" si="26"/>
        <v>3.47</v>
      </c>
      <c r="L120" s="123">
        <f t="shared" si="26"/>
        <v>3.47</v>
      </c>
      <c r="M120" s="123">
        <f t="shared" si="26"/>
        <v>3.47</v>
      </c>
      <c r="N120" s="123">
        <f t="shared" si="26"/>
        <v>3.47</v>
      </c>
      <c r="O120" s="123">
        <f t="shared" si="26"/>
        <v>3.47</v>
      </c>
      <c r="P120" s="123">
        <f t="shared" si="26"/>
        <v>3.47</v>
      </c>
      <c r="Q120" s="123">
        <f t="shared" si="26"/>
        <v>3.47</v>
      </c>
      <c r="R120" s="123">
        <f t="shared" si="26"/>
        <v>3.47</v>
      </c>
      <c r="S120" s="123">
        <f t="shared" si="26"/>
        <v>3.47</v>
      </c>
      <c r="T120" s="123">
        <f t="shared" si="25"/>
        <v>3.47</v>
      </c>
      <c r="U120" s="123">
        <f t="shared" si="25"/>
        <v>3.47</v>
      </c>
      <c r="V120" s="123">
        <f t="shared" si="25"/>
        <v>3.47</v>
      </c>
      <c r="W120" s="123">
        <f t="shared" si="25"/>
        <v>3.47</v>
      </c>
      <c r="X120" s="123">
        <f t="shared" si="25"/>
        <v>3.47</v>
      </c>
      <c r="Y120" s="123">
        <f t="shared" si="25"/>
        <v>3.47</v>
      </c>
      <c r="Z120" s="123">
        <f t="shared" si="25"/>
        <v>3.47</v>
      </c>
      <c r="AA120" s="123">
        <f t="shared" si="25"/>
        <v>3.47</v>
      </c>
      <c r="AB120" s="123">
        <f t="shared" si="25"/>
        <v>3.47</v>
      </c>
      <c r="AC120" s="123">
        <f t="shared" si="25"/>
        <v>3.47</v>
      </c>
      <c r="AD120" s="123">
        <f t="shared" si="25"/>
        <v>3.47</v>
      </c>
      <c r="AE120" s="123">
        <f t="shared" si="25"/>
        <v>3.47</v>
      </c>
      <c r="AF120" s="123">
        <f t="shared" si="25"/>
        <v>3.47</v>
      </c>
      <c r="AG120" s="126">
        <v>7</v>
      </c>
      <c r="AH120" s="54"/>
      <c r="AI120" s="55"/>
      <c r="AK120" s="56"/>
    </row>
    <row r="121" spans="1:37" x14ac:dyDescent="0.25">
      <c r="A121" s="111" t="s">
        <v>126</v>
      </c>
      <c r="B121" s="123">
        <f t="shared" si="23"/>
        <v>2.1</v>
      </c>
      <c r="C121" s="124">
        <v>2.1</v>
      </c>
      <c r="D121" s="123">
        <f t="shared" si="26"/>
        <v>2.1</v>
      </c>
      <c r="E121" s="123">
        <f t="shared" si="26"/>
        <v>2.1</v>
      </c>
      <c r="F121" s="123">
        <f t="shared" si="26"/>
        <v>2.1</v>
      </c>
      <c r="G121" s="123">
        <f t="shared" si="26"/>
        <v>2.1</v>
      </c>
      <c r="H121" s="123">
        <f t="shared" si="26"/>
        <v>2.1</v>
      </c>
      <c r="I121" s="123">
        <f t="shared" si="26"/>
        <v>2.1</v>
      </c>
      <c r="J121" s="123">
        <f t="shared" si="26"/>
        <v>2.1</v>
      </c>
      <c r="K121" s="123">
        <f t="shared" si="26"/>
        <v>2.1</v>
      </c>
      <c r="L121" s="123">
        <f t="shared" si="26"/>
        <v>2.1</v>
      </c>
      <c r="M121" s="123">
        <f t="shared" si="26"/>
        <v>2.1</v>
      </c>
      <c r="N121" s="123">
        <f t="shared" si="26"/>
        <v>2.1</v>
      </c>
      <c r="O121" s="123">
        <f t="shared" si="26"/>
        <v>2.1</v>
      </c>
      <c r="P121" s="123">
        <f t="shared" si="26"/>
        <v>2.1</v>
      </c>
      <c r="Q121" s="123">
        <f t="shared" si="26"/>
        <v>2.1</v>
      </c>
      <c r="R121" s="123">
        <f t="shared" si="26"/>
        <v>2.1</v>
      </c>
      <c r="S121" s="123">
        <f t="shared" si="26"/>
        <v>2.1</v>
      </c>
      <c r="T121" s="123">
        <f t="shared" si="25"/>
        <v>2.1</v>
      </c>
      <c r="U121" s="123">
        <f t="shared" si="25"/>
        <v>2.1</v>
      </c>
      <c r="V121" s="123">
        <f t="shared" si="25"/>
        <v>2.1</v>
      </c>
      <c r="W121" s="123">
        <f t="shared" si="25"/>
        <v>2.1</v>
      </c>
      <c r="X121" s="123">
        <f t="shared" si="25"/>
        <v>2.1</v>
      </c>
      <c r="Y121" s="123">
        <f t="shared" si="25"/>
        <v>2.1</v>
      </c>
      <c r="Z121" s="123">
        <f t="shared" si="25"/>
        <v>2.1</v>
      </c>
      <c r="AA121" s="123">
        <f t="shared" si="25"/>
        <v>2.1</v>
      </c>
      <c r="AB121" s="123">
        <f t="shared" si="25"/>
        <v>2.1</v>
      </c>
      <c r="AC121" s="123">
        <f t="shared" si="25"/>
        <v>2.1</v>
      </c>
      <c r="AD121" s="123">
        <f t="shared" si="25"/>
        <v>2.1</v>
      </c>
      <c r="AE121" s="123">
        <f t="shared" si="25"/>
        <v>2.1</v>
      </c>
      <c r="AF121" s="123">
        <f t="shared" si="25"/>
        <v>2.1</v>
      </c>
      <c r="AG121" s="126">
        <v>7</v>
      </c>
      <c r="AH121" s="54"/>
      <c r="AI121" s="55"/>
      <c r="AK121" s="56"/>
    </row>
    <row r="122" spans="1:37" x14ac:dyDescent="0.25">
      <c r="A122" s="111" t="s">
        <v>127</v>
      </c>
      <c r="B122" s="123">
        <f t="shared" si="23"/>
        <v>9.3000000000000007</v>
      </c>
      <c r="C122" s="124">
        <v>9.3000000000000007</v>
      </c>
      <c r="D122" s="123">
        <f t="shared" si="26"/>
        <v>9.3000000000000007</v>
      </c>
      <c r="E122" s="123">
        <f t="shared" si="26"/>
        <v>9.3000000000000007</v>
      </c>
      <c r="F122" s="123">
        <f t="shared" si="26"/>
        <v>9.3000000000000007</v>
      </c>
      <c r="G122" s="123">
        <f t="shared" si="26"/>
        <v>9.3000000000000007</v>
      </c>
      <c r="H122" s="123">
        <f t="shared" si="26"/>
        <v>9.3000000000000007</v>
      </c>
      <c r="I122" s="123">
        <f t="shared" si="26"/>
        <v>9.3000000000000007</v>
      </c>
      <c r="J122" s="123">
        <f t="shared" si="26"/>
        <v>9.3000000000000007</v>
      </c>
      <c r="K122" s="123">
        <f t="shared" si="26"/>
        <v>9.3000000000000007</v>
      </c>
      <c r="L122" s="123">
        <f t="shared" si="26"/>
        <v>9.3000000000000007</v>
      </c>
      <c r="M122" s="123">
        <f t="shared" si="26"/>
        <v>9.3000000000000007</v>
      </c>
      <c r="N122" s="123">
        <f t="shared" si="26"/>
        <v>9.3000000000000007</v>
      </c>
      <c r="O122" s="123">
        <f t="shared" si="26"/>
        <v>9.3000000000000007</v>
      </c>
      <c r="P122" s="123">
        <f t="shared" si="26"/>
        <v>9.3000000000000007</v>
      </c>
      <c r="Q122" s="123">
        <f t="shared" si="26"/>
        <v>9.3000000000000007</v>
      </c>
      <c r="R122" s="123">
        <f t="shared" si="26"/>
        <v>9.3000000000000007</v>
      </c>
      <c r="S122" s="123">
        <f t="shared" si="26"/>
        <v>9.3000000000000007</v>
      </c>
      <c r="T122" s="123">
        <f t="shared" si="25"/>
        <v>9.3000000000000007</v>
      </c>
      <c r="U122" s="123">
        <f t="shared" si="25"/>
        <v>9.3000000000000007</v>
      </c>
      <c r="V122" s="123">
        <f t="shared" si="25"/>
        <v>9.3000000000000007</v>
      </c>
      <c r="W122" s="123">
        <f t="shared" si="25"/>
        <v>9.3000000000000007</v>
      </c>
      <c r="X122" s="123">
        <f t="shared" si="25"/>
        <v>9.3000000000000007</v>
      </c>
      <c r="Y122" s="123">
        <f t="shared" si="25"/>
        <v>9.3000000000000007</v>
      </c>
      <c r="Z122" s="123">
        <f t="shared" si="25"/>
        <v>9.3000000000000007</v>
      </c>
      <c r="AA122" s="123">
        <f t="shared" si="25"/>
        <v>9.3000000000000007</v>
      </c>
      <c r="AB122" s="123">
        <f t="shared" si="25"/>
        <v>9.3000000000000007</v>
      </c>
      <c r="AC122" s="123">
        <f t="shared" si="25"/>
        <v>9.3000000000000007</v>
      </c>
      <c r="AD122" s="123">
        <f t="shared" si="25"/>
        <v>9.3000000000000007</v>
      </c>
      <c r="AE122" s="123">
        <f t="shared" si="25"/>
        <v>9.3000000000000007</v>
      </c>
      <c r="AF122" s="123">
        <f t="shared" si="25"/>
        <v>9.3000000000000007</v>
      </c>
      <c r="AG122" s="126">
        <v>7</v>
      </c>
      <c r="AH122" s="54"/>
      <c r="AI122" s="55"/>
      <c r="AK122" s="56"/>
    </row>
    <row r="123" spans="1:37" x14ac:dyDescent="0.25">
      <c r="A123" s="111" t="s">
        <v>128</v>
      </c>
      <c r="B123" s="123">
        <f t="shared" si="23"/>
        <v>0</v>
      </c>
      <c r="C123" s="124">
        <v>0</v>
      </c>
      <c r="D123" s="123">
        <f t="shared" si="26"/>
        <v>0</v>
      </c>
      <c r="E123" s="123">
        <f t="shared" si="26"/>
        <v>0</v>
      </c>
      <c r="F123" s="123">
        <f t="shared" si="26"/>
        <v>0</v>
      </c>
      <c r="G123" s="123">
        <f t="shared" si="26"/>
        <v>0</v>
      </c>
      <c r="H123" s="123">
        <f t="shared" si="26"/>
        <v>0</v>
      </c>
      <c r="I123" s="123">
        <f t="shared" si="26"/>
        <v>0</v>
      </c>
      <c r="J123" s="123">
        <f t="shared" si="26"/>
        <v>0</v>
      </c>
      <c r="K123" s="123">
        <f t="shared" si="26"/>
        <v>0</v>
      </c>
      <c r="L123" s="123">
        <f t="shared" si="26"/>
        <v>0</v>
      </c>
      <c r="M123" s="123">
        <f t="shared" si="26"/>
        <v>0</v>
      </c>
      <c r="N123" s="123">
        <f t="shared" si="26"/>
        <v>0</v>
      </c>
      <c r="O123" s="123">
        <f t="shared" si="26"/>
        <v>0</v>
      </c>
      <c r="P123" s="123">
        <f t="shared" si="26"/>
        <v>0</v>
      </c>
      <c r="Q123" s="123">
        <f t="shared" si="26"/>
        <v>0</v>
      </c>
      <c r="R123" s="123">
        <f t="shared" si="26"/>
        <v>0</v>
      </c>
      <c r="S123" s="123">
        <f t="shared" si="26"/>
        <v>0</v>
      </c>
      <c r="T123" s="123">
        <f t="shared" si="25"/>
        <v>0</v>
      </c>
      <c r="U123" s="123">
        <f t="shared" si="25"/>
        <v>0</v>
      </c>
      <c r="V123" s="123">
        <f t="shared" si="25"/>
        <v>0</v>
      </c>
      <c r="W123" s="123">
        <f t="shared" si="25"/>
        <v>0</v>
      </c>
      <c r="X123" s="123">
        <f t="shared" si="25"/>
        <v>0</v>
      </c>
      <c r="Y123" s="123">
        <f t="shared" si="25"/>
        <v>0</v>
      </c>
      <c r="Z123" s="123">
        <f t="shared" si="25"/>
        <v>0</v>
      </c>
      <c r="AA123" s="123">
        <f t="shared" si="25"/>
        <v>0</v>
      </c>
      <c r="AB123" s="123">
        <f t="shared" si="25"/>
        <v>0</v>
      </c>
      <c r="AC123" s="123">
        <f t="shared" si="25"/>
        <v>0</v>
      </c>
      <c r="AD123" s="123">
        <f t="shared" si="25"/>
        <v>0</v>
      </c>
      <c r="AE123" s="123">
        <f t="shared" si="25"/>
        <v>0</v>
      </c>
      <c r="AF123" s="123">
        <f t="shared" si="25"/>
        <v>0</v>
      </c>
      <c r="AG123" s="126">
        <v>6.6</v>
      </c>
      <c r="AH123" s="54"/>
      <c r="AI123" s="55"/>
      <c r="AK123" s="56"/>
    </row>
    <row r="124" spans="1:37" x14ac:dyDescent="0.25">
      <c r="A124" s="111" t="s">
        <v>129</v>
      </c>
      <c r="B124" s="123">
        <f t="shared" si="23"/>
        <v>0</v>
      </c>
      <c r="C124" s="124">
        <v>0</v>
      </c>
      <c r="D124" s="123">
        <f t="shared" si="26"/>
        <v>0</v>
      </c>
      <c r="E124" s="123">
        <f t="shared" si="26"/>
        <v>0</v>
      </c>
      <c r="F124" s="123">
        <f t="shared" si="26"/>
        <v>0</v>
      </c>
      <c r="G124" s="123">
        <f t="shared" si="26"/>
        <v>0</v>
      </c>
      <c r="H124" s="123">
        <f t="shared" si="26"/>
        <v>0</v>
      </c>
      <c r="I124" s="123">
        <f t="shared" si="26"/>
        <v>0</v>
      </c>
      <c r="J124" s="123">
        <f t="shared" si="26"/>
        <v>0</v>
      </c>
      <c r="K124" s="123">
        <f t="shared" si="26"/>
        <v>0</v>
      </c>
      <c r="L124" s="123">
        <f t="shared" si="26"/>
        <v>0</v>
      </c>
      <c r="M124" s="123">
        <f t="shared" si="26"/>
        <v>0</v>
      </c>
      <c r="N124" s="123">
        <f t="shared" si="26"/>
        <v>0</v>
      </c>
      <c r="O124" s="123">
        <f t="shared" si="26"/>
        <v>0</v>
      </c>
      <c r="P124" s="123">
        <f t="shared" si="26"/>
        <v>0</v>
      </c>
      <c r="Q124" s="123">
        <f t="shared" si="26"/>
        <v>0</v>
      </c>
      <c r="R124" s="123">
        <f t="shared" si="26"/>
        <v>0</v>
      </c>
      <c r="S124" s="123">
        <f t="shared" si="26"/>
        <v>0</v>
      </c>
      <c r="T124" s="123">
        <f t="shared" si="25"/>
        <v>0</v>
      </c>
      <c r="U124" s="123">
        <f t="shared" si="25"/>
        <v>0</v>
      </c>
      <c r="V124" s="123">
        <f t="shared" si="25"/>
        <v>0</v>
      </c>
      <c r="W124" s="123">
        <f t="shared" si="25"/>
        <v>0</v>
      </c>
      <c r="X124" s="123">
        <f t="shared" si="25"/>
        <v>0</v>
      </c>
      <c r="Y124" s="123">
        <f t="shared" si="25"/>
        <v>0</v>
      </c>
      <c r="Z124" s="123">
        <f t="shared" si="25"/>
        <v>0</v>
      </c>
      <c r="AA124" s="123">
        <f t="shared" si="25"/>
        <v>0</v>
      </c>
      <c r="AB124" s="123">
        <f t="shared" si="25"/>
        <v>0</v>
      </c>
      <c r="AC124" s="123">
        <f t="shared" si="25"/>
        <v>0</v>
      </c>
      <c r="AD124" s="123">
        <f t="shared" si="25"/>
        <v>0</v>
      </c>
      <c r="AE124" s="123">
        <f t="shared" si="25"/>
        <v>0</v>
      </c>
      <c r="AF124" s="123">
        <f t="shared" si="25"/>
        <v>0</v>
      </c>
      <c r="AG124" s="126">
        <v>6.6</v>
      </c>
      <c r="AH124" s="54"/>
      <c r="AI124" s="55"/>
      <c r="AK124" s="56"/>
    </row>
    <row r="125" spans="1:37" x14ac:dyDescent="0.25">
      <c r="A125" s="111" t="s">
        <v>130</v>
      </c>
      <c r="B125" s="123" t="str">
        <f t="shared" si="23"/>
        <v>;/</v>
      </c>
      <c r="C125" s="124">
        <v>5</v>
      </c>
      <c r="D125" s="123">
        <f t="shared" si="26"/>
        <v>5</v>
      </c>
      <c r="E125" s="123">
        <f t="shared" si="26"/>
        <v>5</v>
      </c>
      <c r="F125" s="123">
        <f t="shared" si="26"/>
        <v>5</v>
      </c>
      <c r="G125" s="123">
        <f t="shared" si="26"/>
        <v>5</v>
      </c>
      <c r="H125" s="123">
        <f t="shared" si="26"/>
        <v>5</v>
      </c>
      <c r="I125" s="123" t="s">
        <v>131</v>
      </c>
      <c r="J125" s="123" t="str">
        <f t="shared" si="26"/>
        <v>;/</v>
      </c>
      <c r="K125" s="123" t="str">
        <f t="shared" si="26"/>
        <v>;/</v>
      </c>
      <c r="L125" s="123" t="str">
        <f t="shared" si="26"/>
        <v>;/</v>
      </c>
      <c r="M125" s="123" t="str">
        <f t="shared" si="26"/>
        <v>;/</v>
      </c>
      <c r="N125" s="123" t="str">
        <f t="shared" si="26"/>
        <v>;/</v>
      </c>
      <c r="O125" s="123" t="str">
        <f t="shared" si="26"/>
        <v>;/</v>
      </c>
      <c r="P125" s="123" t="str">
        <f t="shared" si="26"/>
        <v>;/</v>
      </c>
      <c r="Q125" s="123" t="str">
        <f t="shared" si="26"/>
        <v>;/</v>
      </c>
      <c r="R125" s="123" t="str">
        <f t="shared" si="26"/>
        <v>;/</v>
      </c>
      <c r="S125" s="123" t="str">
        <f t="shared" si="26"/>
        <v>;/</v>
      </c>
      <c r="T125" s="123" t="str">
        <f t="shared" si="25"/>
        <v>;/</v>
      </c>
      <c r="U125" s="123" t="str">
        <f t="shared" si="25"/>
        <v>;/</v>
      </c>
      <c r="V125" s="123" t="str">
        <f t="shared" si="25"/>
        <v>;/</v>
      </c>
      <c r="W125" s="123" t="str">
        <f t="shared" si="25"/>
        <v>;/</v>
      </c>
      <c r="X125" s="123" t="str">
        <f t="shared" si="25"/>
        <v>;/</v>
      </c>
      <c r="Y125" s="123" t="str">
        <f t="shared" si="25"/>
        <v>;/</v>
      </c>
      <c r="Z125" s="123" t="str">
        <f t="shared" si="25"/>
        <v>;/</v>
      </c>
      <c r="AA125" s="123" t="str">
        <f t="shared" si="25"/>
        <v>;/</v>
      </c>
      <c r="AB125" s="123" t="str">
        <f t="shared" si="25"/>
        <v>;/</v>
      </c>
      <c r="AC125" s="123" t="str">
        <f t="shared" si="25"/>
        <v>;/</v>
      </c>
      <c r="AD125" s="123" t="str">
        <f t="shared" si="25"/>
        <v>;/</v>
      </c>
      <c r="AE125" s="123" t="str">
        <f t="shared" si="25"/>
        <v>;/</v>
      </c>
      <c r="AF125" s="123" t="str">
        <f t="shared" si="25"/>
        <v>;/</v>
      </c>
      <c r="AG125" s="126">
        <v>6.4</v>
      </c>
      <c r="AH125" s="54"/>
      <c r="AI125" s="55"/>
      <c r="AK125" s="56"/>
    </row>
    <row r="126" spans="1:37" x14ac:dyDescent="0.25">
      <c r="A126" s="111" t="s">
        <v>132</v>
      </c>
      <c r="B126" s="123">
        <f t="shared" si="23"/>
        <v>1</v>
      </c>
      <c r="C126" s="124">
        <v>1</v>
      </c>
      <c r="D126" s="123">
        <f t="shared" si="26"/>
        <v>1</v>
      </c>
      <c r="E126" s="123">
        <f t="shared" si="26"/>
        <v>1</v>
      </c>
      <c r="F126" s="123">
        <f t="shared" si="26"/>
        <v>1</v>
      </c>
      <c r="G126" s="123">
        <f t="shared" si="26"/>
        <v>1</v>
      </c>
      <c r="H126" s="123">
        <f t="shared" si="26"/>
        <v>1</v>
      </c>
      <c r="I126" s="123">
        <f t="shared" si="26"/>
        <v>1</v>
      </c>
      <c r="J126" s="123">
        <f t="shared" si="26"/>
        <v>1</v>
      </c>
      <c r="K126" s="123">
        <f t="shared" si="26"/>
        <v>1</v>
      </c>
      <c r="L126" s="123">
        <f t="shared" si="26"/>
        <v>1</v>
      </c>
      <c r="M126" s="123">
        <f t="shared" si="26"/>
        <v>1</v>
      </c>
      <c r="N126" s="123">
        <f t="shared" si="26"/>
        <v>1</v>
      </c>
      <c r="O126" s="123">
        <f t="shared" si="26"/>
        <v>1</v>
      </c>
      <c r="P126" s="123">
        <f t="shared" si="26"/>
        <v>1</v>
      </c>
      <c r="Q126" s="123">
        <f t="shared" si="26"/>
        <v>1</v>
      </c>
      <c r="R126" s="123">
        <f t="shared" si="26"/>
        <v>1</v>
      </c>
      <c r="S126" s="123">
        <f t="shared" si="26"/>
        <v>1</v>
      </c>
      <c r="T126" s="123">
        <f t="shared" si="25"/>
        <v>1</v>
      </c>
      <c r="U126" s="123">
        <f t="shared" si="25"/>
        <v>1</v>
      </c>
      <c r="V126" s="123">
        <f t="shared" si="25"/>
        <v>1</v>
      </c>
      <c r="W126" s="123">
        <f t="shared" si="25"/>
        <v>1</v>
      </c>
      <c r="X126" s="123">
        <f t="shared" si="25"/>
        <v>1</v>
      </c>
      <c r="Y126" s="123">
        <f t="shared" si="25"/>
        <v>1</v>
      </c>
      <c r="Z126" s="123">
        <f t="shared" si="25"/>
        <v>1</v>
      </c>
      <c r="AA126" s="123">
        <f t="shared" si="25"/>
        <v>1</v>
      </c>
      <c r="AB126" s="123">
        <f t="shared" si="25"/>
        <v>1</v>
      </c>
      <c r="AC126" s="123">
        <f t="shared" si="25"/>
        <v>1</v>
      </c>
      <c r="AD126" s="123">
        <f t="shared" si="25"/>
        <v>1</v>
      </c>
      <c r="AE126" s="123">
        <f t="shared" si="25"/>
        <v>1</v>
      </c>
      <c r="AF126" s="123">
        <f t="shared" si="25"/>
        <v>1</v>
      </c>
      <c r="AG126" s="126">
        <v>6</v>
      </c>
      <c r="AH126" s="54"/>
      <c r="AI126" s="55"/>
      <c r="AK126" s="56"/>
    </row>
    <row r="127" spans="1:37" x14ac:dyDescent="0.25">
      <c r="A127" s="111" t="s">
        <v>133</v>
      </c>
      <c r="B127" s="123">
        <f t="shared" si="23"/>
        <v>1.58</v>
      </c>
      <c r="C127" s="124">
        <v>1.58</v>
      </c>
      <c r="D127" s="123">
        <f t="shared" si="26"/>
        <v>1.58</v>
      </c>
      <c r="E127" s="123">
        <f t="shared" si="26"/>
        <v>1.58</v>
      </c>
      <c r="F127" s="123">
        <f t="shared" si="26"/>
        <v>1.58</v>
      </c>
      <c r="G127" s="123">
        <f t="shared" si="26"/>
        <v>1.58</v>
      </c>
      <c r="H127" s="123">
        <f t="shared" si="26"/>
        <v>1.58</v>
      </c>
      <c r="I127" s="123">
        <f t="shared" si="26"/>
        <v>1.58</v>
      </c>
      <c r="J127" s="123">
        <f t="shared" si="26"/>
        <v>1.58</v>
      </c>
      <c r="K127" s="123">
        <f t="shared" si="26"/>
        <v>1.58</v>
      </c>
      <c r="L127" s="123">
        <f t="shared" si="26"/>
        <v>1.58</v>
      </c>
      <c r="M127" s="123">
        <f t="shared" si="26"/>
        <v>1.58</v>
      </c>
      <c r="N127" s="123">
        <f t="shared" si="26"/>
        <v>1.58</v>
      </c>
      <c r="O127" s="123">
        <f t="shared" si="26"/>
        <v>1.58</v>
      </c>
      <c r="P127" s="123">
        <f t="shared" si="26"/>
        <v>1.58</v>
      </c>
      <c r="Q127" s="123">
        <f t="shared" si="26"/>
        <v>1.58</v>
      </c>
      <c r="R127" s="123">
        <f t="shared" si="26"/>
        <v>1.58</v>
      </c>
      <c r="S127" s="123">
        <f t="shared" si="26"/>
        <v>1.58</v>
      </c>
      <c r="T127" s="123">
        <f t="shared" si="25"/>
        <v>1.58</v>
      </c>
      <c r="U127" s="123">
        <f t="shared" si="25"/>
        <v>1.58</v>
      </c>
      <c r="V127" s="123">
        <f t="shared" si="25"/>
        <v>1.58</v>
      </c>
      <c r="W127" s="123">
        <f t="shared" si="25"/>
        <v>1.58</v>
      </c>
      <c r="X127" s="123">
        <f t="shared" si="25"/>
        <v>1.58</v>
      </c>
      <c r="Y127" s="123">
        <f t="shared" si="25"/>
        <v>1.58</v>
      </c>
      <c r="Z127" s="123">
        <f t="shared" si="25"/>
        <v>1.58</v>
      </c>
      <c r="AA127" s="123">
        <f t="shared" si="25"/>
        <v>1.58</v>
      </c>
      <c r="AB127" s="123">
        <f t="shared" si="25"/>
        <v>1.58</v>
      </c>
      <c r="AC127" s="123">
        <f t="shared" si="25"/>
        <v>1.58</v>
      </c>
      <c r="AD127" s="123">
        <f t="shared" si="25"/>
        <v>1.58</v>
      </c>
      <c r="AE127" s="123">
        <f t="shared" si="25"/>
        <v>1.58</v>
      </c>
      <c r="AF127" s="123">
        <f t="shared" si="25"/>
        <v>1.58</v>
      </c>
      <c r="AG127" s="126">
        <v>5.0999999999999996</v>
      </c>
      <c r="AH127" s="54"/>
      <c r="AI127" s="55"/>
      <c r="AK127" s="56"/>
    </row>
    <row r="128" spans="1:37" x14ac:dyDescent="0.25">
      <c r="A128" s="111" t="s">
        <v>134</v>
      </c>
      <c r="B128" s="123">
        <f t="shared" si="23"/>
        <v>1.46</v>
      </c>
      <c r="C128" s="124">
        <v>1.46</v>
      </c>
      <c r="D128" s="123">
        <f t="shared" si="26"/>
        <v>1.46</v>
      </c>
      <c r="E128" s="123">
        <f t="shared" si="26"/>
        <v>1.46</v>
      </c>
      <c r="F128" s="123">
        <f t="shared" si="26"/>
        <v>1.46</v>
      </c>
      <c r="G128" s="123">
        <f t="shared" si="26"/>
        <v>1.46</v>
      </c>
      <c r="H128" s="123">
        <f t="shared" si="26"/>
        <v>1.46</v>
      </c>
      <c r="I128" s="123">
        <f t="shared" si="26"/>
        <v>1.46</v>
      </c>
      <c r="J128" s="123">
        <f t="shared" si="26"/>
        <v>1.46</v>
      </c>
      <c r="K128" s="123">
        <f t="shared" si="26"/>
        <v>1.46</v>
      </c>
      <c r="L128" s="123">
        <f t="shared" si="26"/>
        <v>1.46</v>
      </c>
      <c r="M128" s="123">
        <f t="shared" si="26"/>
        <v>1.46</v>
      </c>
      <c r="N128" s="123">
        <f t="shared" si="26"/>
        <v>1.46</v>
      </c>
      <c r="O128" s="123">
        <f t="shared" si="26"/>
        <v>1.46</v>
      </c>
      <c r="P128" s="123">
        <f t="shared" si="26"/>
        <v>1.46</v>
      </c>
      <c r="Q128" s="123">
        <f t="shared" si="26"/>
        <v>1.46</v>
      </c>
      <c r="R128" s="123">
        <f t="shared" si="26"/>
        <v>1.46</v>
      </c>
      <c r="S128" s="123">
        <f t="shared" si="26"/>
        <v>1.46</v>
      </c>
      <c r="T128" s="123">
        <f t="shared" ref="T128:AF129" si="27">S128</f>
        <v>1.46</v>
      </c>
      <c r="U128" s="123">
        <f t="shared" si="27"/>
        <v>1.46</v>
      </c>
      <c r="V128" s="123">
        <f t="shared" si="27"/>
        <v>1.46</v>
      </c>
      <c r="W128" s="123">
        <f t="shared" si="27"/>
        <v>1.46</v>
      </c>
      <c r="X128" s="123">
        <f t="shared" si="27"/>
        <v>1.46</v>
      </c>
      <c r="Y128" s="123">
        <f t="shared" si="27"/>
        <v>1.46</v>
      </c>
      <c r="Z128" s="123">
        <f t="shared" si="27"/>
        <v>1.46</v>
      </c>
      <c r="AA128" s="123">
        <f t="shared" si="27"/>
        <v>1.46</v>
      </c>
      <c r="AB128" s="123">
        <f t="shared" si="27"/>
        <v>1.46</v>
      </c>
      <c r="AC128" s="123">
        <f t="shared" si="27"/>
        <v>1.46</v>
      </c>
      <c r="AD128" s="123">
        <f t="shared" si="27"/>
        <v>1.46</v>
      </c>
      <c r="AE128" s="123">
        <f t="shared" si="27"/>
        <v>1.46</v>
      </c>
      <c r="AF128" s="123">
        <f t="shared" si="27"/>
        <v>1.46</v>
      </c>
      <c r="AG128" s="126">
        <v>5</v>
      </c>
      <c r="AH128" s="54"/>
      <c r="AI128" s="55"/>
      <c r="AK128" s="56"/>
    </row>
    <row r="129" spans="1:37" x14ac:dyDescent="0.25">
      <c r="A129" s="109" t="s">
        <v>135</v>
      </c>
      <c r="B129" s="123">
        <f t="shared" si="23"/>
        <v>1.48</v>
      </c>
      <c r="C129" s="124">
        <v>1.48</v>
      </c>
      <c r="D129" s="123">
        <f t="shared" si="26"/>
        <v>1.48</v>
      </c>
      <c r="E129" s="123">
        <f t="shared" si="26"/>
        <v>1.48</v>
      </c>
      <c r="F129" s="123">
        <f t="shared" si="26"/>
        <v>1.48</v>
      </c>
      <c r="G129" s="123">
        <f t="shared" si="26"/>
        <v>1.48</v>
      </c>
      <c r="H129" s="123">
        <f t="shared" si="26"/>
        <v>1.48</v>
      </c>
      <c r="I129" s="123">
        <f t="shared" si="26"/>
        <v>1.48</v>
      </c>
      <c r="J129" s="123">
        <f t="shared" si="26"/>
        <v>1.48</v>
      </c>
      <c r="K129" s="123">
        <f t="shared" si="26"/>
        <v>1.48</v>
      </c>
      <c r="L129" s="123">
        <f t="shared" si="26"/>
        <v>1.48</v>
      </c>
      <c r="M129" s="123">
        <f t="shared" si="26"/>
        <v>1.48</v>
      </c>
      <c r="N129" s="123">
        <f t="shared" si="26"/>
        <v>1.48</v>
      </c>
      <c r="O129" s="123">
        <f t="shared" si="26"/>
        <v>1.48</v>
      </c>
      <c r="P129" s="123">
        <f t="shared" si="26"/>
        <v>1.48</v>
      </c>
      <c r="Q129" s="123">
        <f t="shared" si="26"/>
        <v>1.48</v>
      </c>
      <c r="R129" s="123">
        <f t="shared" si="26"/>
        <v>1.48</v>
      </c>
      <c r="S129" s="123">
        <f t="shared" si="26"/>
        <v>1.48</v>
      </c>
      <c r="T129" s="123">
        <f t="shared" si="27"/>
        <v>1.48</v>
      </c>
      <c r="U129" s="123">
        <f t="shared" si="27"/>
        <v>1.48</v>
      </c>
      <c r="V129" s="123">
        <f t="shared" si="27"/>
        <v>1.48</v>
      </c>
      <c r="W129" s="123">
        <f t="shared" si="27"/>
        <v>1.48</v>
      </c>
      <c r="X129" s="123">
        <f t="shared" si="27"/>
        <v>1.48</v>
      </c>
      <c r="Y129" s="123">
        <f t="shared" si="27"/>
        <v>1.48</v>
      </c>
      <c r="Z129" s="123">
        <f t="shared" si="27"/>
        <v>1.48</v>
      </c>
      <c r="AA129" s="123">
        <f t="shared" si="27"/>
        <v>1.48</v>
      </c>
      <c r="AB129" s="123">
        <f t="shared" si="27"/>
        <v>1.48</v>
      </c>
      <c r="AC129" s="123">
        <f t="shared" si="27"/>
        <v>1.48</v>
      </c>
      <c r="AD129" s="123">
        <f t="shared" si="27"/>
        <v>1.48</v>
      </c>
      <c r="AE129" s="123">
        <f t="shared" si="27"/>
        <v>1.48</v>
      </c>
      <c r="AF129" s="123">
        <f t="shared" si="27"/>
        <v>1.48</v>
      </c>
      <c r="AG129" s="125">
        <v>5</v>
      </c>
      <c r="AH129" s="54"/>
      <c r="AI129" s="55"/>
      <c r="AK129" s="56"/>
    </row>
    <row r="130" spans="1:37" x14ac:dyDescent="0.25">
      <c r="A130" s="111" t="s">
        <v>136</v>
      </c>
      <c r="B130" s="123"/>
      <c r="C130" s="124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6">
        <v>5</v>
      </c>
      <c r="AH130" s="54"/>
      <c r="AI130" s="55"/>
      <c r="AK130" s="56"/>
    </row>
    <row r="131" spans="1:37" x14ac:dyDescent="0.25">
      <c r="A131" s="111" t="s">
        <v>137</v>
      </c>
      <c r="B131" s="123">
        <f t="shared" ref="B131:B138" si="28">AF131</f>
        <v>2.2000000000000002</v>
      </c>
      <c r="C131" s="124">
        <v>2.2000000000000002</v>
      </c>
      <c r="D131" s="123">
        <f t="shared" ref="D131:S138" si="29">C131</f>
        <v>2.2000000000000002</v>
      </c>
      <c r="E131" s="123">
        <f t="shared" si="29"/>
        <v>2.2000000000000002</v>
      </c>
      <c r="F131" s="123">
        <f t="shared" si="29"/>
        <v>2.2000000000000002</v>
      </c>
      <c r="G131" s="123">
        <f t="shared" si="29"/>
        <v>2.2000000000000002</v>
      </c>
      <c r="H131" s="123">
        <f t="shared" si="29"/>
        <v>2.2000000000000002</v>
      </c>
      <c r="I131" s="123">
        <f t="shared" si="29"/>
        <v>2.2000000000000002</v>
      </c>
      <c r="J131" s="123">
        <f t="shared" si="29"/>
        <v>2.2000000000000002</v>
      </c>
      <c r="K131" s="123">
        <f t="shared" si="29"/>
        <v>2.2000000000000002</v>
      </c>
      <c r="L131" s="123">
        <f t="shared" si="29"/>
        <v>2.2000000000000002</v>
      </c>
      <c r="M131" s="123">
        <f t="shared" si="29"/>
        <v>2.2000000000000002</v>
      </c>
      <c r="N131" s="123">
        <f t="shared" si="29"/>
        <v>2.2000000000000002</v>
      </c>
      <c r="O131" s="123">
        <f t="shared" si="29"/>
        <v>2.2000000000000002</v>
      </c>
      <c r="P131" s="123">
        <f t="shared" si="29"/>
        <v>2.2000000000000002</v>
      </c>
      <c r="Q131" s="123">
        <f t="shared" si="29"/>
        <v>2.2000000000000002</v>
      </c>
      <c r="R131" s="123">
        <f t="shared" si="29"/>
        <v>2.2000000000000002</v>
      </c>
      <c r="S131" s="123">
        <f t="shared" si="29"/>
        <v>2.2000000000000002</v>
      </c>
      <c r="T131" s="123">
        <f t="shared" ref="T131:AF138" si="30">S131</f>
        <v>2.2000000000000002</v>
      </c>
      <c r="U131" s="123">
        <f t="shared" si="30"/>
        <v>2.2000000000000002</v>
      </c>
      <c r="V131" s="123">
        <f t="shared" si="30"/>
        <v>2.2000000000000002</v>
      </c>
      <c r="W131" s="123">
        <f t="shared" si="30"/>
        <v>2.2000000000000002</v>
      </c>
      <c r="X131" s="123">
        <f t="shared" si="30"/>
        <v>2.2000000000000002</v>
      </c>
      <c r="Y131" s="123">
        <f t="shared" si="30"/>
        <v>2.2000000000000002</v>
      </c>
      <c r="Z131" s="123">
        <f t="shared" si="30"/>
        <v>2.2000000000000002</v>
      </c>
      <c r="AA131" s="123">
        <f t="shared" si="30"/>
        <v>2.2000000000000002</v>
      </c>
      <c r="AB131" s="123">
        <f t="shared" si="30"/>
        <v>2.2000000000000002</v>
      </c>
      <c r="AC131" s="123">
        <f t="shared" si="30"/>
        <v>2.2000000000000002</v>
      </c>
      <c r="AD131" s="123">
        <f t="shared" si="30"/>
        <v>2.2000000000000002</v>
      </c>
      <c r="AE131" s="123">
        <f t="shared" si="30"/>
        <v>2.2000000000000002</v>
      </c>
      <c r="AF131" s="123">
        <f t="shared" si="30"/>
        <v>2.2000000000000002</v>
      </c>
      <c r="AG131" s="126">
        <v>5</v>
      </c>
      <c r="AH131" s="54"/>
      <c r="AI131" s="55"/>
      <c r="AK131" s="56"/>
    </row>
    <row r="132" spans="1:37" x14ac:dyDescent="0.25">
      <c r="A132" s="111" t="s">
        <v>138</v>
      </c>
      <c r="B132" s="123">
        <f t="shared" si="28"/>
        <v>2</v>
      </c>
      <c r="C132" s="124">
        <v>2</v>
      </c>
      <c r="D132" s="123">
        <f t="shared" si="29"/>
        <v>2</v>
      </c>
      <c r="E132" s="123">
        <f t="shared" si="29"/>
        <v>2</v>
      </c>
      <c r="F132" s="123">
        <f t="shared" si="29"/>
        <v>2</v>
      </c>
      <c r="G132" s="123">
        <f t="shared" si="29"/>
        <v>2</v>
      </c>
      <c r="H132" s="123">
        <f t="shared" si="29"/>
        <v>2</v>
      </c>
      <c r="I132" s="123">
        <f t="shared" si="29"/>
        <v>2</v>
      </c>
      <c r="J132" s="123">
        <f t="shared" si="29"/>
        <v>2</v>
      </c>
      <c r="K132" s="123">
        <f t="shared" si="29"/>
        <v>2</v>
      </c>
      <c r="L132" s="123">
        <f t="shared" si="29"/>
        <v>2</v>
      </c>
      <c r="M132" s="123">
        <f t="shared" si="29"/>
        <v>2</v>
      </c>
      <c r="N132" s="123">
        <f t="shared" si="29"/>
        <v>2</v>
      </c>
      <c r="O132" s="123">
        <f t="shared" si="29"/>
        <v>2</v>
      </c>
      <c r="P132" s="123">
        <f t="shared" si="29"/>
        <v>2</v>
      </c>
      <c r="Q132" s="123">
        <f t="shared" si="29"/>
        <v>2</v>
      </c>
      <c r="R132" s="123">
        <f t="shared" si="29"/>
        <v>2</v>
      </c>
      <c r="S132" s="123">
        <f t="shared" si="29"/>
        <v>2</v>
      </c>
      <c r="T132" s="123">
        <f t="shared" si="30"/>
        <v>2</v>
      </c>
      <c r="U132" s="123">
        <f t="shared" si="30"/>
        <v>2</v>
      </c>
      <c r="V132" s="123">
        <f t="shared" si="30"/>
        <v>2</v>
      </c>
      <c r="W132" s="123">
        <f t="shared" si="30"/>
        <v>2</v>
      </c>
      <c r="X132" s="123">
        <f t="shared" si="30"/>
        <v>2</v>
      </c>
      <c r="Y132" s="123">
        <f t="shared" si="30"/>
        <v>2</v>
      </c>
      <c r="Z132" s="123">
        <f t="shared" si="30"/>
        <v>2</v>
      </c>
      <c r="AA132" s="123">
        <f t="shared" si="30"/>
        <v>2</v>
      </c>
      <c r="AB132" s="123">
        <f t="shared" si="30"/>
        <v>2</v>
      </c>
      <c r="AC132" s="123">
        <f t="shared" si="30"/>
        <v>2</v>
      </c>
      <c r="AD132" s="123">
        <f t="shared" si="30"/>
        <v>2</v>
      </c>
      <c r="AE132" s="123">
        <f t="shared" si="30"/>
        <v>2</v>
      </c>
      <c r="AF132" s="123">
        <f t="shared" si="30"/>
        <v>2</v>
      </c>
      <c r="AG132" s="126">
        <v>5</v>
      </c>
      <c r="AH132" s="54"/>
      <c r="AI132" s="55"/>
      <c r="AK132" s="56"/>
    </row>
    <row r="133" spans="1:37" x14ac:dyDescent="0.25">
      <c r="A133" s="111" t="s">
        <v>139</v>
      </c>
      <c r="B133" s="123">
        <f t="shared" si="28"/>
        <v>1.25</v>
      </c>
      <c r="C133" s="124">
        <v>1.25</v>
      </c>
      <c r="D133" s="123">
        <f t="shared" si="29"/>
        <v>1.25</v>
      </c>
      <c r="E133" s="123">
        <f t="shared" si="29"/>
        <v>1.25</v>
      </c>
      <c r="F133" s="123">
        <f t="shared" si="29"/>
        <v>1.25</v>
      </c>
      <c r="G133" s="123">
        <f t="shared" si="29"/>
        <v>1.25</v>
      </c>
      <c r="H133" s="123">
        <f t="shared" si="29"/>
        <v>1.25</v>
      </c>
      <c r="I133" s="123">
        <f t="shared" si="29"/>
        <v>1.25</v>
      </c>
      <c r="J133" s="123">
        <f t="shared" si="29"/>
        <v>1.25</v>
      </c>
      <c r="K133" s="123">
        <f t="shared" si="29"/>
        <v>1.25</v>
      </c>
      <c r="L133" s="123">
        <f t="shared" si="29"/>
        <v>1.25</v>
      </c>
      <c r="M133" s="123">
        <f t="shared" si="29"/>
        <v>1.25</v>
      </c>
      <c r="N133" s="123">
        <f t="shared" si="29"/>
        <v>1.25</v>
      </c>
      <c r="O133" s="123">
        <f t="shared" si="29"/>
        <v>1.25</v>
      </c>
      <c r="P133" s="123">
        <f t="shared" si="29"/>
        <v>1.25</v>
      </c>
      <c r="Q133" s="123">
        <f t="shared" si="29"/>
        <v>1.25</v>
      </c>
      <c r="R133" s="123">
        <f t="shared" si="29"/>
        <v>1.25</v>
      </c>
      <c r="S133" s="123">
        <f t="shared" si="29"/>
        <v>1.25</v>
      </c>
      <c r="T133" s="123">
        <f t="shared" si="30"/>
        <v>1.25</v>
      </c>
      <c r="U133" s="123">
        <f t="shared" si="30"/>
        <v>1.25</v>
      </c>
      <c r="V133" s="123">
        <f t="shared" si="30"/>
        <v>1.25</v>
      </c>
      <c r="W133" s="123">
        <f t="shared" si="30"/>
        <v>1.25</v>
      </c>
      <c r="X133" s="123">
        <f t="shared" si="30"/>
        <v>1.25</v>
      </c>
      <c r="Y133" s="123">
        <f t="shared" si="30"/>
        <v>1.25</v>
      </c>
      <c r="Z133" s="123">
        <f t="shared" si="30"/>
        <v>1.25</v>
      </c>
      <c r="AA133" s="123">
        <f t="shared" si="30"/>
        <v>1.25</v>
      </c>
      <c r="AB133" s="123">
        <f t="shared" si="30"/>
        <v>1.25</v>
      </c>
      <c r="AC133" s="123">
        <f t="shared" si="30"/>
        <v>1.25</v>
      </c>
      <c r="AD133" s="123">
        <f t="shared" si="30"/>
        <v>1.25</v>
      </c>
      <c r="AE133" s="123">
        <f t="shared" si="30"/>
        <v>1.25</v>
      </c>
      <c r="AF133" s="123">
        <f t="shared" si="30"/>
        <v>1.25</v>
      </c>
      <c r="AG133" s="126">
        <v>5</v>
      </c>
      <c r="AH133" s="54"/>
      <c r="AI133" s="55"/>
      <c r="AK133" s="56"/>
    </row>
    <row r="134" spans="1:37" x14ac:dyDescent="0.25">
      <c r="A134" s="111" t="s">
        <v>140</v>
      </c>
      <c r="B134" s="123">
        <f t="shared" si="28"/>
        <v>1.1499999999999999</v>
      </c>
      <c r="C134" s="124">
        <v>1.1499999999999999</v>
      </c>
      <c r="D134" s="123">
        <f t="shared" si="29"/>
        <v>1.1499999999999999</v>
      </c>
      <c r="E134" s="123">
        <f t="shared" si="29"/>
        <v>1.1499999999999999</v>
      </c>
      <c r="F134" s="123">
        <f t="shared" si="29"/>
        <v>1.1499999999999999</v>
      </c>
      <c r="G134" s="123">
        <f t="shared" si="29"/>
        <v>1.1499999999999999</v>
      </c>
      <c r="H134" s="123">
        <f t="shared" si="29"/>
        <v>1.1499999999999999</v>
      </c>
      <c r="I134" s="123">
        <f t="shared" si="29"/>
        <v>1.1499999999999999</v>
      </c>
      <c r="J134" s="123">
        <f t="shared" si="29"/>
        <v>1.1499999999999999</v>
      </c>
      <c r="K134" s="123">
        <f t="shared" si="29"/>
        <v>1.1499999999999999</v>
      </c>
      <c r="L134" s="123">
        <f t="shared" si="29"/>
        <v>1.1499999999999999</v>
      </c>
      <c r="M134" s="123">
        <f t="shared" si="29"/>
        <v>1.1499999999999999</v>
      </c>
      <c r="N134" s="123">
        <f t="shared" si="29"/>
        <v>1.1499999999999999</v>
      </c>
      <c r="O134" s="123">
        <f t="shared" si="29"/>
        <v>1.1499999999999999</v>
      </c>
      <c r="P134" s="123">
        <f t="shared" si="29"/>
        <v>1.1499999999999999</v>
      </c>
      <c r="Q134" s="123">
        <f t="shared" si="29"/>
        <v>1.1499999999999999</v>
      </c>
      <c r="R134" s="123">
        <f t="shared" si="29"/>
        <v>1.1499999999999999</v>
      </c>
      <c r="S134" s="123">
        <f t="shared" si="29"/>
        <v>1.1499999999999999</v>
      </c>
      <c r="T134" s="123">
        <f t="shared" si="30"/>
        <v>1.1499999999999999</v>
      </c>
      <c r="U134" s="123">
        <f t="shared" si="30"/>
        <v>1.1499999999999999</v>
      </c>
      <c r="V134" s="123">
        <f t="shared" si="30"/>
        <v>1.1499999999999999</v>
      </c>
      <c r="W134" s="123">
        <f t="shared" si="30"/>
        <v>1.1499999999999999</v>
      </c>
      <c r="X134" s="123">
        <f t="shared" si="30"/>
        <v>1.1499999999999999</v>
      </c>
      <c r="Y134" s="123">
        <f t="shared" si="30"/>
        <v>1.1499999999999999</v>
      </c>
      <c r="Z134" s="123">
        <f t="shared" si="30"/>
        <v>1.1499999999999999</v>
      </c>
      <c r="AA134" s="123">
        <f t="shared" si="30"/>
        <v>1.1499999999999999</v>
      </c>
      <c r="AB134" s="123">
        <f t="shared" si="30"/>
        <v>1.1499999999999999</v>
      </c>
      <c r="AC134" s="123">
        <f t="shared" si="30"/>
        <v>1.1499999999999999</v>
      </c>
      <c r="AD134" s="123">
        <f t="shared" si="30"/>
        <v>1.1499999999999999</v>
      </c>
      <c r="AE134" s="123">
        <f t="shared" si="30"/>
        <v>1.1499999999999999</v>
      </c>
      <c r="AF134" s="123">
        <f t="shared" si="30"/>
        <v>1.1499999999999999</v>
      </c>
      <c r="AG134" s="126">
        <v>5</v>
      </c>
      <c r="AH134" s="54"/>
      <c r="AI134" s="55"/>
      <c r="AK134" s="56"/>
    </row>
    <row r="135" spans="1:37" x14ac:dyDescent="0.25">
      <c r="A135" s="111" t="s">
        <v>141</v>
      </c>
      <c r="B135" s="123">
        <f t="shared" si="28"/>
        <v>2.133</v>
      </c>
      <c r="C135" s="124">
        <v>2.133</v>
      </c>
      <c r="D135" s="123">
        <f t="shared" si="29"/>
        <v>2.133</v>
      </c>
      <c r="E135" s="123">
        <f t="shared" si="29"/>
        <v>2.133</v>
      </c>
      <c r="F135" s="123">
        <f t="shared" si="29"/>
        <v>2.133</v>
      </c>
      <c r="G135" s="123">
        <f t="shared" si="29"/>
        <v>2.133</v>
      </c>
      <c r="H135" s="123">
        <f t="shared" si="29"/>
        <v>2.133</v>
      </c>
      <c r="I135" s="123">
        <f t="shared" si="29"/>
        <v>2.133</v>
      </c>
      <c r="J135" s="123">
        <f t="shared" si="29"/>
        <v>2.133</v>
      </c>
      <c r="K135" s="123">
        <f t="shared" si="29"/>
        <v>2.133</v>
      </c>
      <c r="L135" s="123">
        <f t="shared" si="29"/>
        <v>2.133</v>
      </c>
      <c r="M135" s="123">
        <f t="shared" si="29"/>
        <v>2.133</v>
      </c>
      <c r="N135" s="123">
        <f t="shared" si="29"/>
        <v>2.133</v>
      </c>
      <c r="O135" s="123">
        <f t="shared" si="29"/>
        <v>2.133</v>
      </c>
      <c r="P135" s="123">
        <f t="shared" si="29"/>
        <v>2.133</v>
      </c>
      <c r="Q135" s="123">
        <f t="shared" si="29"/>
        <v>2.133</v>
      </c>
      <c r="R135" s="123">
        <f t="shared" si="29"/>
        <v>2.133</v>
      </c>
      <c r="S135" s="123">
        <f t="shared" si="29"/>
        <v>2.133</v>
      </c>
      <c r="T135" s="123">
        <f t="shared" si="30"/>
        <v>2.133</v>
      </c>
      <c r="U135" s="123">
        <f t="shared" si="30"/>
        <v>2.133</v>
      </c>
      <c r="V135" s="123">
        <f t="shared" si="30"/>
        <v>2.133</v>
      </c>
      <c r="W135" s="123">
        <f t="shared" si="30"/>
        <v>2.133</v>
      </c>
      <c r="X135" s="123">
        <f t="shared" si="30"/>
        <v>2.133</v>
      </c>
      <c r="Y135" s="123">
        <f t="shared" si="30"/>
        <v>2.133</v>
      </c>
      <c r="Z135" s="123">
        <f t="shared" si="30"/>
        <v>2.133</v>
      </c>
      <c r="AA135" s="123">
        <f t="shared" si="30"/>
        <v>2.133</v>
      </c>
      <c r="AB135" s="123">
        <f t="shared" si="30"/>
        <v>2.133</v>
      </c>
      <c r="AC135" s="123">
        <f t="shared" si="30"/>
        <v>2.133</v>
      </c>
      <c r="AD135" s="123">
        <f t="shared" si="30"/>
        <v>2.133</v>
      </c>
      <c r="AE135" s="123">
        <f t="shared" si="30"/>
        <v>2.133</v>
      </c>
      <c r="AF135" s="123">
        <f t="shared" si="30"/>
        <v>2.133</v>
      </c>
      <c r="AG135" s="126">
        <v>4.9930000000000003</v>
      </c>
      <c r="AH135" s="54"/>
      <c r="AI135" s="55"/>
      <c r="AK135" s="56"/>
    </row>
    <row r="136" spans="1:37" x14ac:dyDescent="0.25">
      <c r="A136" s="111" t="s">
        <v>142</v>
      </c>
      <c r="B136" s="123">
        <f t="shared" si="28"/>
        <v>2.09</v>
      </c>
      <c r="C136" s="124">
        <v>2.09</v>
      </c>
      <c r="D136" s="123">
        <f t="shared" si="29"/>
        <v>2.09</v>
      </c>
      <c r="E136" s="123">
        <f t="shared" si="29"/>
        <v>2.09</v>
      </c>
      <c r="F136" s="123">
        <f t="shared" si="29"/>
        <v>2.09</v>
      </c>
      <c r="G136" s="123">
        <f t="shared" si="29"/>
        <v>2.09</v>
      </c>
      <c r="H136" s="123">
        <f t="shared" si="29"/>
        <v>2.09</v>
      </c>
      <c r="I136" s="123">
        <f t="shared" si="29"/>
        <v>2.09</v>
      </c>
      <c r="J136" s="123">
        <f t="shared" si="29"/>
        <v>2.09</v>
      </c>
      <c r="K136" s="123">
        <f t="shared" si="29"/>
        <v>2.09</v>
      </c>
      <c r="L136" s="123">
        <f t="shared" si="29"/>
        <v>2.09</v>
      </c>
      <c r="M136" s="123">
        <f t="shared" si="29"/>
        <v>2.09</v>
      </c>
      <c r="N136" s="123">
        <f t="shared" si="29"/>
        <v>2.09</v>
      </c>
      <c r="O136" s="123">
        <f t="shared" si="29"/>
        <v>2.09</v>
      </c>
      <c r="P136" s="123">
        <f t="shared" si="29"/>
        <v>2.09</v>
      </c>
      <c r="Q136" s="123">
        <f t="shared" si="29"/>
        <v>2.09</v>
      </c>
      <c r="R136" s="123">
        <f t="shared" si="29"/>
        <v>2.09</v>
      </c>
      <c r="S136" s="123">
        <f t="shared" si="29"/>
        <v>2.09</v>
      </c>
      <c r="T136" s="123">
        <f t="shared" si="30"/>
        <v>2.09</v>
      </c>
      <c r="U136" s="123">
        <f t="shared" si="30"/>
        <v>2.09</v>
      </c>
      <c r="V136" s="123">
        <f t="shared" si="30"/>
        <v>2.09</v>
      </c>
      <c r="W136" s="123">
        <f t="shared" si="30"/>
        <v>2.09</v>
      </c>
      <c r="X136" s="123">
        <f t="shared" si="30"/>
        <v>2.09</v>
      </c>
      <c r="Y136" s="123">
        <f t="shared" si="30"/>
        <v>2.09</v>
      </c>
      <c r="Z136" s="123">
        <f t="shared" si="30"/>
        <v>2.09</v>
      </c>
      <c r="AA136" s="123">
        <f t="shared" si="30"/>
        <v>2.09</v>
      </c>
      <c r="AB136" s="123">
        <f t="shared" si="30"/>
        <v>2.09</v>
      </c>
      <c r="AC136" s="123">
        <f t="shared" si="30"/>
        <v>2.09</v>
      </c>
      <c r="AD136" s="123">
        <f t="shared" si="30"/>
        <v>2.09</v>
      </c>
      <c r="AE136" s="123">
        <f t="shared" si="30"/>
        <v>2.09</v>
      </c>
      <c r="AF136" s="123">
        <f t="shared" si="30"/>
        <v>2.09</v>
      </c>
      <c r="AG136" s="126">
        <v>4.9800000000000004</v>
      </c>
      <c r="AH136" s="54"/>
      <c r="AI136" s="55"/>
      <c r="AK136" s="56"/>
    </row>
    <row r="137" spans="1:37" x14ac:dyDescent="0.25">
      <c r="A137" s="111" t="s">
        <v>143</v>
      </c>
      <c r="B137" s="123">
        <f t="shared" si="28"/>
        <v>1.1399999999999999</v>
      </c>
      <c r="C137" s="124">
        <v>1.1399999999999999</v>
      </c>
      <c r="D137" s="123">
        <f t="shared" si="29"/>
        <v>1.1399999999999999</v>
      </c>
      <c r="E137" s="123">
        <f t="shared" si="29"/>
        <v>1.1399999999999999</v>
      </c>
      <c r="F137" s="123">
        <f t="shared" si="29"/>
        <v>1.1399999999999999</v>
      </c>
      <c r="G137" s="123">
        <f t="shared" si="29"/>
        <v>1.1399999999999999</v>
      </c>
      <c r="H137" s="123">
        <f t="shared" si="29"/>
        <v>1.1399999999999999</v>
      </c>
      <c r="I137" s="123">
        <f t="shared" si="29"/>
        <v>1.1399999999999999</v>
      </c>
      <c r="J137" s="123">
        <f t="shared" si="29"/>
        <v>1.1399999999999999</v>
      </c>
      <c r="K137" s="123">
        <f t="shared" si="29"/>
        <v>1.1399999999999999</v>
      </c>
      <c r="L137" s="123">
        <f t="shared" si="29"/>
        <v>1.1399999999999999</v>
      </c>
      <c r="M137" s="123">
        <f t="shared" si="29"/>
        <v>1.1399999999999999</v>
      </c>
      <c r="N137" s="123">
        <f t="shared" si="29"/>
        <v>1.1399999999999999</v>
      </c>
      <c r="O137" s="123">
        <f t="shared" si="29"/>
        <v>1.1399999999999999</v>
      </c>
      <c r="P137" s="123">
        <f t="shared" si="29"/>
        <v>1.1399999999999999</v>
      </c>
      <c r="Q137" s="123">
        <f t="shared" si="29"/>
        <v>1.1399999999999999</v>
      </c>
      <c r="R137" s="123">
        <f t="shared" si="29"/>
        <v>1.1399999999999999</v>
      </c>
      <c r="S137" s="123">
        <f t="shared" si="29"/>
        <v>1.1399999999999999</v>
      </c>
      <c r="T137" s="123">
        <f t="shared" si="30"/>
        <v>1.1399999999999999</v>
      </c>
      <c r="U137" s="123">
        <f t="shared" si="30"/>
        <v>1.1399999999999999</v>
      </c>
      <c r="V137" s="123">
        <f t="shared" si="30"/>
        <v>1.1399999999999999</v>
      </c>
      <c r="W137" s="123">
        <f t="shared" si="30"/>
        <v>1.1399999999999999</v>
      </c>
      <c r="X137" s="123">
        <f t="shared" si="30"/>
        <v>1.1399999999999999</v>
      </c>
      <c r="Y137" s="123">
        <f t="shared" si="30"/>
        <v>1.1399999999999999</v>
      </c>
      <c r="Z137" s="123">
        <f t="shared" si="30"/>
        <v>1.1399999999999999</v>
      </c>
      <c r="AA137" s="123">
        <f t="shared" si="30"/>
        <v>1.1399999999999999</v>
      </c>
      <c r="AB137" s="123">
        <f t="shared" si="30"/>
        <v>1.1399999999999999</v>
      </c>
      <c r="AC137" s="123">
        <f t="shared" si="30"/>
        <v>1.1399999999999999</v>
      </c>
      <c r="AD137" s="123">
        <f t="shared" si="30"/>
        <v>1.1399999999999999</v>
      </c>
      <c r="AE137" s="123">
        <f t="shared" si="30"/>
        <v>1.1399999999999999</v>
      </c>
      <c r="AF137" s="123">
        <f t="shared" si="30"/>
        <v>1.1399999999999999</v>
      </c>
      <c r="AG137" s="126">
        <v>4.95</v>
      </c>
      <c r="AH137" s="54"/>
      <c r="AI137" s="55"/>
      <c r="AK137" s="56"/>
    </row>
    <row r="138" spans="1:37" x14ac:dyDescent="0.25">
      <c r="A138" s="111" t="s">
        <v>144</v>
      </c>
      <c r="B138" s="123">
        <f t="shared" si="28"/>
        <v>0.82</v>
      </c>
      <c r="C138" s="124">
        <v>0.82</v>
      </c>
      <c r="D138" s="123">
        <f t="shared" si="29"/>
        <v>0.82</v>
      </c>
      <c r="E138" s="123">
        <f t="shared" si="29"/>
        <v>0.82</v>
      </c>
      <c r="F138" s="123">
        <f t="shared" si="29"/>
        <v>0.82</v>
      </c>
      <c r="G138" s="123">
        <f t="shared" si="29"/>
        <v>0.82</v>
      </c>
      <c r="H138" s="123">
        <f t="shared" si="29"/>
        <v>0.82</v>
      </c>
      <c r="I138" s="123">
        <f t="shared" si="29"/>
        <v>0.82</v>
      </c>
      <c r="J138" s="123">
        <f t="shared" si="29"/>
        <v>0.82</v>
      </c>
      <c r="K138" s="123">
        <f t="shared" si="29"/>
        <v>0.82</v>
      </c>
      <c r="L138" s="123">
        <f t="shared" si="29"/>
        <v>0.82</v>
      </c>
      <c r="M138" s="123">
        <f t="shared" si="29"/>
        <v>0.82</v>
      </c>
      <c r="N138" s="123">
        <f t="shared" si="29"/>
        <v>0.82</v>
      </c>
      <c r="O138" s="123">
        <f t="shared" si="29"/>
        <v>0.82</v>
      </c>
      <c r="P138" s="123">
        <f t="shared" si="29"/>
        <v>0.82</v>
      </c>
      <c r="Q138" s="123">
        <f t="shared" si="29"/>
        <v>0.82</v>
      </c>
      <c r="R138" s="123">
        <f t="shared" si="29"/>
        <v>0.82</v>
      </c>
      <c r="S138" s="123">
        <f t="shared" si="29"/>
        <v>0.82</v>
      </c>
      <c r="T138" s="123">
        <f t="shared" si="30"/>
        <v>0.82</v>
      </c>
      <c r="U138" s="123">
        <f t="shared" si="30"/>
        <v>0.82</v>
      </c>
      <c r="V138" s="123">
        <f t="shared" si="30"/>
        <v>0.82</v>
      </c>
      <c r="W138" s="123">
        <f t="shared" si="30"/>
        <v>0.82</v>
      </c>
      <c r="X138" s="123">
        <f t="shared" si="30"/>
        <v>0.82</v>
      </c>
      <c r="Y138" s="123">
        <f t="shared" si="30"/>
        <v>0.82</v>
      </c>
      <c r="Z138" s="123">
        <f t="shared" si="30"/>
        <v>0.82</v>
      </c>
      <c r="AA138" s="123">
        <f t="shared" si="30"/>
        <v>0.82</v>
      </c>
      <c r="AB138" s="123">
        <f t="shared" si="30"/>
        <v>0.82</v>
      </c>
      <c r="AC138" s="123">
        <f t="shared" si="30"/>
        <v>0.82</v>
      </c>
      <c r="AD138" s="123">
        <f t="shared" si="30"/>
        <v>0.82</v>
      </c>
      <c r="AE138" s="123">
        <f t="shared" si="30"/>
        <v>0.82</v>
      </c>
      <c r="AF138" s="123">
        <f t="shared" si="30"/>
        <v>0.82</v>
      </c>
      <c r="AG138" s="126">
        <v>4.95</v>
      </c>
      <c r="AH138" s="54"/>
      <c r="AI138" s="55"/>
      <c r="AK138" s="56"/>
    </row>
    <row r="139" spans="1:37" x14ac:dyDescent="0.25">
      <c r="A139" s="111" t="s">
        <v>145</v>
      </c>
      <c r="B139" s="123"/>
      <c r="C139" s="124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6">
        <v>4.8</v>
      </c>
      <c r="AH139" s="54"/>
      <c r="AI139" s="55"/>
      <c r="AK139" s="56"/>
    </row>
    <row r="140" spans="1:37" x14ac:dyDescent="0.25">
      <c r="A140" s="111" t="s">
        <v>146</v>
      </c>
      <c r="B140" s="123">
        <f t="shared" ref="B140:B146" si="31">AF140</f>
        <v>2</v>
      </c>
      <c r="C140" s="124">
        <v>2</v>
      </c>
      <c r="D140" s="123">
        <f t="shared" ref="D140:S146" si="32">C140</f>
        <v>2</v>
      </c>
      <c r="E140" s="123">
        <f t="shared" si="32"/>
        <v>2</v>
      </c>
      <c r="F140" s="123">
        <f t="shared" si="32"/>
        <v>2</v>
      </c>
      <c r="G140" s="123">
        <f t="shared" si="32"/>
        <v>2</v>
      </c>
      <c r="H140" s="123">
        <f t="shared" si="32"/>
        <v>2</v>
      </c>
      <c r="I140" s="123">
        <f t="shared" si="32"/>
        <v>2</v>
      </c>
      <c r="J140" s="123">
        <f t="shared" si="32"/>
        <v>2</v>
      </c>
      <c r="K140" s="123">
        <f t="shared" si="32"/>
        <v>2</v>
      </c>
      <c r="L140" s="123">
        <f t="shared" si="32"/>
        <v>2</v>
      </c>
      <c r="M140" s="123">
        <f t="shared" si="32"/>
        <v>2</v>
      </c>
      <c r="N140" s="123">
        <f t="shared" si="32"/>
        <v>2</v>
      </c>
      <c r="O140" s="123">
        <f t="shared" si="32"/>
        <v>2</v>
      </c>
      <c r="P140" s="123">
        <f t="shared" si="32"/>
        <v>2</v>
      </c>
      <c r="Q140" s="123">
        <f t="shared" si="32"/>
        <v>2</v>
      </c>
      <c r="R140" s="123">
        <f t="shared" si="32"/>
        <v>2</v>
      </c>
      <c r="S140" s="123">
        <f t="shared" si="32"/>
        <v>2</v>
      </c>
      <c r="T140" s="123">
        <f t="shared" ref="T140:AF146" si="33">S140</f>
        <v>2</v>
      </c>
      <c r="U140" s="123">
        <f t="shared" si="33"/>
        <v>2</v>
      </c>
      <c r="V140" s="123">
        <f t="shared" si="33"/>
        <v>2</v>
      </c>
      <c r="W140" s="123">
        <f t="shared" si="33"/>
        <v>2</v>
      </c>
      <c r="X140" s="123">
        <f t="shared" si="33"/>
        <v>2</v>
      </c>
      <c r="Y140" s="123">
        <f t="shared" si="33"/>
        <v>2</v>
      </c>
      <c r="Z140" s="123">
        <f t="shared" si="33"/>
        <v>2</v>
      </c>
      <c r="AA140" s="123">
        <f t="shared" si="33"/>
        <v>2</v>
      </c>
      <c r="AB140" s="123">
        <f t="shared" si="33"/>
        <v>2</v>
      </c>
      <c r="AC140" s="123">
        <f t="shared" si="33"/>
        <v>2</v>
      </c>
      <c r="AD140" s="123">
        <f t="shared" si="33"/>
        <v>2</v>
      </c>
      <c r="AE140" s="123">
        <f t="shared" si="33"/>
        <v>2</v>
      </c>
      <c r="AF140" s="123">
        <f t="shared" si="33"/>
        <v>2</v>
      </c>
      <c r="AG140" s="126">
        <v>4.8</v>
      </c>
      <c r="AH140" s="54"/>
      <c r="AI140" s="55"/>
      <c r="AK140" s="56"/>
    </row>
    <row r="141" spans="1:37" x14ac:dyDescent="0.25">
      <c r="A141" s="111" t="s">
        <v>147</v>
      </c>
      <c r="B141" s="123">
        <f t="shared" si="31"/>
        <v>5.61</v>
      </c>
      <c r="C141" s="124">
        <v>5.61</v>
      </c>
      <c r="D141" s="123">
        <f t="shared" si="32"/>
        <v>5.61</v>
      </c>
      <c r="E141" s="123">
        <f t="shared" si="32"/>
        <v>5.61</v>
      </c>
      <c r="F141" s="123">
        <f t="shared" si="32"/>
        <v>5.61</v>
      </c>
      <c r="G141" s="123">
        <f t="shared" si="32"/>
        <v>5.61</v>
      </c>
      <c r="H141" s="123">
        <f t="shared" si="32"/>
        <v>5.61</v>
      </c>
      <c r="I141" s="123">
        <f t="shared" si="32"/>
        <v>5.61</v>
      </c>
      <c r="J141" s="123">
        <f t="shared" si="32"/>
        <v>5.61</v>
      </c>
      <c r="K141" s="123">
        <f t="shared" si="32"/>
        <v>5.61</v>
      </c>
      <c r="L141" s="123">
        <f t="shared" si="32"/>
        <v>5.61</v>
      </c>
      <c r="M141" s="123">
        <f t="shared" si="32"/>
        <v>5.61</v>
      </c>
      <c r="N141" s="123">
        <f t="shared" si="32"/>
        <v>5.61</v>
      </c>
      <c r="O141" s="123">
        <f t="shared" si="32"/>
        <v>5.61</v>
      </c>
      <c r="P141" s="123">
        <f t="shared" si="32"/>
        <v>5.61</v>
      </c>
      <c r="Q141" s="123">
        <f t="shared" si="32"/>
        <v>5.61</v>
      </c>
      <c r="R141" s="123">
        <f t="shared" si="32"/>
        <v>5.61</v>
      </c>
      <c r="S141" s="123">
        <f t="shared" si="32"/>
        <v>5.61</v>
      </c>
      <c r="T141" s="123">
        <f t="shared" si="33"/>
        <v>5.61</v>
      </c>
      <c r="U141" s="123">
        <f t="shared" si="33"/>
        <v>5.61</v>
      </c>
      <c r="V141" s="123">
        <f t="shared" si="33"/>
        <v>5.61</v>
      </c>
      <c r="W141" s="123">
        <f t="shared" si="33"/>
        <v>5.61</v>
      </c>
      <c r="X141" s="123">
        <f t="shared" si="33"/>
        <v>5.61</v>
      </c>
      <c r="Y141" s="123">
        <f t="shared" si="33"/>
        <v>5.61</v>
      </c>
      <c r="Z141" s="123">
        <f t="shared" si="33"/>
        <v>5.61</v>
      </c>
      <c r="AA141" s="123">
        <f t="shared" si="33"/>
        <v>5.61</v>
      </c>
      <c r="AB141" s="123">
        <f t="shared" si="33"/>
        <v>5.61</v>
      </c>
      <c r="AC141" s="123">
        <f t="shared" si="33"/>
        <v>5.61</v>
      </c>
      <c r="AD141" s="123">
        <f t="shared" si="33"/>
        <v>5.61</v>
      </c>
      <c r="AE141" s="123">
        <f t="shared" si="33"/>
        <v>5.61</v>
      </c>
      <c r="AF141" s="123">
        <f t="shared" si="33"/>
        <v>5.61</v>
      </c>
      <c r="AG141" s="126">
        <v>4.8</v>
      </c>
      <c r="AH141" s="54"/>
      <c r="AI141" s="55"/>
      <c r="AK141" s="56"/>
    </row>
    <row r="142" spans="1:37" x14ac:dyDescent="0.25">
      <c r="A142" s="111" t="s">
        <v>148</v>
      </c>
      <c r="B142" s="123">
        <f t="shared" si="31"/>
        <v>1.25</v>
      </c>
      <c r="C142" s="124">
        <v>1.25</v>
      </c>
      <c r="D142" s="123">
        <f t="shared" si="32"/>
        <v>1.25</v>
      </c>
      <c r="E142" s="123">
        <f t="shared" si="32"/>
        <v>1.25</v>
      </c>
      <c r="F142" s="123">
        <f t="shared" si="32"/>
        <v>1.25</v>
      </c>
      <c r="G142" s="123">
        <f t="shared" si="32"/>
        <v>1.25</v>
      </c>
      <c r="H142" s="123">
        <f t="shared" si="32"/>
        <v>1.25</v>
      </c>
      <c r="I142" s="123">
        <f t="shared" si="32"/>
        <v>1.25</v>
      </c>
      <c r="J142" s="123">
        <f t="shared" si="32"/>
        <v>1.25</v>
      </c>
      <c r="K142" s="123">
        <f t="shared" si="32"/>
        <v>1.25</v>
      </c>
      <c r="L142" s="123">
        <f t="shared" si="32"/>
        <v>1.25</v>
      </c>
      <c r="M142" s="123">
        <f t="shared" si="32"/>
        <v>1.25</v>
      </c>
      <c r="N142" s="123">
        <f t="shared" si="32"/>
        <v>1.25</v>
      </c>
      <c r="O142" s="123">
        <f t="shared" si="32"/>
        <v>1.25</v>
      </c>
      <c r="P142" s="123">
        <f t="shared" si="32"/>
        <v>1.25</v>
      </c>
      <c r="Q142" s="123">
        <f t="shared" si="32"/>
        <v>1.25</v>
      </c>
      <c r="R142" s="123">
        <f t="shared" si="32"/>
        <v>1.25</v>
      </c>
      <c r="S142" s="123">
        <f t="shared" si="32"/>
        <v>1.25</v>
      </c>
      <c r="T142" s="123">
        <f t="shared" si="33"/>
        <v>1.25</v>
      </c>
      <c r="U142" s="123">
        <f t="shared" si="33"/>
        <v>1.25</v>
      </c>
      <c r="V142" s="123">
        <f t="shared" si="33"/>
        <v>1.25</v>
      </c>
      <c r="W142" s="123">
        <f t="shared" si="33"/>
        <v>1.25</v>
      </c>
      <c r="X142" s="123">
        <f t="shared" si="33"/>
        <v>1.25</v>
      </c>
      <c r="Y142" s="123">
        <f t="shared" si="33"/>
        <v>1.25</v>
      </c>
      <c r="Z142" s="123">
        <f t="shared" si="33"/>
        <v>1.25</v>
      </c>
      <c r="AA142" s="123">
        <f t="shared" si="33"/>
        <v>1.25</v>
      </c>
      <c r="AB142" s="123">
        <f t="shared" si="33"/>
        <v>1.25</v>
      </c>
      <c r="AC142" s="123">
        <f t="shared" si="33"/>
        <v>1.25</v>
      </c>
      <c r="AD142" s="123">
        <f t="shared" si="33"/>
        <v>1.25</v>
      </c>
      <c r="AE142" s="123">
        <f t="shared" si="33"/>
        <v>1.25</v>
      </c>
      <c r="AF142" s="123">
        <f t="shared" si="33"/>
        <v>1.25</v>
      </c>
      <c r="AG142" s="126">
        <v>4.5</v>
      </c>
      <c r="AH142" s="54"/>
      <c r="AI142" s="55"/>
      <c r="AK142" s="56"/>
    </row>
    <row r="143" spans="1:37" x14ac:dyDescent="0.25">
      <c r="A143" s="111" t="s">
        <v>149</v>
      </c>
      <c r="B143" s="123">
        <f t="shared" si="31"/>
        <v>1.25</v>
      </c>
      <c r="C143" s="124">
        <v>1.25</v>
      </c>
      <c r="D143" s="123">
        <f t="shared" si="32"/>
        <v>1.25</v>
      </c>
      <c r="E143" s="123">
        <f t="shared" si="32"/>
        <v>1.25</v>
      </c>
      <c r="F143" s="123">
        <f t="shared" si="32"/>
        <v>1.25</v>
      </c>
      <c r="G143" s="123">
        <f t="shared" si="32"/>
        <v>1.25</v>
      </c>
      <c r="H143" s="123">
        <f t="shared" si="32"/>
        <v>1.25</v>
      </c>
      <c r="I143" s="123">
        <f t="shared" si="32"/>
        <v>1.25</v>
      </c>
      <c r="J143" s="123">
        <f t="shared" si="32"/>
        <v>1.25</v>
      </c>
      <c r="K143" s="123">
        <f t="shared" si="32"/>
        <v>1.25</v>
      </c>
      <c r="L143" s="123">
        <f t="shared" si="32"/>
        <v>1.25</v>
      </c>
      <c r="M143" s="123">
        <f t="shared" si="32"/>
        <v>1.25</v>
      </c>
      <c r="N143" s="123">
        <f t="shared" si="32"/>
        <v>1.25</v>
      </c>
      <c r="O143" s="123">
        <f t="shared" si="32"/>
        <v>1.25</v>
      </c>
      <c r="P143" s="123">
        <f t="shared" si="32"/>
        <v>1.25</v>
      </c>
      <c r="Q143" s="123">
        <f t="shared" si="32"/>
        <v>1.25</v>
      </c>
      <c r="R143" s="123">
        <f t="shared" si="32"/>
        <v>1.25</v>
      </c>
      <c r="S143" s="123">
        <f t="shared" si="32"/>
        <v>1.25</v>
      </c>
      <c r="T143" s="123">
        <f t="shared" si="33"/>
        <v>1.25</v>
      </c>
      <c r="U143" s="123">
        <f t="shared" si="33"/>
        <v>1.25</v>
      </c>
      <c r="V143" s="123">
        <f t="shared" si="33"/>
        <v>1.25</v>
      </c>
      <c r="W143" s="123">
        <f t="shared" si="33"/>
        <v>1.25</v>
      </c>
      <c r="X143" s="123">
        <f t="shared" si="33"/>
        <v>1.25</v>
      </c>
      <c r="Y143" s="123">
        <f t="shared" si="33"/>
        <v>1.25</v>
      </c>
      <c r="Z143" s="123">
        <f t="shared" si="33"/>
        <v>1.25</v>
      </c>
      <c r="AA143" s="123">
        <f t="shared" si="33"/>
        <v>1.25</v>
      </c>
      <c r="AB143" s="123">
        <f t="shared" si="33"/>
        <v>1.25</v>
      </c>
      <c r="AC143" s="123">
        <f t="shared" si="33"/>
        <v>1.25</v>
      </c>
      <c r="AD143" s="123">
        <f t="shared" si="33"/>
        <v>1.25</v>
      </c>
      <c r="AE143" s="123">
        <f t="shared" si="33"/>
        <v>1.25</v>
      </c>
      <c r="AF143" s="123">
        <f t="shared" si="33"/>
        <v>1.25</v>
      </c>
      <c r="AG143" s="126">
        <v>4.5</v>
      </c>
      <c r="AH143" s="54"/>
      <c r="AI143" s="55"/>
      <c r="AK143" s="56"/>
    </row>
    <row r="144" spans="1:37" x14ac:dyDescent="0.25">
      <c r="A144" s="111" t="s">
        <v>150</v>
      </c>
      <c r="B144" s="123">
        <f t="shared" si="31"/>
        <v>1.46</v>
      </c>
      <c r="C144" s="124">
        <v>1.46</v>
      </c>
      <c r="D144" s="123">
        <f t="shared" si="32"/>
        <v>1.46</v>
      </c>
      <c r="E144" s="123">
        <f t="shared" si="32"/>
        <v>1.46</v>
      </c>
      <c r="F144" s="123">
        <f t="shared" si="32"/>
        <v>1.46</v>
      </c>
      <c r="G144" s="123">
        <f t="shared" si="32"/>
        <v>1.46</v>
      </c>
      <c r="H144" s="123">
        <f t="shared" si="32"/>
        <v>1.46</v>
      </c>
      <c r="I144" s="123">
        <f t="shared" si="32"/>
        <v>1.46</v>
      </c>
      <c r="J144" s="123">
        <f t="shared" si="32"/>
        <v>1.46</v>
      </c>
      <c r="K144" s="123">
        <f t="shared" si="32"/>
        <v>1.46</v>
      </c>
      <c r="L144" s="123">
        <f t="shared" si="32"/>
        <v>1.46</v>
      </c>
      <c r="M144" s="123">
        <f t="shared" si="32"/>
        <v>1.46</v>
      </c>
      <c r="N144" s="123">
        <f t="shared" si="32"/>
        <v>1.46</v>
      </c>
      <c r="O144" s="123">
        <f t="shared" si="32"/>
        <v>1.46</v>
      </c>
      <c r="P144" s="123">
        <f t="shared" si="32"/>
        <v>1.46</v>
      </c>
      <c r="Q144" s="123">
        <f t="shared" si="32"/>
        <v>1.46</v>
      </c>
      <c r="R144" s="123">
        <f t="shared" si="32"/>
        <v>1.46</v>
      </c>
      <c r="S144" s="123">
        <f t="shared" si="32"/>
        <v>1.46</v>
      </c>
      <c r="T144" s="123">
        <f t="shared" si="33"/>
        <v>1.46</v>
      </c>
      <c r="U144" s="123">
        <f t="shared" si="33"/>
        <v>1.46</v>
      </c>
      <c r="V144" s="123">
        <f t="shared" si="33"/>
        <v>1.46</v>
      </c>
      <c r="W144" s="123">
        <f t="shared" si="33"/>
        <v>1.46</v>
      </c>
      <c r="X144" s="123">
        <f t="shared" si="33"/>
        <v>1.46</v>
      </c>
      <c r="Y144" s="123">
        <f t="shared" si="33"/>
        <v>1.46</v>
      </c>
      <c r="Z144" s="123">
        <f t="shared" si="33"/>
        <v>1.46</v>
      </c>
      <c r="AA144" s="123">
        <f t="shared" si="33"/>
        <v>1.46</v>
      </c>
      <c r="AB144" s="123">
        <f t="shared" si="33"/>
        <v>1.46</v>
      </c>
      <c r="AC144" s="123">
        <f t="shared" si="33"/>
        <v>1.46</v>
      </c>
      <c r="AD144" s="123">
        <f t="shared" si="33"/>
        <v>1.46</v>
      </c>
      <c r="AE144" s="123">
        <f t="shared" si="33"/>
        <v>1.46</v>
      </c>
      <c r="AF144" s="123">
        <f t="shared" si="33"/>
        <v>1.46</v>
      </c>
      <c r="AG144" s="126">
        <v>4.4550000000000001</v>
      </c>
      <c r="AH144" s="54"/>
      <c r="AI144" s="55"/>
      <c r="AK144" s="56"/>
    </row>
    <row r="145" spans="1:37" x14ac:dyDescent="0.25">
      <c r="A145" s="111" t="s">
        <v>151</v>
      </c>
      <c r="B145" s="123">
        <f t="shared" si="31"/>
        <v>3</v>
      </c>
      <c r="C145" s="124">
        <v>3</v>
      </c>
      <c r="D145" s="123">
        <f t="shared" si="32"/>
        <v>3</v>
      </c>
      <c r="E145" s="123">
        <f t="shared" si="32"/>
        <v>3</v>
      </c>
      <c r="F145" s="123">
        <f t="shared" si="32"/>
        <v>3</v>
      </c>
      <c r="G145" s="123">
        <f t="shared" si="32"/>
        <v>3</v>
      </c>
      <c r="H145" s="123">
        <f t="shared" si="32"/>
        <v>3</v>
      </c>
      <c r="I145" s="123">
        <f t="shared" si="32"/>
        <v>3</v>
      </c>
      <c r="J145" s="123">
        <f t="shared" si="32"/>
        <v>3</v>
      </c>
      <c r="K145" s="123">
        <f t="shared" si="32"/>
        <v>3</v>
      </c>
      <c r="L145" s="123">
        <f t="shared" si="32"/>
        <v>3</v>
      </c>
      <c r="M145" s="123">
        <f t="shared" si="32"/>
        <v>3</v>
      </c>
      <c r="N145" s="123">
        <f t="shared" si="32"/>
        <v>3</v>
      </c>
      <c r="O145" s="123">
        <f t="shared" si="32"/>
        <v>3</v>
      </c>
      <c r="P145" s="123">
        <f t="shared" si="32"/>
        <v>3</v>
      </c>
      <c r="Q145" s="123">
        <f t="shared" si="32"/>
        <v>3</v>
      </c>
      <c r="R145" s="123">
        <f t="shared" si="32"/>
        <v>3</v>
      </c>
      <c r="S145" s="123">
        <f t="shared" si="32"/>
        <v>3</v>
      </c>
      <c r="T145" s="123">
        <f t="shared" si="33"/>
        <v>3</v>
      </c>
      <c r="U145" s="123">
        <f t="shared" si="33"/>
        <v>3</v>
      </c>
      <c r="V145" s="123">
        <f t="shared" si="33"/>
        <v>3</v>
      </c>
      <c r="W145" s="123">
        <f t="shared" si="33"/>
        <v>3</v>
      </c>
      <c r="X145" s="123">
        <f t="shared" si="33"/>
        <v>3</v>
      </c>
      <c r="Y145" s="123">
        <f t="shared" si="33"/>
        <v>3</v>
      </c>
      <c r="Z145" s="123">
        <f t="shared" si="33"/>
        <v>3</v>
      </c>
      <c r="AA145" s="123">
        <f t="shared" si="33"/>
        <v>3</v>
      </c>
      <c r="AB145" s="123">
        <f t="shared" si="33"/>
        <v>3</v>
      </c>
      <c r="AC145" s="123">
        <f t="shared" si="33"/>
        <v>3</v>
      </c>
      <c r="AD145" s="123">
        <f t="shared" si="33"/>
        <v>3</v>
      </c>
      <c r="AE145" s="123">
        <f t="shared" si="33"/>
        <v>3</v>
      </c>
      <c r="AF145" s="123">
        <f t="shared" si="33"/>
        <v>3</v>
      </c>
      <c r="AG145" s="126">
        <v>4.41</v>
      </c>
      <c r="AH145" s="54"/>
      <c r="AI145" s="55"/>
      <c r="AK145" s="56"/>
    </row>
    <row r="146" spans="1:37" x14ac:dyDescent="0.25">
      <c r="A146" s="111" t="s">
        <v>152</v>
      </c>
      <c r="B146" s="123">
        <f t="shared" si="31"/>
        <v>3.3</v>
      </c>
      <c r="C146" s="124">
        <v>3.3</v>
      </c>
      <c r="D146" s="123">
        <f t="shared" si="32"/>
        <v>3.3</v>
      </c>
      <c r="E146" s="123">
        <f t="shared" si="32"/>
        <v>3.3</v>
      </c>
      <c r="F146" s="123">
        <f t="shared" si="32"/>
        <v>3.3</v>
      </c>
      <c r="G146" s="123">
        <f t="shared" si="32"/>
        <v>3.3</v>
      </c>
      <c r="H146" s="123">
        <f t="shared" si="32"/>
        <v>3.3</v>
      </c>
      <c r="I146" s="123">
        <f t="shared" si="32"/>
        <v>3.3</v>
      </c>
      <c r="J146" s="123">
        <f t="shared" si="32"/>
        <v>3.3</v>
      </c>
      <c r="K146" s="123">
        <f t="shared" si="32"/>
        <v>3.3</v>
      </c>
      <c r="L146" s="123">
        <f t="shared" si="32"/>
        <v>3.3</v>
      </c>
      <c r="M146" s="123">
        <f t="shared" si="32"/>
        <v>3.3</v>
      </c>
      <c r="N146" s="123">
        <f t="shared" si="32"/>
        <v>3.3</v>
      </c>
      <c r="O146" s="123">
        <f t="shared" si="32"/>
        <v>3.3</v>
      </c>
      <c r="P146" s="123">
        <f t="shared" si="32"/>
        <v>3.3</v>
      </c>
      <c r="Q146" s="123">
        <f t="shared" si="32"/>
        <v>3.3</v>
      </c>
      <c r="R146" s="123">
        <f t="shared" si="32"/>
        <v>3.3</v>
      </c>
      <c r="S146" s="123">
        <f t="shared" si="32"/>
        <v>3.3</v>
      </c>
      <c r="T146" s="123">
        <f t="shared" si="33"/>
        <v>3.3</v>
      </c>
      <c r="U146" s="123">
        <f t="shared" si="33"/>
        <v>3.3</v>
      </c>
      <c r="V146" s="123">
        <f t="shared" si="33"/>
        <v>3.3</v>
      </c>
      <c r="W146" s="123">
        <f t="shared" si="33"/>
        <v>3.3</v>
      </c>
      <c r="X146" s="123">
        <f t="shared" si="33"/>
        <v>3.3</v>
      </c>
      <c r="Y146" s="123">
        <f t="shared" si="33"/>
        <v>3.3</v>
      </c>
      <c r="Z146" s="123">
        <f t="shared" si="33"/>
        <v>3.3</v>
      </c>
      <c r="AA146" s="123">
        <f t="shared" si="33"/>
        <v>3.3</v>
      </c>
      <c r="AB146" s="123">
        <f t="shared" si="33"/>
        <v>3.3</v>
      </c>
      <c r="AC146" s="123">
        <f t="shared" si="33"/>
        <v>3.3</v>
      </c>
      <c r="AD146" s="123">
        <f t="shared" si="33"/>
        <v>3.3</v>
      </c>
      <c r="AE146" s="123">
        <f t="shared" si="33"/>
        <v>3.3</v>
      </c>
      <c r="AF146" s="123">
        <f t="shared" si="33"/>
        <v>3.3</v>
      </c>
      <c r="AG146" s="126">
        <v>4.4000000000000004</v>
      </c>
      <c r="AH146" s="54"/>
      <c r="AI146" s="55"/>
      <c r="AK146" s="56"/>
    </row>
    <row r="147" spans="1:37" x14ac:dyDescent="0.25">
      <c r="A147" s="111" t="s">
        <v>153</v>
      </c>
      <c r="B147" s="123"/>
      <c r="C147" s="124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6">
        <v>4.3600000000000003</v>
      </c>
      <c r="AH147" s="54"/>
      <c r="AI147" s="55"/>
      <c r="AK147" s="56"/>
    </row>
    <row r="148" spans="1:37" x14ac:dyDescent="0.25">
      <c r="A148" s="111" t="s">
        <v>154</v>
      </c>
      <c r="B148" s="123">
        <f>AF148</f>
        <v>1.76</v>
      </c>
      <c r="C148" s="124">
        <v>1.76</v>
      </c>
      <c r="D148" s="123">
        <f t="shared" ref="D148:S149" si="34">C148</f>
        <v>1.76</v>
      </c>
      <c r="E148" s="123">
        <f t="shared" si="34"/>
        <v>1.76</v>
      </c>
      <c r="F148" s="123">
        <f t="shared" si="34"/>
        <v>1.76</v>
      </c>
      <c r="G148" s="123">
        <f t="shared" si="34"/>
        <v>1.76</v>
      </c>
      <c r="H148" s="123">
        <f t="shared" si="34"/>
        <v>1.76</v>
      </c>
      <c r="I148" s="123">
        <f t="shared" si="34"/>
        <v>1.76</v>
      </c>
      <c r="J148" s="123">
        <f t="shared" si="34"/>
        <v>1.76</v>
      </c>
      <c r="K148" s="123">
        <f t="shared" si="34"/>
        <v>1.76</v>
      </c>
      <c r="L148" s="123">
        <f t="shared" si="34"/>
        <v>1.76</v>
      </c>
      <c r="M148" s="123">
        <f t="shared" si="34"/>
        <v>1.76</v>
      </c>
      <c r="N148" s="123">
        <f t="shared" si="34"/>
        <v>1.76</v>
      </c>
      <c r="O148" s="123">
        <f t="shared" si="34"/>
        <v>1.76</v>
      </c>
      <c r="P148" s="123">
        <f t="shared" si="34"/>
        <v>1.76</v>
      </c>
      <c r="Q148" s="123">
        <f t="shared" si="34"/>
        <v>1.76</v>
      </c>
      <c r="R148" s="123">
        <f t="shared" si="34"/>
        <v>1.76</v>
      </c>
      <c r="S148" s="123">
        <f t="shared" si="34"/>
        <v>1.76</v>
      </c>
      <c r="T148" s="123">
        <f t="shared" ref="T148:AF149" si="35">S148</f>
        <v>1.76</v>
      </c>
      <c r="U148" s="123">
        <f t="shared" si="35"/>
        <v>1.76</v>
      </c>
      <c r="V148" s="123">
        <f t="shared" si="35"/>
        <v>1.76</v>
      </c>
      <c r="W148" s="123">
        <f t="shared" si="35"/>
        <v>1.76</v>
      </c>
      <c r="X148" s="123">
        <f t="shared" si="35"/>
        <v>1.76</v>
      </c>
      <c r="Y148" s="123">
        <f t="shared" si="35"/>
        <v>1.76</v>
      </c>
      <c r="Z148" s="123">
        <f t="shared" si="35"/>
        <v>1.76</v>
      </c>
      <c r="AA148" s="123">
        <f t="shared" si="35"/>
        <v>1.76</v>
      </c>
      <c r="AB148" s="123">
        <f t="shared" si="35"/>
        <v>1.76</v>
      </c>
      <c r="AC148" s="123">
        <f t="shared" si="35"/>
        <v>1.76</v>
      </c>
      <c r="AD148" s="123">
        <f t="shared" si="35"/>
        <v>1.76</v>
      </c>
      <c r="AE148" s="123">
        <f t="shared" si="35"/>
        <v>1.76</v>
      </c>
      <c r="AF148" s="123">
        <f t="shared" si="35"/>
        <v>1.76</v>
      </c>
      <c r="AG148" s="126">
        <v>4.2</v>
      </c>
      <c r="AH148" s="54"/>
      <c r="AI148" s="55"/>
      <c r="AK148" s="56"/>
    </row>
    <row r="149" spans="1:37" x14ac:dyDescent="0.25">
      <c r="A149" s="111" t="s">
        <v>155</v>
      </c>
      <c r="B149" s="123">
        <f>AF149</f>
        <v>0</v>
      </c>
      <c r="C149" s="124">
        <v>0</v>
      </c>
      <c r="D149" s="123">
        <f t="shared" si="34"/>
        <v>0</v>
      </c>
      <c r="E149" s="123">
        <f t="shared" si="34"/>
        <v>0</v>
      </c>
      <c r="F149" s="123">
        <f t="shared" si="34"/>
        <v>0</v>
      </c>
      <c r="G149" s="123">
        <f t="shared" si="34"/>
        <v>0</v>
      </c>
      <c r="H149" s="123">
        <f t="shared" si="34"/>
        <v>0</v>
      </c>
      <c r="I149" s="123">
        <f t="shared" si="34"/>
        <v>0</v>
      </c>
      <c r="J149" s="123">
        <f t="shared" si="34"/>
        <v>0</v>
      </c>
      <c r="K149" s="123">
        <f t="shared" si="34"/>
        <v>0</v>
      </c>
      <c r="L149" s="123">
        <f t="shared" si="34"/>
        <v>0</v>
      </c>
      <c r="M149" s="123">
        <f t="shared" si="34"/>
        <v>0</v>
      </c>
      <c r="N149" s="123">
        <f t="shared" si="34"/>
        <v>0</v>
      </c>
      <c r="O149" s="123">
        <f t="shared" si="34"/>
        <v>0</v>
      </c>
      <c r="P149" s="123">
        <f t="shared" si="34"/>
        <v>0</v>
      </c>
      <c r="Q149" s="123">
        <f t="shared" si="34"/>
        <v>0</v>
      </c>
      <c r="R149" s="123">
        <f t="shared" si="34"/>
        <v>0</v>
      </c>
      <c r="S149" s="123">
        <f t="shared" si="34"/>
        <v>0</v>
      </c>
      <c r="T149" s="123">
        <f t="shared" si="35"/>
        <v>0</v>
      </c>
      <c r="U149" s="123">
        <f t="shared" si="35"/>
        <v>0</v>
      </c>
      <c r="V149" s="123">
        <f t="shared" si="35"/>
        <v>0</v>
      </c>
      <c r="W149" s="123">
        <f t="shared" si="35"/>
        <v>0</v>
      </c>
      <c r="X149" s="123">
        <f t="shared" si="35"/>
        <v>0</v>
      </c>
      <c r="Y149" s="123">
        <f t="shared" si="35"/>
        <v>0</v>
      </c>
      <c r="Z149" s="123">
        <f t="shared" si="35"/>
        <v>0</v>
      </c>
      <c r="AA149" s="123">
        <f t="shared" si="35"/>
        <v>0</v>
      </c>
      <c r="AB149" s="123">
        <f t="shared" si="35"/>
        <v>0</v>
      </c>
      <c r="AC149" s="123">
        <f t="shared" si="35"/>
        <v>0</v>
      </c>
      <c r="AD149" s="123">
        <f t="shared" si="35"/>
        <v>0</v>
      </c>
      <c r="AE149" s="123">
        <f t="shared" si="35"/>
        <v>0</v>
      </c>
      <c r="AF149" s="123">
        <f t="shared" si="35"/>
        <v>0</v>
      </c>
      <c r="AG149" s="126">
        <v>4</v>
      </c>
      <c r="AH149" s="54"/>
      <c r="AI149" s="55"/>
      <c r="AK149" s="56"/>
    </row>
    <row r="150" spans="1:37" x14ac:dyDescent="0.25">
      <c r="A150" s="111" t="s">
        <v>156</v>
      </c>
      <c r="B150" s="123"/>
      <c r="C150" s="124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6">
        <v>4</v>
      </c>
      <c r="AH150" s="54"/>
      <c r="AI150" s="55"/>
      <c r="AK150" s="56"/>
    </row>
    <row r="151" spans="1:37" x14ac:dyDescent="0.25">
      <c r="A151" s="111" t="s">
        <v>157</v>
      </c>
      <c r="B151" s="123">
        <f>AF151</f>
        <v>0.1</v>
      </c>
      <c r="C151" s="124">
        <v>0.1</v>
      </c>
      <c r="D151" s="123">
        <f t="shared" ref="D151:S154" si="36">C151</f>
        <v>0.1</v>
      </c>
      <c r="E151" s="123">
        <f t="shared" si="36"/>
        <v>0.1</v>
      </c>
      <c r="F151" s="123">
        <f t="shared" si="36"/>
        <v>0.1</v>
      </c>
      <c r="G151" s="123">
        <f t="shared" si="36"/>
        <v>0.1</v>
      </c>
      <c r="H151" s="123">
        <f t="shared" si="36"/>
        <v>0.1</v>
      </c>
      <c r="I151" s="123">
        <f t="shared" si="36"/>
        <v>0.1</v>
      </c>
      <c r="J151" s="123">
        <f t="shared" si="36"/>
        <v>0.1</v>
      </c>
      <c r="K151" s="123">
        <f t="shared" si="36"/>
        <v>0.1</v>
      </c>
      <c r="L151" s="123">
        <f t="shared" si="36"/>
        <v>0.1</v>
      </c>
      <c r="M151" s="123">
        <f t="shared" si="36"/>
        <v>0.1</v>
      </c>
      <c r="N151" s="123">
        <f t="shared" si="36"/>
        <v>0.1</v>
      </c>
      <c r="O151" s="123">
        <f t="shared" si="36"/>
        <v>0.1</v>
      </c>
      <c r="P151" s="123">
        <f t="shared" si="36"/>
        <v>0.1</v>
      </c>
      <c r="Q151" s="123">
        <f t="shared" si="36"/>
        <v>0.1</v>
      </c>
      <c r="R151" s="123">
        <f t="shared" si="36"/>
        <v>0.1</v>
      </c>
      <c r="S151" s="123">
        <f t="shared" si="36"/>
        <v>0.1</v>
      </c>
      <c r="T151" s="123">
        <f t="shared" ref="T151:AF154" si="37">S151</f>
        <v>0.1</v>
      </c>
      <c r="U151" s="123">
        <f t="shared" si="37"/>
        <v>0.1</v>
      </c>
      <c r="V151" s="123">
        <f t="shared" si="37"/>
        <v>0.1</v>
      </c>
      <c r="W151" s="123">
        <f t="shared" si="37"/>
        <v>0.1</v>
      </c>
      <c r="X151" s="123">
        <f t="shared" si="37"/>
        <v>0.1</v>
      </c>
      <c r="Y151" s="123">
        <f t="shared" si="37"/>
        <v>0.1</v>
      </c>
      <c r="Z151" s="123">
        <f t="shared" si="37"/>
        <v>0.1</v>
      </c>
      <c r="AA151" s="123">
        <f t="shared" si="37"/>
        <v>0.1</v>
      </c>
      <c r="AB151" s="123">
        <f t="shared" si="37"/>
        <v>0.1</v>
      </c>
      <c r="AC151" s="123">
        <f t="shared" si="37"/>
        <v>0.1</v>
      </c>
      <c r="AD151" s="123">
        <f t="shared" si="37"/>
        <v>0.1</v>
      </c>
      <c r="AE151" s="123">
        <f t="shared" si="37"/>
        <v>0.1</v>
      </c>
      <c r="AF151" s="123">
        <f t="shared" si="37"/>
        <v>0.1</v>
      </c>
      <c r="AG151" s="126">
        <v>4</v>
      </c>
      <c r="AH151" s="54"/>
      <c r="AI151" s="55"/>
      <c r="AK151" s="56"/>
    </row>
    <row r="152" spans="1:37" x14ac:dyDescent="0.25">
      <c r="A152" s="111" t="s">
        <v>158</v>
      </c>
      <c r="B152" s="123">
        <f>AF152</f>
        <v>2.0499999999999998</v>
      </c>
      <c r="C152" s="124">
        <v>2.0499999999999998</v>
      </c>
      <c r="D152" s="123">
        <f t="shared" si="36"/>
        <v>2.0499999999999998</v>
      </c>
      <c r="E152" s="123">
        <f t="shared" si="36"/>
        <v>2.0499999999999998</v>
      </c>
      <c r="F152" s="123">
        <f t="shared" si="36"/>
        <v>2.0499999999999998</v>
      </c>
      <c r="G152" s="123">
        <f t="shared" si="36"/>
        <v>2.0499999999999998</v>
      </c>
      <c r="H152" s="123">
        <f t="shared" si="36"/>
        <v>2.0499999999999998</v>
      </c>
      <c r="I152" s="123">
        <f t="shared" si="36"/>
        <v>2.0499999999999998</v>
      </c>
      <c r="J152" s="123">
        <f t="shared" si="36"/>
        <v>2.0499999999999998</v>
      </c>
      <c r="K152" s="123">
        <f t="shared" si="36"/>
        <v>2.0499999999999998</v>
      </c>
      <c r="L152" s="123">
        <f t="shared" si="36"/>
        <v>2.0499999999999998</v>
      </c>
      <c r="M152" s="123">
        <f t="shared" si="36"/>
        <v>2.0499999999999998</v>
      </c>
      <c r="N152" s="123">
        <f t="shared" si="36"/>
        <v>2.0499999999999998</v>
      </c>
      <c r="O152" s="123">
        <f t="shared" si="36"/>
        <v>2.0499999999999998</v>
      </c>
      <c r="P152" s="123">
        <f t="shared" si="36"/>
        <v>2.0499999999999998</v>
      </c>
      <c r="Q152" s="123">
        <f t="shared" si="36"/>
        <v>2.0499999999999998</v>
      </c>
      <c r="R152" s="123">
        <f t="shared" si="36"/>
        <v>2.0499999999999998</v>
      </c>
      <c r="S152" s="123">
        <f t="shared" si="36"/>
        <v>2.0499999999999998</v>
      </c>
      <c r="T152" s="123">
        <f t="shared" si="37"/>
        <v>2.0499999999999998</v>
      </c>
      <c r="U152" s="123">
        <f t="shared" si="37"/>
        <v>2.0499999999999998</v>
      </c>
      <c r="V152" s="123">
        <f t="shared" si="37"/>
        <v>2.0499999999999998</v>
      </c>
      <c r="W152" s="123">
        <f t="shared" si="37"/>
        <v>2.0499999999999998</v>
      </c>
      <c r="X152" s="123">
        <f t="shared" si="37"/>
        <v>2.0499999999999998</v>
      </c>
      <c r="Y152" s="123">
        <f t="shared" si="37"/>
        <v>2.0499999999999998</v>
      </c>
      <c r="Z152" s="123">
        <f t="shared" si="37"/>
        <v>2.0499999999999998</v>
      </c>
      <c r="AA152" s="123">
        <f t="shared" si="37"/>
        <v>2.0499999999999998</v>
      </c>
      <c r="AB152" s="123">
        <f t="shared" si="37"/>
        <v>2.0499999999999998</v>
      </c>
      <c r="AC152" s="123">
        <f t="shared" si="37"/>
        <v>2.0499999999999998</v>
      </c>
      <c r="AD152" s="123">
        <f t="shared" si="37"/>
        <v>2.0499999999999998</v>
      </c>
      <c r="AE152" s="123">
        <f t="shared" si="37"/>
        <v>2.0499999999999998</v>
      </c>
      <c r="AF152" s="123">
        <f t="shared" si="37"/>
        <v>2.0499999999999998</v>
      </c>
      <c r="AG152" s="126">
        <v>4</v>
      </c>
      <c r="AH152" s="54"/>
      <c r="AI152" s="55"/>
      <c r="AK152" s="56"/>
    </row>
    <row r="153" spans="1:37" x14ac:dyDescent="0.25">
      <c r="A153" s="111" t="s">
        <v>159</v>
      </c>
      <c r="B153" s="123">
        <f>AF153</f>
        <v>2.7</v>
      </c>
      <c r="C153" s="124">
        <v>2.7</v>
      </c>
      <c r="D153" s="123">
        <f t="shared" si="36"/>
        <v>2.7</v>
      </c>
      <c r="E153" s="123">
        <f t="shared" si="36"/>
        <v>2.7</v>
      </c>
      <c r="F153" s="123">
        <f t="shared" si="36"/>
        <v>2.7</v>
      </c>
      <c r="G153" s="123">
        <f t="shared" si="36"/>
        <v>2.7</v>
      </c>
      <c r="H153" s="123">
        <f t="shared" si="36"/>
        <v>2.7</v>
      </c>
      <c r="I153" s="123">
        <f t="shared" si="36"/>
        <v>2.7</v>
      </c>
      <c r="J153" s="123">
        <f t="shared" si="36"/>
        <v>2.7</v>
      </c>
      <c r="K153" s="123">
        <f t="shared" si="36"/>
        <v>2.7</v>
      </c>
      <c r="L153" s="123">
        <f t="shared" si="36"/>
        <v>2.7</v>
      </c>
      <c r="M153" s="123">
        <f t="shared" si="36"/>
        <v>2.7</v>
      </c>
      <c r="N153" s="123">
        <f t="shared" si="36"/>
        <v>2.7</v>
      </c>
      <c r="O153" s="123">
        <f t="shared" si="36"/>
        <v>2.7</v>
      </c>
      <c r="P153" s="123">
        <f t="shared" si="36"/>
        <v>2.7</v>
      </c>
      <c r="Q153" s="123">
        <f t="shared" si="36"/>
        <v>2.7</v>
      </c>
      <c r="R153" s="123">
        <f t="shared" si="36"/>
        <v>2.7</v>
      </c>
      <c r="S153" s="123">
        <f t="shared" si="36"/>
        <v>2.7</v>
      </c>
      <c r="T153" s="123">
        <f t="shared" si="37"/>
        <v>2.7</v>
      </c>
      <c r="U153" s="123">
        <f t="shared" si="37"/>
        <v>2.7</v>
      </c>
      <c r="V153" s="123">
        <f t="shared" si="37"/>
        <v>2.7</v>
      </c>
      <c r="W153" s="123">
        <f t="shared" si="37"/>
        <v>2.7</v>
      </c>
      <c r="X153" s="123">
        <f t="shared" si="37"/>
        <v>2.7</v>
      </c>
      <c r="Y153" s="123">
        <f t="shared" si="37"/>
        <v>2.7</v>
      </c>
      <c r="Z153" s="123">
        <f t="shared" si="37"/>
        <v>2.7</v>
      </c>
      <c r="AA153" s="123">
        <f t="shared" si="37"/>
        <v>2.7</v>
      </c>
      <c r="AB153" s="123">
        <f t="shared" si="37"/>
        <v>2.7</v>
      </c>
      <c r="AC153" s="123">
        <f t="shared" si="37"/>
        <v>2.7</v>
      </c>
      <c r="AD153" s="123">
        <f t="shared" si="37"/>
        <v>2.7</v>
      </c>
      <c r="AE153" s="123">
        <f t="shared" si="37"/>
        <v>2.7</v>
      </c>
      <c r="AF153" s="123">
        <f t="shared" si="37"/>
        <v>2.7</v>
      </c>
      <c r="AG153" s="126">
        <v>4</v>
      </c>
      <c r="AH153" s="54"/>
      <c r="AI153" s="55"/>
      <c r="AK153" s="56"/>
    </row>
    <row r="154" spans="1:37" x14ac:dyDescent="0.25">
      <c r="A154" s="111" t="s">
        <v>160</v>
      </c>
      <c r="B154" s="123">
        <f>AF154</f>
        <v>2.15</v>
      </c>
      <c r="C154" s="124">
        <v>2.15</v>
      </c>
      <c r="D154" s="123">
        <f t="shared" si="36"/>
        <v>2.15</v>
      </c>
      <c r="E154" s="123">
        <f t="shared" si="36"/>
        <v>2.15</v>
      </c>
      <c r="F154" s="123">
        <f t="shared" si="36"/>
        <v>2.15</v>
      </c>
      <c r="G154" s="123">
        <f t="shared" si="36"/>
        <v>2.15</v>
      </c>
      <c r="H154" s="123">
        <f t="shared" si="36"/>
        <v>2.15</v>
      </c>
      <c r="I154" s="123">
        <f t="shared" si="36"/>
        <v>2.15</v>
      </c>
      <c r="J154" s="123">
        <f t="shared" si="36"/>
        <v>2.15</v>
      </c>
      <c r="K154" s="123">
        <f t="shared" si="36"/>
        <v>2.15</v>
      </c>
      <c r="L154" s="123">
        <f t="shared" si="36"/>
        <v>2.15</v>
      </c>
      <c r="M154" s="123">
        <f t="shared" si="36"/>
        <v>2.15</v>
      </c>
      <c r="N154" s="123">
        <f t="shared" si="36"/>
        <v>2.15</v>
      </c>
      <c r="O154" s="123">
        <f t="shared" si="36"/>
        <v>2.15</v>
      </c>
      <c r="P154" s="123">
        <f t="shared" si="36"/>
        <v>2.15</v>
      </c>
      <c r="Q154" s="123">
        <f t="shared" si="36"/>
        <v>2.15</v>
      </c>
      <c r="R154" s="123">
        <f t="shared" si="36"/>
        <v>2.15</v>
      </c>
      <c r="S154" s="123">
        <f t="shared" si="36"/>
        <v>2.15</v>
      </c>
      <c r="T154" s="123">
        <f t="shared" si="37"/>
        <v>2.15</v>
      </c>
      <c r="U154" s="123">
        <f t="shared" si="37"/>
        <v>2.15</v>
      </c>
      <c r="V154" s="123">
        <f t="shared" si="37"/>
        <v>2.15</v>
      </c>
      <c r="W154" s="123">
        <f t="shared" si="37"/>
        <v>2.15</v>
      </c>
      <c r="X154" s="123">
        <f t="shared" si="37"/>
        <v>2.15</v>
      </c>
      <c r="Y154" s="123">
        <f t="shared" si="37"/>
        <v>2.15</v>
      </c>
      <c r="Z154" s="123">
        <f t="shared" si="37"/>
        <v>2.15</v>
      </c>
      <c r="AA154" s="123">
        <f t="shared" si="37"/>
        <v>2.15</v>
      </c>
      <c r="AB154" s="123">
        <f t="shared" si="37"/>
        <v>2.15</v>
      </c>
      <c r="AC154" s="123">
        <f t="shared" si="37"/>
        <v>2.15</v>
      </c>
      <c r="AD154" s="123">
        <f t="shared" si="37"/>
        <v>2.15</v>
      </c>
      <c r="AE154" s="123">
        <f t="shared" si="37"/>
        <v>2.15</v>
      </c>
      <c r="AF154" s="123">
        <f t="shared" si="37"/>
        <v>2.15</v>
      </c>
      <c r="AG154" s="126">
        <v>4</v>
      </c>
      <c r="AH154" s="54"/>
      <c r="AI154" s="55"/>
      <c r="AK154" s="56"/>
    </row>
    <row r="155" spans="1:37" x14ac:dyDescent="0.25">
      <c r="A155" s="111" t="s">
        <v>161</v>
      </c>
      <c r="B155" s="123"/>
      <c r="C155" s="124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6">
        <v>4</v>
      </c>
      <c r="AH155" s="54"/>
      <c r="AI155" s="55"/>
      <c r="AK155" s="56"/>
    </row>
    <row r="156" spans="1:37" x14ac:dyDescent="0.25">
      <c r="A156" s="111" t="s">
        <v>162</v>
      </c>
      <c r="B156" s="123">
        <f t="shared" ref="B156:B168" si="38">AF156</f>
        <v>0.9</v>
      </c>
      <c r="C156" s="124">
        <v>0.9</v>
      </c>
      <c r="D156" s="123">
        <f t="shared" ref="D156:S168" si="39">C156</f>
        <v>0.9</v>
      </c>
      <c r="E156" s="123">
        <f t="shared" si="39"/>
        <v>0.9</v>
      </c>
      <c r="F156" s="123">
        <f t="shared" si="39"/>
        <v>0.9</v>
      </c>
      <c r="G156" s="123">
        <f t="shared" si="39"/>
        <v>0.9</v>
      </c>
      <c r="H156" s="123">
        <f t="shared" si="39"/>
        <v>0.9</v>
      </c>
      <c r="I156" s="123">
        <f t="shared" si="39"/>
        <v>0.9</v>
      </c>
      <c r="J156" s="123">
        <f t="shared" si="39"/>
        <v>0.9</v>
      </c>
      <c r="K156" s="123">
        <f t="shared" si="39"/>
        <v>0.9</v>
      </c>
      <c r="L156" s="123">
        <f t="shared" si="39"/>
        <v>0.9</v>
      </c>
      <c r="M156" s="123">
        <f t="shared" si="39"/>
        <v>0.9</v>
      </c>
      <c r="N156" s="123">
        <f t="shared" si="39"/>
        <v>0.9</v>
      </c>
      <c r="O156" s="123">
        <f t="shared" si="39"/>
        <v>0.9</v>
      </c>
      <c r="P156" s="123">
        <f t="shared" si="39"/>
        <v>0.9</v>
      </c>
      <c r="Q156" s="123">
        <f t="shared" si="39"/>
        <v>0.9</v>
      </c>
      <c r="R156" s="123">
        <f t="shared" si="39"/>
        <v>0.9</v>
      </c>
      <c r="S156" s="123">
        <f t="shared" si="39"/>
        <v>0.9</v>
      </c>
      <c r="T156" s="123">
        <f t="shared" ref="S156:AF168" si="40">S156</f>
        <v>0.9</v>
      </c>
      <c r="U156" s="123">
        <f t="shared" si="40"/>
        <v>0.9</v>
      </c>
      <c r="V156" s="123">
        <f t="shared" si="40"/>
        <v>0.9</v>
      </c>
      <c r="W156" s="123">
        <f t="shared" si="40"/>
        <v>0.9</v>
      </c>
      <c r="X156" s="123">
        <f t="shared" si="40"/>
        <v>0.9</v>
      </c>
      <c r="Y156" s="123">
        <f t="shared" si="40"/>
        <v>0.9</v>
      </c>
      <c r="Z156" s="123">
        <f t="shared" si="40"/>
        <v>0.9</v>
      </c>
      <c r="AA156" s="123">
        <f t="shared" si="40"/>
        <v>0.9</v>
      </c>
      <c r="AB156" s="123">
        <f t="shared" si="40"/>
        <v>0.9</v>
      </c>
      <c r="AC156" s="123">
        <f t="shared" si="40"/>
        <v>0.9</v>
      </c>
      <c r="AD156" s="123">
        <f t="shared" si="40"/>
        <v>0.9</v>
      </c>
      <c r="AE156" s="123">
        <f t="shared" si="40"/>
        <v>0.9</v>
      </c>
      <c r="AF156" s="123">
        <f t="shared" si="40"/>
        <v>0.9</v>
      </c>
      <c r="AG156" s="126">
        <v>4</v>
      </c>
      <c r="AH156" s="54"/>
      <c r="AI156" s="55"/>
      <c r="AK156" s="56"/>
    </row>
    <row r="157" spans="1:37" x14ac:dyDescent="0.25">
      <c r="A157" s="111" t="s">
        <v>163</v>
      </c>
      <c r="B157" s="123">
        <f t="shared" si="38"/>
        <v>1.08</v>
      </c>
      <c r="C157" s="124">
        <v>1.08</v>
      </c>
      <c r="D157" s="123">
        <f t="shared" si="39"/>
        <v>1.08</v>
      </c>
      <c r="E157" s="123">
        <f t="shared" si="39"/>
        <v>1.08</v>
      </c>
      <c r="F157" s="123">
        <f t="shared" si="39"/>
        <v>1.08</v>
      </c>
      <c r="G157" s="123">
        <f t="shared" si="39"/>
        <v>1.08</v>
      </c>
      <c r="H157" s="123">
        <f t="shared" si="39"/>
        <v>1.08</v>
      </c>
      <c r="I157" s="123">
        <f t="shared" si="39"/>
        <v>1.08</v>
      </c>
      <c r="J157" s="123">
        <f t="shared" si="39"/>
        <v>1.08</v>
      </c>
      <c r="K157" s="123">
        <f t="shared" si="39"/>
        <v>1.08</v>
      </c>
      <c r="L157" s="123">
        <f t="shared" si="39"/>
        <v>1.08</v>
      </c>
      <c r="M157" s="123">
        <f t="shared" si="39"/>
        <v>1.08</v>
      </c>
      <c r="N157" s="123">
        <f t="shared" si="39"/>
        <v>1.08</v>
      </c>
      <c r="O157" s="123">
        <f t="shared" si="39"/>
        <v>1.08</v>
      </c>
      <c r="P157" s="123">
        <f t="shared" si="39"/>
        <v>1.08</v>
      </c>
      <c r="Q157" s="123">
        <f t="shared" si="39"/>
        <v>1.08</v>
      </c>
      <c r="R157" s="123">
        <f t="shared" si="39"/>
        <v>1.08</v>
      </c>
      <c r="S157" s="123">
        <f t="shared" si="39"/>
        <v>1.08</v>
      </c>
      <c r="T157" s="123">
        <f t="shared" si="40"/>
        <v>1.08</v>
      </c>
      <c r="U157" s="123">
        <f t="shared" si="40"/>
        <v>1.08</v>
      </c>
      <c r="V157" s="123">
        <f t="shared" si="40"/>
        <v>1.08</v>
      </c>
      <c r="W157" s="123">
        <f t="shared" si="40"/>
        <v>1.08</v>
      </c>
      <c r="X157" s="123">
        <f t="shared" si="40"/>
        <v>1.08</v>
      </c>
      <c r="Y157" s="123">
        <f t="shared" si="40"/>
        <v>1.08</v>
      </c>
      <c r="Z157" s="123">
        <f t="shared" si="40"/>
        <v>1.08</v>
      </c>
      <c r="AA157" s="123">
        <f t="shared" si="40"/>
        <v>1.08</v>
      </c>
      <c r="AB157" s="123">
        <f t="shared" si="40"/>
        <v>1.08</v>
      </c>
      <c r="AC157" s="123">
        <f t="shared" si="40"/>
        <v>1.08</v>
      </c>
      <c r="AD157" s="123">
        <f t="shared" si="40"/>
        <v>1.08</v>
      </c>
      <c r="AE157" s="123">
        <f t="shared" si="40"/>
        <v>1.08</v>
      </c>
      <c r="AF157" s="123">
        <f t="shared" si="40"/>
        <v>1.08</v>
      </c>
      <c r="AG157" s="126">
        <v>3.75</v>
      </c>
      <c r="AH157" s="54"/>
      <c r="AI157" s="55"/>
      <c r="AK157" s="56"/>
    </row>
    <row r="158" spans="1:37" x14ac:dyDescent="0.25">
      <c r="A158" s="111" t="s">
        <v>164</v>
      </c>
      <c r="B158" s="123">
        <f t="shared" si="38"/>
        <v>2.37</v>
      </c>
      <c r="C158" s="124">
        <v>2.37</v>
      </c>
      <c r="D158" s="123">
        <f t="shared" si="39"/>
        <v>2.37</v>
      </c>
      <c r="E158" s="123">
        <f t="shared" si="39"/>
        <v>2.37</v>
      </c>
      <c r="F158" s="123">
        <f t="shared" si="39"/>
        <v>2.37</v>
      </c>
      <c r="G158" s="123">
        <f t="shared" si="39"/>
        <v>2.37</v>
      </c>
      <c r="H158" s="123">
        <f t="shared" si="39"/>
        <v>2.37</v>
      </c>
      <c r="I158" s="123">
        <f t="shared" si="39"/>
        <v>2.37</v>
      </c>
      <c r="J158" s="123">
        <f t="shared" si="39"/>
        <v>2.37</v>
      </c>
      <c r="K158" s="123">
        <f t="shared" si="39"/>
        <v>2.37</v>
      </c>
      <c r="L158" s="123">
        <f t="shared" si="39"/>
        <v>2.37</v>
      </c>
      <c r="M158" s="123">
        <f t="shared" si="39"/>
        <v>2.37</v>
      </c>
      <c r="N158" s="123">
        <f t="shared" si="39"/>
        <v>2.37</v>
      </c>
      <c r="O158" s="123">
        <f t="shared" si="39"/>
        <v>2.37</v>
      </c>
      <c r="P158" s="123">
        <f t="shared" si="39"/>
        <v>2.37</v>
      </c>
      <c r="Q158" s="123">
        <f t="shared" si="39"/>
        <v>2.37</v>
      </c>
      <c r="R158" s="123">
        <f t="shared" si="39"/>
        <v>2.37</v>
      </c>
      <c r="S158" s="123">
        <f t="shared" si="39"/>
        <v>2.37</v>
      </c>
      <c r="T158" s="123">
        <f t="shared" si="40"/>
        <v>2.37</v>
      </c>
      <c r="U158" s="123">
        <f t="shared" si="40"/>
        <v>2.37</v>
      </c>
      <c r="V158" s="123">
        <f t="shared" si="40"/>
        <v>2.37</v>
      </c>
      <c r="W158" s="123">
        <f t="shared" si="40"/>
        <v>2.37</v>
      </c>
      <c r="X158" s="123">
        <f t="shared" si="40"/>
        <v>2.37</v>
      </c>
      <c r="Y158" s="123">
        <f t="shared" si="40"/>
        <v>2.37</v>
      </c>
      <c r="Z158" s="123">
        <f t="shared" si="40"/>
        <v>2.37</v>
      </c>
      <c r="AA158" s="123">
        <f t="shared" si="40"/>
        <v>2.37</v>
      </c>
      <c r="AB158" s="123">
        <f t="shared" si="40"/>
        <v>2.37</v>
      </c>
      <c r="AC158" s="123">
        <f t="shared" si="40"/>
        <v>2.37</v>
      </c>
      <c r="AD158" s="123">
        <f t="shared" si="40"/>
        <v>2.37</v>
      </c>
      <c r="AE158" s="123">
        <f t="shared" si="40"/>
        <v>2.37</v>
      </c>
      <c r="AF158" s="123">
        <f t="shared" si="40"/>
        <v>2.37</v>
      </c>
      <c r="AG158" s="126">
        <v>3.52</v>
      </c>
      <c r="AH158" s="54"/>
      <c r="AI158" s="55"/>
      <c r="AK158" s="56"/>
    </row>
    <row r="159" spans="1:37" x14ac:dyDescent="0.25">
      <c r="A159" s="111" t="s">
        <v>165</v>
      </c>
      <c r="B159" s="123">
        <f t="shared" si="38"/>
        <v>1.81</v>
      </c>
      <c r="C159" s="124">
        <v>1.81</v>
      </c>
      <c r="D159" s="123">
        <f t="shared" si="39"/>
        <v>1.81</v>
      </c>
      <c r="E159" s="123">
        <f t="shared" si="39"/>
        <v>1.81</v>
      </c>
      <c r="F159" s="123">
        <f t="shared" si="39"/>
        <v>1.81</v>
      </c>
      <c r="G159" s="123">
        <f t="shared" si="39"/>
        <v>1.81</v>
      </c>
      <c r="H159" s="123">
        <f t="shared" si="39"/>
        <v>1.81</v>
      </c>
      <c r="I159" s="123">
        <f t="shared" si="39"/>
        <v>1.81</v>
      </c>
      <c r="J159" s="123">
        <f t="shared" si="39"/>
        <v>1.81</v>
      </c>
      <c r="K159" s="123">
        <f t="shared" si="39"/>
        <v>1.81</v>
      </c>
      <c r="L159" s="123">
        <f t="shared" si="39"/>
        <v>1.81</v>
      </c>
      <c r="M159" s="123">
        <f t="shared" si="39"/>
        <v>1.81</v>
      </c>
      <c r="N159" s="123">
        <f t="shared" si="39"/>
        <v>1.81</v>
      </c>
      <c r="O159" s="123">
        <f t="shared" si="39"/>
        <v>1.81</v>
      </c>
      <c r="P159" s="123">
        <f t="shared" si="39"/>
        <v>1.81</v>
      </c>
      <c r="Q159" s="123">
        <f t="shared" si="39"/>
        <v>1.81</v>
      </c>
      <c r="R159" s="123">
        <f t="shared" si="39"/>
        <v>1.81</v>
      </c>
      <c r="S159" s="123">
        <f t="shared" si="39"/>
        <v>1.81</v>
      </c>
      <c r="T159" s="123">
        <f t="shared" si="40"/>
        <v>1.81</v>
      </c>
      <c r="U159" s="123">
        <f t="shared" si="40"/>
        <v>1.81</v>
      </c>
      <c r="V159" s="123">
        <f t="shared" si="40"/>
        <v>1.81</v>
      </c>
      <c r="W159" s="123">
        <f t="shared" si="40"/>
        <v>1.81</v>
      </c>
      <c r="X159" s="123">
        <f t="shared" si="40"/>
        <v>1.81</v>
      </c>
      <c r="Y159" s="123">
        <f t="shared" si="40"/>
        <v>1.81</v>
      </c>
      <c r="Z159" s="123">
        <f t="shared" si="40"/>
        <v>1.81</v>
      </c>
      <c r="AA159" s="123">
        <f t="shared" si="40"/>
        <v>1.81</v>
      </c>
      <c r="AB159" s="123">
        <f t="shared" si="40"/>
        <v>1.81</v>
      </c>
      <c r="AC159" s="123">
        <f t="shared" si="40"/>
        <v>1.81</v>
      </c>
      <c r="AD159" s="123">
        <f t="shared" si="40"/>
        <v>1.81</v>
      </c>
      <c r="AE159" s="123">
        <f t="shared" si="40"/>
        <v>1.81</v>
      </c>
      <c r="AF159" s="123">
        <f t="shared" si="40"/>
        <v>1.81</v>
      </c>
      <c r="AG159" s="126">
        <v>3.33</v>
      </c>
      <c r="AH159" s="54"/>
      <c r="AI159" s="55"/>
      <c r="AK159" s="56"/>
    </row>
    <row r="160" spans="1:37" x14ac:dyDescent="0.25">
      <c r="A160" s="111" t="s">
        <v>166</v>
      </c>
      <c r="B160" s="123">
        <f t="shared" si="38"/>
        <v>1.0900000000000001</v>
      </c>
      <c r="C160" s="124">
        <v>1.0900000000000001</v>
      </c>
      <c r="D160" s="123">
        <f t="shared" si="39"/>
        <v>1.0900000000000001</v>
      </c>
      <c r="E160" s="123">
        <f t="shared" si="39"/>
        <v>1.0900000000000001</v>
      </c>
      <c r="F160" s="123">
        <f t="shared" si="39"/>
        <v>1.0900000000000001</v>
      </c>
      <c r="G160" s="123">
        <f t="shared" si="39"/>
        <v>1.0900000000000001</v>
      </c>
      <c r="H160" s="123">
        <f t="shared" si="39"/>
        <v>1.0900000000000001</v>
      </c>
      <c r="I160" s="123">
        <f t="shared" si="39"/>
        <v>1.0900000000000001</v>
      </c>
      <c r="J160" s="123">
        <f t="shared" si="39"/>
        <v>1.0900000000000001</v>
      </c>
      <c r="K160" s="123">
        <f t="shared" si="39"/>
        <v>1.0900000000000001</v>
      </c>
      <c r="L160" s="123">
        <f t="shared" si="39"/>
        <v>1.0900000000000001</v>
      </c>
      <c r="M160" s="123">
        <f t="shared" si="39"/>
        <v>1.0900000000000001</v>
      </c>
      <c r="N160" s="123">
        <f t="shared" si="39"/>
        <v>1.0900000000000001</v>
      </c>
      <c r="O160" s="123">
        <f t="shared" si="39"/>
        <v>1.0900000000000001</v>
      </c>
      <c r="P160" s="123">
        <f t="shared" si="39"/>
        <v>1.0900000000000001</v>
      </c>
      <c r="Q160" s="123">
        <f t="shared" si="39"/>
        <v>1.0900000000000001</v>
      </c>
      <c r="R160" s="123">
        <f t="shared" si="39"/>
        <v>1.0900000000000001</v>
      </c>
      <c r="S160" s="123">
        <f t="shared" si="39"/>
        <v>1.0900000000000001</v>
      </c>
      <c r="T160" s="123">
        <f t="shared" si="40"/>
        <v>1.0900000000000001</v>
      </c>
      <c r="U160" s="123">
        <f t="shared" si="40"/>
        <v>1.0900000000000001</v>
      </c>
      <c r="V160" s="123">
        <f t="shared" si="40"/>
        <v>1.0900000000000001</v>
      </c>
      <c r="W160" s="123">
        <f t="shared" si="40"/>
        <v>1.0900000000000001</v>
      </c>
      <c r="X160" s="123">
        <f t="shared" si="40"/>
        <v>1.0900000000000001</v>
      </c>
      <c r="Y160" s="123">
        <f t="shared" si="40"/>
        <v>1.0900000000000001</v>
      </c>
      <c r="Z160" s="123">
        <f t="shared" si="40"/>
        <v>1.0900000000000001</v>
      </c>
      <c r="AA160" s="123">
        <f t="shared" si="40"/>
        <v>1.0900000000000001</v>
      </c>
      <c r="AB160" s="123">
        <f t="shared" si="40"/>
        <v>1.0900000000000001</v>
      </c>
      <c r="AC160" s="123">
        <f t="shared" si="40"/>
        <v>1.0900000000000001</v>
      </c>
      <c r="AD160" s="123">
        <f t="shared" si="40"/>
        <v>1.0900000000000001</v>
      </c>
      <c r="AE160" s="123">
        <f t="shared" si="40"/>
        <v>1.0900000000000001</v>
      </c>
      <c r="AF160" s="123">
        <f t="shared" si="40"/>
        <v>1.0900000000000001</v>
      </c>
      <c r="AG160" s="126">
        <v>3.2</v>
      </c>
      <c r="AH160" s="54"/>
      <c r="AI160" s="55"/>
      <c r="AK160" s="56"/>
    </row>
    <row r="161" spans="1:37" x14ac:dyDescent="0.25">
      <c r="A161" s="111" t="s">
        <v>167</v>
      </c>
      <c r="B161" s="123">
        <f t="shared" si="38"/>
        <v>1.58</v>
      </c>
      <c r="C161" s="124">
        <v>1.58</v>
      </c>
      <c r="D161" s="123">
        <f t="shared" si="39"/>
        <v>1.58</v>
      </c>
      <c r="E161" s="123">
        <f t="shared" si="39"/>
        <v>1.58</v>
      </c>
      <c r="F161" s="123">
        <f t="shared" si="39"/>
        <v>1.58</v>
      </c>
      <c r="G161" s="123">
        <f t="shared" si="39"/>
        <v>1.58</v>
      </c>
      <c r="H161" s="123">
        <f t="shared" si="39"/>
        <v>1.58</v>
      </c>
      <c r="I161" s="123">
        <f t="shared" si="39"/>
        <v>1.58</v>
      </c>
      <c r="J161" s="123">
        <f t="shared" si="39"/>
        <v>1.58</v>
      </c>
      <c r="K161" s="123">
        <f t="shared" si="39"/>
        <v>1.58</v>
      </c>
      <c r="L161" s="123">
        <f t="shared" si="39"/>
        <v>1.58</v>
      </c>
      <c r="M161" s="123">
        <f t="shared" si="39"/>
        <v>1.58</v>
      </c>
      <c r="N161" s="123">
        <f t="shared" si="39"/>
        <v>1.58</v>
      </c>
      <c r="O161" s="123">
        <f t="shared" si="39"/>
        <v>1.58</v>
      </c>
      <c r="P161" s="123">
        <f t="shared" si="39"/>
        <v>1.58</v>
      </c>
      <c r="Q161" s="123">
        <f t="shared" si="39"/>
        <v>1.58</v>
      </c>
      <c r="R161" s="123">
        <f t="shared" si="39"/>
        <v>1.58</v>
      </c>
      <c r="S161" s="123">
        <f t="shared" si="39"/>
        <v>1.58</v>
      </c>
      <c r="T161" s="123">
        <f t="shared" si="40"/>
        <v>1.58</v>
      </c>
      <c r="U161" s="123">
        <f t="shared" si="40"/>
        <v>1.58</v>
      </c>
      <c r="V161" s="123">
        <f t="shared" si="40"/>
        <v>1.58</v>
      </c>
      <c r="W161" s="123">
        <f t="shared" si="40"/>
        <v>1.58</v>
      </c>
      <c r="X161" s="123">
        <f t="shared" si="40"/>
        <v>1.58</v>
      </c>
      <c r="Y161" s="123">
        <f t="shared" si="40"/>
        <v>1.58</v>
      </c>
      <c r="Z161" s="123">
        <f t="shared" si="40"/>
        <v>1.58</v>
      </c>
      <c r="AA161" s="123">
        <f t="shared" si="40"/>
        <v>1.58</v>
      </c>
      <c r="AB161" s="123">
        <f t="shared" si="40"/>
        <v>1.58</v>
      </c>
      <c r="AC161" s="123">
        <f t="shared" si="40"/>
        <v>1.58</v>
      </c>
      <c r="AD161" s="123">
        <f t="shared" si="40"/>
        <v>1.58</v>
      </c>
      <c r="AE161" s="123">
        <f t="shared" si="40"/>
        <v>1.58</v>
      </c>
      <c r="AF161" s="123">
        <f t="shared" si="40"/>
        <v>1.58</v>
      </c>
      <c r="AG161" s="126">
        <v>3</v>
      </c>
      <c r="AH161" s="54"/>
      <c r="AI161" s="55"/>
      <c r="AK161" s="56"/>
    </row>
    <row r="162" spans="1:37" x14ac:dyDescent="0.25">
      <c r="A162" s="111" t="s">
        <v>168</v>
      </c>
      <c r="B162" s="123">
        <f t="shared" si="38"/>
        <v>2</v>
      </c>
      <c r="C162" s="124">
        <v>2</v>
      </c>
      <c r="D162" s="123">
        <f t="shared" si="39"/>
        <v>2</v>
      </c>
      <c r="E162" s="123">
        <f t="shared" si="39"/>
        <v>2</v>
      </c>
      <c r="F162" s="123">
        <f t="shared" si="39"/>
        <v>2</v>
      </c>
      <c r="G162" s="123">
        <f t="shared" si="39"/>
        <v>2</v>
      </c>
      <c r="H162" s="123">
        <f t="shared" si="39"/>
        <v>2</v>
      </c>
      <c r="I162" s="123">
        <f t="shared" si="39"/>
        <v>2</v>
      </c>
      <c r="J162" s="123">
        <f t="shared" si="39"/>
        <v>2</v>
      </c>
      <c r="K162" s="123">
        <f t="shared" si="39"/>
        <v>2</v>
      </c>
      <c r="L162" s="123">
        <f t="shared" si="39"/>
        <v>2</v>
      </c>
      <c r="M162" s="123">
        <f t="shared" si="39"/>
        <v>2</v>
      </c>
      <c r="N162" s="123">
        <f t="shared" si="39"/>
        <v>2</v>
      </c>
      <c r="O162" s="123">
        <f t="shared" si="39"/>
        <v>2</v>
      </c>
      <c r="P162" s="123">
        <f t="shared" si="39"/>
        <v>2</v>
      </c>
      <c r="Q162" s="123">
        <f t="shared" si="39"/>
        <v>2</v>
      </c>
      <c r="R162" s="123">
        <f t="shared" si="39"/>
        <v>2</v>
      </c>
      <c r="S162" s="123">
        <f t="shared" si="39"/>
        <v>2</v>
      </c>
      <c r="T162" s="123">
        <f t="shared" si="40"/>
        <v>2</v>
      </c>
      <c r="U162" s="123">
        <f t="shared" si="40"/>
        <v>2</v>
      </c>
      <c r="V162" s="123">
        <f t="shared" si="40"/>
        <v>2</v>
      </c>
      <c r="W162" s="123">
        <f t="shared" si="40"/>
        <v>2</v>
      </c>
      <c r="X162" s="123">
        <f t="shared" si="40"/>
        <v>2</v>
      </c>
      <c r="Y162" s="123">
        <f t="shared" si="40"/>
        <v>2</v>
      </c>
      <c r="Z162" s="123">
        <f t="shared" si="40"/>
        <v>2</v>
      </c>
      <c r="AA162" s="123">
        <f t="shared" si="40"/>
        <v>2</v>
      </c>
      <c r="AB162" s="123">
        <f t="shared" si="40"/>
        <v>2</v>
      </c>
      <c r="AC162" s="123">
        <f t="shared" si="40"/>
        <v>2</v>
      </c>
      <c r="AD162" s="123">
        <f t="shared" si="40"/>
        <v>2</v>
      </c>
      <c r="AE162" s="123">
        <f t="shared" si="40"/>
        <v>2</v>
      </c>
      <c r="AF162" s="123">
        <f t="shared" si="40"/>
        <v>2</v>
      </c>
      <c r="AG162" s="126">
        <v>3</v>
      </c>
      <c r="AH162" s="54"/>
      <c r="AI162" s="55"/>
      <c r="AK162" s="56"/>
    </row>
    <row r="163" spans="1:37" x14ac:dyDescent="0.25">
      <c r="A163" s="111" t="s">
        <v>169</v>
      </c>
      <c r="B163" s="123">
        <f t="shared" si="38"/>
        <v>0.47</v>
      </c>
      <c r="C163" s="124">
        <v>0.47</v>
      </c>
      <c r="D163" s="123">
        <f t="shared" si="39"/>
        <v>0.47</v>
      </c>
      <c r="E163" s="123">
        <f t="shared" si="39"/>
        <v>0.47</v>
      </c>
      <c r="F163" s="123">
        <f t="shared" si="39"/>
        <v>0.47</v>
      </c>
      <c r="G163" s="123">
        <f t="shared" si="39"/>
        <v>0.47</v>
      </c>
      <c r="H163" s="123">
        <f t="shared" si="39"/>
        <v>0.47</v>
      </c>
      <c r="I163" s="123">
        <f t="shared" si="39"/>
        <v>0.47</v>
      </c>
      <c r="J163" s="123">
        <f t="shared" si="39"/>
        <v>0.47</v>
      </c>
      <c r="K163" s="123">
        <f t="shared" si="39"/>
        <v>0.47</v>
      </c>
      <c r="L163" s="123">
        <f t="shared" si="39"/>
        <v>0.47</v>
      </c>
      <c r="M163" s="123">
        <f t="shared" si="39"/>
        <v>0.47</v>
      </c>
      <c r="N163" s="123">
        <f t="shared" si="39"/>
        <v>0.47</v>
      </c>
      <c r="O163" s="123">
        <f t="shared" si="39"/>
        <v>0.47</v>
      </c>
      <c r="P163" s="123">
        <f t="shared" si="39"/>
        <v>0.47</v>
      </c>
      <c r="Q163" s="123">
        <f t="shared" si="39"/>
        <v>0.47</v>
      </c>
      <c r="R163" s="123">
        <f t="shared" si="39"/>
        <v>0.47</v>
      </c>
      <c r="S163" s="123">
        <f t="shared" si="39"/>
        <v>0.47</v>
      </c>
      <c r="T163" s="123">
        <f t="shared" si="40"/>
        <v>0.47</v>
      </c>
      <c r="U163" s="123">
        <f t="shared" si="40"/>
        <v>0.47</v>
      </c>
      <c r="V163" s="123">
        <f t="shared" si="40"/>
        <v>0.47</v>
      </c>
      <c r="W163" s="123">
        <f t="shared" si="40"/>
        <v>0.47</v>
      </c>
      <c r="X163" s="123">
        <f t="shared" si="40"/>
        <v>0.47</v>
      </c>
      <c r="Y163" s="123">
        <f t="shared" si="40"/>
        <v>0.47</v>
      </c>
      <c r="Z163" s="123">
        <f t="shared" si="40"/>
        <v>0.47</v>
      </c>
      <c r="AA163" s="123">
        <f t="shared" si="40"/>
        <v>0.47</v>
      </c>
      <c r="AB163" s="123">
        <f t="shared" si="40"/>
        <v>0.47</v>
      </c>
      <c r="AC163" s="123">
        <f t="shared" si="40"/>
        <v>0.47</v>
      </c>
      <c r="AD163" s="123">
        <f t="shared" si="40"/>
        <v>0.47</v>
      </c>
      <c r="AE163" s="123">
        <f t="shared" si="40"/>
        <v>0.47</v>
      </c>
      <c r="AF163" s="123">
        <f t="shared" si="40"/>
        <v>0.47</v>
      </c>
      <c r="AG163" s="126">
        <v>3</v>
      </c>
      <c r="AH163" s="54"/>
      <c r="AI163" s="55"/>
      <c r="AK163" s="56"/>
    </row>
    <row r="164" spans="1:37" x14ac:dyDescent="0.25">
      <c r="A164" s="111" t="s">
        <v>170</v>
      </c>
      <c r="B164" s="123">
        <f t="shared" si="38"/>
        <v>0</v>
      </c>
      <c r="C164" s="124">
        <v>0</v>
      </c>
      <c r="D164" s="123">
        <f t="shared" si="39"/>
        <v>0</v>
      </c>
      <c r="E164" s="123">
        <f t="shared" si="39"/>
        <v>0</v>
      </c>
      <c r="F164" s="123">
        <f t="shared" si="39"/>
        <v>0</v>
      </c>
      <c r="G164" s="123">
        <f t="shared" si="39"/>
        <v>0</v>
      </c>
      <c r="H164" s="123">
        <f t="shared" si="39"/>
        <v>0</v>
      </c>
      <c r="I164" s="123">
        <f t="shared" si="39"/>
        <v>0</v>
      </c>
      <c r="J164" s="123">
        <f t="shared" si="39"/>
        <v>0</v>
      </c>
      <c r="K164" s="123">
        <f t="shared" si="39"/>
        <v>0</v>
      </c>
      <c r="L164" s="123">
        <f t="shared" si="39"/>
        <v>0</v>
      </c>
      <c r="M164" s="123">
        <f t="shared" si="39"/>
        <v>0</v>
      </c>
      <c r="N164" s="123">
        <f t="shared" si="39"/>
        <v>0</v>
      </c>
      <c r="O164" s="123">
        <f t="shared" si="39"/>
        <v>0</v>
      </c>
      <c r="P164" s="123">
        <f t="shared" si="39"/>
        <v>0</v>
      </c>
      <c r="Q164" s="123">
        <f t="shared" si="39"/>
        <v>0</v>
      </c>
      <c r="R164" s="123">
        <f t="shared" si="39"/>
        <v>0</v>
      </c>
      <c r="S164" s="123">
        <f t="shared" si="39"/>
        <v>0</v>
      </c>
      <c r="T164" s="123">
        <f t="shared" si="40"/>
        <v>0</v>
      </c>
      <c r="U164" s="123">
        <f t="shared" si="40"/>
        <v>0</v>
      </c>
      <c r="V164" s="123">
        <f t="shared" si="40"/>
        <v>0</v>
      </c>
      <c r="W164" s="123">
        <f t="shared" si="40"/>
        <v>0</v>
      </c>
      <c r="X164" s="123">
        <f t="shared" si="40"/>
        <v>0</v>
      </c>
      <c r="Y164" s="123">
        <f t="shared" si="40"/>
        <v>0</v>
      </c>
      <c r="Z164" s="123">
        <f t="shared" si="40"/>
        <v>0</v>
      </c>
      <c r="AA164" s="123">
        <f t="shared" si="40"/>
        <v>0</v>
      </c>
      <c r="AB164" s="123">
        <f t="shared" si="40"/>
        <v>0</v>
      </c>
      <c r="AC164" s="123">
        <f t="shared" si="40"/>
        <v>0</v>
      </c>
      <c r="AD164" s="123">
        <f t="shared" si="40"/>
        <v>0</v>
      </c>
      <c r="AE164" s="123">
        <f t="shared" si="40"/>
        <v>0</v>
      </c>
      <c r="AF164" s="123">
        <f t="shared" si="40"/>
        <v>0</v>
      </c>
      <c r="AG164" s="126">
        <v>3</v>
      </c>
      <c r="AH164" s="54"/>
      <c r="AI164" s="55"/>
      <c r="AK164" s="56"/>
    </row>
    <row r="165" spans="1:37" x14ac:dyDescent="0.25">
      <c r="A165" s="111" t="s">
        <v>171</v>
      </c>
      <c r="B165" s="123">
        <f t="shared" si="38"/>
        <v>0</v>
      </c>
      <c r="C165" s="124">
        <v>0</v>
      </c>
      <c r="D165" s="123">
        <f t="shared" si="39"/>
        <v>0</v>
      </c>
      <c r="E165" s="123">
        <f t="shared" si="39"/>
        <v>0</v>
      </c>
      <c r="F165" s="123">
        <f t="shared" si="39"/>
        <v>0</v>
      </c>
      <c r="G165" s="123">
        <f t="shared" si="39"/>
        <v>0</v>
      </c>
      <c r="H165" s="123">
        <f t="shared" si="39"/>
        <v>0</v>
      </c>
      <c r="I165" s="123">
        <f t="shared" si="39"/>
        <v>0</v>
      </c>
      <c r="J165" s="123">
        <f t="shared" si="39"/>
        <v>0</v>
      </c>
      <c r="K165" s="123">
        <f t="shared" si="39"/>
        <v>0</v>
      </c>
      <c r="L165" s="123">
        <f t="shared" si="39"/>
        <v>0</v>
      </c>
      <c r="M165" s="123">
        <f t="shared" si="39"/>
        <v>0</v>
      </c>
      <c r="N165" s="123">
        <f t="shared" si="39"/>
        <v>0</v>
      </c>
      <c r="O165" s="123">
        <f t="shared" si="39"/>
        <v>0</v>
      </c>
      <c r="P165" s="123">
        <f t="shared" si="39"/>
        <v>0</v>
      </c>
      <c r="Q165" s="123">
        <f t="shared" si="39"/>
        <v>0</v>
      </c>
      <c r="R165" s="123">
        <f t="shared" si="39"/>
        <v>0</v>
      </c>
      <c r="S165" s="123">
        <f t="shared" si="40"/>
        <v>0</v>
      </c>
      <c r="T165" s="123">
        <f t="shared" si="40"/>
        <v>0</v>
      </c>
      <c r="U165" s="123">
        <f t="shared" si="40"/>
        <v>0</v>
      </c>
      <c r="V165" s="123">
        <f t="shared" si="40"/>
        <v>0</v>
      </c>
      <c r="W165" s="123">
        <f t="shared" si="40"/>
        <v>0</v>
      </c>
      <c r="X165" s="123">
        <f t="shared" si="40"/>
        <v>0</v>
      </c>
      <c r="Y165" s="123">
        <f t="shared" si="40"/>
        <v>0</v>
      </c>
      <c r="Z165" s="123">
        <f t="shared" si="40"/>
        <v>0</v>
      </c>
      <c r="AA165" s="123">
        <f t="shared" si="40"/>
        <v>0</v>
      </c>
      <c r="AB165" s="123">
        <f t="shared" si="40"/>
        <v>0</v>
      </c>
      <c r="AC165" s="123">
        <f t="shared" si="40"/>
        <v>0</v>
      </c>
      <c r="AD165" s="123">
        <f t="shared" si="40"/>
        <v>0</v>
      </c>
      <c r="AE165" s="123">
        <f t="shared" si="40"/>
        <v>0</v>
      </c>
      <c r="AF165" s="123">
        <f t="shared" si="40"/>
        <v>0</v>
      </c>
      <c r="AG165" s="126">
        <v>3</v>
      </c>
      <c r="AH165" s="54"/>
      <c r="AI165" s="55"/>
      <c r="AK165" s="56"/>
    </row>
    <row r="166" spans="1:37" x14ac:dyDescent="0.25">
      <c r="A166" s="111" t="s">
        <v>172</v>
      </c>
      <c r="B166" s="123">
        <f t="shared" si="38"/>
        <v>0.8</v>
      </c>
      <c r="C166" s="124">
        <v>0.8</v>
      </c>
      <c r="D166" s="123">
        <f t="shared" si="39"/>
        <v>0.8</v>
      </c>
      <c r="E166" s="123">
        <f t="shared" si="39"/>
        <v>0.8</v>
      </c>
      <c r="F166" s="123">
        <f t="shared" si="39"/>
        <v>0.8</v>
      </c>
      <c r="G166" s="123">
        <f t="shared" si="39"/>
        <v>0.8</v>
      </c>
      <c r="H166" s="123">
        <f t="shared" si="39"/>
        <v>0.8</v>
      </c>
      <c r="I166" s="123">
        <f t="shared" si="39"/>
        <v>0.8</v>
      </c>
      <c r="J166" s="123">
        <f t="shared" si="39"/>
        <v>0.8</v>
      </c>
      <c r="K166" s="123">
        <f t="shared" si="39"/>
        <v>0.8</v>
      </c>
      <c r="L166" s="123">
        <f t="shared" si="39"/>
        <v>0.8</v>
      </c>
      <c r="M166" s="123">
        <f t="shared" si="39"/>
        <v>0.8</v>
      </c>
      <c r="N166" s="123">
        <f t="shared" si="39"/>
        <v>0.8</v>
      </c>
      <c r="O166" s="123">
        <f t="shared" si="39"/>
        <v>0.8</v>
      </c>
      <c r="P166" s="123">
        <f t="shared" si="39"/>
        <v>0.8</v>
      </c>
      <c r="Q166" s="123">
        <f t="shared" si="39"/>
        <v>0.8</v>
      </c>
      <c r="R166" s="123">
        <f t="shared" si="39"/>
        <v>0.8</v>
      </c>
      <c r="S166" s="123">
        <f t="shared" si="40"/>
        <v>0.8</v>
      </c>
      <c r="T166" s="123">
        <f t="shared" si="40"/>
        <v>0.8</v>
      </c>
      <c r="U166" s="123">
        <f t="shared" si="40"/>
        <v>0.8</v>
      </c>
      <c r="V166" s="123">
        <f t="shared" si="40"/>
        <v>0.8</v>
      </c>
      <c r="W166" s="123">
        <f t="shared" si="40"/>
        <v>0.8</v>
      </c>
      <c r="X166" s="123">
        <f t="shared" si="40"/>
        <v>0.8</v>
      </c>
      <c r="Y166" s="123">
        <f t="shared" si="40"/>
        <v>0.8</v>
      </c>
      <c r="Z166" s="123">
        <f t="shared" si="40"/>
        <v>0.8</v>
      </c>
      <c r="AA166" s="123">
        <f t="shared" si="40"/>
        <v>0.8</v>
      </c>
      <c r="AB166" s="123">
        <f t="shared" si="40"/>
        <v>0.8</v>
      </c>
      <c r="AC166" s="123">
        <f t="shared" si="40"/>
        <v>0.8</v>
      </c>
      <c r="AD166" s="123">
        <f t="shared" si="40"/>
        <v>0.8</v>
      </c>
      <c r="AE166" s="123">
        <f t="shared" si="40"/>
        <v>0.8</v>
      </c>
      <c r="AF166" s="123">
        <f t="shared" si="40"/>
        <v>0.8</v>
      </c>
      <c r="AG166" s="126">
        <v>3</v>
      </c>
      <c r="AH166" s="54"/>
      <c r="AI166" s="55"/>
      <c r="AK166" s="56"/>
    </row>
    <row r="167" spans="1:37" x14ac:dyDescent="0.25">
      <c r="A167" s="111" t="s">
        <v>173</v>
      </c>
      <c r="B167" s="123">
        <f t="shared" si="38"/>
        <v>1.5</v>
      </c>
      <c r="C167" s="124">
        <v>1.5</v>
      </c>
      <c r="D167" s="123">
        <f t="shared" si="39"/>
        <v>1.5</v>
      </c>
      <c r="E167" s="123">
        <f t="shared" si="39"/>
        <v>1.5</v>
      </c>
      <c r="F167" s="123">
        <f t="shared" si="39"/>
        <v>1.5</v>
      </c>
      <c r="G167" s="123">
        <f t="shared" si="39"/>
        <v>1.5</v>
      </c>
      <c r="H167" s="123">
        <f t="shared" si="39"/>
        <v>1.5</v>
      </c>
      <c r="I167" s="123">
        <f t="shared" si="39"/>
        <v>1.5</v>
      </c>
      <c r="J167" s="123">
        <f t="shared" si="39"/>
        <v>1.5</v>
      </c>
      <c r="K167" s="123">
        <f t="shared" si="39"/>
        <v>1.5</v>
      </c>
      <c r="L167" s="123">
        <f t="shared" si="39"/>
        <v>1.5</v>
      </c>
      <c r="M167" s="123">
        <f t="shared" si="39"/>
        <v>1.5</v>
      </c>
      <c r="N167" s="123">
        <f t="shared" si="39"/>
        <v>1.5</v>
      </c>
      <c r="O167" s="123">
        <f t="shared" si="39"/>
        <v>1.5</v>
      </c>
      <c r="P167" s="123">
        <f t="shared" si="39"/>
        <v>1.5</v>
      </c>
      <c r="Q167" s="123">
        <f t="shared" si="39"/>
        <v>1.5</v>
      </c>
      <c r="R167" s="123">
        <f t="shared" si="39"/>
        <v>1.5</v>
      </c>
      <c r="S167" s="123">
        <f t="shared" si="40"/>
        <v>1.5</v>
      </c>
      <c r="T167" s="123">
        <f t="shared" si="40"/>
        <v>1.5</v>
      </c>
      <c r="U167" s="123">
        <f t="shared" si="40"/>
        <v>1.5</v>
      </c>
      <c r="V167" s="123">
        <f t="shared" si="40"/>
        <v>1.5</v>
      </c>
      <c r="W167" s="123">
        <f t="shared" si="40"/>
        <v>1.5</v>
      </c>
      <c r="X167" s="123">
        <f t="shared" si="40"/>
        <v>1.5</v>
      </c>
      <c r="Y167" s="123">
        <f t="shared" si="40"/>
        <v>1.5</v>
      </c>
      <c r="Z167" s="123">
        <f t="shared" si="40"/>
        <v>1.5</v>
      </c>
      <c r="AA167" s="123">
        <f t="shared" si="40"/>
        <v>1.5</v>
      </c>
      <c r="AB167" s="123">
        <f t="shared" si="40"/>
        <v>1.5</v>
      </c>
      <c r="AC167" s="123">
        <f t="shared" si="40"/>
        <v>1.5</v>
      </c>
      <c r="AD167" s="123">
        <f t="shared" si="40"/>
        <v>1.5</v>
      </c>
      <c r="AE167" s="123">
        <f t="shared" si="40"/>
        <v>1.5</v>
      </c>
      <c r="AF167" s="123">
        <f t="shared" si="40"/>
        <v>1.5</v>
      </c>
      <c r="AG167" s="126">
        <v>3</v>
      </c>
      <c r="AH167" s="54"/>
      <c r="AI167" s="55"/>
      <c r="AK167" s="56"/>
    </row>
    <row r="168" spans="1:37" x14ac:dyDescent="0.25">
      <c r="A168" s="111" t="s">
        <v>174</v>
      </c>
      <c r="B168" s="123">
        <f t="shared" si="38"/>
        <v>1</v>
      </c>
      <c r="C168" s="124">
        <v>1</v>
      </c>
      <c r="D168" s="123">
        <f t="shared" si="39"/>
        <v>1</v>
      </c>
      <c r="E168" s="123">
        <f t="shared" si="39"/>
        <v>1</v>
      </c>
      <c r="F168" s="123">
        <f t="shared" si="39"/>
        <v>1</v>
      </c>
      <c r="G168" s="123">
        <f t="shared" si="39"/>
        <v>1</v>
      </c>
      <c r="H168" s="123">
        <f t="shared" si="39"/>
        <v>1</v>
      </c>
      <c r="I168" s="123">
        <f t="shared" si="39"/>
        <v>1</v>
      </c>
      <c r="J168" s="123">
        <f t="shared" si="39"/>
        <v>1</v>
      </c>
      <c r="K168" s="123">
        <f t="shared" si="39"/>
        <v>1</v>
      </c>
      <c r="L168" s="123">
        <f t="shared" si="39"/>
        <v>1</v>
      </c>
      <c r="M168" s="123">
        <f t="shared" si="39"/>
        <v>1</v>
      </c>
      <c r="N168" s="123">
        <f t="shared" si="39"/>
        <v>1</v>
      </c>
      <c r="O168" s="123">
        <f t="shared" si="39"/>
        <v>1</v>
      </c>
      <c r="P168" s="123">
        <f t="shared" si="39"/>
        <v>1</v>
      </c>
      <c r="Q168" s="123">
        <f t="shared" si="39"/>
        <v>1</v>
      </c>
      <c r="R168" s="123">
        <f t="shared" si="39"/>
        <v>1</v>
      </c>
      <c r="S168" s="123">
        <f t="shared" si="40"/>
        <v>1</v>
      </c>
      <c r="T168" s="123">
        <f t="shared" si="40"/>
        <v>1</v>
      </c>
      <c r="U168" s="123">
        <f t="shared" si="40"/>
        <v>1</v>
      </c>
      <c r="V168" s="123">
        <f t="shared" si="40"/>
        <v>1</v>
      </c>
      <c r="W168" s="123">
        <f t="shared" si="40"/>
        <v>1</v>
      </c>
      <c r="X168" s="123">
        <f t="shared" si="40"/>
        <v>1</v>
      </c>
      <c r="Y168" s="123">
        <f t="shared" si="40"/>
        <v>1</v>
      </c>
      <c r="Z168" s="123">
        <f t="shared" si="40"/>
        <v>1</v>
      </c>
      <c r="AA168" s="123">
        <f t="shared" si="40"/>
        <v>1</v>
      </c>
      <c r="AB168" s="123">
        <f t="shared" si="40"/>
        <v>1</v>
      </c>
      <c r="AC168" s="123">
        <f t="shared" si="40"/>
        <v>1</v>
      </c>
      <c r="AD168" s="123">
        <f t="shared" si="40"/>
        <v>1</v>
      </c>
      <c r="AE168" s="123">
        <f t="shared" si="40"/>
        <v>1</v>
      </c>
      <c r="AF168" s="123">
        <f t="shared" si="40"/>
        <v>1</v>
      </c>
      <c r="AG168" s="126">
        <v>3</v>
      </c>
      <c r="AH168" s="54"/>
      <c r="AI168" s="55"/>
      <c r="AK168" s="56"/>
    </row>
    <row r="169" spans="1:37" x14ac:dyDescent="0.25">
      <c r="A169" s="111" t="s">
        <v>175</v>
      </c>
      <c r="B169" s="123"/>
      <c r="C169" s="124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6">
        <v>2.83</v>
      </c>
      <c r="AH169" s="54"/>
      <c r="AI169" s="55"/>
      <c r="AK169" s="56"/>
    </row>
    <row r="170" spans="1:37" x14ac:dyDescent="0.25">
      <c r="A170" s="111" t="s">
        <v>176</v>
      </c>
      <c r="B170" s="123">
        <f t="shared" ref="B170:B177" si="41">AF170</f>
        <v>1</v>
      </c>
      <c r="C170" s="124">
        <v>1</v>
      </c>
      <c r="D170" s="123">
        <f t="shared" ref="D170:S177" si="42">C170</f>
        <v>1</v>
      </c>
      <c r="E170" s="123">
        <f t="shared" si="42"/>
        <v>1</v>
      </c>
      <c r="F170" s="123">
        <f t="shared" si="42"/>
        <v>1</v>
      </c>
      <c r="G170" s="123">
        <f t="shared" si="42"/>
        <v>1</v>
      </c>
      <c r="H170" s="123">
        <f t="shared" si="42"/>
        <v>1</v>
      </c>
      <c r="I170" s="123">
        <f t="shared" si="42"/>
        <v>1</v>
      </c>
      <c r="J170" s="123">
        <f t="shared" si="42"/>
        <v>1</v>
      </c>
      <c r="K170" s="123">
        <f t="shared" si="42"/>
        <v>1</v>
      </c>
      <c r="L170" s="123">
        <f t="shared" si="42"/>
        <v>1</v>
      </c>
      <c r="M170" s="123">
        <f t="shared" si="42"/>
        <v>1</v>
      </c>
      <c r="N170" s="123">
        <f t="shared" si="42"/>
        <v>1</v>
      </c>
      <c r="O170" s="123">
        <f t="shared" si="42"/>
        <v>1</v>
      </c>
      <c r="P170" s="123">
        <f t="shared" si="42"/>
        <v>1</v>
      </c>
      <c r="Q170" s="123">
        <f t="shared" si="42"/>
        <v>1</v>
      </c>
      <c r="R170" s="123">
        <f t="shared" si="42"/>
        <v>1</v>
      </c>
      <c r="S170" s="123">
        <f t="shared" si="42"/>
        <v>1</v>
      </c>
      <c r="T170" s="123">
        <f t="shared" ref="S170:AF177" si="43">S170</f>
        <v>1</v>
      </c>
      <c r="U170" s="123">
        <f t="shared" si="43"/>
        <v>1</v>
      </c>
      <c r="V170" s="123">
        <f t="shared" si="43"/>
        <v>1</v>
      </c>
      <c r="W170" s="123">
        <f t="shared" si="43"/>
        <v>1</v>
      </c>
      <c r="X170" s="123">
        <f t="shared" si="43"/>
        <v>1</v>
      </c>
      <c r="Y170" s="123">
        <f t="shared" si="43"/>
        <v>1</v>
      </c>
      <c r="Z170" s="123">
        <f t="shared" si="43"/>
        <v>1</v>
      </c>
      <c r="AA170" s="123">
        <f t="shared" si="43"/>
        <v>1</v>
      </c>
      <c r="AB170" s="123">
        <f t="shared" si="43"/>
        <v>1</v>
      </c>
      <c r="AC170" s="123">
        <f t="shared" si="43"/>
        <v>1</v>
      </c>
      <c r="AD170" s="123">
        <f t="shared" si="43"/>
        <v>1</v>
      </c>
      <c r="AE170" s="123">
        <f t="shared" si="43"/>
        <v>1</v>
      </c>
      <c r="AF170" s="123">
        <f t="shared" si="43"/>
        <v>1</v>
      </c>
      <c r="AG170" s="126">
        <v>2.5</v>
      </c>
      <c r="AH170" s="54"/>
      <c r="AI170" s="55"/>
      <c r="AK170" s="56"/>
    </row>
    <row r="171" spans="1:37" x14ac:dyDescent="0.25">
      <c r="A171" s="111" t="s">
        <v>177</v>
      </c>
      <c r="B171" s="123">
        <f t="shared" si="41"/>
        <v>0.42</v>
      </c>
      <c r="C171" s="124">
        <v>0.42</v>
      </c>
      <c r="D171" s="123">
        <f t="shared" si="42"/>
        <v>0.42</v>
      </c>
      <c r="E171" s="123">
        <f t="shared" si="42"/>
        <v>0.42</v>
      </c>
      <c r="F171" s="123">
        <f t="shared" si="42"/>
        <v>0.42</v>
      </c>
      <c r="G171" s="123">
        <f t="shared" si="42"/>
        <v>0.42</v>
      </c>
      <c r="H171" s="123">
        <f t="shared" si="42"/>
        <v>0.42</v>
      </c>
      <c r="I171" s="123">
        <f t="shared" si="42"/>
        <v>0.42</v>
      </c>
      <c r="J171" s="123">
        <f t="shared" si="42"/>
        <v>0.42</v>
      </c>
      <c r="K171" s="123">
        <f t="shared" si="42"/>
        <v>0.42</v>
      </c>
      <c r="L171" s="123">
        <f t="shared" si="42"/>
        <v>0.42</v>
      </c>
      <c r="M171" s="123">
        <f t="shared" si="42"/>
        <v>0.42</v>
      </c>
      <c r="N171" s="123">
        <f t="shared" si="42"/>
        <v>0.42</v>
      </c>
      <c r="O171" s="123">
        <f t="shared" si="42"/>
        <v>0.42</v>
      </c>
      <c r="P171" s="123">
        <f t="shared" si="42"/>
        <v>0.42</v>
      </c>
      <c r="Q171" s="123">
        <f t="shared" si="42"/>
        <v>0.42</v>
      </c>
      <c r="R171" s="123">
        <f t="shared" si="42"/>
        <v>0.42</v>
      </c>
      <c r="S171" s="123">
        <f t="shared" si="43"/>
        <v>0.42</v>
      </c>
      <c r="T171" s="123">
        <f t="shared" si="43"/>
        <v>0.42</v>
      </c>
      <c r="U171" s="123">
        <f t="shared" si="43"/>
        <v>0.42</v>
      </c>
      <c r="V171" s="123">
        <f t="shared" si="43"/>
        <v>0.42</v>
      </c>
      <c r="W171" s="123">
        <f t="shared" si="43"/>
        <v>0.42</v>
      </c>
      <c r="X171" s="123">
        <f t="shared" si="43"/>
        <v>0.42</v>
      </c>
      <c r="Y171" s="123">
        <f t="shared" si="43"/>
        <v>0.42</v>
      </c>
      <c r="Z171" s="123">
        <f t="shared" si="43"/>
        <v>0.42</v>
      </c>
      <c r="AA171" s="123">
        <f t="shared" si="43"/>
        <v>0.42</v>
      </c>
      <c r="AB171" s="123">
        <f t="shared" si="43"/>
        <v>0.42</v>
      </c>
      <c r="AC171" s="123">
        <f t="shared" si="43"/>
        <v>0.42</v>
      </c>
      <c r="AD171" s="123">
        <f t="shared" si="43"/>
        <v>0.42</v>
      </c>
      <c r="AE171" s="123">
        <f t="shared" si="43"/>
        <v>0.42</v>
      </c>
      <c r="AF171" s="123">
        <f t="shared" si="43"/>
        <v>0.42</v>
      </c>
      <c r="AG171" s="126">
        <v>2.5</v>
      </c>
      <c r="AH171" s="54"/>
      <c r="AI171" s="55"/>
      <c r="AK171" s="56"/>
    </row>
    <row r="172" spans="1:37" x14ac:dyDescent="0.25">
      <c r="A172" s="111" t="s">
        <v>178</v>
      </c>
      <c r="B172" s="123">
        <f t="shared" si="41"/>
        <v>0.46</v>
      </c>
      <c r="C172" s="124">
        <v>0.46</v>
      </c>
      <c r="D172" s="123">
        <f t="shared" si="42"/>
        <v>0.46</v>
      </c>
      <c r="E172" s="123">
        <f t="shared" si="42"/>
        <v>0.46</v>
      </c>
      <c r="F172" s="123">
        <f t="shared" si="42"/>
        <v>0.46</v>
      </c>
      <c r="G172" s="123">
        <f t="shared" si="42"/>
        <v>0.46</v>
      </c>
      <c r="H172" s="123">
        <f t="shared" si="42"/>
        <v>0.46</v>
      </c>
      <c r="I172" s="123">
        <f t="shared" si="42"/>
        <v>0.46</v>
      </c>
      <c r="J172" s="123">
        <f t="shared" si="42"/>
        <v>0.46</v>
      </c>
      <c r="K172" s="123">
        <f t="shared" si="42"/>
        <v>0.46</v>
      </c>
      <c r="L172" s="123">
        <f t="shared" si="42"/>
        <v>0.46</v>
      </c>
      <c r="M172" s="123">
        <f t="shared" si="42"/>
        <v>0.46</v>
      </c>
      <c r="N172" s="123">
        <f t="shared" si="42"/>
        <v>0.46</v>
      </c>
      <c r="O172" s="123">
        <f t="shared" si="42"/>
        <v>0.46</v>
      </c>
      <c r="P172" s="123">
        <f t="shared" si="42"/>
        <v>0.46</v>
      </c>
      <c r="Q172" s="123">
        <f t="shared" si="42"/>
        <v>0.46</v>
      </c>
      <c r="R172" s="123">
        <f t="shared" si="42"/>
        <v>0.46</v>
      </c>
      <c r="S172" s="123">
        <f t="shared" si="43"/>
        <v>0.46</v>
      </c>
      <c r="T172" s="123">
        <f t="shared" si="43"/>
        <v>0.46</v>
      </c>
      <c r="U172" s="123">
        <f t="shared" si="43"/>
        <v>0.46</v>
      </c>
      <c r="V172" s="123">
        <f t="shared" si="43"/>
        <v>0.46</v>
      </c>
      <c r="W172" s="123">
        <f t="shared" si="43"/>
        <v>0.46</v>
      </c>
      <c r="X172" s="123">
        <f t="shared" si="43"/>
        <v>0.46</v>
      </c>
      <c r="Y172" s="123">
        <f t="shared" si="43"/>
        <v>0.46</v>
      </c>
      <c r="Z172" s="123">
        <f t="shared" si="43"/>
        <v>0.46</v>
      </c>
      <c r="AA172" s="123">
        <f t="shared" si="43"/>
        <v>0.46</v>
      </c>
      <c r="AB172" s="123">
        <f t="shared" si="43"/>
        <v>0.46</v>
      </c>
      <c r="AC172" s="123">
        <f t="shared" si="43"/>
        <v>0.46</v>
      </c>
      <c r="AD172" s="123">
        <f t="shared" si="43"/>
        <v>0.46</v>
      </c>
      <c r="AE172" s="123">
        <f t="shared" si="43"/>
        <v>0.46</v>
      </c>
      <c r="AF172" s="123">
        <f t="shared" si="43"/>
        <v>0.46</v>
      </c>
      <c r="AG172" s="126">
        <v>2.4</v>
      </c>
      <c r="AH172" s="54"/>
      <c r="AI172" s="55"/>
      <c r="AK172" s="56"/>
    </row>
    <row r="173" spans="1:37" x14ac:dyDescent="0.25">
      <c r="A173" s="111" t="s">
        <v>179</v>
      </c>
      <c r="B173" s="123">
        <f t="shared" si="41"/>
        <v>0.85</v>
      </c>
      <c r="C173" s="124">
        <v>0.85</v>
      </c>
      <c r="D173" s="123">
        <f t="shared" si="42"/>
        <v>0.85</v>
      </c>
      <c r="E173" s="123">
        <f t="shared" si="42"/>
        <v>0.85</v>
      </c>
      <c r="F173" s="123">
        <f t="shared" si="42"/>
        <v>0.85</v>
      </c>
      <c r="G173" s="123">
        <f t="shared" si="42"/>
        <v>0.85</v>
      </c>
      <c r="H173" s="123">
        <f t="shared" si="42"/>
        <v>0.85</v>
      </c>
      <c r="I173" s="123">
        <f t="shared" si="42"/>
        <v>0.85</v>
      </c>
      <c r="J173" s="123">
        <f t="shared" si="42"/>
        <v>0.85</v>
      </c>
      <c r="K173" s="123">
        <f t="shared" si="42"/>
        <v>0.85</v>
      </c>
      <c r="L173" s="123">
        <f t="shared" si="42"/>
        <v>0.85</v>
      </c>
      <c r="M173" s="123">
        <f t="shared" si="42"/>
        <v>0.85</v>
      </c>
      <c r="N173" s="123">
        <f t="shared" si="42"/>
        <v>0.85</v>
      </c>
      <c r="O173" s="123">
        <f t="shared" si="42"/>
        <v>0.85</v>
      </c>
      <c r="P173" s="123">
        <f t="shared" si="42"/>
        <v>0.85</v>
      </c>
      <c r="Q173" s="123">
        <f t="shared" si="42"/>
        <v>0.85</v>
      </c>
      <c r="R173" s="123">
        <f t="shared" si="42"/>
        <v>0.85</v>
      </c>
      <c r="S173" s="123">
        <f t="shared" si="43"/>
        <v>0.85</v>
      </c>
      <c r="T173" s="123">
        <f t="shared" si="43"/>
        <v>0.85</v>
      </c>
      <c r="U173" s="123">
        <f t="shared" si="43"/>
        <v>0.85</v>
      </c>
      <c r="V173" s="123">
        <f t="shared" si="43"/>
        <v>0.85</v>
      </c>
      <c r="W173" s="123">
        <f t="shared" si="43"/>
        <v>0.85</v>
      </c>
      <c r="X173" s="123">
        <f t="shared" si="43"/>
        <v>0.85</v>
      </c>
      <c r="Y173" s="123">
        <f t="shared" si="43"/>
        <v>0.85</v>
      </c>
      <c r="Z173" s="123">
        <f t="shared" si="43"/>
        <v>0.85</v>
      </c>
      <c r="AA173" s="123">
        <f t="shared" si="43"/>
        <v>0.85</v>
      </c>
      <c r="AB173" s="123">
        <f t="shared" si="43"/>
        <v>0.85</v>
      </c>
      <c r="AC173" s="123">
        <f t="shared" si="43"/>
        <v>0.85</v>
      </c>
      <c r="AD173" s="123">
        <f t="shared" si="43"/>
        <v>0.85</v>
      </c>
      <c r="AE173" s="123">
        <f t="shared" si="43"/>
        <v>0.85</v>
      </c>
      <c r="AF173" s="123">
        <f t="shared" si="43"/>
        <v>0.85</v>
      </c>
      <c r="AG173" s="126">
        <v>2.4</v>
      </c>
      <c r="AH173" s="54"/>
      <c r="AI173" s="55"/>
      <c r="AK173" s="56"/>
    </row>
    <row r="174" spans="1:37" x14ac:dyDescent="0.25">
      <c r="A174" s="111" t="s">
        <v>180</v>
      </c>
      <c r="B174" s="123">
        <f t="shared" si="41"/>
        <v>0.9</v>
      </c>
      <c r="C174" s="124">
        <v>0.9</v>
      </c>
      <c r="D174" s="123">
        <f t="shared" si="42"/>
        <v>0.9</v>
      </c>
      <c r="E174" s="123">
        <f t="shared" si="42"/>
        <v>0.9</v>
      </c>
      <c r="F174" s="123">
        <f t="shared" si="42"/>
        <v>0.9</v>
      </c>
      <c r="G174" s="123">
        <f t="shared" si="42"/>
        <v>0.9</v>
      </c>
      <c r="H174" s="123">
        <f t="shared" si="42"/>
        <v>0.9</v>
      </c>
      <c r="I174" s="123">
        <f t="shared" si="42"/>
        <v>0.9</v>
      </c>
      <c r="J174" s="123">
        <f t="shared" si="42"/>
        <v>0.9</v>
      </c>
      <c r="K174" s="123">
        <f t="shared" si="42"/>
        <v>0.9</v>
      </c>
      <c r="L174" s="123">
        <f t="shared" si="42"/>
        <v>0.9</v>
      </c>
      <c r="M174" s="123">
        <f t="shared" si="42"/>
        <v>0.9</v>
      </c>
      <c r="N174" s="123">
        <f t="shared" si="42"/>
        <v>0.9</v>
      </c>
      <c r="O174" s="123">
        <f t="shared" si="42"/>
        <v>0.9</v>
      </c>
      <c r="P174" s="123">
        <f t="shared" si="42"/>
        <v>0.9</v>
      </c>
      <c r="Q174" s="123">
        <f t="shared" si="42"/>
        <v>0.9</v>
      </c>
      <c r="R174" s="123">
        <f t="shared" si="42"/>
        <v>0.9</v>
      </c>
      <c r="S174" s="123">
        <f t="shared" si="43"/>
        <v>0.9</v>
      </c>
      <c r="T174" s="123">
        <f t="shared" si="43"/>
        <v>0.9</v>
      </c>
      <c r="U174" s="123">
        <f t="shared" si="43"/>
        <v>0.9</v>
      </c>
      <c r="V174" s="123">
        <f t="shared" si="43"/>
        <v>0.9</v>
      </c>
      <c r="W174" s="123">
        <f t="shared" si="43"/>
        <v>0.9</v>
      </c>
      <c r="X174" s="123">
        <f t="shared" si="43"/>
        <v>0.9</v>
      </c>
      <c r="Y174" s="123">
        <f t="shared" si="43"/>
        <v>0.9</v>
      </c>
      <c r="Z174" s="123">
        <f t="shared" si="43"/>
        <v>0.9</v>
      </c>
      <c r="AA174" s="123">
        <f t="shared" si="43"/>
        <v>0.9</v>
      </c>
      <c r="AB174" s="123">
        <f t="shared" si="43"/>
        <v>0.9</v>
      </c>
      <c r="AC174" s="123">
        <f t="shared" si="43"/>
        <v>0.9</v>
      </c>
      <c r="AD174" s="123">
        <f t="shared" si="43"/>
        <v>0.9</v>
      </c>
      <c r="AE174" s="123">
        <f t="shared" si="43"/>
        <v>0.9</v>
      </c>
      <c r="AF174" s="123">
        <f t="shared" si="43"/>
        <v>0.9</v>
      </c>
      <c r="AG174" s="126">
        <v>2.2000000000000002</v>
      </c>
      <c r="AH174" s="54"/>
      <c r="AI174" s="55"/>
      <c r="AK174" s="56"/>
    </row>
    <row r="175" spans="1:37" x14ac:dyDescent="0.25">
      <c r="A175" s="111" t="s">
        <v>181</v>
      </c>
      <c r="B175" s="123">
        <f t="shared" si="41"/>
        <v>0.44</v>
      </c>
      <c r="C175" s="124">
        <v>0.44</v>
      </c>
      <c r="D175" s="123">
        <f t="shared" si="42"/>
        <v>0.44</v>
      </c>
      <c r="E175" s="123">
        <f t="shared" si="42"/>
        <v>0.44</v>
      </c>
      <c r="F175" s="123">
        <f t="shared" si="42"/>
        <v>0.44</v>
      </c>
      <c r="G175" s="123">
        <f t="shared" si="42"/>
        <v>0.44</v>
      </c>
      <c r="H175" s="123">
        <f t="shared" si="42"/>
        <v>0.44</v>
      </c>
      <c r="I175" s="123">
        <f t="shared" si="42"/>
        <v>0.44</v>
      </c>
      <c r="J175" s="123">
        <f t="shared" si="42"/>
        <v>0.44</v>
      </c>
      <c r="K175" s="123">
        <f t="shared" si="42"/>
        <v>0.44</v>
      </c>
      <c r="L175" s="123">
        <f t="shared" si="42"/>
        <v>0.44</v>
      </c>
      <c r="M175" s="123">
        <f t="shared" si="42"/>
        <v>0.44</v>
      </c>
      <c r="N175" s="123">
        <f t="shared" si="42"/>
        <v>0.44</v>
      </c>
      <c r="O175" s="123">
        <f t="shared" si="42"/>
        <v>0.44</v>
      </c>
      <c r="P175" s="123">
        <f t="shared" si="42"/>
        <v>0.44</v>
      </c>
      <c r="Q175" s="123">
        <f t="shared" si="42"/>
        <v>0.44</v>
      </c>
      <c r="R175" s="123">
        <f t="shared" si="42"/>
        <v>0.44</v>
      </c>
      <c r="S175" s="123">
        <f t="shared" si="43"/>
        <v>0.44</v>
      </c>
      <c r="T175" s="123">
        <f t="shared" si="43"/>
        <v>0.44</v>
      </c>
      <c r="U175" s="123">
        <f t="shared" si="43"/>
        <v>0.44</v>
      </c>
      <c r="V175" s="123">
        <f t="shared" si="43"/>
        <v>0.44</v>
      </c>
      <c r="W175" s="123">
        <f t="shared" si="43"/>
        <v>0.44</v>
      </c>
      <c r="X175" s="123">
        <f t="shared" si="43"/>
        <v>0.44</v>
      </c>
      <c r="Y175" s="123">
        <f t="shared" si="43"/>
        <v>0.44</v>
      </c>
      <c r="Z175" s="123">
        <f t="shared" si="43"/>
        <v>0.44</v>
      </c>
      <c r="AA175" s="123">
        <f t="shared" si="43"/>
        <v>0.44</v>
      </c>
      <c r="AB175" s="123">
        <f t="shared" si="43"/>
        <v>0.44</v>
      </c>
      <c r="AC175" s="123">
        <f t="shared" si="43"/>
        <v>0.44</v>
      </c>
      <c r="AD175" s="123">
        <f t="shared" si="43"/>
        <v>0.44</v>
      </c>
      <c r="AE175" s="123">
        <f t="shared" si="43"/>
        <v>0.44</v>
      </c>
      <c r="AF175" s="123">
        <f t="shared" si="43"/>
        <v>0.44</v>
      </c>
      <c r="AG175" s="126">
        <v>2</v>
      </c>
      <c r="AH175" s="54"/>
      <c r="AI175" s="55"/>
      <c r="AK175" s="56"/>
    </row>
    <row r="176" spans="1:37" x14ac:dyDescent="0.25">
      <c r="A176" s="111" t="s">
        <v>182</v>
      </c>
      <c r="B176" s="123">
        <f t="shared" si="41"/>
        <v>2.1</v>
      </c>
      <c r="C176" s="124">
        <v>2.1</v>
      </c>
      <c r="D176" s="123">
        <f t="shared" si="42"/>
        <v>2.1</v>
      </c>
      <c r="E176" s="123">
        <f t="shared" si="42"/>
        <v>2.1</v>
      </c>
      <c r="F176" s="123">
        <f t="shared" si="42"/>
        <v>2.1</v>
      </c>
      <c r="G176" s="123">
        <f t="shared" si="42"/>
        <v>2.1</v>
      </c>
      <c r="H176" s="123">
        <f t="shared" si="42"/>
        <v>2.1</v>
      </c>
      <c r="I176" s="123">
        <f t="shared" si="42"/>
        <v>2.1</v>
      </c>
      <c r="J176" s="123">
        <f t="shared" si="42"/>
        <v>2.1</v>
      </c>
      <c r="K176" s="123">
        <f t="shared" si="42"/>
        <v>2.1</v>
      </c>
      <c r="L176" s="123">
        <f t="shared" si="42"/>
        <v>2.1</v>
      </c>
      <c r="M176" s="123">
        <f t="shared" si="42"/>
        <v>2.1</v>
      </c>
      <c r="N176" s="123">
        <f t="shared" si="42"/>
        <v>2.1</v>
      </c>
      <c r="O176" s="123">
        <f t="shared" si="42"/>
        <v>2.1</v>
      </c>
      <c r="P176" s="123">
        <f t="shared" si="42"/>
        <v>2.1</v>
      </c>
      <c r="Q176" s="123">
        <f t="shared" si="42"/>
        <v>2.1</v>
      </c>
      <c r="R176" s="123">
        <f t="shared" si="42"/>
        <v>2.1</v>
      </c>
      <c r="S176" s="123">
        <f t="shared" si="43"/>
        <v>2.1</v>
      </c>
      <c r="T176" s="123">
        <f t="shared" si="43"/>
        <v>2.1</v>
      </c>
      <c r="U176" s="123">
        <f t="shared" si="43"/>
        <v>2.1</v>
      </c>
      <c r="V176" s="123">
        <f t="shared" si="43"/>
        <v>2.1</v>
      </c>
      <c r="W176" s="123">
        <f t="shared" si="43"/>
        <v>2.1</v>
      </c>
      <c r="X176" s="123">
        <f t="shared" si="43"/>
        <v>2.1</v>
      </c>
      <c r="Y176" s="123">
        <f t="shared" si="43"/>
        <v>2.1</v>
      </c>
      <c r="Z176" s="123">
        <f t="shared" si="43"/>
        <v>2.1</v>
      </c>
      <c r="AA176" s="123">
        <f t="shared" si="43"/>
        <v>2.1</v>
      </c>
      <c r="AB176" s="123">
        <f t="shared" si="43"/>
        <v>2.1</v>
      </c>
      <c r="AC176" s="123">
        <f t="shared" si="43"/>
        <v>2.1</v>
      </c>
      <c r="AD176" s="123">
        <f t="shared" si="43"/>
        <v>2.1</v>
      </c>
      <c r="AE176" s="123">
        <f t="shared" si="43"/>
        <v>2.1</v>
      </c>
      <c r="AF176" s="123">
        <f t="shared" si="43"/>
        <v>2.1</v>
      </c>
      <c r="AG176" s="126">
        <v>2</v>
      </c>
      <c r="AH176" s="54"/>
      <c r="AI176" s="55"/>
      <c r="AK176" s="56"/>
    </row>
    <row r="177" spans="1:37" x14ac:dyDescent="0.25">
      <c r="A177" s="111" t="s">
        <v>183</v>
      </c>
      <c r="B177" s="123">
        <f t="shared" si="41"/>
        <v>0.9</v>
      </c>
      <c r="C177" s="124">
        <v>0.9</v>
      </c>
      <c r="D177" s="123">
        <f t="shared" si="42"/>
        <v>0.9</v>
      </c>
      <c r="E177" s="123">
        <f t="shared" si="42"/>
        <v>0.9</v>
      </c>
      <c r="F177" s="123">
        <f t="shared" si="42"/>
        <v>0.9</v>
      </c>
      <c r="G177" s="123">
        <f t="shared" si="42"/>
        <v>0.9</v>
      </c>
      <c r="H177" s="123">
        <f t="shared" si="42"/>
        <v>0.9</v>
      </c>
      <c r="I177" s="123">
        <f t="shared" si="42"/>
        <v>0.9</v>
      </c>
      <c r="J177" s="123">
        <f t="shared" si="42"/>
        <v>0.9</v>
      </c>
      <c r="K177" s="123">
        <f t="shared" si="42"/>
        <v>0.9</v>
      </c>
      <c r="L177" s="123">
        <f t="shared" si="42"/>
        <v>0.9</v>
      </c>
      <c r="M177" s="123">
        <f t="shared" si="42"/>
        <v>0.9</v>
      </c>
      <c r="N177" s="123">
        <f t="shared" si="42"/>
        <v>0.9</v>
      </c>
      <c r="O177" s="123">
        <f t="shared" si="42"/>
        <v>0.9</v>
      </c>
      <c r="P177" s="123">
        <f t="shared" si="42"/>
        <v>0.9</v>
      </c>
      <c r="Q177" s="123">
        <f t="shared" si="42"/>
        <v>0.9</v>
      </c>
      <c r="R177" s="123">
        <f t="shared" si="42"/>
        <v>0.9</v>
      </c>
      <c r="S177" s="123">
        <f t="shared" si="43"/>
        <v>0.9</v>
      </c>
      <c r="T177" s="123">
        <f t="shared" si="43"/>
        <v>0.9</v>
      </c>
      <c r="U177" s="123">
        <f t="shared" si="43"/>
        <v>0.9</v>
      </c>
      <c r="V177" s="123">
        <f t="shared" si="43"/>
        <v>0.9</v>
      </c>
      <c r="W177" s="123">
        <f t="shared" si="43"/>
        <v>0.9</v>
      </c>
      <c r="X177" s="123">
        <f t="shared" si="43"/>
        <v>0.9</v>
      </c>
      <c r="Y177" s="123">
        <f t="shared" si="43"/>
        <v>0.9</v>
      </c>
      <c r="Z177" s="123">
        <f t="shared" si="43"/>
        <v>0.9</v>
      </c>
      <c r="AA177" s="123">
        <f t="shared" si="43"/>
        <v>0.9</v>
      </c>
      <c r="AB177" s="123">
        <f t="shared" si="43"/>
        <v>0.9</v>
      </c>
      <c r="AC177" s="123">
        <f t="shared" si="43"/>
        <v>0.9</v>
      </c>
      <c r="AD177" s="123">
        <f t="shared" si="43"/>
        <v>0.9</v>
      </c>
      <c r="AE177" s="123">
        <f t="shared" si="43"/>
        <v>0.9</v>
      </c>
      <c r="AF177" s="123">
        <f t="shared" si="43"/>
        <v>0.9</v>
      </c>
      <c r="AG177" s="126">
        <v>2</v>
      </c>
      <c r="AH177" s="54"/>
      <c r="AI177" s="55"/>
      <c r="AK177" s="56"/>
    </row>
    <row r="178" spans="1:37" x14ac:dyDescent="0.25">
      <c r="A178" s="111" t="s">
        <v>184</v>
      </c>
      <c r="B178" s="123"/>
      <c r="C178" s="124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  <c r="AC178" s="123"/>
      <c r="AD178" s="123"/>
      <c r="AE178" s="123"/>
      <c r="AF178" s="123"/>
      <c r="AG178" s="126">
        <v>1.8</v>
      </c>
      <c r="AH178" s="54"/>
      <c r="AI178" s="55"/>
      <c r="AK178" s="56"/>
    </row>
    <row r="179" spans="1:37" x14ac:dyDescent="0.25">
      <c r="A179" s="111" t="s">
        <v>185</v>
      </c>
      <c r="B179" s="123">
        <f t="shared" ref="B179:B191" si="44">AF179</f>
        <v>0.57999999999999996</v>
      </c>
      <c r="C179" s="124">
        <v>0.57999999999999996</v>
      </c>
      <c r="D179" s="123">
        <f t="shared" ref="D179:S191" si="45">C179</f>
        <v>0.57999999999999996</v>
      </c>
      <c r="E179" s="123">
        <f t="shared" si="45"/>
        <v>0.57999999999999996</v>
      </c>
      <c r="F179" s="123">
        <f t="shared" si="45"/>
        <v>0.57999999999999996</v>
      </c>
      <c r="G179" s="123">
        <f t="shared" si="45"/>
        <v>0.57999999999999996</v>
      </c>
      <c r="H179" s="123">
        <f t="shared" si="45"/>
        <v>0.57999999999999996</v>
      </c>
      <c r="I179" s="123">
        <f t="shared" si="45"/>
        <v>0.57999999999999996</v>
      </c>
      <c r="J179" s="123">
        <f t="shared" si="45"/>
        <v>0.57999999999999996</v>
      </c>
      <c r="K179" s="123">
        <f t="shared" si="45"/>
        <v>0.57999999999999996</v>
      </c>
      <c r="L179" s="123">
        <f t="shared" si="45"/>
        <v>0.57999999999999996</v>
      </c>
      <c r="M179" s="123">
        <f t="shared" si="45"/>
        <v>0.57999999999999996</v>
      </c>
      <c r="N179" s="123">
        <f t="shared" si="45"/>
        <v>0.57999999999999996</v>
      </c>
      <c r="O179" s="123">
        <f t="shared" si="45"/>
        <v>0.57999999999999996</v>
      </c>
      <c r="P179" s="123">
        <f t="shared" si="45"/>
        <v>0.57999999999999996</v>
      </c>
      <c r="Q179" s="123">
        <f t="shared" si="45"/>
        <v>0.57999999999999996</v>
      </c>
      <c r="R179" s="123">
        <f t="shared" si="45"/>
        <v>0.57999999999999996</v>
      </c>
      <c r="S179" s="123">
        <f t="shared" si="45"/>
        <v>0.57999999999999996</v>
      </c>
      <c r="T179" s="123">
        <f t="shared" ref="S179:AF191" si="46">S179</f>
        <v>0.57999999999999996</v>
      </c>
      <c r="U179" s="123">
        <f t="shared" si="46"/>
        <v>0.57999999999999996</v>
      </c>
      <c r="V179" s="123">
        <f t="shared" si="46"/>
        <v>0.57999999999999996</v>
      </c>
      <c r="W179" s="123">
        <f t="shared" si="46"/>
        <v>0.57999999999999996</v>
      </c>
      <c r="X179" s="123">
        <f t="shared" si="46"/>
        <v>0.57999999999999996</v>
      </c>
      <c r="Y179" s="123">
        <f t="shared" si="46"/>
        <v>0.57999999999999996</v>
      </c>
      <c r="Z179" s="123">
        <f t="shared" si="46"/>
        <v>0.57999999999999996</v>
      </c>
      <c r="AA179" s="123">
        <f t="shared" si="46"/>
        <v>0.57999999999999996</v>
      </c>
      <c r="AB179" s="123">
        <f t="shared" si="46"/>
        <v>0.57999999999999996</v>
      </c>
      <c r="AC179" s="123">
        <f t="shared" si="46"/>
        <v>0.57999999999999996</v>
      </c>
      <c r="AD179" s="123">
        <f t="shared" si="46"/>
        <v>0.57999999999999996</v>
      </c>
      <c r="AE179" s="123">
        <f t="shared" si="46"/>
        <v>0.57999999999999996</v>
      </c>
      <c r="AF179" s="123">
        <f t="shared" si="46"/>
        <v>0.57999999999999996</v>
      </c>
      <c r="AG179" s="126">
        <v>1.8</v>
      </c>
      <c r="AH179" s="54"/>
      <c r="AI179" s="55"/>
      <c r="AK179" s="56"/>
    </row>
    <row r="180" spans="1:37" x14ac:dyDescent="0.25">
      <c r="A180" s="111" t="s">
        <v>186</v>
      </c>
      <c r="B180" s="123">
        <f t="shared" si="44"/>
        <v>0.8</v>
      </c>
      <c r="C180" s="124">
        <v>0.8</v>
      </c>
      <c r="D180" s="123">
        <f t="shared" si="45"/>
        <v>0.8</v>
      </c>
      <c r="E180" s="123">
        <f t="shared" si="45"/>
        <v>0.8</v>
      </c>
      <c r="F180" s="123">
        <f t="shared" si="45"/>
        <v>0.8</v>
      </c>
      <c r="G180" s="123">
        <f t="shared" si="45"/>
        <v>0.8</v>
      </c>
      <c r="H180" s="123">
        <f t="shared" si="45"/>
        <v>0.8</v>
      </c>
      <c r="I180" s="123">
        <f t="shared" si="45"/>
        <v>0.8</v>
      </c>
      <c r="J180" s="123">
        <f t="shared" si="45"/>
        <v>0.8</v>
      </c>
      <c r="K180" s="123">
        <f t="shared" si="45"/>
        <v>0.8</v>
      </c>
      <c r="L180" s="123">
        <f t="shared" si="45"/>
        <v>0.8</v>
      </c>
      <c r="M180" s="123">
        <f t="shared" si="45"/>
        <v>0.8</v>
      </c>
      <c r="N180" s="123">
        <f t="shared" si="45"/>
        <v>0.8</v>
      </c>
      <c r="O180" s="123">
        <f t="shared" si="45"/>
        <v>0.8</v>
      </c>
      <c r="P180" s="123">
        <f t="shared" si="45"/>
        <v>0.8</v>
      </c>
      <c r="Q180" s="123">
        <f t="shared" si="45"/>
        <v>0.8</v>
      </c>
      <c r="R180" s="123">
        <f t="shared" si="45"/>
        <v>0.8</v>
      </c>
      <c r="S180" s="123">
        <f t="shared" si="45"/>
        <v>0.8</v>
      </c>
      <c r="T180" s="123">
        <f t="shared" si="46"/>
        <v>0.8</v>
      </c>
      <c r="U180" s="123">
        <f t="shared" si="46"/>
        <v>0.8</v>
      </c>
      <c r="V180" s="123">
        <f t="shared" si="46"/>
        <v>0.8</v>
      </c>
      <c r="W180" s="123">
        <f t="shared" si="46"/>
        <v>0.8</v>
      </c>
      <c r="X180" s="123">
        <f t="shared" si="46"/>
        <v>0.8</v>
      </c>
      <c r="Y180" s="123">
        <f t="shared" si="46"/>
        <v>0.8</v>
      </c>
      <c r="Z180" s="123">
        <f t="shared" si="46"/>
        <v>0.8</v>
      </c>
      <c r="AA180" s="123">
        <f t="shared" si="46"/>
        <v>0.8</v>
      </c>
      <c r="AB180" s="123">
        <f t="shared" si="46"/>
        <v>0.8</v>
      </c>
      <c r="AC180" s="123">
        <f t="shared" si="46"/>
        <v>0.8</v>
      </c>
      <c r="AD180" s="123">
        <f t="shared" si="46"/>
        <v>0.8</v>
      </c>
      <c r="AE180" s="123">
        <f t="shared" si="46"/>
        <v>0.8</v>
      </c>
      <c r="AF180" s="123">
        <f t="shared" si="46"/>
        <v>0.8</v>
      </c>
      <c r="AG180" s="126">
        <v>1.65</v>
      </c>
      <c r="AH180" s="54"/>
      <c r="AI180" s="55"/>
      <c r="AK180" s="56"/>
    </row>
    <row r="181" spans="1:37" x14ac:dyDescent="0.25">
      <c r="A181" s="111" t="s">
        <v>187</v>
      </c>
      <c r="B181" s="123">
        <f t="shared" si="44"/>
        <v>0</v>
      </c>
      <c r="C181" s="124">
        <v>0</v>
      </c>
      <c r="D181" s="123">
        <f t="shared" si="45"/>
        <v>0</v>
      </c>
      <c r="E181" s="123">
        <f t="shared" si="45"/>
        <v>0</v>
      </c>
      <c r="F181" s="123">
        <f t="shared" si="45"/>
        <v>0</v>
      </c>
      <c r="G181" s="123">
        <f t="shared" si="45"/>
        <v>0</v>
      </c>
      <c r="H181" s="123">
        <f t="shared" si="45"/>
        <v>0</v>
      </c>
      <c r="I181" s="123">
        <f t="shared" si="45"/>
        <v>0</v>
      </c>
      <c r="J181" s="123">
        <f t="shared" si="45"/>
        <v>0</v>
      </c>
      <c r="K181" s="123">
        <f t="shared" si="45"/>
        <v>0</v>
      </c>
      <c r="L181" s="123">
        <f t="shared" si="45"/>
        <v>0</v>
      </c>
      <c r="M181" s="123">
        <f t="shared" si="45"/>
        <v>0</v>
      </c>
      <c r="N181" s="123">
        <f t="shared" si="45"/>
        <v>0</v>
      </c>
      <c r="O181" s="123">
        <f t="shared" si="45"/>
        <v>0</v>
      </c>
      <c r="P181" s="123">
        <f t="shared" si="45"/>
        <v>0</v>
      </c>
      <c r="Q181" s="123">
        <f t="shared" si="45"/>
        <v>0</v>
      </c>
      <c r="R181" s="123">
        <f t="shared" si="45"/>
        <v>0</v>
      </c>
      <c r="S181" s="123">
        <f t="shared" si="45"/>
        <v>0</v>
      </c>
      <c r="T181" s="123">
        <f t="shared" si="46"/>
        <v>0</v>
      </c>
      <c r="U181" s="123">
        <f t="shared" si="46"/>
        <v>0</v>
      </c>
      <c r="V181" s="123">
        <f t="shared" si="46"/>
        <v>0</v>
      </c>
      <c r="W181" s="123">
        <f t="shared" si="46"/>
        <v>0</v>
      </c>
      <c r="X181" s="123">
        <f t="shared" si="46"/>
        <v>0</v>
      </c>
      <c r="Y181" s="123">
        <f t="shared" si="46"/>
        <v>0</v>
      </c>
      <c r="Z181" s="123">
        <f t="shared" si="46"/>
        <v>0</v>
      </c>
      <c r="AA181" s="123">
        <f t="shared" si="46"/>
        <v>0</v>
      </c>
      <c r="AB181" s="123">
        <f t="shared" si="46"/>
        <v>0</v>
      </c>
      <c r="AC181" s="123">
        <f t="shared" si="46"/>
        <v>0</v>
      </c>
      <c r="AD181" s="123">
        <f t="shared" si="46"/>
        <v>0</v>
      </c>
      <c r="AE181" s="123">
        <f t="shared" si="46"/>
        <v>0</v>
      </c>
      <c r="AF181" s="123">
        <f t="shared" si="46"/>
        <v>0</v>
      </c>
      <c r="AG181" s="126">
        <v>1.5</v>
      </c>
      <c r="AH181" s="54"/>
      <c r="AI181" s="55"/>
      <c r="AK181" s="56"/>
    </row>
    <row r="182" spans="1:37" x14ac:dyDescent="0.25">
      <c r="A182" s="111" t="s">
        <v>188</v>
      </c>
      <c r="B182" s="123">
        <f t="shared" si="44"/>
        <v>0.6</v>
      </c>
      <c r="C182" s="124">
        <v>0.6</v>
      </c>
      <c r="D182" s="123">
        <f t="shared" si="45"/>
        <v>0.6</v>
      </c>
      <c r="E182" s="123">
        <f t="shared" si="45"/>
        <v>0.6</v>
      </c>
      <c r="F182" s="123">
        <f t="shared" si="45"/>
        <v>0.6</v>
      </c>
      <c r="G182" s="123">
        <f t="shared" si="45"/>
        <v>0.6</v>
      </c>
      <c r="H182" s="123">
        <f t="shared" si="45"/>
        <v>0.6</v>
      </c>
      <c r="I182" s="123">
        <f t="shared" si="45"/>
        <v>0.6</v>
      </c>
      <c r="J182" s="123">
        <f t="shared" si="45"/>
        <v>0.6</v>
      </c>
      <c r="K182" s="123">
        <f t="shared" si="45"/>
        <v>0.6</v>
      </c>
      <c r="L182" s="123">
        <f t="shared" si="45"/>
        <v>0.6</v>
      </c>
      <c r="M182" s="123">
        <f t="shared" si="45"/>
        <v>0.6</v>
      </c>
      <c r="N182" s="123">
        <f t="shared" si="45"/>
        <v>0.6</v>
      </c>
      <c r="O182" s="123">
        <f t="shared" si="45"/>
        <v>0.6</v>
      </c>
      <c r="P182" s="123">
        <f t="shared" si="45"/>
        <v>0.6</v>
      </c>
      <c r="Q182" s="123">
        <f t="shared" si="45"/>
        <v>0.6</v>
      </c>
      <c r="R182" s="123">
        <f t="shared" si="45"/>
        <v>0.6</v>
      </c>
      <c r="S182" s="123">
        <f t="shared" si="45"/>
        <v>0.6</v>
      </c>
      <c r="T182" s="123">
        <f t="shared" si="46"/>
        <v>0.6</v>
      </c>
      <c r="U182" s="123">
        <f t="shared" si="46"/>
        <v>0.6</v>
      </c>
      <c r="V182" s="123">
        <f t="shared" si="46"/>
        <v>0.6</v>
      </c>
      <c r="W182" s="123">
        <f t="shared" si="46"/>
        <v>0.6</v>
      </c>
      <c r="X182" s="123">
        <f t="shared" si="46"/>
        <v>0.6</v>
      </c>
      <c r="Y182" s="123">
        <f t="shared" si="46"/>
        <v>0.6</v>
      </c>
      <c r="Z182" s="123">
        <f t="shared" si="46"/>
        <v>0.6</v>
      </c>
      <c r="AA182" s="123">
        <f t="shared" si="46"/>
        <v>0.6</v>
      </c>
      <c r="AB182" s="123">
        <f t="shared" si="46"/>
        <v>0.6</v>
      </c>
      <c r="AC182" s="123">
        <f t="shared" si="46"/>
        <v>0.6</v>
      </c>
      <c r="AD182" s="123">
        <f t="shared" si="46"/>
        <v>0.6</v>
      </c>
      <c r="AE182" s="123">
        <f t="shared" si="46"/>
        <v>0.6</v>
      </c>
      <c r="AF182" s="123">
        <f t="shared" si="46"/>
        <v>0.6</v>
      </c>
      <c r="AG182" s="126">
        <v>0.998</v>
      </c>
      <c r="AH182" s="54"/>
      <c r="AI182" s="55"/>
      <c r="AK182" s="56"/>
    </row>
    <row r="183" spans="1:37" x14ac:dyDescent="0.25">
      <c r="A183" s="111" t="s">
        <v>189</v>
      </c>
      <c r="B183" s="123">
        <f t="shared" si="44"/>
        <v>0.6</v>
      </c>
      <c r="C183" s="124">
        <v>0.6</v>
      </c>
      <c r="D183" s="123">
        <f t="shared" si="45"/>
        <v>0.6</v>
      </c>
      <c r="E183" s="123">
        <f t="shared" si="45"/>
        <v>0.6</v>
      </c>
      <c r="F183" s="123">
        <f t="shared" si="45"/>
        <v>0.6</v>
      </c>
      <c r="G183" s="123">
        <f t="shared" si="45"/>
        <v>0.6</v>
      </c>
      <c r="H183" s="123">
        <f t="shared" si="45"/>
        <v>0.6</v>
      </c>
      <c r="I183" s="123">
        <f t="shared" si="45"/>
        <v>0.6</v>
      </c>
      <c r="J183" s="123">
        <f t="shared" si="45"/>
        <v>0.6</v>
      </c>
      <c r="K183" s="123">
        <f t="shared" si="45"/>
        <v>0.6</v>
      </c>
      <c r="L183" s="123">
        <f t="shared" si="45"/>
        <v>0.6</v>
      </c>
      <c r="M183" s="123">
        <f t="shared" si="45"/>
        <v>0.6</v>
      </c>
      <c r="N183" s="123">
        <f t="shared" si="45"/>
        <v>0.6</v>
      </c>
      <c r="O183" s="123">
        <f t="shared" si="45"/>
        <v>0.6</v>
      </c>
      <c r="P183" s="123">
        <f t="shared" si="45"/>
        <v>0.6</v>
      </c>
      <c r="Q183" s="123">
        <f t="shared" si="45"/>
        <v>0.6</v>
      </c>
      <c r="R183" s="123">
        <f t="shared" si="45"/>
        <v>0.6</v>
      </c>
      <c r="S183" s="123">
        <f t="shared" si="45"/>
        <v>0.6</v>
      </c>
      <c r="T183" s="123">
        <f t="shared" si="46"/>
        <v>0.6</v>
      </c>
      <c r="U183" s="123">
        <f t="shared" si="46"/>
        <v>0.6</v>
      </c>
      <c r="V183" s="123">
        <f t="shared" si="46"/>
        <v>0.6</v>
      </c>
      <c r="W183" s="123">
        <f t="shared" si="46"/>
        <v>0.6</v>
      </c>
      <c r="X183" s="123">
        <f t="shared" si="46"/>
        <v>0.6</v>
      </c>
      <c r="Y183" s="123">
        <f t="shared" si="46"/>
        <v>0.6</v>
      </c>
      <c r="Z183" s="123">
        <f t="shared" si="46"/>
        <v>0.6</v>
      </c>
      <c r="AA183" s="123">
        <f t="shared" si="46"/>
        <v>0.6</v>
      </c>
      <c r="AB183" s="123">
        <f t="shared" si="46"/>
        <v>0.6</v>
      </c>
      <c r="AC183" s="123">
        <f t="shared" si="46"/>
        <v>0.6</v>
      </c>
      <c r="AD183" s="123">
        <f t="shared" si="46"/>
        <v>0.6</v>
      </c>
      <c r="AE183" s="123">
        <f t="shared" si="46"/>
        <v>0.6</v>
      </c>
      <c r="AF183" s="123">
        <f t="shared" si="46"/>
        <v>0.6</v>
      </c>
      <c r="AG183" s="126">
        <v>0.997</v>
      </c>
      <c r="AH183" s="54"/>
      <c r="AI183" s="55"/>
      <c r="AK183" s="56"/>
    </row>
    <row r="184" spans="1:37" x14ac:dyDescent="0.25">
      <c r="A184" s="111" t="s">
        <v>190</v>
      </c>
      <c r="B184" s="123">
        <f t="shared" si="44"/>
        <v>0.35</v>
      </c>
      <c r="C184" s="124">
        <v>0.35</v>
      </c>
      <c r="D184" s="123">
        <f t="shared" si="45"/>
        <v>0.35</v>
      </c>
      <c r="E184" s="123">
        <f t="shared" si="45"/>
        <v>0.35</v>
      </c>
      <c r="F184" s="123">
        <f t="shared" si="45"/>
        <v>0.35</v>
      </c>
      <c r="G184" s="123">
        <f t="shared" si="45"/>
        <v>0.35</v>
      </c>
      <c r="H184" s="123">
        <f t="shared" si="45"/>
        <v>0.35</v>
      </c>
      <c r="I184" s="123">
        <f t="shared" si="45"/>
        <v>0.35</v>
      </c>
      <c r="J184" s="123">
        <f t="shared" si="45"/>
        <v>0.35</v>
      </c>
      <c r="K184" s="123">
        <f t="shared" si="45"/>
        <v>0.35</v>
      </c>
      <c r="L184" s="123">
        <f t="shared" si="45"/>
        <v>0.35</v>
      </c>
      <c r="M184" s="123">
        <f t="shared" si="45"/>
        <v>0.35</v>
      </c>
      <c r="N184" s="123">
        <f t="shared" si="45"/>
        <v>0.35</v>
      </c>
      <c r="O184" s="123">
        <f t="shared" si="45"/>
        <v>0.35</v>
      </c>
      <c r="P184" s="123">
        <f t="shared" si="45"/>
        <v>0.35</v>
      </c>
      <c r="Q184" s="123">
        <f t="shared" si="45"/>
        <v>0.35</v>
      </c>
      <c r="R184" s="123">
        <f t="shared" si="45"/>
        <v>0.35</v>
      </c>
      <c r="S184" s="123">
        <f t="shared" si="45"/>
        <v>0.35</v>
      </c>
      <c r="T184" s="123">
        <f t="shared" si="46"/>
        <v>0.35</v>
      </c>
      <c r="U184" s="123">
        <f t="shared" si="46"/>
        <v>0.35</v>
      </c>
      <c r="V184" s="123">
        <f t="shared" si="46"/>
        <v>0.35</v>
      </c>
      <c r="W184" s="123">
        <f t="shared" si="46"/>
        <v>0.35</v>
      </c>
      <c r="X184" s="123">
        <f t="shared" si="46"/>
        <v>0.35</v>
      </c>
      <c r="Y184" s="123">
        <f t="shared" si="46"/>
        <v>0.35</v>
      </c>
      <c r="Z184" s="123">
        <f t="shared" si="46"/>
        <v>0.35</v>
      </c>
      <c r="AA184" s="123">
        <f t="shared" si="46"/>
        <v>0.35</v>
      </c>
      <c r="AB184" s="123">
        <f t="shared" si="46"/>
        <v>0.35</v>
      </c>
      <c r="AC184" s="123">
        <f t="shared" si="46"/>
        <v>0.35</v>
      </c>
      <c r="AD184" s="123">
        <f t="shared" si="46"/>
        <v>0.35</v>
      </c>
      <c r="AE184" s="123">
        <f t="shared" si="46"/>
        <v>0.35</v>
      </c>
      <c r="AF184" s="123">
        <f t="shared" si="46"/>
        <v>0.35</v>
      </c>
      <c r="AG184" s="126">
        <v>0.997</v>
      </c>
      <c r="AH184" s="54"/>
      <c r="AI184" s="55"/>
      <c r="AK184" s="56"/>
    </row>
    <row r="185" spans="1:37" x14ac:dyDescent="0.25">
      <c r="A185" s="111" t="s">
        <v>191</v>
      </c>
      <c r="B185" s="123">
        <f t="shared" si="44"/>
        <v>0.28999999999999998</v>
      </c>
      <c r="C185" s="124">
        <v>0.28999999999999998</v>
      </c>
      <c r="D185" s="123">
        <f t="shared" si="45"/>
        <v>0.28999999999999998</v>
      </c>
      <c r="E185" s="123">
        <f t="shared" si="45"/>
        <v>0.28999999999999998</v>
      </c>
      <c r="F185" s="123">
        <f t="shared" si="45"/>
        <v>0.28999999999999998</v>
      </c>
      <c r="G185" s="123">
        <f t="shared" si="45"/>
        <v>0.28999999999999998</v>
      </c>
      <c r="H185" s="123">
        <f t="shared" si="45"/>
        <v>0.28999999999999998</v>
      </c>
      <c r="I185" s="123">
        <f t="shared" si="45"/>
        <v>0.28999999999999998</v>
      </c>
      <c r="J185" s="123">
        <f t="shared" si="45"/>
        <v>0.28999999999999998</v>
      </c>
      <c r="K185" s="123">
        <f t="shared" si="45"/>
        <v>0.28999999999999998</v>
      </c>
      <c r="L185" s="123">
        <f t="shared" si="45"/>
        <v>0.28999999999999998</v>
      </c>
      <c r="M185" s="123">
        <f t="shared" si="45"/>
        <v>0.28999999999999998</v>
      </c>
      <c r="N185" s="123">
        <f t="shared" si="45"/>
        <v>0.28999999999999998</v>
      </c>
      <c r="O185" s="123">
        <f t="shared" si="45"/>
        <v>0.28999999999999998</v>
      </c>
      <c r="P185" s="123">
        <f t="shared" si="45"/>
        <v>0.28999999999999998</v>
      </c>
      <c r="Q185" s="123">
        <f t="shared" si="45"/>
        <v>0.28999999999999998</v>
      </c>
      <c r="R185" s="123">
        <f t="shared" si="45"/>
        <v>0.28999999999999998</v>
      </c>
      <c r="S185" s="123">
        <f t="shared" si="45"/>
        <v>0.28999999999999998</v>
      </c>
      <c r="T185" s="123">
        <f t="shared" si="46"/>
        <v>0.28999999999999998</v>
      </c>
      <c r="U185" s="123">
        <f t="shared" si="46"/>
        <v>0.28999999999999998</v>
      </c>
      <c r="V185" s="123">
        <f t="shared" si="46"/>
        <v>0.28999999999999998</v>
      </c>
      <c r="W185" s="123">
        <f t="shared" si="46"/>
        <v>0.28999999999999998</v>
      </c>
      <c r="X185" s="123">
        <f t="shared" si="46"/>
        <v>0.28999999999999998</v>
      </c>
      <c r="Y185" s="123">
        <f t="shared" si="46"/>
        <v>0.28999999999999998</v>
      </c>
      <c r="Z185" s="123">
        <f t="shared" si="46"/>
        <v>0.28999999999999998</v>
      </c>
      <c r="AA185" s="123">
        <f t="shared" si="46"/>
        <v>0.28999999999999998</v>
      </c>
      <c r="AB185" s="123">
        <f t="shared" si="46"/>
        <v>0.28999999999999998</v>
      </c>
      <c r="AC185" s="123">
        <f t="shared" si="46"/>
        <v>0.28999999999999998</v>
      </c>
      <c r="AD185" s="123">
        <f t="shared" si="46"/>
        <v>0.28999999999999998</v>
      </c>
      <c r="AE185" s="123">
        <f t="shared" si="46"/>
        <v>0.28999999999999998</v>
      </c>
      <c r="AF185" s="123">
        <f t="shared" si="46"/>
        <v>0.28999999999999998</v>
      </c>
      <c r="AG185" s="126">
        <v>0.996</v>
      </c>
      <c r="AH185" s="54"/>
      <c r="AI185" s="55"/>
      <c r="AK185" s="56"/>
    </row>
    <row r="186" spans="1:37" x14ac:dyDescent="0.25">
      <c r="A186" s="111" t="s">
        <v>192</v>
      </c>
      <c r="B186" s="123">
        <f t="shared" si="44"/>
        <v>0.06</v>
      </c>
      <c r="C186" s="124">
        <v>0.06</v>
      </c>
      <c r="D186" s="123">
        <f t="shared" si="45"/>
        <v>0.06</v>
      </c>
      <c r="E186" s="123">
        <f t="shared" si="45"/>
        <v>0.06</v>
      </c>
      <c r="F186" s="123">
        <f t="shared" si="45"/>
        <v>0.06</v>
      </c>
      <c r="G186" s="123">
        <f t="shared" si="45"/>
        <v>0.06</v>
      </c>
      <c r="H186" s="123">
        <f t="shared" si="45"/>
        <v>0.06</v>
      </c>
      <c r="I186" s="123">
        <f t="shared" si="45"/>
        <v>0.06</v>
      </c>
      <c r="J186" s="123">
        <f t="shared" si="45"/>
        <v>0.06</v>
      </c>
      <c r="K186" s="123">
        <f t="shared" si="45"/>
        <v>0.06</v>
      </c>
      <c r="L186" s="123">
        <f t="shared" si="45"/>
        <v>0.06</v>
      </c>
      <c r="M186" s="123">
        <f t="shared" si="45"/>
        <v>0.06</v>
      </c>
      <c r="N186" s="123">
        <f t="shared" si="45"/>
        <v>0.06</v>
      </c>
      <c r="O186" s="123">
        <f t="shared" si="45"/>
        <v>0.06</v>
      </c>
      <c r="P186" s="123">
        <f t="shared" si="45"/>
        <v>0.06</v>
      </c>
      <c r="Q186" s="123">
        <f t="shared" si="45"/>
        <v>0.06</v>
      </c>
      <c r="R186" s="123">
        <f t="shared" si="45"/>
        <v>0.06</v>
      </c>
      <c r="S186" s="123">
        <f t="shared" si="45"/>
        <v>0.06</v>
      </c>
      <c r="T186" s="123">
        <f t="shared" si="46"/>
        <v>0.06</v>
      </c>
      <c r="U186" s="123">
        <f t="shared" si="46"/>
        <v>0.06</v>
      </c>
      <c r="V186" s="123">
        <f t="shared" si="46"/>
        <v>0.06</v>
      </c>
      <c r="W186" s="123">
        <f t="shared" si="46"/>
        <v>0.06</v>
      </c>
      <c r="X186" s="123">
        <f t="shared" si="46"/>
        <v>0.06</v>
      </c>
      <c r="Y186" s="123">
        <f t="shared" si="46"/>
        <v>0.06</v>
      </c>
      <c r="Z186" s="123">
        <f t="shared" si="46"/>
        <v>0.06</v>
      </c>
      <c r="AA186" s="123">
        <f t="shared" si="46"/>
        <v>0.06</v>
      </c>
      <c r="AB186" s="123">
        <f t="shared" si="46"/>
        <v>0.06</v>
      </c>
      <c r="AC186" s="123">
        <f t="shared" si="46"/>
        <v>0.06</v>
      </c>
      <c r="AD186" s="123">
        <f t="shared" si="46"/>
        <v>0.06</v>
      </c>
      <c r="AE186" s="123">
        <f t="shared" si="46"/>
        <v>0.06</v>
      </c>
      <c r="AF186" s="123">
        <f t="shared" si="46"/>
        <v>0.06</v>
      </c>
      <c r="AG186" s="126">
        <v>0.996</v>
      </c>
      <c r="AH186" s="54"/>
      <c r="AI186" s="55"/>
      <c r="AK186" s="56"/>
    </row>
    <row r="187" spans="1:37" x14ac:dyDescent="0.25">
      <c r="A187" s="111" t="s">
        <v>193</v>
      </c>
      <c r="B187" s="123">
        <f t="shared" si="44"/>
        <v>0.11</v>
      </c>
      <c r="C187" s="124">
        <v>0.11</v>
      </c>
      <c r="D187" s="123">
        <f t="shared" si="45"/>
        <v>0.11</v>
      </c>
      <c r="E187" s="123">
        <f t="shared" si="45"/>
        <v>0.11</v>
      </c>
      <c r="F187" s="123">
        <f t="shared" si="45"/>
        <v>0.11</v>
      </c>
      <c r="G187" s="123">
        <f t="shared" si="45"/>
        <v>0.11</v>
      </c>
      <c r="H187" s="123">
        <f t="shared" si="45"/>
        <v>0.11</v>
      </c>
      <c r="I187" s="123">
        <f t="shared" si="45"/>
        <v>0.11</v>
      </c>
      <c r="J187" s="123">
        <f t="shared" si="45"/>
        <v>0.11</v>
      </c>
      <c r="K187" s="123">
        <f t="shared" si="45"/>
        <v>0.11</v>
      </c>
      <c r="L187" s="123">
        <f t="shared" si="45"/>
        <v>0.11</v>
      </c>
      <c r="M187" s="123">
        <f t="shared" si="45"/>
        <v>0.11</v>
      </c>
      <c r="N187" s="123">
        <f t="shared" si="45"/>
        <v>0.11</v>
      </c>
      <c r="O187" s="123">
        <f t="shared" si="45"/>
        <v>0.11</v>
      </c>
      <c r="P187" s="123">
        <f t="shared" si="45"/>
        <v>0.11</v>
      </c>
      <c r="Q187" s="123">
        <f t="shared" si="45"/>
        <v>0.11</v>
      </c>
      <c r="R187" s="123">
        <f t="shared" si="45"/>
        <v>0.11</v>
      </c>
      <c r="S187" s="123">
        <f t="shared" si="45"/>
        <v>0.11</v>
      </c>
      <c r="T187" s="123">
        <f t="shared" si="46"/>
        <v>0.11</v>
      </c>
      <c r="U187" s="123">
        <f t="shared" si="46"/>
        <v>0.11</v>
      </c>
      <c r="V187" s="123">
        <f t="shared" si="46"/>
        <v>0.11</v>
      </c>
      <c r="W187" s="123">
        <f t="shared" si="46"/>
        <v>0.11</v>
      </c>
      <c r="X187" s="123">
        <f t="shared" si="46"/>
        <v>0.11</v>
      </c>
      <c r="Y187" s="123">
        <f t="shared" si="46"/>
        <v>0.11</v>
      </c>
      <c r="Z187" s="123">
        <f t="shared" si="46"/>
        <v>0.11</v>
      </c>
      <c r="AA187" s="123">
        <f t="shared" si="46"/>
        <v>0.11</v>
      </c>
      <c r="AB187" s="123">
        <f t="shared" si="46"/>
        <v>0.11</v>
      </c>
      <c r="AC187" s="123">
        <f t="shared" si="46"/>
        <v>0.11</v>
      </c>
      <c r="AD187" s="123">
        <f t="shared" si="46"/>
        <v>0.11</v>
      </c>
      <c r="AE187" s="123">
        <f t="shared" si="46"/>
        <v>0.11</v>
      </c>
      <c r="AF187" s="123">
        <f t="shared" si="46"/>
        <v>0.11</v>
      </c>
      <c r="AG187" s="126">
        <v>0.996</v>
      </c>
      <c r="AH187" s="54"/>
      <c r="AI187" s="55"/>
      <c r="AK187" s="56"/>
    </row>
    <row r="188" spans="1:37" x14ac:dyDescent="0.25">
      <c r="A188" s="111" t="s">
        <v>194</v>
      </c>
      <c r="B188" s="123">
        <f t="shared" si="44"/>
        <v>0.1</v>
      </c>
      <c r="C188" s="124">
        <v>0.1</v>
      </c>
      <c r="D188" s="123">
        <f t="shared" si="45"/>
        <v>0.1</v>
      </c>
      <c r="E188" s="123">
        <f t="shared" si="45"/>
        <v>0.1</v>
      </c>
      <c r="F188" s="123">
        <f t="shared" si="45"/>
        <v>0.1</v>
      </c>
      <c r="G188" s="123">
        <f t="shared" si="45"/>
        <v>0.1</v>
      </c>
      <c r="H188" s="123">
        <f t="shared" si="45"/>
        <v>0.1</v>
      </c>
      <c r="I188" s="123">
        <f t="shared" si="45"/>
        <v>0.1</v>
      </c>
      <c r="J188" s="123">
        <f t="shared" si="45"/>
        <v>0.1</v>
      </c>
      <c r="K188" s="123">
        <f t="shared" si="45"/>
        <v>0.1</v>
      </c>
      <c r="L188" s="123">
        <f t="shared" si="45"/>
        <v>0.1</v>
      </c>
      <c r="M188" s="123">
        <f t="shared" si="45"/>
        <v>0.1</v>
      </c>
      <c r="N188" s="123">
        <f t="shared" si="45"/>
        <v>0.1</v>
      </c>
      <c r="O188" s="123">
        <f t="shared" si="45"/>
        <v>0.1</v>
      </c>
      <c r="P188" s="123">
        <f t="shared" si="45"/>
        <v>0.1</v>
      </c>
      <c r="Q188" s="123">
        <f t="shared" si="45"/>
        <v>0.1</v>
      </c>
      <c r="R188" s="123">
        <f t="shared" si="45"/>
        <v>0.1</v>
      </c>
      <c r="S188" s="123">
        <f t="shared" si="46"/>
        <v>0.1</v>
      </c>
      <c r="T188" s="123">
        <f t="shared" si="46"/>
        <v>0.1</v>
      </c>
      <c r="U188" s="123">
        <f t="shared" si="46"/>
        <v>0.1</v>
      </c>
      <c r="V188" s="123">
        <f t="shared" si="46"/>
        <v>0.1</v>
      </c>
      <c r="W188" s="123">
        <f t="shared" si="46"/>
        <v>0.1</v>
      </c>
      <c r="X188" s="123">
        <f t="shared" si="46"/>
        <v>0.1</v>
      </c>
      <c r="Y188" s="123">
        <f t="shared" si="46"/>
        <v>0.1</v>
      </c>
      <c r="Z188" s="123">
        <f t="shared" si="46"/>
        <v>0.1</v>
      </c>
      <c r="AA188" s="123">
        <f t="shared" si="46"/>
        <v>0.1</v>
      </c>
      <c r="AB188" s="123">
        <f t="shared" si="46"/>
        <v>0.1</v>
      </c>
      <c r="AC188" s="123">
        <f t="shared" si="46"/>
        <v>0.1</v>
      </c>
      <c r="AD188" s="123">
        <f t="shared" si="46"/>
        <v>0.1</v>
      </c>
      <c r="AE188" s="123">
        <f t="shared" si="46"/>
        <v>0.1</v>
      </c>
      <c r="AF188" s="123">
        <f t="shared" si="46"/>
        <v>0.1</v>
      </c>
      <c r="AG188" s="126">
        <v>0.995</v>
      </c>
      <c r="AH188" s="54"/>
      <c r="AI188" s="55"/>
      <c r="AK188" s="56"/>
    </row>
    <row r="189" spans="1:37" x14ac:dyDescent="0.25">
      <c r="A189" s="111" t="s">
        <v>195</v>
      </c>
      <c r="B189" s="123">
        <f t="shared" si="44"/>
        <v>0.09</v>
      </c>
      <c r="C189" s="124">
        <v>0.09</v>
      </c>
      <c r="D189" s="123">
        <f t="shared" si="45"/>
        <v>0.09</v>
      </c>
      <c r="E189" s="123">
        <f t="shared" si="45"/>
        <v>0.09</v>
      </c>
      <c r="F189" s="123">
        <f t="shared" si="45"/>
        <v>0.09</v>
      </c>
      <c r="G189" s="123">
        <f t="shared" si="45"/>
        <v>0.09</v>
      </c>
      <c r="H189" s="123">
        <f t="shared" si="45"/>
        <v>0.09</v>
      </c>
      <c r="I189" s="123">
        <f t="shared" si="45"/>
        <v>0.09</v>
      </c>
      <c r="J189" s="123">
        <f t="shared" si="45"/>
        <v>0.09</v>
      </c>
      <c r="K189" s="123">
        <f t="shared" si="45"/>
        <v>0.09</v>
      </c>
      <c r="L189" s="123">
        <f t="shared" si="45"/>
        <v>0.09</v>
      </c>
      <c r="M189" s="123">
        <f t="shared" si="45"/>
        <v>0.09</v>
      </c>
      <c r="N189" s="123">
        <f t="shared" si="45"/>
        <v>0.09</v>
      </c>
      <c r="O189" s="123">
        <f t="shared" si="45"/>
        <v>0.09</v>
      </c>
      <c r="P189" s="123">
        <f t="shared" si="45"/>
        <v>0.09</v>
      </c>
      <c r="Q189" s="123">
        <f t="shared" si="45"/>
        <v>0.09</v>
      </c>
      <c r="R189" s="123">
        <f t="shared" si="45"/>
        <v>0.09</v>
      </c>
      <c r="S189" s="123">
        <f t="shared" si="46"/>
        <v>0.09</v>
      </c>
      <c r="T189" s="123">
        <f t="shared" si="46"/>
        <v>0.09</v>
      </c>
      <c r="U189" s="123">
        <f t="shared" si="46"/>
        <v>0.09</v>
      </c>
      <c r="V189" s="123">
        <f t="shared" si="46"/>
        <v>0.09</v>
      </c>
      <c r="W189" s="123">
        <f t="shared" si="46"/>
        <v>0.09</v>
      </c>
      <c r="X189" s="123">
        <f t="shared" si="46"/>
        <v>0.09</v>
      </c>
      <c r="Y189" s="123">
        <f t="shared" si="46"/>
        <v>0.09</v>
      </c>
      <c r="Z189" s="123">
        <f t="shared" si="46"/>
        <v>0.09</v>
      </c>
      <c r="AA189" s="123">
        <f t="shared" si="46"/>
        <v>0.09</v>
      </c>
      <c r="AB189" s="123">
        <f t="shared" si="46"/>
        <v>0.09</v>
      </c>
      <c r="AC189" s="123">
        <f t="shared" si="46"/>
        <v>0.09</v>
      </c>
      <c r="AD189" s="123">
        <f t="shared" si="46"/>
        <v>0.09</v>
      </c>
      <c r="AE189" s="123">
        <f t="shared" si="46"/>
        <v>0.09</v>
      </c>
      <c r="AF189" s="123">
        <f t="shared" si="46"/>
        <v>0.09</v>
      </c>
      <c r="AG189" s="126">
        <v>0.99299999999999999</v>
      </c>
      <c r="AH189" s="54"/>
      <c r="AI189" s="55"/>
      <c r="AK189" s="56"/>
    </row>
    <row r="190" spans="1:37" x14ac:dyDescent="0.25">
      <c r="A190" s="111" t="s">
        <v>196</v>
      </c>
      <c r="B190" s="123">
        <f t="shared" si="44"/>
        <v>0.04</v>
      </c>
      <c r="C190" s="53">
        <v>0.04</v>
      </c>
      <c r="D190" s="123">
        <f t="shared" si="45"/>
        <v>0.04</v>
      </c>
      <c r="E190" s="123">
        <f t="shared" si="45"/>
        <v>0.04</v>
      </c>
      <c r="F190" s="123">
        <f t="shared" si="45"/>
        <v>0.04</v>
      </c>
      <c r="G190" s="123">
        <f t="shared" si="45"/>
        <v>0.04</v>
      </c>
      <c r="H190" s="123">
        <f t="shared" si="45"/>
        <v>0.04</v>
      </c>
      <c r="I190" s="123">
        <f t="shared" si="45"/>
        <v>0.04</v>
      </c>
      <c r="J190" s="123">
        <f t="shared" si="45"/>
        <v>0.04</v>
      </c>
      <c r="K190" s="123">
        <f t="shared" si="45"/>
        <v>0.04</v>
      </c>
      <c r="L190" s="123">
        <f t="shared" si="45"/>
        <v>0.04</v>
      </c>
      <c r="M190" s="123">
        <f t="shared" si="45"/>
        <v>0.04</v>
      </c>
      <c r="N190" s="123">
        <f t="shared" si="45"/>
        <v>0.04</v>
      </c>
      <c r="O190" s="123">
        <f t="shared" si="45"/>
        <v>0.04</v>
      </c>
      <c r="P190" s="123">
        <f t="shared" si="45"/>
        <v>0.04</v>
      </c>
      <c r="Q190" s="123">
        <f t="shared" si="45"/>
        <v>0.04</v>
      </c>
      <c r="R190" s="123">
        <f t="shared" si="45"/>
        <v>0.04</v>
      </c>
      <c r="S190" s="123">
        <f t="shared" si="46"/>
        <v>0.04</v>
      </c>
      <c r="T190" s="123">
        <f t="shared" si="46"/>
        <v>0.04</v>
      </c>
      <c r="U190" s="123">
        <f t="shared" si="46"/>
        <v>0.04</v>
      </c>
      <c r="V190" s="123">
        <f t="shared" si="46"/>
        <v>0.04</v>
      </c>
      <c r="W190" s="123">
        <f t="shared" si="46"/>
        <v>0.04</v>
      </c>
      <c r="X190" s="123">
        <f t="shared" si="46"/>
        <v>0.04</v>
      </c>
      <c r="Y190" s="123">
        <f t="shared" si="46"/>
        <v>0.04</v>
      </c>
      <c r="Z190" s="123">
        <f t="shared" si="46"/>
        <v>0.04</v>
      </c>
      <c r="AA190" s="123">
        <f t="shared" si="46"/>
        <v>0.04</v>
      </c>
      <c r="AB190" s="123">
        <f t="shared" si="46"/>
        <v>0.04</v>
      </c>
      <c r="AC190" s="123">
        <f t="shared" si="46"/>
        <v>0.04</v>
      </c>
      <c r="AD190" s="123">
        <f t="shared" si="46"/>
        <v>0.04</v>
      </c>
      <c r="AE190" s="123">
        <f t="shared" si="46"/>
        <v>0.04</v>
      </c>
      <c r="AF190" s="123">
        <f t="shared" si="46"/>
        <v>0.04</v>
      </c>
      <c r="AG190" s="126">
        <v>0.99</v>
      </c>
      <c r="AH190" s="54"/>
      <c r="AI190" s="55"/>
      <c r="AK190" s="56"/>
    </row>
    <row r="191" spans="1:37" x14ac:dyDescent="0.25">
      <c r="A191" s="111" t="s">
        <v>197</v>
      </c>
      <c r="B191" s="123">
        <f t="shared" si="44"/>
        <v>2.3E-2</v>
      </c>
      <c r="C191" s="53">
        <v>2.3E-2</v>
      </c>
      <c r="D191" s="123">
        <f>C191</f>
        <v>2.3E-2</v>
      </c>
      <c r="E191" s="123">
        <f t="shared" si="45"/>
        <v>2.3E-2</v>
      </c>
      <c r="F191" s="123">
        <f t="shared" si="45"/>
        <v>2.3E-2</v>
      </c>
      <c r="G191" s="123">
        <f t="shared" si="45"/>
        <v>2.3E-2</v>
      </c>
      <c r="H191" s="123">
        <f t="shared" si="45"/>
        <v>2.3E-2</v>
      </c>
      <c r="I191" s="123">
        <f t="shared" si="45"/>
        <v>2.3E-2</v>
      </c>
      <c r="J191" s="123">
        <f t="shared" si="45"/>
        <v>2.3E-2</v>
      </c>
      <c r="K191" s="123">
        <f t="shared" si="45"/>
        <v>2.3E-2</v>
      </c>
      <c r="L191" s="123">
        <f t="shared" si="45"/>
        <v>2.3E-2</v>
      </c>
      <c r="M191" s="123">
        <f t="shared" si="45"/>
        <v>2.3E-2</v>
      </c>
      <c r="N191" s="123">
        <f t="shared" si="45"/>
        <v>2.3E-2</v>
      </c>
      <c r="O191" s="123">
        <f t="shared" si="45"/>
        <v>2.3E-2</v>
      </c>
      <c r="P191" s="123">
        <f t="shared" si="45"/>
        <v>2.3E-2</v>
      </c>
      <c r="Q191" s="123">
        <f t="shared" si="45"/>
        <v>2.3E-2</v>
      </c>
      <c r="R191" s="123">
        <f t="shared" si="45"/>
        <v>2.3E-2</v>
      </c>
      <c r="S191" s="123">
        <f t="shared" si="46"/>
        <v>2.3E-2</v>
      </c>
      <c r="T191" s="123">
        <f t="shared" si="46"/>
        <v>2.3E-2</v>
      </c>
      <c r="U191" s="123">
        <f t="shared" si="46"/>
        <v>2.3E-2</v>
      </c>
      <c r="V191" s="123">
        <f t="shared" si="46"/>
        <v>2.3E-2</v>
      </c>
      <c r="W191" s="123">
        <f t="shared" si="46"/>
        <v>2.3E-2</v>
      </c>
      <c r="X191" s="123">
        <f t="shared" si="46"/>
        <v>2.3E-2</v>
      </c>
      <c r="Y191" s="123">
        <f t="shared" si="46"/>
        <v>2.3E-2</v>
      </c>
      <c r="Z191" s="123">
        <f t="shared" si="46"/>
        <v>2.3E-2</v>
      </c>
      <c r="AA191" s="123">
        <f t="shared" si="46"/>
        <v>2.3E-2</v>
      </c>
      <c r="AB191" s="123">
        <f t="shared" si="46"/>
        <v>2.3E-2</v>
      </c>
      <c r="AC191" s="123">
        <f t="shared" si="46"/>
        <v>2.3E-2</v>
      </c>
      <c r="AD191" s="123">
        <f t="shared" si="46"/>
        <v>2.3E-2</v>
      </c>
      <c r="AE191" s="123">
        <f t="shared" si="46"/>
        <v>2.3E-2</v>
      </c>
      <c r="AF191" s="123">
        <f t="shared" si="46"/>
        <v>2.3E-2</v>
      </c>
      <c r="AG191" s="126">
        <v>0.97899999999999998</v>
      </c>
      <c r="AH191" s="54"/>
      <c r="AI191" s="55"/>
      <c r="AK191" s="56"/>
    </row>
    <row r="192" spans="1:37" ht="15.75" thickBot="1" x14ac:dyDescent="0.3">
      <c r="A192" s="127" t="s">
        <v>198</v>
      </c>
      <c r="B192" s="128">
        <f>SUM(B102:B191)</f>
        <v>187.10600000000005</v>
      </c>
      <c r="C192" s="128">
        <f t="shared" ref="C192:AG192" si="47">SUM(C102:C191)</f>
        <v>194.70600000000002</v>
      </c>
      <c r="D192" s="128">
        <f t="shared" si="47"/>
        <v>194.70600000000002</v>
      </c>
      <c r="E192" s="128">
        <f t="shared" si="47"/>
        <v>194.70600000000002</v>
      </c>
      <c r="F192" s="128">
        <f t="shared" si="47"/>
        <v>194.70600000000002</v>
      </c>
      <c r="G192" s="128">
        <f t="shared" si="47"/>
        <v>194.70600000000002</v>
      </c>
      <c r="H192" s="128">
        <f t="shared" si="47"/>
        <v>194.70600000000002</v>
      </c>
      <c r="I192" s="128">
        <f t="shared" si="47"/>
        <v>189.70600000000005</v>
      </c>
      <c r="J192" s="128">
        <f t="shared" si="47"/>
        <v>187.10600000000005</v>
      </c>
      <c r="K192" s="128">
        <f t="shared" si="47"/>
        <v>187.10600000000005</v>
      </c>
      <c r="L192" s="128">
        <f t="shared" si="47"/>
        <v>187.10600000000005</v>
      </c>
      <c r="M192" s="128">
        <f t="shared" si="47"/>
        <v>187.10600000000005</v>
      </c>
      <c r="N192" s="128">
        <f t="shared" si="47"/>
        <v>187.10600000000005</v>
      </c>
      <c r="O192" s="128">
        <f t="shared" si="47"/>
        <v>187.10600000000005</v>
      </c>
      <c r="P192" s="128">
        <f t="shared" si="47"/>
        <v>187.10600000000005</v>
      </c>
      <c r="Q192" s="128">
        <f t="shared" si="47"/>
        <v>187.10600000000005</v>
      </c>
      <c r="R192" s="128">
        <f t="shared" si="47"/>
        <v>187.10600000000005</v>
      </c>
      <c r="S192" s="128">
        <f t="shared" si="47"/>
        <v>187.10600000000005</v>
      </c>
      <c r="T192" s="128">
        <f t="shared" si="47"/>
        <v>187.10600000000005</v>
      </c>
      <c r="U192" s="128">
        <f t="shared" si="47"/>
        <v>187.10600000000005</v>
      </c>
      <c r="V192" s="128">
        <f t="shared" si="47"/>
        <v>187.10600000000005</v>
      </c>
      <c r="W192" s="128">
        <f t="shared" si="47"/>
        <v>187.10600000000005</v>
      </c>
      <c r="X192" s="128">
        <f t="shared" si="47"/>
        <v>187.10600000000005</v>
      </c>
      <c r="Y192" s="128">
        <f t="shared" si="47"/>
        <v>187.10600000000005</v>
      </c>
      <c r="Z192" s="128">
        <f t="shared" si="47"/>
        <v>187.10600000000005</v>
      </c>
      <c r="AA192" s="128">
        <f t="shared" si="47"/>
        <v>187.10600000000005</v>
      </c>
      <c r="AB192" s="128">
        <f t="shared" si="47"/>
        <v>187.10600000000005</v>
      </c>
      <c r="AC192" s="128">
        <f t="shared" si="47"/>
        <v>187.10600000000005</v>
      </c>
      <c r="AD192" s="128">
        <f t="shared" si="47"/>
        <v>187.10600000000005</v>
      </c>
      <c r="AE192" s="128">
        <f t="shared" si="47"/>
        <v>187.10600000000005</v>
      </c>
      <c r="AF192" s="128">
        <f t="shared" si="47"/>
        <v>187.10600000000005</v>
      </c>
      <c r="AG192" s="129">
        <f t="shared" si="47"/>
        <v>412.72299999999984</v>
      </c>
      <c r="AH192" s="54"/>
      <c r="AI192" s="55"/>
      <c r="AK192" s="56"/>
    </row>
    <row r="193" spans="1:37" ht="15.75" thickBot="1" x14ac:dyDescent="0.3">
      <c r="A193" s="28" t="s">
        <v>59</v>
      </c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  <c r="AH193" s="54"/>
      <c r="AI193" s="55"/>
      <c r="AK193" s="56"/>
    </row>
    <row r="194" spans="1:37" x14ac:dyDescent="0.25">
      <c r="A194" s="105" t="s">
        <v>199</v>
      </c>
      <c r="B194" s="130">
        <f t="shared" ref="B194:B199" si="48">AF194</f>
        <v>0.3</v>
      </c>
      <c r="C194" s="130">
        <v>0.3</v>
      </c>
      <c r="D194" s="130">
        <f t="shared" ref="D194:S199" si="49">C194</f>
        <v>0.3</v>
      </c>
      <c r="E194" s="130">
        <f t="shared" si="49"/>
        <v>0.3</v>
      </c>
      <c r="F194" s="130">
        <f t="shared" si="49"/>
        <v>0.3</v>
      </c>
      <c r="G194" s="130">
        <f t="shared" si="49"/>
        <v>0.3</v>
      </c>
      <c r="H194" s="130">
        <f t="shared" si="49"/>
        <v>0.3</v>
      </c>
      <c r="I194" s="130">
        <f t="shared" si="49"/>
        <v>0.3</v>
      </c>
      <c r="J194" s="130">
        <f t="shared" si="49"/>
        <v>0.3</v>
      </c>
      <c r="K194" s="130">
        <f t="shared" si="49"/>
        <v>0.3</v>
      </c>
      <c r="L194" s="130">
        <f t="shared" si="49"/>
        <v>0.3</v>
      </c>
      <c r="M194" s="130">
        <f t="shared" si="49"/>
        <v>0.3</v>
      </c>
      <c r="N194" s="130">
        <f t="shared" si="49"/>
        <v>0.3</v>
      </c>
      <c r="O194" s="130">
        <f t="shared" si="49"/>
        <v>0.3</v>
      </c>
      <c r="P194" s="130">
        <f t="shared" si="49"/>
        <v>0.3</v>
      </c>
      <c r="Q194" s="130">
        <f t="shared" si="49"/>
        <v>0.3</v>
      </c>
      <c r="R194" s="130">
        <f t="shared" si="49"/>
        <v>0.3</v>
      </c>
      <c r="S194" s="130">
        <f t="shared" si="49"/>
        <v>0.3</v>
      </c>
      <c r="T194" s="130">
        <f t="shared" ref="T194:AF199" si="50">S194</f>
        <v>0.3</v>
      </c>
      <c r="U194" s="130">
        <f t="shared" si="50"/>
        <v>0.3</v>
      </c>
      <c r="V194" s="130">
        <f t="shared" si="50"/>
        <v>0.3</v>
      </c>
      <c r="W194" s="130">
        <f t="shared" si="50"/>
        <v>0.3</v>
      </c>
      <c r="X194" s="130">
        <f t="shared" si="50"/>
        <v>0.3</v>
      </c>
      <c r="Y194" s="130">
        <f t="shared" si="50"/>
        <v>0.3</v>
      </c>
      <c r="Z194" s="130">
        <f t="shared" si="50"/>
        <v>0.3</v>
      </c>
      <c r="AA194" s="130">
        <f t="shared" si="50"/>
        <v>0.3</v>
      </c>
      <c r="AB194" s="130">
        <f t="shared" si="50"/>
        <v>0.3</v>
      </c>
      <c r="AC194" s="130">
        <f t="shared" si="50"/>
        <v>0.3</v>
      </c>
      <c r="AD194" s="130">
        <f t="shared" si="50"/>
        <v>0.3</v>
      </c>
      <c r="AE194" s="130">
        <f t="shared" si="50"/>
        <v>0.3</v>
      </c>
      <c r="AF194" s="130">
        <f t="shared" si="50"/>
        <v>0.3</v>
      </c>
      <c r="AG194" s="131">
        <v>2.4</v>
      </c>
      <c r="AH194" s="54"/>
      <c r="AI194" s="55"/>
      <c r="AK194" s="56"/>
    </row>
    <row r="195" spans="1:37" x14ac:dyDescent="0.25">
      <c r="A195" s="109" t="s">
        <v>200</v>
      </c>
      <c r="B195" s="123">
        <f t="shared" si="48"/>
        <v>0.4</v>
      </c>
      <c r="C195" s="123">
        <v>0.4</v>
      </c>
      <c r="D195" s="123">
        <f t="shared" si="49"/>
        <v>0.4</v>
      </c>
      <c r="E195" s="123">
        <f t="shared" si="49"/>
        <v>0.4</v>
      </c>
      <c r="F195" s="123">
        <f t="shared" si="49"/>
        <v>0.4</v>
      </c>
      <c r="G195" s="123">
        <f t="shared" si="49"/>
        <v>0.4</v>
      </c>
      <c r="H195" s="123">
        <f t="shared" si="49"/>
        <v>0.4</v>
      </c>
      <c r="I195" s="123">
        <f t="shared" si="49"/>
        <v>0.4</v>
      </c>
      <c r="J195" s="123">
        <f t="shared" si="49"/>
        <v>0.4</v>
      </c>
      <c r="K195" s="123">
        <f t="shared" si="49"/>
        <v>0.4</v>
      </c>
      <c r="L195" s="123">
        <f t="shared" si="49"/>
        <v>0.4</v>
      </c>
      <c r="M195" s="123">
        <f t="shared" si="49"/>
        <v>0.4</v>
      </c>
      <c r="N195" s="123">
        <f t="shared" si="49"/>
        <v>0.4</v>
      </c>
      <c r="O195" s="123">
        <f t="shared" si="49"/>
        <v>0.4</v>
      </c>
      <c r="P195" s="123">
        <f t="shared" si="49"/>
        <v>0.4</v>
      </c>
      <c r="Q195" s="123">
        <f t="shared" si="49"/>
        <v>0.4</v>
      </c>
      <c r="R195" s="123">
        <f t="shared" si="49"/>
        <v>0.4</v>
      </c>
      <c r="S195" s="123">
        <f t="shared" si="49"/>
        <v>0.4</v>
      </c>
      <c r="T195" s="123">
        <f t="shared" si="50"/>
        <v>0.4</v>
      </c>
      <c r="U195" s="123">
        <f t="shared" si="50"/>
        <v>0.4</v>
      </c>
      <c r="V195" s="123">
        <f t="shared" si="50"/>
        <v>0.4</v>
      </c>
      <c r="W195" s="123">
        <f>V195</f>
        <v>0.4</v>
      </c>
      <c r="X195" s="123">
        <f>W195</f>
        <v>0.4</v>
      </c>
      <c r="Y195" s="123">
        <f t="shared" si="50"/>
        <v>0.4</v>
      </c>
      <c r="Z195" s="123">
        <f t="shared" si="50"/>
        <v>0.4</v>
      </c>
      <c r="AA195" s="123">
        <f t="shared" si="50"/>
        <v>0.4</v>
      </c>
      <c r="AB195" s="123">
        <f t="shared" si="50"/>
        <v>0.4</v>
      </c>
      <c r="AC195" s="123">
        <f t="shared" si="50"/>
        <v>0.4</v>
      </c>
      <c r="AD195" s="123">
        <f t="shared" si="50"/>
        <v>0.4</v>
      </c>
      <c r="AE195" s="123">
        <f t="shared" si="50"/>
        <v>0.4</v>
      </c>
      <c r="AF195" s="123">
        <f t="shared" si="50"/>
        <v>0.4</v>
      </c>
      <c r="AG195" s="132">
        <v>2</v>
      </c>
      <c r="AH195" s="54"/>
      <c r="AI195" s="55"/>
      <c r="AK195" s="56"/>
    </row>
    <row r="196" spans="1:37" x14ac:dyDescent="0.25">
      <c r="A196" s="109" t="s">
        <v>201</v>
      </c>
      <c r="B196" s="123">
        <f t="shared" si="48"/>
        <v>1.5</v>
      </c>
      <c r="C196" s="123">
        <v>1.5</v>
      </c>
      <c r="D196" s="123">
        <f t="shared" si="49"/>
        <v>1.5</v>
      </c>
      <c r="E196" s="123">
        <f t="shared" si="49"/>
        <v>1.5</v>
      </c>
      <c r="F196" s="123">
        <f t="shared" si="49"/>
        <v>1.5</v>
      </c>
      <c r="G196" s="123">
        <f t="shared" si="49"/>
        <v>1.5</v>
      </c>
      <c r="H196" s="123">
        <f t="shared" si="49"/>
        <v>1.5</v>
      </c>
      <c r="I196" s="123">
        <f t="shared" si="49"/>
        <v>1.5</v>
      </c>
      <c r="J196" s="123">
        <f t="shared" si="49"/>
        <v>1.5</v>
      </c>
      <c r="K196" s="123">
        <f t="shared" si="49"/>
        <v>1.5</v>
      </c>
      <c r="L196" s="123">
        <f t="shared" si="49"/>
        <v>1.5</v>
      </c>
      <c r="M196" s="123">
        <f t="shared" si="49"/>
        <v>1.5</v>
      </c>
      <c r="N196" s="123">
        <f t="shared" si="49"/>
        <v>1.5</v>
      </c>
      <c r="O196" s="123">
        <f t="shared" si="49"/>
        <v>1.5</v>
      </c>
      <c r="P196" s="123">
        <f t="shared" si="49"/>
        <v>1.5</v>
      </c>
      <c r="Q196" s="123">
        <f t="shared" si="49"/>
        <v>1.5</v>
      </c>
      <c r="R196" s="123">
        <f t="shared" si="49"/>
        <v>1.5</v>
      </c>
      <c r="S196" s="123">
        <f t="shared" si="49"/>
        <v>1.5</v>
      </c>
      <c r="T196" s="123">
        <f t="shared" si="50"/>
        <v>1.5</v>
      </c>
      <c r="U196" s="123">
        <f t="shared" si="50"/>
        <v>1.5</v>
      </c>
      <c r="V196" s="123">
        <f t="shared" si="50"/>
        <v>1.5</v>
      </c>
      <c r="W196" s="123">
        <f t="shared" si="50"/>
        <v>1.5</v>
      </c>
      <c r="X196" s="123">
        <f t="shared" si="50"/>
        <v>1.5</v>
      </c>
      <c r="Y196" s="123">
        <f t="shared" si="50"/>
        <v>1.5</v>
      </c>
      <c r="Z196" s="123">
        <f t="shared" si="50"/>
        <v>1.5</v>
      </c>
      <c r="AA196" s="123">
        <f t="shared" si="50"/>
        <v>1.5</v>
      </c>
      <c r="AB196" s="123">
        <f t="shared" si="50"/>
        <v>1.5</v>
      </c>
      <c r="AC196" s="123">
        <f t="shared" si="50"/>
        <v>1.5</v>
      </c>
      <c r="AD196" s="123">
        <f t="shared" si="50"/>
        <v>1.5</v>
      </c>
      <c r="AE196" s="123">
        <f t="shared" si="50"/>
        <v>1.5</v>
      </c>
      <c r="AF196" s="123">
        <f t="shared" si="50"/>
        <v>1.5</v>
      </c>
      <c r="AG196" s="132">
        <v>1.5</v>
      </c>
      <c r="AH196" s="54"/>
      <c r="AI196" s="55"/>
      <c r="AK196" s="56"/>
    </row>
    <row r="197" spans="1:37" x14ac:dyDescent="0.25">
      <c r="A197" s="109" t="s">
        <v>202</v>
      </c>
      <c r="B197" s="123">
        <f t="shared" si="48"/>
        <v>0.3</v>
      </c>
      <c r="C197" s="123">
        <v>0.3</v>
      </c>
      <c r="D197" s="123">
        <f t="shared" si="49"/>
        <v>0.3</v>
      </c>
      <c r="E197" s="123">
        <f t="shared" si="49"/>
        <v>0.3</v>
      </c>
      <c r="F197" s="123">
        <f t="shared" si="49"/>
        <v>0.3</v>
      </c>
      <c r="G197" s="123">
        <f t="shared" si="49"/>
        <v>0.3</v>
      </c>
      <c r="H197" s="123">
        <f t="shared" si="49"/>
        <v>0.3</v>
      </c>
      <c r="I197" s="123">
        <f t="shared" si="49"/>
        <v>0.3</v>
      </c>
      <c r="J197" s="123">
        <f t="shared" si="49"/>
        <v>0.3</v>
      </c>
      <c r="K197" s="123">
        <f t="shared" si="49"/>
        <v>0.3</v>
      </c>
      <c r="L197" s="123">
        <f t="shared" si="49"/>
        <v>0.3</v>
      </c>
      <c r="M197" s="123">
        <f t="shared" si="49"/>
        <v>0.3</v>
      </c>
      <c r="N197" s="123">
        <f t="shared" si="49"/>
        <v>0.3</v>
      </c>
      <c r="O197" s="123">
        <f t="shared" si="49"/>
        <v>0.3</v>
      </c>
      <c r="P197" s="123">
        <f t="shared" si="49"/>
        <v>0.3</v>
      </c>
      <c r="Q197" s="123">
        <f t="shared" si="49"/>
        <v>0.3</v>
      </c>
      <c r="R197" s="123">
        <f t="shared" si="49"/>
        <v>0.3</v>
      </c>
      <c r="S197" s="123">
        <f t="shared" si="49"/>
        <v>0.3</v>
      </c>
      <c r="T197" s="123">
        <f t="shared" si="50"/>
        <v>0.3</v>
      </c>
      <c r="U197" s="123">
        <f t="shared" si="50"/>
        <v>0.3</v>
      </c>
      <c r="V197" s="123">
        <f t="shared" si="50"/>
        <v>0.3</v>
      </c>
      <c r="W197" s="123">
        <f t="shared" si="50"/>
        <v>0.3</v>
      </c>
      <c r="X197" s="123">
        <f t="shared" si="50"/>
        <v>0.3</v>
      </c>
      <c r="Y197" s="123">
        <f t="shared" si="50"/>
        <v>0.3</v>
      </c>
      <c r="Z197" s="123">
        <f t="shared" si="50"/>
        <v>0.3</v>
      </c>
      <c r="AA197" s="123">
        <f t="shared" si="50"/>
        <v>0.3</v>
      </c>
      <c r="AB197" s="123">
        <f t="shared" si="50"/>
        <v>0.3</v>
      </c>
      <c r="AC197" s="123">
        <f t="shared" si="50"/>
        <v>0.3</v>
      </c>
      <c r="AD197" s="123">
        <f t="shared" si="50"/>
        <v>0.3</v>
      </c>
      <c r="AE197" s="123">
        <f t="shared" si="50"/>
        <v>0.3</v>
      </c>
      <c r="AF197" s="123">
        <f t="shared" si="50"/>
        <v>0.3</v>
      </c>
      <c r="AG197" s="132">
        <v>1</v>
      </c>
      <c r="AH197" s="54"/>
      <c r="AI197" s="55"/>
      <c r="AK197" s="56"/>
    </row>
    <row r="198" spans="1:37" x14ac:dyDescent="0.25">
      <c r="A198" s="109" t="s">
        <v>203</v>
      </c>
      <c r="B198" s="123">
        <f t="shared" si="48"/>
        <v>0.4</v>
      </c>
      <c r="C198" s="123">
        <v>0.4</v>
      </c>
      <c r="D198" s="123">
        <f t="shared" si="49"/>
        <v>0.4</v>
      </c>
      <c r="E198" s="123">
        <f t="shared" si="49"/>
        <v>0.4</v>
      </c>
      <c r="F198" s="123">
        <f t="shared" si="49"/>
        <v>0.4</v>
      </c>
      <c r="G198" s="123">
        <f t="shared" si="49"/>
        <v>0.4</v>
      </c>
      <c r="H198" s="123">
        <f t="shared" si="49"/>
        <v>0.4</v>
      </c>
      <c r="I198" s="123">
        <f t="shared" si="49"/>
        <v>0.4</v>
      </c>
      <c r="J198" s="123">
        <f t="shared" si="49"/>
        <v>0.4</v>
      </c>
      <c r="K198" s="123">
        <f t="shared" si="49"/>
        <v>0.4</v>
      </c>
      <c r="L198" s="123">
        <f t="shared" si="49"/>
        <v>0.4</v>
      </c>
      <c r="M198" s="123">
        <f t="shared" si="49"/>
        <v>0.4</v>
      </c>
      <c r="N198" s="123">
        <f t="shared" si="49"/>
        <v>0.4</v>
      </c>
      <c r="O198" s="123">
        <f t="shared" si="49"/>
        <v>0.4</v>
      </c>
      <c r="P198" s="123">
        <f t="shared" si="49"/>
        <v>0.4</v>
      </c>
      <c r="Q198" s="123">
        <f t="shared" si="49"/>
        <v>0.4</v>
      </c>
      <c r="R198" s="123">
        <f t="shared" si="49"/>
        <v>0.4</v>
      </c>
      <c r="S198" s="123">
        <f t="shared" si="49"/>
        <v>0.4</v>
      </c>
      <c r="T198" s="123">
        <f t="shared" si="50"/>
        <v>0.4</v>
      </c>
      <c r="U198" s="123">
        <f t="shared" si="50"/>
        <v>0.4</v>
      </c>
      <c r="V198" s="123">
        <f t="shared" si="50"/>
        <v>0.4</v>
      </c>
      <c r="W198" s="123">
        <f t="shared" si="50"/>
        <v>0.4</v>
      </c>
      <c r="X198" s="123">
        <f t="shared" si="50"/>
        <v>0.4</v>
      </c>
      <c r="Y198" s="123">
        <f t="shared" si="50"/>
        <v>0.4</v>
      </c>
      <c r="Z198" s="123">
        <f t="shared" si="50"/>
        <v>0.4</v>
      </c>
      <c r="AA198" s="123">
        <f t="shared" si="50"/>
        <v>0.4</v>
      </c>
      <c r="AB198" s="123">
        <f t="shared" si="50"/>
        <v>0.4</v>
      </c>
      <c r="AC198" s="123">
        <f t="shared" si="50"/>
        <v>0.4</v>
      </c>
      <c r="AD198" s="123">
        <f t="shared" si="50"/>
        <v>0.4</v>
      </c>
      <c r="AE198" s="123">
        <f t="shared" si="50"/>
        <v>0.4</v>
      </c>
      <c r="AF198" s="123">
        <f t="shared" si="50"/>
        <v>0.4</v>
      </c>
      <c r="AG198" s="132">
        <v>1</v>
      </c>
      <c r="AH198" s="54"/>
      <c r="AI198" s="55"/>
      <c r="AK198" s="56"/>
    </row>
    <row r="199" spans="1:37" ht="15.75" thickBot="1" x14ac:dyDescent="0.3">
      <c r="A199" s="111" t="s">
        <v>204</v>
      </c>
      <c r="B199" s="133">
        <f t="shared" si="48"/>
        <v>0.64</v>
      </c>
      <c r="C199" s="133">
        <v>0.64</v>
      </c>
      <c r="D199" s="133">
        <f t="shared" si="49"/>
        <v>0.64</v>
      </c>
      <c r="E199" s="133">
        <f t="shared" si="49"/>
        <v>0.64</v>
      </c>
      <c r="F199" s="133">
        <f t="shared" si="49"/>
        <v>0.64</v>
      </c>
      <c r="G199" s="133">
        <f t="shared" si="49"/>
        <v>0.64</v>
      </c>
      <c r="H199" s="133">
        <f t="shared" si="49"/>
        <v>0.64</v>
      </c>
      <c r="I199" s="133">
        <f t="shared" si="49"/>
        <v>0.64</v>
      </c>
      <c r="J199" s="133">
        <f t="shared" si="49"/>
        <v>0.64</v>
      </c>
      <c r="K199" s="133">
        <f t="shared" si="49"/>
        <v>0.64</v>
      </c>
      <c r="L199" s="133">
        <f t="shared" si="49"/>
        <v>0.64</v>
      </c>
      <c r="M199" s="133">
        <f t="shared" si="49"/>
        <v>0.64</v>
      </c>
      <c r="N199" s="133">
        <f t="shared" si="49"/>
        <v>0.64</v>
      </c>
      <c r="O199" s="133">
        <f t="shared" si="49"/>
        <v>0.64</v>
      </c>
      <c r="P199" s="133">
        <f t="shared" si="49"/>
        <v>0.64</v>
      </c>
      <c r="Q199" s="133">
        <f t="shared" si="49"/>
        <v>0.64</v>
      </c>
      <c r="R199" s="133">
        <f t="shared" si="49"/>
        <v>0.64</v>
      </c>
      <c r="S199" s="133">
        <f t="shared" si="49"/>
        <v>0.64</v>
      </c>
      <c r="T199" s="133">
        <f t="shared" si="50"/>
        <v>0.64</v>
      </c>
      <c r="U199" s="133">
        <f t="shared" si="50"/>
        <v>0.64</v>
      </c>
      <c r="V199" s="133">
        <f t="shared" si="50"/>
        <v>0.64</v>
      </c>
      <c r="W199" s="133">
        <f t="shared" si="50"/>
        <v>0.64</v>
      </c>
      <c r="X199" s="133">
        <f t="shared" si="50"/>
        <v>0.64</v>
      </c>
      <c r="Y199" s="133">
        <f t="shared" si="50"/>
        <v>0.64</v>
      </c>
      <c r="Z199" s="133">
        <f t="shared" si="50"/>
        <v>0.64</v>
      </c>
      <c r="AA199" s="133">
        <f t="shared" si="50"/>
        <v>0.64</v>
      </c>
      <c r="AB199" s="133">
        <f t="shared" si="50"/>
        <v>0.64</v>
      </c>
      <c r="AC199" s="133">
        <f t="shared" si="50"/>
        <v>0.64</v>
      </c>
      <c r="AD199" s="133">
        <f t="shared" si="50"/>
        <v>0.64</v>
      </c>
      <c r="AE199" s="133">
        <f t="shared" si="50"/>
        <v>0.64</v>
      </c>
      <c r="AF199" s="133">
        <f t="shared" si="50"/>
        <v>0.64</v>
      </c>
      <c r="AG199" s="134">
        <v>0.66</v>
      </c>
      <c r="AH199" s="54"/>
      <c r="AI199" s="55"/>
    </row>
    <row r="200" spans="1:37" ht="15.75" thickBot="1" x14ac:dyDescent="0.3">
      <c r="A200" s="135" t="s">
        <v>59</v>
      </c>
      <c r="B200" s="136">
        <f>SUM(B194:B199)</f>
        <v>3.54</v>
      </c>
      <c r="C200" s="136">
        <f>SUM(C194:C199)</f>
        <v>3.54</v>
      </c>
      <c r="D200" s="136">
        <f t="shared" ref="D200:L200" si="51">SUM(D194:D199)</f>
        <v>3.54</v>
      </c>
      <c r="E200" s="136">
        <f t="shared" si="51"/>
        <v>3.54</v>
      </c>
      <c r="F200" s="136">
        <f t="shared" si="51"/>
        <v>3.54</v>
      </c>
      <c r="G200" s="136">
        <f t="shared" si="51"/>
        <v>3.54</v>
      </c>
      <c r="H200" s="136">
        <f t="shared" si="51"/>
        <v>3.54</v>
      </c>
      <c r="I200" s="136">
        <f t="shared" si="51"/>
        <v>3.54</v>
      </c>
      <c r="J200" s="136">
        <f t="shared" si="51"/>
        <v>3.54</v>
      </c>
      <c r="K200" s="136">
        <f t="shared" si="51"/>
        <v>3.54</v>
      </c>
      <c r="L200" s="136">
        <f t="shared" si="51"/>
        <v>3.54</v>
      </c>
      <c r="M200" s="136">
        <f>SUM(M194:M199)</f>
        <v>3.54</v>
      </c>
      <c r="N200" s="136">
        <f t="shared" ref="N200:S200" si="52">SUM(N194:N199)</f>
        <v>3.54</v>
      </c>
      <c r="O200" s="136">
        <f t="shared" si="52"/>
        <v>3.54</v>
      </c>
      <c r="P200" s="136">
        <f t="shared" si="52"/>
        <v>3.54</v>
      </c>
      <c r="Q200" s="136">
        <f t="shared" si="52"/>
        <v>3.54</v>
      </c>
      <c r="R200" s="136">
        <f t="shared" si="52"/>
        <v>3.54</v>
      </c>
      <c r="S200" s="136">
        <f t="shared" si="52"/>
        <v>3.54</v>
      </c>
      <c r="T200" s="136">
        <f>SUM(T194:T199)</f>
        <v>3.54</v>
      </c>
      <c r="U200" s="136">
        <f t="shared" ref="U200:AG200" si="53">SUM(U194:U199)</f>
        <v>3.54</v>
      </c>
      <c r="V200" s="136">
        <f t="shared" si="53"/>
        <v>3.54</v>
      </c>
      <c r="W200" s="136">
        <f t="shared" si="53"/>
        <v>3.54</v>
      </c>
      <c r="X200" s="136">
        <f t="shared" si="53"/>
        <v>3.54</v>
      </c>
      <c r="Y200" s="136">
        <f t="shared" si="53"/>
        <v>3.54</v>
      </c>
      <c r="Z200" s="136">
        <f t="shared" si="53"/>
        <v>3.54</v>
      </c>
      <c r="AA200" s="136">
        <f t="shared" si="53"/>
        <v>3.54</v>
      </c>
      <c r="AB200" s="136">
        <f t="shared" si="53"/>
        <v>3.54</v>
      </c>
      <c r="AC200" s="136">
        <f t="shared" si="53"/>
        <v>3.54</v>
      </c>
      <c r="AD200" s="136">
        <f t="shared" si="53"/>
        <v>3.54</v>
      </c>
      <c r="AE200" s="136">
        <f t="shared" si="53"/>
        <v>3.54</v>
      </c>
      <c r="AF200" s="136">
        <f t="shared" si="53"/>
        <v>3.54</v>
      </c>
      <c r="AG200" s="137">
        <f t="shared" si="53"/>
        <v>8.56</v>
      </c>
      <c r="AH200" s="54"/>
      <c r="AI200" s="55"/>
    </row>
    <row r="201" spans="1:37" ht="15.75" thickBot="1" x14ac:dyDescent="0.3"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01"/>
      <c r="AH201" s="47"/>
    </row>
    <row r="202" spans="1:37" x14ac:dyDescent="0.25">
      <c r="A202" s="89" t="s">
        <v>205</v>
      </c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9"/>
      <c r="AG202" s="47"/>
      <c r="AH202" s="54"/>
      <c r="AI202" s="55"/>
    </row>
    <row r="203" spans="1:37" x14ac:dyDescent="0.25">
      <c r="A203" s="140" t="s">
        <v>206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2"/>
      <c r="AG203" s="143"/>
      <c r="AH203" s="54"/>
      <c r="AI203" s="55"/>
    </row>
    <row r="204" spans="1:37" x14ac:dyDescent="0.25">
      <c r="A204" s="92" t="s">
        <v>207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5"/>
      <c r="AG204" s="143"/>
      <c r="AH204" s="54"/>
      <c r="AI204" s="55"/>
    </row>
    <row r="205" spans="1:37" x14ac:dyDescent="0.25">
      <c r="A205" s="92" t="s">
        <v>208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5"/>
      <c r="AG205" s="143"/>
      <c r="AH205" s="54"/>
      <c r="AI205" s="55"/>
    </row>
    <row r="206" spans="1:37" ht="15.75" thickBot="1" x14ac:dyDescent="0.3">
      <c r="A206" s="146" t="s">
        <v>209</v>
      </c>
      <c r="B206" s="147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  <c r="AC206" s="147"/>
      <c r="AD206" s="147"/>
      <c r="AE206" s="147"/>
      <c r="AF206" s="148"/>
      <c r="AG206" s="143"/>
      <c r="AH206" s="54"/>
      <c r="AI206" s="55"/>
    </row>
    <row r="207" spans="1:37" x14ac:dyDescent="0.25"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</row>
    <row r="208" spans="1:37" x14ac:dyDescent="0.25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</row>
    <row r="209" spans="1:50" x14ac:dyDescent="0.25">
      <c r="A209" s="149" t="s">
        <v>210</v>
      </c>
      <c r="B209" s="150">
        <f>MAX(G75:N75)</f>
        <v>3.54</v>
      </c>
      <c r="C209" s="151">
        <f>INDEX(G9:N9,1,MATCH(MAX(G75:N75),G75:N75,0))</f>
        <v>0.20833333333333301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</row>
    <row r="210" spans="1:50" x14ac:dyDescent="0.25"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152" t="str">
        <f ca="1">MID(CELL("filename",C7),FIND("]",CELL("filename",C7))+1,600)</f>
        <v>Sample</v>
      </c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</row>
    <row r="211" spans="1:50" x14ac:dyDescent="0.25">
      <c r="A211" s="199" t="s">
        <v>211</v>
      </c>
      <c r="B211" s="199"/>
      <c r="C211" s="47"/>
      <c r="D211" s="152" t="e">
        <f ca="1">"Pie Chart of Daily Peak Demand(Inclusive of Export) of Nepal ("&amp;A4&amp;" "&amp;B4&amp;")"</f>
        <v>#VALUE!</v>
      </c>
      <c r="E211" s="47"/>
      <c r="F211" s="47"/>
      <c r="G211" s="152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152" t="e">
        <f ca="1">"Daily Load Curve(Excluding of Export) of Nepal ("&amp;A4&amp;" "&amp;B4&amp;")"</f>
        <v>#VALUE!</v>
      </c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</row>
    <row r="212" spans="1:50" ht="12.75" customHeight="1" thickBot="1" x14ac:dyDescent="0.3">
      <c r="A212" s="153" t="s">
        <v>7</v>
      </c>
      <c r="B212" s="154"/>
      <c r="C212" s="47"/>
      <c r="D212" s="155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</row>
    <row r="213" spans="1:50" ht="15.75" thickTop="1" x14ac:dyDescent="0.25">
      <c r="A213" s="153" t="s">
        <v>212</v>
      </c>
      <c r="B213" s="154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156" t="s">
        <v>213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3" t="s">
        <v>214</v>
      </c>
      <c r="B214" s="154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 t="s">
        <v>215</v>
      </c>
      <c r="T214" s="161">
        <f t="shared" ref="T214:AX214" si="54">B75</f>
        <v>3.54</v>
      </c>
      <c r="U214" s="161">
        <f t="shared" si="54"/>
        <v>3.54</v>
      </c>
      <c r="V214" s="161">
        <f t="shared" si="54"/>
        <v>3.54</v>
      </c>
      <c r="W214" s="161">
        <f t="shared" si="54"/>
        <v>3.54</v>
      </c>
      <c r="X214" s="161">
        <f t="shared" si="54"/>
        <v>3.54</v>
      </c>
      <c r="Y214" s="161">
        <f t="shared" si="54"/>
        <v>3.54</v>
      </c>
      <c r="Z214" s="161">
        <f t="shared" si="54"/>
        <v>3.54</v>
      </c>
      <c r="AA214" s="161">
        <f t="shared" si="54"/>
        <v>3.54</v>
      </c>
      <c r="AB214" s="161">
        <f t="shared" si="54"/>
        <v>3.54</v>
      </c>
      <c r="AC214" s="161">
        <f t="shared" si="54"/>
        <v>3.54</v>
      </c>
      <c r="AD214" s="161">
        <f t="shared" si="54"/>
        <v>3.54</v>
      </c>
      <c r="AE214" s="161">
        <f t="shared" si="54"/>
        <v>3.54</v>
      </c>
      <c r="AF214" s="161">
        <f t="shared" si="54"/>
        <v>3.54</v>
      </c>
      <c r="AG214" s="161">
        <f t="shared" si="54"/>
        <v>3.54</v>
      </c>
      <c r="AH214" s="161">
        <f t="shared" si="54"/>
        <v>3.54</v>
      </c>
      <c r="AI214" s="161">
        <f t="shared" si="54"/>
        <v>3.54</v>
      </c>
      <c r="AJ214" s="161">
        <f t="shared" si="54"/>
        <v>3.54</v>
      </c>
      <c r="AK214" s="161">
        <f t="shared" si="54"/>
        <v>3.54</v>
      </c>
      <c r="AL214" s="161">
        <f t="shared" si="54"/>
        <v>3.54</v>
      </c>
      <c r="AM214" s="161">
        <f t="shared" si="54"/>
        <v>3.54</v>
      </c>
      <c r="AN214" s="161">
        <f t="shared" si="54"/>
        <v>3.54</v>
      </c>
      <c r="AO214" s="161">
        <f t="shared" si="54"/>
        <v>3.54</v>
      </c>
      <c r="AP214" s="161">
        <f t="shared" si="54"/>
        <v>3.54</v>
      </c>
      <c r="AQ214" s="161">
        <f t="shared" si="54"/>
        <v>3.54</v>
      </c>
      <c r="AR214" s="161">
        <f t="shared" si="54"/>
        <v>3.54</v>
      </c>
      <c r="AS214" s="161">
        <f t="shared" si="54"/>
        <v>3.54</v>
      </c>
      <c r="AT214" s="161">
        <f t="shared" si="54"/>
        <v>3.54</v>
      </c>
      <c r="AU214" s="161">
        <f t="shared" si="54"/>
        <v>3.54</v>
      </c>
      <c r="AV214" s="161">
        <f t="shared" si="54"/>
        <v>3.54</v>
      </c>
      <c r="AW214" s="161">
        <f t="shared" si="54"/>
        <v>3.54</v>
      </c>
      <c r="AX214" s="161">
        <f t="shared" si="54"/>
        <v>3.54</v>
      </c>
    </row>
    <row r="215" spans="1:50" x14ac:dyDescent="0.25">
      <c r="A215" s="153" t="s">
        <v>216</v>
      </c>
      <c r="B215" s="154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</row>
    <row r="216" spans="1:50" x14ac:dyDescent="0.25">
      <c r="A216" s="153" t="s">
        <v>217</v>
      </c>
      <c r="B216" s="154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</row>
    <row r="217" spans="1:50" x14ac:dyDescent="0.25">
      <c r="A217" s="153" t="s">
        <v>218</v>
      </c>
      <c r="B217" s="154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</row>
    <row r="218" spans="1:50" x14ac:dyDescent="0.25">
      <c r="A218" s="153" t="s">
        <v>219</v>
      </c>
      <c r="B218" s="162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</row>
    <row r="219" spans="1:50" x14ac:dyDescent="0.25">
      <c r="A219" s="153" t="s">
        <v>220</v>
      </c>
      <c r="B219" s="154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</row>
    <row r="220" spans="1:50" x14ac:dyDescent="0.25"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</row>
    <row r="221" spans="1:50" x14ac:dyDescent="0.25"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</row>
    <row r="222" spans="1:50" x14ac:dyDescent="0.25"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</row>
    <row r="223" spans="1:50" x14ac:dyDescent="0.25"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</row>
    <row r="224" spans="1:50" x14ac:dyDescent="0.25"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</row>
    <row r="225" spans="1:36" x14ac:dyDescent="0.25"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</row>
    <row r="226" spans="1:36" x14ac:dyDescent="0.25"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J226"/>
    </row>
    <row r="227" spans="1:36" x14ac:dyDescent="0.25"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J227"/>
    </row>
    <row r="228" spans="1:36" x14ac:dyDescent="0.25"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J228"/>
    </row>
    <row r="229" spans="1:36" x14ac:dyDescent="0.25"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J229"/>
    </row>
    <row r="230" spans="1:36" x14ac:dyDescent="0.25"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J230"/>
    </row>
    <row r="231" spans="1:36" x14ac:dyDescent="0.25"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J231"/>
    </row>
    <row r="232" spans="1:36" x14ac:dyDescent="0.25"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J232"/>
    </row>
    <row r="233" spans="1:36" x14ac:dyDescent="0.25"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J233"/>
    </row>
    <row r="234" spans="1:36" x14ac:dyDescent="0.25"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J234"/>
    </row>
    <row r="235" spans="1:36" x14ac:dyDescent="0.25">
      <c r="A235" s="163" t="s">
        <v>205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7"/>
      <c r="AH235" s="47"/>
      <c r="AJ235"/>
    </row>
    <row r="236" spans="1:36" x14ac:dyDescent="0.25">
      <c r="A236" s="107" t="str">
        <f>A203</f>
        <v>KGA</v>
      </c>
      <c r="B236" s="107" t="str">
        <f>IF(B203&lt;100,"",B203-520)</f>
        <v/>
      </c>
      <c r="C236" s="107" t="str">
        <f t="shared" ref="C236:AF236" si="56">IF(C203&lt;100,"",C203-520)</f>
        <v/>
      </c>
      <c r="D236" s="107" t="str">
        <f t="shared" si="56"/>
        <v/>
      </c>
      <c r="E236" s="107" t="str">
        <f t="shared" si="56"/>
        <v/>
      </c>
      <c r="F236" s="107" t="str">
        <f t="shared" si="56"/>
        <v/>
      </c>
      <c r="G236" s="107" t="str">
        <f t="shared" si="56"/>
        <v/>
      </c>
      <c r="H236" s="107" t="str">
        <f t="shared" si="56"/>
        <v/>
      </c>
      <c r="I236" s="107" t="str">
        <f t="shared" si="56"/>
        <v/>
      </c>
      <c r="J236" s="107" t="str">
        <f t="shared" si="56"/>
        <v/>
      </c>
      <c r="K236" s="107" t="str">
        <f t="shared" si="56"/>
        <v/>
      </c>
      <c r="L236" s="107" t="str">
        <f t="shared" si="56"/>
        <v/>
      </c>
      <c r="M236" s="107" t="str">
        <f t="shared" si="56"/>
        <v/>
      </c>
      <c r="N236" s="107" t="str">
        <f t="shared" si="56"/>
        <v/>
      </c>
      <c r="O236" s="107" t="str">
        <f t="shared" si="56"/>
        <v/>
      </c>
      <c r="P236" s="107" t="str">
        <f t="shared" si="56"/>
        <v/>
      </c>
      <c r="Q236" s="107" t="str">
        <f t="shared" si="56"/>
        <v/>
      </c>
      <c r="R236" s="107" t="str">
        <f t="shared" si="56"/>
        <v/>
      </c>
      <c r="S236" s="107" t="str">
        <f t="shared" si="56"/>
        <v/>
      </c>
      <c r="T236" s="107" t="str">
        <f t="shared" si="56"/>
        <v/>
      </c>
      <c r="U236" s="107" t="str">
        <f t="shared" si="56"/>
        <v/>
      </c>
      <c r="V236" s="107" t="str">
        <f t="shared" si="56"/>
        <v/>
      </c>
      <c r="W236" s="107" t="str">
        <f t="shared" si="56"/>
        <v/>
      </c>
      <c r="X236" s="107" t="str">
        <f t="shared" si="56"/>
        <v/>
      </c>
      <c r="Y236" s="107" t="str">
        <f t="shared" si="56"/>
        <v/>
      </c>
      <c r="Z236" s="107" t="str">
        <f t="shared" si="56"/>
        <v/>
      </c>
      <c r="AA236" s="107" t="str">
        <f t="shared" si="56"/>
        <v/>
      </c>
      <c r="AB236" s="107" t="str">
        <f t="shared" si="56"/>
        <v/>
      </c>
      <c r="AC236" s="107" t="str">
        <f t="shared" si="56"/>
        <v/>
      </c>
      <c r="AD236" s="107" t="str">
        <f t="shared" si="56"/>
        <v/>
      </c>
      <c r="AE236" s="107" t="str">
        <f t="shared" si="56"/>
        <v/>
      </c>
      <c r="AF236" s="107" t="str">
        <f t="shared" si="56"/>
        <v/>
      </c>
      <c r="AG236" s="47"/>
      <c r="AH236" s="47"/>
      <c r="AJ236"/>
    </row>
    <row r="237" spans="1:36" x14ac:dyDescent="0.25">
      <c r="A237" s="107" t="str">
        <f>A204</f>
        <v>MMRS</v>
      </c>
      <c r="B237" s="107" t="str">
        <f t="shared" ref="B237:AF237" si="57">IF(B204&lt;100,"",B204-620)</f>
        <v/>
      </c>
      <c r="C237" s="107" t="str">
        <f t="shared" si="57"/>
        <v/>
      </c>
      <c r="D237" s="107" t="str">
        <f t="shared" si="57"/>
        <v/>
      </c>
      <c r="E237" s="107" t="str">
        <f t="shared" si="57"/>
        <v/>
      </c>
      <c r="F237" s="107" t="str">
        <f t="shared" si="57"/>
        <v/>
      </c>
      <c r="G237" s="107" t="str">
        <f t="shared" si="57"/>
        <v/>
      </c>
      <c r="H237" s="107" t="str">
        <f t="shared" si="57"/>
        <v/>
      </c>
      <c r="I237" s="107" t="str">
        <f t="shared" si="57"/>
        <v/>
      </c>
      <c r="J237" s="107" t="str">
        <f t="shared" si="57"/>
        <v/>
      </c>
      <c r="K237" s="107" t="str">
        <f t="shared" si="57"/>
        <v/>
      </c>
      <c r="L237" s="107" t="str">
        <f t="shared" si="57"/>
        <v/>
      </c>
      <c r="M237" s="107" t="str">
        <f t="shared" si="57"/>
        <v/>
      </c>
      <c r="N237" s="107" t="str">
        <f t="shared" si="57"/>
        <v/>
      </c>
      <c r="O237" s="107" t="str">
        <f t="shared" si="57"/>
        <v/>
      </c>
      <c r="P237" s="107" t="str">
        <f t="shared" si="57"/>
        <v/>
      </c>
      <c r="Q237" s="107" t="str">
        <f t="shared" si="57"/>
        <v/>
      </c>
      <c r="R237" s="107" t="str">
        <f t="shared" si="57"/>
        <v/>
      </c>
      <c r="S237" s="107" t="str">
        <f t="shared" si="57"/>
        <v/>
      </c>
      <c r="T237" s="107" t="str">
        <f t="shared" si="57"/>
        <v/>
      </c>
      <c r="U237" s="107" t="str">
        <f t="shared" si="57"/>
        <v/>
      </c>
      <c r="V237" s="107" t="str">
        <f t="shared" si="57"/>
        <v/>
      </c>
      <c r="W237" s="107" t="str">
        <f t="shared" si="57"/>
        <v/>
      </c>
      <c r="X237" s="107" t="str">
        <f t="shared" si="57"/>
        <v/>
      </c>
      <c r="Y237" s="107" t="str">
        <f t="shared" si="57"/>
        <v/>
      </c>
      <c r="Z237" s="107" t="str">
        <f t="shared" si="57"/>
        <v/>
      </c>
      <c r="AA237" s="107" t="str">
        <f t="shared" si="57"/>
        <v/>
      </c>
      <c r="AB237" s="107" t="str">
        <f t="shared" si="57"/>
        <v/>
      </c>
      <c r="AC237" s="107" t="str">
        <f t="shared" si="57"/>
        <v/>
      </c>
      <c r="AD237" s="107" t="str">
        <f t="shared" si="57"/>
        <v/>
      </c>
      <c r="AE237" s="107" t="str">
        <f t="shared" si="57"/>
        <v/>
      </c>
      <c r="AF237" s="107" t="str">
        <f t="shared" si="57"/>
        <v/>
      </c>
      <c r="AG237" s="47"/>
      <c r="AH237" s="47"/>
      <c r="AJ237"/>
    </row>
    <row r="238" spans="1:36" x14ac:dyDescent="0.25">
      <c r="A238" s="107" t="str">
        <f>A205</f>
        <v>MRS</v>
      </c>
      <c r="B238" s="107" t="str">
        <f t="shared" ref="B238:AF238" si="58">IF(B205&lt;100,"",B205-330)</f>
        <v/>
      </c>
      <c r="C238" s="107" t="str">
        <f t="shared" si="58"/>
        <v/>
      </c>
      <c r="D238" s="107" t="str">
        <f t="shared" si="58"/>
        <v/>
      </c>
      <c r="E238" s="107" t="str">
        <f t="shared" si="58"/>
        <v/>
      </c>
      <c r="F238" s="107" t="str">
        <f t="shared" si="58"/>
        <v/>
      </c>
      <c r="G238" s="107" t="str">
        <f t="shared" si="58"/>
        <v/>
      </c>
      <c r="H238" s="107" t="str">
        <f t="shared" si="58"/>
        <v/>
      </c>
      <c r="I238" s="107" t="str">
        <f t="shared" si="58"/>
        <v/>
      </c>
      <c r="J238" s="107" t="str">
        <f t="shared" si="58"/>
        <v/>
      </c>
      <c r="K238" s="107" t="str">
        <f t="shared" si="58"/>
        <v/>
      </c>
      <c r="L238" s="107" t="str">
        <f t="shared" si="58"/>
        <v/>
      </c>
      <c r="M238" s="107" t="str">
        <f t="shared" si="58"/>
        <v/>
      </c>
      <c r="N238" s="107" t="str">
        <f t="shared" si="58"/>
        <v/>
      </c>
      <c r="O238" s="107" t="str">
        <f t="shared" si="58"/>
        <v/>
      </c>
      <c r="P238" s="107" t="str">
        <f t="shared" si="58"/>
        <v/>
      </c>
      <c r="Q238" s="107" t="str">
        <f t="shared" si="58"/>
        <v/>
      </c>
      <c r="R238" s="107" t="str">
        <f t="shared" si="58"/>
        <v/>
      </c>
      <c r="S238" s="107" t="str">
        <f t="shared" si="58"/>
        <v/>
      </c>
      <c r="T238" s="107" t="str">
        <f t="shared" si="58"/>
        <v/>
      </c>
      <c r="U238" s="107" t="str">
        <f t="shared" si="58"/>
        <v/>
      </c>
      <c r="V238" s="107" t="str">
        <f t="shared" si="58"/>
        <v/>
      </c>
      <c r="W238" s="107" t="str">
        <f t="shared" si="58"/>
        <v/>
      </c>
      <c r="X238" s="107" t="str">
        <f t="shared" si="58"/>
        <v/>
      </c>
      <c r="Y238" s="107" t="str">
        <f t="shared" si="58"/>
        <v/>
      </c>
      <c r="Z238" s="107" t="str">
        <f t="shared" si="58"/>
        <v/>
      </c>
      <c r="AA238" s="107" t="str">
        <f t="shared" si="58"/>
        <v/>
      </c>
      <c r="AB238" s="107" t="str">
        <f t="shared" si="58"/>
        <v/>
      </c>
      <c r="AC238" s="107" t="str">
        <f t="shared" si="58"/>
        <v/>
      </c>
      <c r="AD238" s="107" t="str">
        <f t="shared" si="58"/>
        <v/>
      </c>
      <c r="AE238" s="107" t="str">
        <f t="shared" si="58"/>
        <v/>
      </c>
      <c r="AF238" s="107" t="str">
        <f t="shared" si="58"/>
        <v/>
      </c>
      <c r="AG238" s="47"/>
      <c r="AH238" s="47"/>
      <c r="AJ238"/>
    </row>
    <row r="239" spans="1:36" x14ac:dyDescent="0.25">
      <c r="A239" s="107" t="str">
        <f>A206</f>
        <v>KL 1</v>
      </c>
      <c r="B239" s="107" t="str">
        <f>IF(B206&lt;100,"",B206-1500)</f>
        <v/>
      </c>
      <c r="C239" s="107" t="str">
        <f t="shared" ref="C239:AF239" si="59">IF(C206&lt;100,"",C206-1500)</f>
        <v/>
      </c>
      <c r="D239" s="107" t="str">
        <f t="shared" si="59"/>
        <v/>
      </c>
      <c r="E239" s="107" t="str">
        <f t="shared" si="59"/>
        <v/>
      </c>
      <c r="F239" s="107" t="str">
        <f t="shared" si="59"/>
        <v/>
      </c>
      <c r="G239" s="107" t="str">
        <f t="shared" si="59"/>
        <v/>
      </c>
      <c r="H239" s="107" t="str">
        <f t="shared" si="59"/>
        <v/>
      </c>
      <c r="I239" s="107" t="str">
        <f t="shared" si="59"/>
        <v/>
      </c>
      <c r="J239" s="107" t="str">
        <f t="shared" si="59"/>
        <v/>
      </c>
      <c r="K239" s="107" t="str">
        <f t="shared" si="59"/>
        <v/>
      </c>
      <c r="L239" s="107" t="str">
        <f t="shared" si="59"/>
        <v/>
      </c>
      <c r="M239" s="107" t="str">
        <f t="shared" si="59"/>
        <v/>
      </c>
      <c r="N239" s="107" t="str">
        <f t="shared" si="59"/>
        <v/>
      </c>
      <c r="O239" s="107" t="str">
        <f t="shared" si="59"/>
        <v/>
      </c>
      <c r="P239" s="107" t="str">
        <f t="shared" si="59"/>
        <v/>
      </c>
      <c r="Q239" s="107" t="str">
        <f t="shared" si="59"/>
        <v/>
      </c>
      <c r="R239" s="107" t="str">
        <f t="shared" si="59"/>
        <v/>
      </c>
      <c r="S239" s="107" t="str">
        <f t="shared" si="59"/>
        <v/>
      </c>
      <c r="T239" s="107" t="str">
        <f t="shared" si="59"/>
        <v/>
      </c>
      <c r="U239" s="107" t="str">
        <f t="shared" si="59"/>
        <v/>
      </c>
      <c r="V239" s="107" t="str">
        <f t="shared" si="59"/>
        <v/>
      </c>
      <c r="W239" s="107" t="str">
        <f t="shared" si="59"/>
        <v/>
      </c>
      <c r="X239" s="107" t="str">
        <f t="shared" si="59"/>
        <v/>
      </c>
      <c r="Y239" s="107" t="str">
        <f t="shared" si="59"/>
        <v/>
      </c>
      <c r="Z239" s="107" t="str">
        <f t="shared" si="59"/>
        <v/>
      </c>
      <c r="AA239" s="107" t="str">
        <f t="shared" si="59"/>
        <v/>
      </c>
      <c r="AB239" s="107" t="str">
        <f t="shared" si="59"/>
        <v/>
      </c>
      <c r="AC239" s="107" t="str">
        <f t="shared" si="59"/>
        <v/>
      </c>
      <c r="AD239" s="107" t="str">
        <f t="shared" si="59"/>
        <v/>
      </c>
      <c r="AE239" s="107" t="str">
        <f t="shared" si="59"/>
        <v/>
      </c>
      <c r="AF239" s="107" t="str">
        <f t="shared" si="59"/>
        <v/>
      </c>
      <c r="AG239" s="47"/>
      <c r="AH239" s="47"/>
      <c r="AJ239"/>
    </row>
    <row r="240" spans="1:36" x14ac:dyDescent="0.25"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J240"/>
    </row>
    <row r="241" spans="2:36" x14ac:dyDescent="0.25"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J241"/>
    </row>
    <row r="242" spans="2:36" x14ac:dyDescent="0.25"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J242"/>
    </row>
    <row r="243" spans="2:36" x14ac:dyDescent="0.25"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J243"/>
    </row>
    <row r="244" spans="2:36" x14ac:dyDescent="0.25"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J244"/>
    </row>
    <row r="245" spans="2:36" x14ac:dyDescent="0.25"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J245"/>
    </row>
    <row r="246" spans="2:36" x14ac:dyDescent="0.25"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J246"/>
    </row>
    <row r="470" spans="36:38" x14ac:dyDescent="0.25">
      <c r="AK470" s="1"/>
    </row>
    <row r="471" spans="36:38" x14ac:dyDescent="0.25">
      <c r="AK471" s="1"/>
      <c r="AL471" s="1"/>
    </row>
    <row r="472" spans="36:38" x14ac:dyDescent="0.25">
      <c r="AJ47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18" priority="202">
      <formula>B$9&gt;=20/24</formula>
    </cfRule>
    <cfRule type="expression" dxfId="217" priority="203">
      <formula>AND(B$9&gt;=14/24,B$9&lt;20/24)</formula>
    </cfRule>
    <cfRule type="expression" dxfId="216" priority="204">
      <formula>AND(B$9&gt;=8/24,B$9&lt;14/24)</formula>
    </cfRule>
    <cfRule type="expression" dxfId="215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14" priority="197">
      <formula>S$9&gt;=20/24</formula>
    </cfRule>
    <cfRule type="expression" dxfId="213" priority="198">
      <formula>AND(S$9&gt;=14/24,S$9&lt;20/24)</formula>
    </cfRule>
    <cfRule type="expression" dxfId="212" priority="199">
      <formula>AND(S$9&gt;=8/24,S$9&lt;14/24)</formula>
    </cfRule>
    <cfRule type="expression" dxfId="211" priority="200">
      <formula>S$9&lt;8/24</formula>
    </cfRule>
  </conditionalFormatting>
  <conditionalFormatting sqref="AG51 S37:AF37 J11:AF11">
    <cfRule type="expression" dxfId="210" priority="196">
      <formula>J11&gt;$AG11</formula>
    </cfRule>
  </conditionalFormatting>
  <conditionalFormatting sqref="A101:A157 A84:A97 A11:A14 A16:A32 A45:A72 A80:A82 A74:A78 A35:A43 A170:A200">
    <cfRule type="expression" dxfId="209" priority="195">
      <formula>$AH11=0</formula>
    </cfRule>
  </conditionalFormatting>
  <conditionalFormatting sqref="A98">
    <cfRule type="expression" dxfId="208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07" priority="192">
      <formula>$AH34=0</formula>
    </cfRule>
  </conditionalFormatting>
  <conditionalFormatting sqref="A83">
    <cfRule type="expression" dxfId="206" priority="191">
      <formula>$AH83=0</formula>
    </cfRule>
  </conditionalFormatting>
  <conditionalFormatting sqref="A15">
    <cfRule type="expression" dxfId="205" priority="190">
      <formula>$AH15=0</formula>
    </cfRule>
  </conditionalFormatting>
  <conditionalFormatting sqref="A164:A169">
    <cfRule type="expression" dxfId="204" priority="189">
      <formula>$AH164=0</formula>
    </cfRule>
  </conditionalFormatting>
  <conditionalFormatting sqref="A158:A163">
    <cfRule type="expression" dxfId="203" priority="188">
      <formula>$AH158=0</formula>
    </cfRule>
  </conditionalFormatting>
  <conditionalFormatting sqref="A44">
    <cfRule type="expression" dxfId="202" priority="187">
      <formula>$AH44=0</formula>
    </cfRule>
  </conditionalFormatting>
  <conditionalFormatting sqref="A79">
    <cfRule type="expression" dxfId="201" priority="186">
      <formula>$AH79=0</formula>
    </cfRule>
  </conditionalFormatting>
  <conditionalFormatting sqref="A73">
    <cfRule type="expression" dxfId="200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199" priority="181">
      <formula>C$9&gt;=20/24</formula>
    </cfRule>
    <cfRule type="expression" dxfId="198" priority="182">
      <formula>AND(C$9&gt;=14/24,C$9&lt;20/24)</formula>
    </cfRule>
    <cfRule type="expression" dxfId="197" priority="183">
      <formula>AND(C$9&gt;=8/24,C$9&lt;14/24)</formula>
    </cfRule>
    <cfRule type="expression" dxfId="196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95" priority="209">
      <formula>C$9&gt;=20/24</formula>
    </cfRule>
    <cfRule type="expression" dxfId="194" priority="210">
      <formula>AND(C$9&gt;=14/24,C$9&lt;20/24)</formula>
    </cfRule>
    <cfRule type="expression" dxfId="193" priority="211">
      <formula>AND(C$9&gt;=8/24,C$9&lt;14/24)</formula>
    </cfRule>
    <cfRule type="expression" dxfId="192" priority="212">
      <formula>C$9&lt;8/24</formula>
    </cfRule>
  </conditionalFormatting>
  <conditionalFormatting sqref="A201">
    <cfRule type="expression" dxfId="191" priority="213">
      <formula>$AH201=0</formula>
    </cfRule>
  </conditionalFormatting>
  <conditionalFormatting sqref="AG213">
    <cfRule type="expression" dxfId="190" priority="214">
      <formula>B$9&gt;=20/24</formula>
    </cfRule>
    <cfRule type="expression" dxfId="189" priority="215">
      <formula>AND(B$9&gt;=14/24,B$9&lt;20/24)</formula>
    </cfRule>
    <cfRule type="expression" dxfId="188" priority="216">
      <formula>AND(B$9&gt;=8/24,B$9&lt;14/24)</formula>
    </cfRule>
    <cfRule type="expression" dxfId="187" priority="217">
      <formula>B$9&lt;8/24</formula>
    </cfRule>
  </conditionalFormatting>
  <conditionalFormatting sqref="S8">
    <cfRule type="expression" dxfId="186" priority="175">
      <formula>U$9&gt;=20/24</formula>
    </cfRule>
    <cfRule type="expression" dxfId="185" priority="176">
      <formula>AND(U$9&gt;=14/24,U$9&lt;20/24)</formula>
    </cfRule>
    <cfRule type="expression" dxfId="184" priority="177">
      <formula>AND(U$9&gt;=8/24,U$9&lt;14/24)</formula>
    </cfRule>
    <cfRule type="expression" dxfId="183" priority="178">
      <formula>U$9&lt;8/24</formula>
    </cfRule>
  </conditionalFormatting>
  <conditionalFormatting sqref="AB8">
    <cfRule type="expression" dxfId="182" priority="171">
      <formula>AD$9&gt;=20/24</formula>
    </cfRule>
    <cfRule type="expression" dxfId="181" priority="172">
      <formula>AND(AD$9&gt;=14/24,AD$9&lt;20/24)</formula>
    </cfRule>
    <cfRule type="expression" dxfId="180" priority="173">
      <formula>AND(AD$9&gt;=8/24,AD$9&lt;14/24)</formula>
    </cfRule>
    <cfRule type="expression" dxfId="179" priority="174">
      <formula>AD$9&lt;8/24</formula>
    </cfRule>
  </conditionalFormatting>
  <conditionalFormatting sqref="AH213:AX213">
    <cfRule type="expression" dxfId="178" priority="218">
      <formula>AG$9&gt;=20/24</formula>
    </cfRule>
    <cfRule type="expression" dxfId="177" priority="219">
      <formula>AND(AG$9&gt;=14/24,AG$9&lt;20/24)</formula>
    </cfRule>
    <cfRule type="expression" dxfId="176" priority="220">
      <formula>AND(AG$9&gt;=8/24,AG$9&lt;14/24)</formula>
    </cfRule>
    <cfRule type="expression" dxfId="175" priority="221">
      <formula>AG$9&lt;8/24</formula>
    </cfRule>
  </conditionalFormatting>
  <conditionalFormatting sqref="T213">
    <cfRule type="expression" dxfId="174" priority="222">
      <formula>AX$9&gt;=20/24</formula>
    </cfRule>
    <cfRule type="expression" dxfId="173" priority="223">
      <formula>AND(AX$9&gt;=14/24,AX$9&lt;20/24)</formula>
    </cfRule>
    <cfRule type="expression" dxfId="172" priority="224">
      <formula>AND(AX$9&gt;=8/24,AX$9&lt;14/24)</formula>
    </cfRule>
    <cfRule type="expression" dxfId="171" priority="225">
      <formula>AX$9&lt;8/24</formula>
    </cfRule>
  </conditionalFormatting>
  <conditionalFormatting sqref="A99:A100">
    <cfRule type="expression" dxfId="170" priority="170">
      <formula>$AH99=0</formula>
    </cfRule>
  </conditionalFormatting>
  <conditionalFormatting sqref="E11:I11 E40:L41 S40:W41 Y40:AF41 Z36:AF36 C57:AF57">
    <cfRule type="expression" dxfId="169" priority="166">
      <formula>C$9&gt;=20/24</formula>
    </cfRule>
    <cfRule type="expression" dxfId="168" priority="167">
      <formula>AND(C$9&gt;=14/24,C$9&lt;20/24)</formula>
    </cfRule>
    <cfRule type="expression" dxfId="167" priority="168">
      <formula>AND(C$9&gt;=8/24,C$9&lt;14/24)</formula>
    </cfRule>
    <cfRule type="expression" dxfId="166" priority="169">
      <formula>C$9&lt;8/24</formula>
    </cfRule>
  </conditionalFormatting>
  <conditionalFormatting sqref="E39:L39 S39:W39 Y39:AF39">
    <cfRule type="expression" dxfId="165" priority="162">
      <formula>E$9&gt;=20/24</formula>
    </cfRule>
    <cfRule type="expression" dxfId="164" priority="163">
      <formula>AND(E$9&gt;=14/24,E$9&lt;20/24)</formula>
    </cfRule>
    <cfRule type="expression" dxfId="163" priority="164">
      <formula>AND(E$9&gt;=8/24,E$9&lt;14/24)</formula>
    </cfRule>
    <cfRule type="expression" dxfId="162" priority="165">
      <formula>E$9&lt;8/24</formula>
    </cfRule>
  </conditionalFormatting>
  <conditionalFormatting sqref="E11:I11 E39:L41 S39:W41 Y39:AF41 Z36:AF36">
    <cfRule type="expression" dxfId="161" priority="161">
      <formula>E11&gt;$AG11</formula>
    </cfRule>
  </conditionalFormatting>
  <conditionalFormatting sqref="M11:R11 C36:Y36 C83:AF83 C75:AF81 C58:AE59 C68:AF73 M64:M66 C67:M67 C62:M63 N62:O67 C61:O61 P61:W67 C60:W60 C85:AF91 X60:AE67 E12:AF14 M16:AF16 M28:AF31 M18:AF22 M24:AF26 C53:AF56 AF58:AF67">
    <cfRule type="expression" dxfId="160" priority="157">
      <formula>C$9&gt;=20/24</formula>
    </cfRule>
    <cfRule type="expression" dxfId="159" priority="158">
      <formula>AND(C$9&gt;=14/24,C$9&lt;20/24)</formula>
    </cfRule>
    <cfRule type="expression" dxfId="158" priority="159">
      <formula>AND(C$9&gt;=8/24,C$9&lt;14/24)</formula>
    </cfRule>
    <cfRule type="expression" dxfId="157" priority="160">
      <formula>C$9&lt;8/24</formula>
    </cfRule>
  </conditionalFormatting>
  <conditionalFormatting sqref="M32:AF32">
    <cfRule type="expression" dxfId="156" priority="153">
      <formula>M$9&gt;=20/24</formula>
    </cfRule>
    <cfRule type="expression" dxfId="155" priority="154">
      <formula>AND(M$9&gt;=14/24,M$9&lt;20/24)</formula>
    </cfRule>
    <cfRule type="expression" dxfId="154" priority="155">
      <formula>AND(M$9&gt;=8/24,M$9&lt;14/24)</formula>
    </cfRule>
    <cfRule type="expression" dxfId="153" priority="156">
      <formula>M$9&lt;8/24</formula>
    </cfRule>
  </conditionalFormatting>
  <conditionalFormatting sqref="M35:AF35">
    <cfRule type="expression" dxfId="152" priority="149">
      <formula>M$9&gt;=20/24</formula>
    </cfRule>
    <cfRule type="expression" dxfId="151" priority="150">
      <formula>AND(M$9&gt;=14/24,M$9&lt;20/24)</formula>
    </cfRule>
    <cfRule type="expression" dxfId="150" priority="151">
      <formula>AND(M$9&gt;=8/24,M$9&lt;14/24)</formula>
    </cfRule>
    <cfRule type="expression" dxfId="149" priority="152">
      <formula>M$9&lt;8/24</formula>
    </cfRule>
  </conditionalFormatting>
  <conditionalFormatting sqref="E42:G43 M11:R11 C36:R37 S36:Y36 C38:AF38 F44:G44 E12:N15 H42:L44 M16:N16 AB42:AF43 M34:AF35 O12:AF16 M18:AF22 M24:AF32 C51:AF56">
    <cfRule type="expression" dxfId="148" priority="148">
      <formula>C11&gt;$AG11</formula>
    </cfRule>
  </conditionalFormatting>
  <conditionalFormatting sqref="M34:AF34">
    <cfRule type="expression" dxfId="147" priority="144">
      <formula>M$9&gt;=20/24</formula>
    </cfRule>
    <cfRule type="expression" dxfId="146" priority="145">
      <formula>AND(M$9&gt;=14/24,M$9&lt;20/24)</formula>
    </cfRule>
    <cfRule type="expression" dxfId="145" priority="146">
      <formula>AND(M$9&gt;=8/24,M$9&lt;14/24)</formula>
    </cfRule>
    <cfRule type="expression" dxfId="144" priority="147">
      <formula>M$9&lt;8/24</formula>
    </cfRule>
  </conditionalFormatting>
  <conditionalFormatting sqref="E15:AF15">
    <cfRule type="expression" dxfId="143" priority="140">
      <formula>E$9&gt;=20/24</formula>
    </cfRule>
    <cfRule type="expression" dxfId="142" priority="141">
      <formula>AND(E$9&gt;=14/24,E$9&lt;20/24)</formula>
    </cfRule>
    <cfRule type="expression" dxfId="141" priority="142">
      <formula>AND(E$9&gt;=8/24,E$9&lt;14/24)</formula>
    </cfRule>
    <cfRule type="expression" dxfId="140" priority="143">
      <formula>E$9&lt;8/24</formula>
    </cfRule>
  </conditionalFormatting>
  <conditionalFormatting sqref="M33:AF33">
    <cfRule type="expression" dxfId="139" priority="136">
      <formula>M$9&gt;=20/24</formula>
    </cfRule>
    <cfRule type="expression" dxfId="138" priority="137">
      <formula>AND(M$9&gt;=14/24,M$9&lt;20/24)</formula>
    </cfRule>
    <cfRule type="expression" dxfId="137" priority="138">
      <formula>AND(M$9&gt;=8/24,M$9&lt;14/24)</formula>
    </cfRule>
    <cfRule type="expression" dxfId="136" priority="139">
      <formula>M$9&lt;8/24</formula>
    </cfRule>
  </conditionalFormatting>
  <conditionalFormatting sqref="M33:AF33">
    <cfRule type="expression" dxfId="135" priority="135">
      <formula>M33&gt;$AG33</formula>
    </cfRule>
  </conditionalFormatting>
  <conditionalFormatting sqref="S11">
    <cfRule type="expression" dxfId="134" priority="131">
      <formula>S$9&gt;=20/24</formula>
    </cfRule>
    <cfRule type="expression" dxfId="133" priority="132">
      <formula>AND(S$9&gt;=14/24,S$9&lt;20/24)</formula>
    </cfRule>
    <cfRule type="expression" dxfId="132" priority="133">
      <formula>AND(S$9&gt;=8/24,S$9&lt;14/24)</formula>
    </cfRule>
    <cfRule type="expression" dxfId="131" priority="134">
      <formula>S$9&lt;8/24</formula>
    </cfRule>
  </conditionalFormatting>
  <conditionalFormatting sqref="V42:AA43 AB44:AF50">
    <cfRule type="expression" dxfId="130" priority="127">
      <formula>V$9&gt;=20/24</formula>
    </cfRule>
    <cfRule type="expression" dxfId="129" priority="128">
      <formula>AND(V$9&gt;=14/24,V$9&lt;20/24)</formula>
    </cfRule>
    <cfRule type="expression" dxfId="128" priority="129">
      <formula>AND(V$9&gt;=8/24,V$9&lt;14/24)</formula>
    </cfRule>
    <cfRule type="expression" dxfId="127" priority="130">
      <formula>V$9&lt;8/24</formula>
    </cfRule>
  </conditionalFormatting>
  <conditionalFormatting sqref="V42:AA43 AB44:AF50">
    <cfRule type="expression" dxfId="126" priority="126">
      <formula>V42&gt;$AG42</formula>
    </cfRule>
  </conditionalFormatting>
  <conditionalFormatting sqref="M39:R50 S42:U50 V44:AA50">
    <cfRule type="expression" dxfId="125" priority="122">
      <formula>M$9&gt;=20/24</formula>
    </cfRule>
    <cfRule type="expression" dxfId="124" priority="123">
      <formula>AND(M$9&gt;=14/24,M$9&lt;20/24)</formula>
    </cfRule>
    <cfRule type="expression" dxfId="123" priority="124">
      <formula>AND(M$9&gt;=8/24,M$9&lt;14/24)</formula>
    </cfRule>
    <cfRule type="expression" dxfId="122" priority="125">
      <formula>M$9&lt;8/24</formula>
    </cfRule>
  </conditionalFormatting>
  <conditionalFormatting sqref="M39:R50 S42:U50 V44:AA50">
    <cfRule type="expression" dxfId="121" priority="121">
      <formula>M39&gt;$AG39</formula>
    </cfRule>
  </conditionalFormatting>
  <conditionalFormatting sqref="M27:AF27">
    <cfRule type="expression" dxfId="120" priority="117">
      <formula>M$9&gt;=20/24</formula>
    </cfRule>
    <cfRule type="expression" dxfId="119" priority="118">
      <formula>AND(M$9&gt;=14/24,M$9&lt;20/24)</formula>
    </cfRule>
    <cfRule type="expression" dxfId="118" priority="119">
      <formula>AND(M$9&gt;=8/24,M$9&lt;14/24)</formula>
    </cfRule>
    <cfRule type="expression" dxfId="117" priority="120">
      <formula>M$9&lt;8/24</formula>
    </cfRule>
  </conditionalFormatting>
  <conditionalFormatting sqref="C11:D14 C74:I74 C16:L16 C18:L22 C24:L31 C17:AF17 C23:AF23">
    <cfRule type="expression" dxfId="116" priority="113">
      <formula>C$9&gt;=20/24</formula>
    </cfRule>
    <cfRule type="expression" dxfId="115" priority="114">
      <formula>AND(C$9&gt;=14/24,C$9&lt;20/24)</formula>
    </cfRule>
    <cfRule type="expression" dxfId="114" priority="115">
      <formula>AND(C$9&gt;=8/24,C$9&lt;14/24)</formula>
    </cfRule>
    <cfRule type="expression" dxfId="113" priority="116">
      <formula>C$9&lt;8/24</formula>
    </cfRule>
  </conditionalFormatting>
  <conditionalFormatting sqref="C32:L32">
    <cfRule type="expression" dxfId="112" priority="109">
      <formula>C$9&gt;=20/24</formula>
    </cfRule>
    <cfRule type="expression" dxfId="111" priority="110">
      <formula>AND(C$9&gt;=14/24,C$9&lt;20/24)</formula>
    </cfRule>
    <cfRule type="expression" dxfId="110" priority="111">
      <formula>AND(C$9&gt;=8/24,C$9&lt;14/24)</formula>
    </cfRule>
    <cfRule type="expression" dxfId="109" priority="112">
      <formula>C$9&lt;8/24</formula>
    </cfRule>
  </conditionalFormatting>
  <conditionalFormatting sqref="C35:L35">
    <cfRule type="expression" dxfId="108" priority="105">
      <formula>C$9&gt;=20/24</formula>
    </cfRule>
    <cfRule type="expression" dxfId="107" priority="106">
      <formula>AND(C$9&gt;=14/24,C$9&lt;20/24)</formula>
    </cfRule>
    <cfRule type="expression" dxfId="106" priority="107">
      <formula>AND(C$9&gt;=8/24,C$9&lt;14/24)</formula>
    </cfRule>
    <cfRule type="expression" dxfId="105" priority="108">
      <formula>C$9&lt;8/24</formula>
    </cfRule>
  </conditionalFormatting>
  <conditionalFormatting sqref="C11:D16 C34:L35 E16:L16 C18:L22 C24:L32 C17:AF17 C23:AF23">
    <cfRule type="expression" dxfId="104" priority="104">
      <formula>C11&gt;$AG11</formula>
    </cfRule>
  </conditionalFormatting>
  <conditionalFormatting sqref="C34:L34">
    <cfRule type="expression" dxfId="103" priority="100">
      <formula>C$9&gt;=20/24</formula>
    </cfRule>
    <cfRule type="expression" dxfId="102" priority="101">
      <formula>AND(C$9&gt;=14/24,C$9&lt;20/24)</formula>
    </cfRule>
    <cfRule type="expression" dxfId="101" priority="102">
      <formula>AND(C$9&gt;=8/24,C$9&lt;14/24)</formula>
    </cfRule>
    <cfRule type="expression" dxfId="100" priority="103">
      <formula>C$9&lt;8/24</formula>
    </cfRule>
  </conditionalFormatting>
  <conditionalFormatting sqref="C15:D15">
    <cfRule type="expression" dxfId="99" priority="96">
      <formula>C$9&gt;=20/24</formula>
    </cfRule>
    <cfRule type="expression" dxfId="98" priority="97">
      <formula>AND(C$9&gt;=14/24,C$9&lt;20/24)</formula>
    </cfRule>
    <cfRule type="expression" dxfId="97" priority="98">
      <formula>AND(C$9&gt;=8/24,C$9&lt;14/24)</formula>
    </cfRule>
    <cfRule type="expression" dxfId="96" priority="99">
      <formula>C$9&lt;8/24</formula>
    </cfRule>
  </conditionalFormatting>
  <conditionalFormatting sqref="C33:L33">
    <cfRule type="expression" dxfId="95" priority="92">
      <formula>C$9&gt;=20/24</formula>
    </cfRule>
    <cfRule type="expression" dxfId="94" priority="93">
      <formula>AND(C$9&gt;=14/24,C$9&lt;20/24)</formula>
    </cfRule>
    <cfRule type="expression" dxfId="93" priority="94">
      <formula>AND(C$9&gt;=8/24,C$9&lt;14/24)</formula>
    </cfRule>
    <cfRule type="expression" dxfId="92" priority="95">
      <formula>C$9&lt;8/24</formula>
    </cfRule>
  </conditionalFormatting>
  <conditionalFormatting sqref="C33:L33">
    <cfRule type="expression" dxfId="91" priority="91">
      <formula>C33&gt;$AG33</formula>
    </cfRule>
  </conditionalFormatting>
  <conditionalFormatting sqref="C40:D41">
    <cfRule type="expression" dxfId="90" priority="87">
      <formula>C$9&gt;=20/24</formula>
    </cfRule>
    <cfRule type="expression" dxfId="89" priority="88">
      <formula>AND(C$9&gt;=14/24,C$9&lt;20/24)</formula>
    </cfRule>
    <cfRule type="expression" dxfId="88" priority="89">
      <formula>AND(C$9&gt;=8/24,C$9&lt;14/24)</formula>
    </cfRule>
    <cfRule type="expression" dxfId="87" priority="90">
      <formula>C$9&lt;8/24</formula>
    </cfRule>
  </conditionalFormatting>
  <conditionalFormatting sqref="C39:D39">
    <cfRule type="expression" dxfId="86" priority="83">
      <formula>C$9&gt;=20/24</formula>
    </cfRule>
    <cfRule type="expression" dxfId="85" priority="84">
      <formula>AND(C$9&gt;=14/24,C$9&lt;20/24)</formula>
    </cfRule>
    <cfRule type="expression" dxfId="84" priority="85">
      <formula>AND(C$9&gt;=8/24,C$9&lt;14/24)</formula>
    </cfRule>
    <cfRule type="expression" dxfId="83" priority="86">
      <formula>C$9&lt;8/24</formula>
    </cfRule>
  </conditionalFormatting>
  <conditionalFormatting sqref="C39:D41">
    <cfRule type="expression" dxfId="82" priority="82">
      <formula>C39&gt;$AG39</formula>
    </cfRule>
  </conditionalFormatting>
  <conditionalFormatting sqref="C64:L66">
    <cfRule type="expression" dxfId="81" priority="78">
      <formula>C$9&gt;=20/24</formula>
    </cfRule>
    <cfRule type="expression" dxfId="80" priority="79">
      <formula>AND(C$9&gt;=14/24,C$9&lt;20/24)</formula>
    </cfRule>
    <cfRule type="expression" dxfId="79" priority="80">
      <formula>AND(C$9&gt;=8/24,C$9&lt;14/24)</formula>
    </cfRule>
    <cfRule type="expression" dxfId="78" priority="81">
      <formula>C$9&lt;8/24</formula>
    </cfRule>
  </conditionalFormatting>
  <conditionalFormatting sqref="C42:D43">
    <cfRule type="expression" dxfId="77" priority="77">
      <formula>C42&gt;$AG42</formula>
    </cfRule>
  </conditionalFormatting>
  <conditionalFormatting sqref="C44:E50 F45:L50">
    <cfRule type="expression" dxfId="76" priority="73">
      <formula>C$9&gt;=20/24</formula>
    </cfRule>
    <cfRule type="expression" dxfId="75" priority="74">
      <formula>AND(C$9&gt;=14/24,C$9&lt;20/24)</formula>
    </cfRule>
    <cfRule type="expression" dxfId="74" priority="75">
      <formula>AND(C$9&gt;=8/24,C$9&lt;14/24)</formula>
    </cfRule>
    <cfRule type="expression" dxfId="73" priority="76">
      <formula>C$9&lt;8/24</formula>
    </cfRule>
  </conditionalFormatting>
  <conditionalFormatting sqref="C44:E50 F45:L50">
    <cfRule type="expression" dxfId="72" priority="72">
      <formula>C44&gt;$AG44</formula>
    </cfRule>
  </conditionalFormatting>
  <conditionalFormatting sqref="X40:X41">
    <cfRule type="expression" dxfId="71" priority="68">
      <formula>X$9&gt;=20/24</formula>
    </cfRule>
    <cfRule type="expression" dxfId="70" priority="69">
      <formula>AND(X$9&gt;=14/24,X$9&lt;20/24)</formula>
    </cfRule>
    <cfRule type="expression" dxfId="69" priority="70">
      <formula>AND(X$9&gt;=8/24,X$9&lt;14/24)</formula>
    </cfRule>
    <cfRule type="expression" dxfId="68" priority="71">
      <formula>X$9&lt;8/24</formula>
    </cfRule>
  </conditionalFormatting>
  <conditionalFormatting sqref="X39">
    <cfRule type="expression" dxfId="67" priority="64">
      <formula>X$9&gt;=20/24</formula>
    </cfRule>
    <cfRule type="expression" dxfId="66" priority="65">
      <formula>AND(X$9&gt;=14/24,X$9&lt;20/24)</formula>
    </cfRule>
    <cfRule type="expression" dxfId="65" priority="66">
      <formula>AND(X$9&gt;=8/24,X$9&lt;14/24)</formula>
    </cfRule>
    <cfRule type="expression" dxfId="64" priority="67">
      <formula>X$9&lt;8/24</formula>
    </cfRule>
  </conditionalFormatting>
  <conditionalFormatting sqref="X39:X41">
    <cfRule type="expression" dxfId="63" priority="63">
      <formula>X39&gt;$AG39</formula>
    </cfRule>
  </conditionalFormatting>
  <conditionalFormatting sqref="B82 B74 B94:B100 B11">
    <cfRule type="expression" dxfId="62" priority="59">
      <formula>B$9&gt;=20/24</formula>
    </cfRule>
    <cfRule type="expression" dxfId="61" priority="60">
      <formula>AND(B$9&gt;=14/24,B$9&lt;20/24)</formula>
    </cfRule>
    <cfRule type="expression" dxfId="60" priority="61">
      <formula>AND(B$9&gt;=8/24,B$9&lt;14/24)</formula>
    </cfRule>
    <cfRule type="expression" dxfId="59" priority="62">
      <formula>B$9&lt;8/24</formula>
    </cfRule>
  </conditionalFormatting>
  <conditionalFormatting sqref="B37">
    <cfRule type="expression" dxfId="58" priority="55">
      <formula>B$9&gt;=20/24</formula>
    </cfRule>
    <cfRule type="expression" dxfId="57" priority="56">
      <formula>AND(B$9&gt;=14/24,B$9&lt;20/24)</formula>
    </cfRule>
    <cfRule type="expression" dxfId="56" priority="57">
      <formula>AND(B$9&gt;=8/24,B$9&lt;14/24)</formula>
    </cfRule>
    <cfRule type="expression" dxfId="55" priority="58">
      <formula>B$9&lt;8/24</formula>
    </cfRule>
  </conditionalFormatting>
  <conditionalFormatting sqref="B37 B11">
    <cfRule type="expression" dxfId="54" priority="54">
      <formula>B11&gt;$AG11</formula>
    </cfRule>
  </conditionalFormatting>
  <conditionalFormatting sqref="B84">
    <cfRule type="expression" dxfId="53" priority="50">
      <formula>B$9&gt;=20/24</formula>
    </cfRule>
    <cfRule type="expression" dxfId="52" priority="51">
      <formula>AND(B$9&gt;=14/24,B$9&lt;20/24)</formula>
    </cfRule>
    <cfRule type="expression" dxfId="51" priority="52">
      <formula>AND(B$9&gt;=8/24,B$9&lt;14/24)</formula>
    </cfRule>
    <cfRule type="expression" dxfId="50" priority="53">
      <formula>B$9&lt;8/24</formula>
    </cfRule>
  </conditionalFormatting>
  <conditionalFormatting sqref="B40:B41 B36 B57">
    <cfRule type="expression" dxfId="49" priority="46">
      <formula>B$9&gt;=20/24</formula>
    </cfRule>
    <cfRule type="expression" dxfId="48" priority="47">
      <formula>AND(B$9&gt;=14/24,B$9&lt;20/24)</formula>
    </cfRule>
    <cfRule type="expression" dxfId="47" priority="48">
      <formula>AND(B$9&gt;=8/24,B$9&lt;14/24)</formula>
    </cfRule>
    <cfRule type="expression" dxfId="46" priority="49">
      <formula>B$9&lt;8/24</formula>
    </cfRule>
  </conditionalFormatting>
  <conditionalFormatting sqref="B39">
    <cfRule type="expression" dxfId="45" priority="42">
      <formula>B$9&gt;=20/24</formula>
    </cfRule>
    <cfRule type="expression" dxfId="44" priority="43">
      <formula>AND(B$9&gt;=14/24,B$9&lt;20/24)</formula>
    </cfRule>
    <cfRule type="expression" dxfId="43" priority="44">
      <formula>AND(B$9&gt;=8/24,B$9&lt;14/24)</formula>
    </cfRule>
    <cfRule type="expression" dxfId="42" priority="45">
      <formula>B$9&lt;8/24</formula>
    </cfRule>
  </conditionalFormatting>
  <conditionalFormatting sqref="B39:B41 B36">
    <cfRule type="expression" dxfId="41" priority="41">
      <formula>B36&gt;$AG36</formula>
    </cfRule>
  </conditionalFormatting>
  <conditionalFormatting sqref="B83 B75:B81 B85:B91 B12:B14 B16 B28:B31 B18:B22 B24:B26 B53:B56 B58:B73">
    <cfRule type="expression" dxfId="40" priority="37">
      <formula>B$9&gt;=20/24</formula>
    </cfRule>
    <cfRule type="expression" dxfId="39" priority="38">
      <formula>AND(B$9&gt;=14/24,B$9&lt;20/24)</formula>
    </cfRule>
    <cfRule type="expression" dxfId="38" priority="39">
      <formula>AND(B$9&gt;=8/24,B$9&lt;14/24)</formula>
    </cfRule>
    <cfRule type="expression" dxfId="37" priority="40">
      <formula>B$9&lt;8/24</formula>
    </cfRule>
  </conditionalFormatting>
  <conditionalFormatting sqref="B32">
    <cfRule type="expression" dxfId="36" priority="33">
      <formula>B$9&gt;=20/24</formula>
    </cfRule>
    <cfRule type="expression" dxfId="35" priority="34">
      <formula>AND(B$9&gt;=14/24,B$9&lt;20/24)</formula>
    </cfRule>
    <cfRule type="expression" dxfId="34" priority="35">
      <formula>AND(B$9&gt;=8/24,B$9&lt;14/24)</formula>
    </cfRule>
    <cfRule type="expression" dxfId="33" priority="36">
      <formula>B$9&lt;8/24</formula>
    </cfRule>
  </conditionalFormatting>
  <conditionalFormatting sqref="B35">
    <cfRule type="expression" dxfId="32" priority="29">
      <formula>B$9&gt;=20/24</formula>
    </cfRule>
    <cfRule type="expression" dxfId="31" priority="30">
      <formula>AND(B$9&gt;=14/24,B$9&lt;20/24)</formula>
    </cfRule>
    <cfRule type="expression" dxfId="30" priority="31">
      <formula>AND(B$9&gt;=8/24,B$9&lt;14/24)</formula>
    </cfRule>
    <cfRule type="expression" dxfId="29" priority="32">
      <formula>B$9&lt;8/24</formula>
    </cfRule>
  </conditionalFormatting>
  <conditionalFormatting sqref="B38 B42:B43 B34:B35 B12:B16 B18:B22 B24:B32 B51:B56">
    <cfRule type="expression" dxfId="28" priority="28">
      <formula>B12&gt;$AG12</formula>
    </cfRule>
  </conditionalFormatting>
  <conditionalFormatting sqref="B34">
    <cfRule type="expression" dxfId="27" priority="24">
      <formula>B$9&gt;=20/24</formula>
    </cfRule>
    <cfRule type="expression" dxfId="26" priority="25">
      <formula>AND(B$9&gt;=14/24,B$9&lt;20/24)</formula>
    </cfRule>
    <cfRule type="expression" dxfId="25" priority="26">
      <formula>AND(B$9&gt;=8/24,B$9&lt;14/24)</formula>
    </cfRule>
    <cfRule type="expression" dxfId="24" priority="27">
      <formula>B$9&lt;8/24</formula>
    </cfRule>
  </conditionalFormatting>
  <conditionalFormatting sqref="B15">
    <cfRule type="expression" dxfId="23" priority="20">
      <formula>B$9&gt;=20/24</formula>
    </cfRule>
    <cfRule type="expression" dxfId="22" priority="21">
      <formula>AND(B$9&gt;=14/24,B$9&lt;20/24)</formula>
    </cfRule>
    <cfRule type="expression" dxfId="21" priority="22">
      <formula>AND(B$9&gt;=8/24,B$9&lt;14/24)</formula>
    </cfRule>
    <cfRule type="expression" dxfId="20" priority="23">
      <formula>B$9&lt;8/24</formula>
    </cfRule>
  </conditionalFormatting>
  <conditionalFormatting sqref="B33">
    <cfRule type="expression" dxfId="19" priority="16">
      <formula>B$9&gt;=20/24</formula>
    </cfRule>
    <cfRule type="expression" dxfId="18" priority="17">
      <formula>AND(B$9&gt;=14/24,B$9&lt;20/24)</formula>
    </cfRule>
    <cfRule type="expression" dxfId="17" priority="18">
      <formula>AND(B$9&gt;=8/24,B$9&lt;14/24)</formula>
    </cfRule>
    <cfRule type="expression" dxfId="16" priority="19">
      <formula>B$9&lt;8/24</formula>
    </cfRule>
  </conditionalFormatting>
  <conditionalFormatting sqref="B33">
    <cfRule type="expression" dxfId="15" priority="15">
      <formula>B33&gt;$AG33</formula>
    </cfRule>
  </conditionalFormatting>
  <conditionalFormatting sqref="B44:B50">
    <cfRule type="expression" dxfId="14" priority="11">
      <formula>B$9&gt;=20/24</formula>
    </cfRule>
    <cfRule type="expression" dxfId="13" priority="12">
      <formula>AND(B$9&gt;=14/24,B$9&lt;20/24)</formula>
    </cfRule>
    <cfRule type="expression" dxfId="12" priority="13">
      <formula>AND(B$9&gt;=8/24,B$9&lt;14/24)</formula>
    </cfRule>
    <cfRule type="expression" dxfId="11" priority="14">
      <formula>B$9&lt;8/24</formula>
    </cfRule>
  </conditionalFormatting>
  <conditionalFormatting sqref="B44:B50">
    <cfRule type="expression" dxfId="10" priority="10">
      <formula>B44&gt;$AG44</formula>
    </cfRule>
  </conditionalFormatting>
  <conditionalFormatting sqref="B27">
    <cfRule type="expression" dxfId="9" priority="6">
      <formula>B$9&gt;=20/24</formula>
    </cfRule>
    <cfRule type="expression" dxfId="8" priority="7">
      <formula>AND(B$9&gt;=14/24,B$9&lt;20/24)</formula>
    </cfRule>
    <cfRule type="expression" dxfId="7" priority="8">
      <formula>AND(B$9&gt;=8/24,B$9&lt;14/24)</formula>
    </cfRule>
    <cfRule type="expression" dxfId="6" priority="9">
      <formula>B$9&lt;8/24</formula>
    </cfRule>
  </conditionalFormatting>
  <conditionalFormatting sqref="B17 B23">
    <cfRule type="expression" dxfId="5" priority="2">
      <formula>B$9&gt;=20/24</formula>
    </cfRule>
    <cfRule type="expression" dxfId="4" priority="3">
      <formula>AND(B$9&gt;=14/24,B$9&lt;20/24)</formula>
    </cfRule>
    <cfRule type="expression" dxfId="3" priority="4">
      <formula>AND(B$9&gt;=8/24,B$9&lt;14/24)</formula>
    </cfRule>
    <cfRule type="expression" dxfId="2" priority="5">
      <formula>B$9&lt;8/24</formula>
    </cfRule>
  </conditionalFormatting>
  <conditionalFormatting sqref="B17 B23">
    <cfRule type="expression" dxfId="1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5938E192-5ADE-4448-A25B-D9B9C331175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Charts</vt:lpstr>
      </vt:variant>
      <vt:variant>
        <vt:i4>1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Sheet2</vt:lpstr>
      <vt:lpstr>Sheet3</vt:lpstr>
      <vt:lpstr>Sample</vt:lpstr>
      <vt:lpstr>Sheet37</vt:lpstr>
      <vt:lpstr>Chart1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2022-07-01T21:56:38Z</dcterms:modified>
</cp:coreProperties>
</file>